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Etty Hillesum Lyceum/Schoonmaak 2022/Bestek/"/>
    </mc:Choice>
  </mc:AlternateContent>
  <xr:revisionPtr revIDLastSave="1156" documentId="8_{0BA99FB3-8DD0-4725-8018-EBBBB7525AE4}" xr6:coauthVersionLast="47" xr6:coauthVersionMax="47" xr10:uidLastSave="{867A85FD-0006-4EED-85A3-8AF2A2E5631C}"/>
  <bookViews>
    <workbookView xWindow="-120" yWindow="-120" windowWidth="29040" windowHeight="15840" tabRatio="786" firstSheet="3" activeTab="11" xr2:uid="{00000000-000D-0000-FFFF-FFFF00000000}"/>
  </bookViews>
  <sheets>
    <sheet name="Overnamegegevens" sheetId="30" r:id="rId1"/>
    <sheet name="Opleverstaat dagelijks" sheetId="21" r:id="rId2"/>
    <sheet name="Werkprogramma periodiek" sheetId="27" r:id="rId3"/>
    <sheet name="Werkprogramma dieptereinigen" sheetId="28" r:id="rId4"/>
    <sheet name="Tariefsopbouw" sheetId="2" r:id="rId5"/>
    <sheet name="Prestatiefactoren" sheetId="11" r:id="rId6"/>
    <sheet name="Ruimtestaat" sheetId="13" r:id="rId7"/>
    <sheet name="Vloeronderhoud" sheetId="25" r:id="rId8"/>
    <sheet name="Glasbewassing" sheetId="29" r:id="rId9"/>
    <sheet name="Extra werkzaamheden" sheetId="26" r:id="rId10"/>
    <sheet name="Regie en afroep" sheetId="24" r:id="rId11"/>
    <sheet name="Totalisatie" sheetId="19" r:id="rId12"/>
  </sheets>
  <externalReferences>
    <externalReference r:id="rId13"/>
    <externalReference r:id="rId14"/>
  </externalReferences>
  <definedNames>
    <definedName name="_1F" localSheetId="9" hidden="1">[1]Psychiatrie!#REF!</definedName>
    <definedName name="_1F" localSheetId="7" hidden="1">[1]Psychiatrie!#REF!</definedName>
    <definedName name="_1F" hidden="1">[1]Psychiatrie!#REF!</definedName>
    <definedName name="_2_0_F" localSheetId="9" hidden="1">[1]Psychiatrie!#REF!</definedName>
    <definedName name="_2_0_F" localSheetId="7" hidden="1">[1]Psychiatrie!#REF!</definedName>
    <definedName name="_2_0_F" hidden="1">[1]Psychiatrie!#REF!</definedName>
    <definedName name="_Dist_Bin" localSheetId="9" hidden="1">#REF!</definedName>
    <definedName name="_Dist_Bin" localSheetId="7" hidden="1">#REF!</definedName>
    <definedName name="_Dist_Bin" hidden="1">#REF!</definedName>
    <definedName name="_Dist_Values" localSheetId="9" hidden="1">#REF!</definedName>
    <definedName name="_Dist_Values" localSheetId="7" hidden="1">#REF!</definedName>
    <definedName name="_Dist_Values" hidden="1">#REF!</definedName>
    <definedName name="_Fill" localSheetId="9" hidden="1">'[2]#REF'!#REF!</definedName>
    <definedName name="_Fill" localSheetId="7" hidden="1">'[2]#REF'!#REF!</definedName>
    <definedName name="_Fill" hidden="1">'[2]#REF'!#REF!</definedName>
    <definedName name="_xlnm._FilterDatabase" localSheetId="0" hidden="1">Overnamegegevens!$A$1:$T$54</definedName>
    <definedName name="_xlnm._FilterDatabase" localSheetId="6" hidden="1">'Ruimtestaat'!$B$4:$S$1421</definedName>
    <definedName name="_xlnm._FilterDatabase" localSheetId="11" hidden="1">Totalisatie!#REF!</definedName>
    <definedName name="_Key1" localSheetId="9" hidden="1">'[2]#REF'!#REF!</definedName>
    <definedName name="_Key1" localSheetId="7" hidden="1">'[2]#REF'!#REF!</definedName>
    <definedName name="_Key1" hidden="1">'[2]#REF'!#REF!</definedName>
    <definedName name="_Order1" hidden="1">255</definedName>
    <definedName name="_Sort" localSheetId="9" hidden="1">#REF!</definedName>
    <definedName name="_Sort" localSheetId="7" hidden="1">#REF!</definedName>
    <definedName name="_Sort" hidden="1">#REF!</definedName>
    <definedName name="_Table1_In1" localSheetId="9" hidden="1">#REF!</definedName>
    <definedName name="_Table1_In1" localSheetId="7" hidden="1">#REF!</definedName>
    <definedName name="_Table1_In1" hidden="1">#REF!</definedName>
    <definedName name="_Table1_Out" localSheetId="9" hidden="1">#REF!</definedName>
    <definedName name="_Table1_Out" localSheetId="7" hidden="1">#REF!</definedName>
    <definedName name="_Table1_Out" hidden="1">#REF!</definedName>
    <definedName name="AccessDatabase" hidden="1">"C:\data\excel\BASISWP.mdb"</definedName>
    <definedName name="_xlnm.Print_Area" localSheetId="9">'Extra werkzaamheden'!$A$1:$H$25</definedName>
    <definedName name="_xlnm.Print_Area" localSheetId="5">Prestatiefactoren!$A$1:$F$60</definedName>
    <definedName name="_xlnm.Print_Area" localSheetId="10">'Regie en afroep'!$A$1:$D$41</definedName>
    <definedName name="_xlnm.Print_Area" localSheetId="6">'Ruimtestaat'!$A$1:$AG$1421</definedName>
    <definedName name="_xlnm.Print_Area" localSheetId="4">Tariefsopbouw!$A$1:$Q$42</definedName>
    <definedName name="_xlnm.Print_Area" localSheetId="11">Totalisatie!$A$1:$H$35</definedName>
    <definedName name="_xlnm.Print_Area" localSheetId="7">Vloeronderhoud!$A$1:$H$54</definedName>
    <definedName name="_xlnm.Print_Area" localSheetId="3">'Werkprogramma dieptereinigen'!$A$1:$A$15</definedName>
    <definedName name="_xlnm.Print_Titles" localSheetId="6">'Ruimtestaat'!$A:$H,'Ruimtestaat'!$2:$4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26" l="1"/>
  <c r="F23" i="26"/>
  <c r="F22" i="26"/>
  <c r="F21" i="26"/>
  <c r="F20" i="26"/>
  <c r="F16" i="26"/>
  <c r="H17" i="26" l="1"/>
  <c r="E19" i="26"/>
  <c r="D19" i="26"/>
  <c r="E18" i="26"/>
  <c r="D18" i="26"/>
  <c r="E17" i="26"/>
  <c r="D17" i="26"/>
  <c r="B17" i="26"/>
  <c r="B18" i="26"/>
  <c r="B19" i="26"/>
  <c r="H18" i="26" l="1"/>
  <c r="H16" i="26"/>
  <c r="G28" i="29"/>
  <c r="H22" i="26"/>
  <c r="F22" i="19" s="1"/>
  <c r="E22" i="26"/>
  <c r="D22" i="26"/>
  <c r="B22" i="26"/>
  <c r="H21" i="26"/>
  <c r="E21" i="26"/>
  <c r="D21" i="26"/>
  <c r="B21" i="26"/>
  <c r="E20" i="26"/>
  <c r="D20" i="26"/>
  <c r="B20" i="26"/>
  <c r="E16" i="26"/>
  <c r="D16" i="26"/>
  <c r="B16" i="26"/>
  <c r="H39" i="29"/>
  <c r="G39" i="29"/>
  <c r="D39" i="29"/>
  <c r="G38" i="29"/>
  <c r="H38" i="29" s="1"/>
  <c r="D38" i="29"/>
  <c r="G37" i="29"/>
  <c r="H37" i="29" s="1"/>
  <c r="D37" i="29"/>
  <c r="B25" i="19"/>
  <c r="C13" i="19"/>
  <c r="B13" i="19"/>
  <c r="F40" i="25"/>
  <c r="H40" i="25" s="1"/>
  <c r="D40" i="25"/>
  <c r="B40" i="25"/>
  <c r="F34" i="25"/>
  <c r="H34" i="25" s="1"/>
  <c r="D34" i="25"/>
  <c r="B34" i="25"/>
  <c r="F33" i="25"/>
  <c r="H33" i="25" s="1"/>
  <c r="D33" i="25"/>
  <c r="B33" i="25"/>
  <c r="F32" i="25"/>
  <c r="H32" i="25" s="1"/>
  <c r="D32" i="25"/>
  <c r="B32" i="25"/>
  <c r="F31" i="25"/>
  <c r="H31" i="25" s="1"/>
  <c r="D31" i="25"/>
  <c r="B31" i="25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F53" i="25"/>
  <c r="H53" i="25" s="1"/>
  <c r="D53" i="25"/>
  <c r="B53" i="25"/>
  <c r="F45" i="25"/>
  <c r="H45" i="25" s="1"/>
  <c r="D45" i="25"/>
  <c r="B45" i="25"/>
  <c r="F39" i="25"/>
  <c r="H39" i="25" s="1"/>
  <c r="D39" i="25"/>
  <c r="B39" i="25"/>
  <c r="B23" i="19"/>
  <c r="B22" i="19"/>
  <c r="B21" i="19"/>
  <c r="F20" i="19"/>
  <c r="B20" i="19"/>
  <c r="B19" i="19"/>
  <c r="B18" i="19"/>
  <c r="C11" i="19"/>
  <c r="B11" i="19"/>
  <c r="C10" i="19"/>
  <c r="B10" i="19"/>
  <c r="C9" i="19"/>
  <c r="B9" i="19"/>
  <c r="B37" i="29" s="1"/>
  <c r="C8" i="19"/>
  <c r="B8" i="19"/>
  <c r="B36" i="29" s="1"/>
  <c r="C7" i="19"/>
  <c r="B7" i="19"/>
  <c r="C6" i="19"/>
  <c r="B6" i="19"/>
  <c r="G54" i="29"/>
  <c r="H54" i="29" s="1"/>
  <c r="G53" i="29"/>
  <c r="H53" i="29" s="1"/>
  <c r="G52" i="29"/>
  <c r="H52" i="29" s="1"/>
  <c r="G51" i="29"/>
  <c r="H51" i="29" s="1"/>
  <c r="G50" i="29"/>
  <c r="H50" i="29" s="1"/>
  <c r="G49" i="29"/>
  <c r="H49" i="29" s="1"/>
  <c r="G48" i="29"/>
  <c r="H48" i="29" s="1"/>
  <c r="G47" i="29"/>
  <c r="H47" i="29" s="1"/>
  <c r="G46" i="29"/>
  <c r="H46" i="29" s="1"/>
  <c r="G45" i="29"/>
  <c r="H45" i="29" s="1"/>
  <c r="G44" i="29"/>
  <c r="H44" i="29" s="1"/>
  <c r="G43" i="29"/>
  <c r="H43" i="29" s="1"/>
  <c r="G42" i="29"/>
  <c r="H42" i="29" s="1"/>
  <c r="G41" i="29"/>
  <c r="H41" i="29" s="1"/>
  <c r="G40" i="29"/>
  <c r="H40" i="29" s="1"/>
  <c r="G36" i="29"/>
  <c r="H36" i="29" s="1"/>
  <c r="G35" i="29"/>
  <c r="H35" i="29" s="1"/>
  <c r="G34" i="29"/>
  <c r="H34" i="29" s="1"/>
  <c r="D24" i="29"/>
  <c r="B38" i="29" l="1"/>
  <c r="B39" i="29"/>
  <c r="B41" i="29"/>
  <c r="B48" i="29"/>
  <c r="B42" i="29"/>
  <c r="B44" i="29"/>
  <c r="B45" i="29"/>
  <c r="B49" i="29"/>
  <c r="B46" i="29"/>
  <c r="B47" i="29"/>
  <c r="B40" i="29"/>
  <c r="B43" i="29"/>
  <c r="B34" i="29"/>
  <c r="B35" i="29"/>
  <c r="G33" i="29" l="1"/>
  <c r="H33" i="29" s="1"/>
  <c r="B33" i="29"/>
  <c r="G32" i="29"/>
  <c r="H32" i="29" s="1"/>
  <c r="B32" i="29"/>
  <c r="G31" i="29"/>
  <c r="H31" i="29" s="1"/>
  <c r="B31" i="29"/>
  <c r="G30" i="29"/>
  <c r="H30" i="29" s="1"/>
  <c r="B30" i="29"/>
  <c r="G29" i="29"/>
  <c r="H29" i="29" s="1"/>
  <c r="B29" i="29"/>
  <c r="H28" i="29"/>
  <c r="G27" i="29"/>
  <c r="H27" i="29" s="1"/>
  <c r="G26" i="29"/>
  <c r="H26" i="29" s="1"/>
  <c r="G25" i="29"/>
  <c r="H25" i="29" s="1"/>
  <c r="G24" i="29"/>
  <c r="F49" i="25"/>
  <c r="H49" i="25" s="1"/>
  <c r="D49" i="25"/>
  <c r="B49" i="25"/>
  <c r="F48" i="25"/>
  <c r="H48" i="25" s="1"/>
  <c r="D48" i="25"/>
  <c r="B48" i="25"/>
  <c r="F47" i="25"/>
  <c r="H47" i="25" s="1"/>
  <c r="D47" i="25"/>
  <c r="B47" i="25"/>
  <c r="F46" i="25"/>
  <c r="H46" i="25" s="1"/>
  <c r="D46" i="25"/>
  <c r="B46" i="25"/>
  <c r="F44" i="25"/>
  <c r="H44" i="25" s="1"/>
  <c r="D44" i="25"/>
  <c r="B44" i="25"/>
  <c r="F43" i="25"/>
  <c r="H43" i="25" s="1"/>
  <c r="D43" i="25"/>
  <c r="B43" i="25"/>
  <c r="F42" i="25"/>
  <c r="H42" i="25" s="1"/>
  <c r="D42" i="25"/>
  <c r="B42" i="25"/>
  <c r="F41" i="25"/>
  <c r="H41" i="25" s="1"/>
  <c r="D41" i="25"/>
  <c r="B41" i="25"/>
  <c r="F38" i="25"/>
  <c r="H38" i="25" s="1"/>
  <c r="D38" i="25"/>
  <c r="B38" i="25"/>
  <c r="F37" i="25"/>
  <c r="H37" i="25" s="1"/>
  <c r="D37" i="25"/>
  <c r="B37" i="25"/>
  <c r="F36" i="25"/>
  <c r="H36" i="25" s="1"/>
  <c r="D36" i="25"/>
  <c r="B36" i="25"/>
  <c r="F35" i="25"/>
  <c r="H35" i="25" s="1"/>
  <c r="D35" i="25"/>
  <c r="B35" i="25"/>
  <c r="F30" i="25"/>
  <c r="H30" i="25" s="1"/>
  <c r="D30" i="25"/>
  <c r="B30" i="25"/>
  <c r="F29" i="25"/>
  <c r="H29" i="25" s="1"/>
  <c r="D29" i="25"/>
  <c r="B29" i="25"/>
  <c r="F28" i="25"/>
  <c r="H28" i="25" s="1"/>
  <c r="D28" i="25"/>
  <c r="B28" i="25"/>
  <c r="F27" i="25"/>
  <c r="H27" i="25" s="1"/>
  <c r="D27" i="25"/>
  <c r="B27" i="25"/>
  <c r="F26" i="25"/>
  <c r="H26" i="25" s="1"/>
  <c r="D26" i="25"/>
  <c r="B26" i="25"/>
  <c r="F25" i="25"/>
  <c r="H25" i="25" s="1"/>
  <c r="D25" i="25"/>
  <c r="B25" i="25"/>
  <c r="F24" i="25"/>
  <c r="H24" i="25" s="1"/>
  <c r="D24" i="25"/>
  <c r="B24" i="25"/>
  <c r="F23" i="25"/>
  <c r="H23" i="25" s="1"/>
  <c r="D23" i="25"/>
  <c r="B23" i="25"/>
  <c r="F22" i="25"/>
  <c r="H22" i="25" s="1"/>
  <c r="D22" i="25"/>
  <c r="B22" i="25"/>
  <c r="H24" i="29" l="1"/>
  <c r="D21" i="19"/>
  <c r="D23" i="19"/>
  <c r="D18" i="19"/>
  <c r="D20" i="19"/>
  <c r="D22" i="19"/>
  <c r="D19" i="19"/>
  <c r="Z1421" i="13"/>
  <c r="T1421" i="13"/>
  <c r="V1421" i="13" s="1"/>
  <c r="P1421" i="13"/>
  <c r="K1421" i="13"/>
  <c r="E1421" i="13"/>
  <c r="D1421" i="13"/>
  <c r="C1421" i="13"/>
  <c r="B1421" i="13"/>
  <c r="Z1420" i="13"/>
  <c r="T1420" i="13"/>
  <c r="P1420" i="13"/>
  <c r="K1420" i="13"/>
  <c r="E1420" i="13"/>
  <c r="D1420" i="13"/>
  <c r="C1420" i="13"/>
  <c r="B1420" i="13"/>
  <c r="Z1419" i="13"/>
  <c r="AB1419" i="13" s="1"/>
  <c r="T1419" i="13"/>
  <c r="P1419" i="13"/>
  <c r="K1419" i="13"/>
  <c r="E1419" i="13"/>
  <c r="D1419" i="13"/>
  <c r="C1419" i="13"/>
  <c r="B1419" i="13"/>
  <c r="Z1418" i="13"/>
  <c r="T1418" i="13"/>
  <c r="V1418" i="13" s="1"/>
  <c r="P1418" i="13"/>
  <c r="K1418" i="13"/>
  <c r="E1418" i="13"/>
  <c r="D1418" i="13"/>
  <c r="C1418" i="13"/>
  <c r="B1418" i="13"/>
  <c r="Z1417" i="13"/>
  <c r="AA1417" i="13" s="1"/>
  <c r="T1417" i="13"/>
  <c r="V1417" i="13" s="1"/>
  <c r="P1417" i="13"/>
  <c r="K1417" i="13"/>
  <c r="E1417" i="13"/>
  <c r="D1417" i="13"/>
  <c r="C1417" i="13"/>
  <c r="B1417" i="13"/>
  <c r="Z1416" i="13"/>
  <c r="AB1416" i="13" s="1"/>
  <c r="AC1416" i="13" s="1"/>
  <c r="T1416" i="13"/>
  <c r="P1416" i="13"/>
  <c r="K1416" i="13"/>
  <c r="E1416" i="13"/>
  <c r="D1416" i="13"/>
  <c r="C1416" i="13"/>
  <c r="B1416" i="13"/>
  <c r="Z1415" i="13"/>
  <c r="AA1415" i="13" s="1"/>
  <c r="T1415" i="13"/>
  <c r="V1415" i="13" s="1"/>
  <c r="P1415" i="13"/>
  <c r="K1415" i="13"/>
  <c r="E1415" i="13"/>
  <c r="D1415" i="13"/>
  <c r="C1415" i="13"/>
  <c r="B1415" i="13"/>
  <c r="Z1414" i="13"/>
  <c r="AB1414" i="13" s="1"/>
  <c r="AC1414" i="13" s="1"/>
  <c r="T1414" i="13"/>
  <c r="U1414" i="13" s="1"/>
  <c r="P1414" i="13"/>
  <c r="K1414" i="13"/>
  <c r="E1414" i="13"/>
  <c r="D1414" i="13"/>
  <c r="C1414" i="13"/>
  <c r="B1414" i="13"/>
  <c r="Z1413" i="13"/>
  <c r="T1413" i="13"/>
  <c r="V1413" i="13" s="1"/>
  <c r="P1413" i="13"/>
  <c r="K1413" i="13"/>
  <c r="E1413" i="13"/>
  <c r="D1413" i="13"/>
  <c r="C1413" i="13"/>
  <c r="B1413" i="13"/>
  <c r="Z1412" i="13"/>
  <c r="AB1412" i="13" s="1"/>
  <c r="AC1412" i="13" s="1"/>
  <c r="T1412" i="13"/>
  <c r="P1412" i="13"/>
  <c r="K1412" i="13"/>
  <c r="E1412" i="13"/>
  <c r="D1412" i="13"/>
  <c r="C1412" i="13"/>
  <c r="B1412" i="13"/>
  <c r="Z1411" i="13"/>
  <c r="AB1411" i="13" s="1"/>
  <c r="T1411" i="13"/>
  <c r="U1411" i="13" s="1"/>
  <c r="P1411" i="13"/>
  <c r="K1411" i="13"/>
  <c r="E1411" i="13"/>
  <c r="D1411" i="13"/>
  <c r="C1411" i="13"/>
  <c r="B1411" i="13"/>
  <c r="Z1410" i="13"/>
  <c r="AB1410" i="13" s="1"/>
  <c r="T1410" i="13"/>
  <c r="V1410" i="13" s="1"/>
  <c r="P1410" i="13"/>
  <c r="K1410" i="13"/>
  <c r="E1410" i="13"/>
  <c r="D1410" i="13"/>
  <c r="C1410" i="13"/>
  <c r="B1410" i="13"/>
  <c r="Z1409" i="13"/>
  <c r="T1409" i="13"/>
  <c r="V1409" i="13" s="1"/>
  <c r="P1409" i="13"/>
  <c r="K1409" i="13"/>
  <c r="E1409" i="13"/>
  <c r="D1409" i="13"/>
  <c r="C1409" i="13"/>
  <c r="B1409" i="13"/>
  <c r="Z1408" i="13"/>
  <c r="AB1408" i="13" s="1"/>
  <c r="AC1408" i="13" s="1"/>
  <c r="T1408" i="13"/>
  <c r="V1408" i="13" s="1"/>
  <c r="P1408" i="13"/>
  <c r="K1408" i="13"/>
  <c r="E1408" i="13"/>
  <c r="D1408" i="13"/>
  <c r="C1408" i="13"/>
  <c r="B1408" i="13"/>
  <c r="Z1407" i="13"/>
  <c r="AA1407" i="13" s="1"/>
  <c r="T1407" i="13"/>
  <c r="U1407" i="13" s="1"/>
  <c r="P1407" i="13"/>
  <c r="K1407" i="13"/>
  <c r="E1407" i="13"/>
  <c r="D1407" i="13"/>
  <c r="C1407" i="13"/>
  <c r="B1407" i="13"/>
  <c r="Z1406" i="13"/>
  <c r="AB1406" i="13" s="1"/>
  <c r="AC1406" i="13" s="1"/>
  <c r="T1406" i="13"/>
  <c r="U1406" i="13" s="1"/>
  <c r="P1406" i="13"/>
  <c r="K1406" i="13"/>
  <c r="E1406" i="13"/>
  <c r="D1406" i="13"/>
  <c r="C1406" i="13"/>
  <c r="B1406" i="13"/>
  <c r="Z1405" i="13"/>
  <c r="T1405" i="13"/>
  <c r="V1405" i="13" s="1"/>
  <c r="P1405" i="13"/>
  <c r="K1405" i="13"/>
  <c r="E1405" i="13"/>
  <c r="D1405" i="13"/>
  <c r="C1405" i="13"/>
  <c r="B1405" i="13"/>
  <c r="Z1404" i="13"/>
  <c r="T1404" i="13"/>
  <c r="P1404" i="13"/>
  <c r="K1404" i="13"/>
  <c r="E1404" i="13"/>
  <c r="D1404" i="13"/>
  <c r="C1404" i="13"/>
  <c r="B1404" i="13"/>
  <c r="Z1403" i="13"/>
  <c r="AB1403" i="13" s="1"/>
  <c r="T1403" i="13"/>
  <c r="P1403" i="13"/>
  <c r="K1403" i="13"/>
  <c r="E1403" i="13"/>
  <c r="D1403" i="13"/>
  <c r="C1403" i="13"/>
  <c r="B1403" i="13"/>
  <c r="Z1402" i="13"/>
  <c r="T1402" i="13"/>
  <c r="V1402" i="13" s="1"/>
  <c r="P1402" i="13"/>
  <c r="K1402" i="13"/>
  <c r="E1402" i="13"/>
  <c r="D1402" i="13"/>
  <c r="C1402" i="13"/>
  <c r="B1402" i="13"/>
  <c r="Z1401" i="13"/>
  <c r="AB1401" i="13" s="1"/>
  <c r="T1401" i="13"/>
  <c r="V1401" i="13" s="1"/>
  <c r="P1401" i="13"/>
  <c r="K1401" i="13"/>
  <c r="E1401" i="13"/>
  <c r="D1401" i="13"/>
  <c r="C1401" i="13"/>
  <c r="B1401" i="13"/>
  <c r="Z1400" i="13"/>
  <c r="AB1400" i="13" s="1"/>
  <c r="AC1400" i="13" s="1"/>
  <c r="T1400" i="13"/>
  <c r="P1400" i="13"/>
  <c r="K1400" i="13"/>
  <c r="E1400" i="13"/>
  <c r="D1400" i="13"/>
  <c r="C1400" i="13"/>
  <c r="B1400" i="13"/>
  <c r="Z1399" i="13"/>
  <c r="T1399" i="13"/>
  <c r="V1399" i="13" s="1"/>
  <c r="P1399" i="13"/>
  <c r="K1399" i="13"/>
  <c r="E1399" i="13"/>
  <c r="D1399" i="13"/>
  <c r="C1399" i="13"/>
  <c r="B1399" i="13"/>
  <c r="Z1398" i="13"/>
  <c r="AB1398" i="13" s="1"/>
  <c r="T1398" i="13"/>
  <c r="U1398" i="13" s="1"/>
  <c r="P1398" i="13"/>
  <c r="K1398" i="13"/>
  <c r="E1398" i="13"/>
  <c r="D1398" i="13"/>
  <c r="C1398" i="13"/>
  <c r="B1398" i="13"/>
  <c r="Z1397" i="13"/>
  <c r="T1397" i="13"/>
  <c r="U1397" i="13" s="1"/>
  <c r="P1397" i="13"/>
  <c r="K1397" i="13"/>
  <c r="E1397" i="13"/>
  <c r="D1397" i="13"/>
  <c r="C1397" i="13"/>
  <c r="B1397" i="13"/>
  <c r="Z1396" i="13"/>
  <c r="AB1396" i="13" s="1"/>
  <c r="AC1396" i="13" s="1"/>
  <c r="T1396" i="13"/>
  <c r="P1396" i="13"/>
  <c r="K1396" i="13"/>
  <c r="E1396" i="13"/>
  <c r="D1396" i="13"/>
  <c r="C1396" i="13"/>
  <c r="B1396" i="13"/>
  <c r="Z1395" i="13"/>
  <c r="AB1395" i="13" s="1"/>
  <c r="T1395" i="13"/>
  <c r="P1395" i="13"/>
  <c r="K1395" i="13"/>
  <c r="E1395" i="13"/>
  <c r="D1395" i="13"/>
  <c r="C1395" i="13"/>
  <c r="B1395" i="13"/>
  <c r="Z1394" i="13"/>
  <c r="T1394" i="13"/>
  <c r="V1394" i="13" s="1"/>
  <c r="P1394" i="13"/>
  <c r="K1394" i="13"/>
  <c r="E1394" i="13"/>
  <c r="D1394" i="13"/>
  <c r="C1394" i="13"/>
  <c r="B1394" i="13"/>
  <c r="Z1393" i="13"/>
  <c r="T1393" i="13"/>
  <c r="V1393" i="13" s="1"/>
  <c r="P1393" i="13"/>
  <c r="K1393" i="13"/>
  <c r="E1393" i="13"/>
  <c r="D1393" i="13"/>
  <c r="C1393" i="13"/>
  <c r="B1393" i="13"/>
  <c r="Z1392" i="13"/>
  <c r="AB1392" i="13" s="1"/>
  <c r="AC1392" i="13" s="1"/>
  <c r="T1392" i="13"/>
  <c r="V1392" i="13" s="1"/>
  <c r="P1392" i="13"/>
  <c r="K1392" i="13"/>
  <c r="E1392" i="13"/>
  <c r="D1392" i="13"/>
  <c r="C1392" i="13"/>
  <c r="B1392" i="13"/>
  <c r="Z1391" i="13"/>
  <c r="AA1391" i="13" s="1"/>
  <c r="T1391" i="13"/>
  <c r="V1391" i="13" s="1"/>
  <c r="P1391" i="13"/>
  <c r="K1391" i="13"/>
  <c r="E1391" i="13"/>
  <c r="D1391" i="13"/>
  <c r="C1391" i="13"/>
  <c r="B1391" i="13"/>
  <c r="Z1390" i="13"/>
  <c r="AB1390" i="13" s="1"/>
  <c r="AC1390" i="13" s="1"/>
  <c r="T1390" i="13"/>
  <c r="P1390" i="13"/>
  <c r="K1390" i="13"/>
  <c r="E1390" i="13"/>
  <c r="D1390" i="13"/>
  <c r="C1390" i="13"/>
  <c r="B1390" i="13"/>
  <c r="Z1389" i="13"/>
  <c r="T1389" i="13"/>
  <c r="U1389" i="13" s="1"/>
  <c r="P1389" i="13"/>
  <c r="K1389" i="13"/>
  <c r="E1389" i="13"/>
  <c r="D1389" i="13"/>
  <c r="C1389" i="13"/>
  <c r="B1389" i="13"/>
  <c r="Z1388" i="13"/>
  <c r="AB1388" i="13" s="1"/>
  <c r="T1388" i="13"/>
  <c r="P1388" i="13"/>
  <c r="K1388" i="13"/>
  <c r="E1388" i="13"/>
  <c r="D1388" i="13"/>
  <c r="C1388" i="13"/>
  <c r="B1388" i="13"/>
  <c r="Z1387" i="13"/>
  <c r="AB1387" i="13" s="1"/>
  <c r="T1387" i="13"/>
  <c r="P1387" i="13"/>
  <c r="K1387" i="13"/>
  <c r="E1387" i="13"/>
  <c r="D1387" i="13"/>
  <c r="C1387" i="13"/>
  <c r="B1387" i="13"/>
  <c r="Z1386" i="13"/>
  <c r="T1386" i="13"/>
  <c r="V1386" i="13" s="1"/>
  <c r="P1386" i="13"/>
  <c r="K1386" i="13"/>
  <c r="E1386" i="13"/>
  <c r="D1386" i="13"/>
  <c r="C1386" i="13"/>
  <c r="B1386" i="13"/>
  <c r="Z1385" i="13"/>
  <c r="T1385" i="13"/>
  <c r="V1385" i="13" s="1"/>
  <c r="P1385" i="13"/>
  <c r="K1385" i="13"/>
  <c r="E1385" i="13"/>
  <c r="D1385" i="13"/>
  <c r="C1385" i="13"/>
  <c r="B1385" i="13"/>
  <c r="Z1384" i="13"/>
  <c r="T1384" i="13"/>
  <c r="V1384" i="13" s="1"/>
  <c r="P1384" i="13"/>
  <c r="K1384" i="13"/>
  <c r="E1384" i="13"/>
  <c r="D1384" i="13"/>
  <c r="C1384" i="13"/>
  <c r="B1384" i="13"/>
  <c r="Z1383" i="13"/>
  <c r="AA1383" i="13" s="1"/>
  <c r="T1383" i="13"/>
  <c r="P1383" i="13"/>
  <c r="K1383" i="13"/>
  <c r="E1383" i="13"/>
  <c r="D1383" i="13"/>
  <c r="C1383" i="13"/>
  <c r="B1383" i="13"/>
  <c r="Z1382" i="13"/>
  <c r="AB1382" i="13" s="1"/>
  <c r="T1382" i="13"/>
  <c r="V1382" i="13" s="1"/>
  <c r="P1382" i="13"/>
  <c r="K1382" i="13"/>
  <c r="E1382" i="13"/>
  <c r="D1382" i="13"/>
  <c r="C1382" i="13"/>
  <c r="B1382" i="13"/>
  <c r="Z1381" i="13"/>
  <c r="AA1381" i="13" s="1"/>
  <c r="T1381" i="13"/>
  <c r="V1381" i="13" s="1"/>
  <c r="P1381" i="13"/>
  <c r="K1381" i="13"/>
  <c r="E1381" i="13"/>
  <c r="D1381" i="13"/>
  <c r="C1381" i="13"/>
  <c r="B1381" i="13"/>
  <c r="Z1380" i="13"/>
  <c r="AB1380" i="13" s="1"/>
  <c r="T1380" i="13"/>
  <c r="V1380" i="13" s="1"/>
  <c r="P1380" i="13"/>
  <c r="K1380" i="13"/>
  <c r="E1380" i="13"/>
  <c r="D1380" i="13"/>
  <c r="C1380" i="13"/>
  <c r="B1380" i="13"/>
  <c r="Z1379" i="13"/>
  <c r="AA1379" i="13" s="1"/>
  <c r="T1379" i="13"/>
  <c r="V1379" i="13" s="1"/>
  <c r="P1379" i="13"/>
  <c r="K1379" i="13"/>
  <c r="E1379" i="13"/>
  <c r="D1379" i="13"/>
  <c r="C1379" i="13"/>
  <c r="B1379" i="13"/>
  <c r="Z1378" i="13"/>
  <c r="T1378" i="13"/>
  <c r="P1378" i="13"/>
  <c r="K1378" i="13"/>
  <c r="E1378" i="13"/>
  <c r="D1378" i="13"/>
  <c r="C1378" i="13"/>
  <c r="B1378" i="13"/>
  <c r="Z1377" i="13"/>
  <c r="T1377" i="13"/>
  <c r="U1377" i="13" s="1"/>
  <c r="P1377" i="13"/>
  <c r="K1377" i="13"/>
  <c r="E1377" i="13"/>
  <c r="D1377" i="13"/>
  <c r="C1377" i="13"/>
  <c r="B1377" i="13"/>
  <c r="Z1376" i="13"/>
  <c r="T1376" i="13"/>
  <c r="P1376" i="13"/>
  <c r="K1376" i="13"/>
  <c r="E1376" i="13"/>
  <c r="D1376" i="13"/>
  <c r="C1376" i="13"/>
  <c r="B1376" i="13"/>
  <c r="Z1375" i="13"/>
  <c r="AB1375" i="13" s="1"/>
  <c r="AC1375" i="13" s="1"/>
  <c r="T1375" i="13"/>
  <c r="P1375" i="13"/>
  <c r="K1375" i="13"/>
  <c r="E1375" i="13"/>
  <c r="D1375" i="13"/>
  <c r="C1375" i="13"/>
  <c r="B1375" i="13"/>
  <c r="Z1374" i="13"/>
  <c r="AB1374" i="13" s="1"/>
  <c r="T1374" i="13"/>
  <c r="V1374" i="13" s="1"/>
  <c r="P1374" i="13"/>
  <c r="K1374" i="13"/>
  <c r="E1374" i="13"/>
  <c r="D1374" i="13"/>
  <c r="C1374" i="13"/>
  <c r="B1374" i="13"/>
  <c r="Z1373" i="13"/>
  <c r="T1373" i="13"/>
  <c r="U1373" i="13" s="1"/>
  <c r="P1373" i="13"/>
  <c r="K1373" i="13"/>
  <c r="E1373" i="13"/>
  <c r="D1373" i="13"/>
  <c r="C1373" i="13"/>
  <c r="B1373" i="13"/>
  <c r="Z1372" i="13"/>
  <c r="AB1372" i="13" s="1"/>
  <c r="T1372" i="13"/>
  <c r="V1372" i="13" s="1"/>
  <c r="P1372" i="13"/>
  <c r="K1372" i="13"/>
  <c r="E1372" i="13"/>
  <c r="D1372" i="13"/>
  <c r="C1372" i="13"/>
  <c r="B1372" i="13"/>
  <c r="Z1371" i="13"/>
  <c r="AA1371" i="13" s="1"/>
  <c r="T1371" i="13"/>
  <c r="V1371" i="13" s="1"/>
  <c r="P1371" i="13"/>
  <c r="K1371" i="13"/>
  <c r="E1371" i="13"/>
  <c r="D1371" i="13"/>
  <c r="C1371" i="13"/>
  <c r="B1371" i="13"/>
  <c r="Z1370" i="13"/>
  <c r="AA1370" i="13" s="1"/>
  <c r="T1370" i="13"/>
  <c r="P1370" i="13"/>
  <c r="K1370" i="13"/>
  <c r="E1370" i="13"/>
  <c r="D1370" i="13"/>
  <c r="C1370" i="13"/>
  <c r="B1370" i="13"/>
  <c r="Z1369" i="13"/>
  <c r="T1369" i="13"/>
  <c r="V1369" i="13" s="1"/>
  <c r="P1369" i="13"/>
  <c r="K1369" i="13"/>
  <c r="E1369" i="13"/>
  <c r="D1369" i="13"/>
  <c r="C1369" i="13"/>
  <c r="B1369" i="13"/>
  <c r="Z1368" i="13"/>
  <c r="AB1368" i="13" s="1"/>
  <c r="AC1368" i="13" s="1"/>
  <c r="T1368" i="13"/>
  <c r="P1368" i="13"/>
  <c r="K1368" i="13"/>
  <c r="E1368" i="13"/>
  <c r="D1368" i="13"/>
  <c r="C1368" i="13"/>
  <c r="B1368" i="13"/>
  <c r="Z1367" i="13"/>
  <c r="T1367" i="13"/>
  <c r="V1367" i="13" s="1"/>
  <c r="P1367" i="13"/>
  <c r="K1367" i="13"/>
  <c r="E1367" i="13"/>
  <c r="D1367" i="13"/>
  <c r="C1367" i="13"/>
  <c r="B1367" i="13"/>
  <c r="Z1366" i="13"/>
  <c r="AB1366" i="13" s="1"/>
  <c r="T1366" i="13"/>
  <c r="V1366" i="13" s="1"/>
  <c r="P1366" i="13"/>
  <c r="K1366" i="13"/>
  <c r="E1366" i="13"/>
  <c r="D1366" i="13"/>
  <c r="C1366" i="13"/>
  <c r="B1366" i="13"/>
  <c r="Z1365" i="13"/>
  <c r="AA1365" i="13" s="1"/>
  <c r="T1365" i="13"/>
  <c r="V1365" i="13" s="1"/>
  <c r="P1365" i="13"/>
  <c r="K1365" i="13"/>
  <c r="E1365" i="13"/>
  <c r="D1365" i="13"/>
  <c r="C1365" i="13"/>
  <c r="B1365" i="13"/>
  <c r="Z1364" i="13"/>
  <c r="AB1364" i="13" s="1"/>
  <c r="T1364" i="13"/>
  <c r="V1364" i="13" s="1"/>
  <c r="P1364" i="13"/>
  <c r="K1364" i="13"/>
  <c r="E1364" i="13"/>
  <c r="D1364" i="13"/>
  <c r="C1364" i="13"/>
  <c r="B1364" i="13"/>
  <c r="Z1363" i="13"/>
  <c r="AA1363" i="13" s="1"/>
  <c r="T1363" i="13"/>
  <c r="V1363" i="13" s="1"/>
  <c r="P1363" i="13"/>
  <c r="K1363" i="13"/>
  <c r="E1363" i="13"/>
  <c r="D1363" i="13"/>
  <c r="C1363" i="13"/>
  <c r="B1363" i="13"/>
  <c r="Z1362" i="13"/>
  <c r="AB1362" i="13" s="1"/>
  <c r="AC1362" i="13" s="1"/>
  <c r="T1362" i="13"/>
  <c r="U1362" i="13" s="1"/>
  <c r="P1362" i="13"/>
  <c r="K1362" i="13"/>
  <c r="E1362" i="13"/>
  <c r="D1362" i="13"/>
  <c r="C1362" i="13"/>
  <c r="B1362" i="13"/>
  <c r="Z1361" i="13"/>
  <c r="T1361" i="13"/>
  <c r="V1361" i="13" s="1"/>
  <c r="P1361" i="13"/>
  <c r="K1361" i="13"/>
  <c r="E1361" i="13"/>
  <c r="D1361" i="13"/>
  <c r="C1361" i="13"/>
  <c r="B1361" i="13"/>
  <c r="Z1360" i="13"/>
  <c r="AB1360" i="13" s="1"/>
  <c r="AC1360" i="13" s="1"/>
  <c r="T1360" i="13"/>
  <c r="P1360" i="13"/>
  <c r="K1360" i="13"/>
  <c r="E1360" i="13"/>
  <c r="D1360" i="13"/>
  <c r="C1360" i="13"/>
  <c r="B1360" i="13"/>
  <c r="Z1359" i="13"/>
  <c r="T1359" i="13"/>
  <c r="V1359" i="13" s="1"/>
  <c r="P1359" i="13"/>
  <c r="K1359" i="13"/>
  <c r="E1359" i="13"/>
  <c r="D1359" i="13"/>
  <c r="C1359" i="13"/>
  <c r="B1359" i="13"/>
  <c r="Z1358" i="13"/>
  <c r="AB1358" i="13" s="1"/>
  <c r="T1358" i="13"/>
  <c r="V1358" i="13" s="1"/>
  <c r="P1358" i="13"/>
  <c r="K1358" i="13"/>
  <c r="E1358" i="13"/>
  <c r="D1358" i="13"/>
  <c r="C1358" i="13"/>
  <c r="B1358" i="13"/>
  <c r="Z1357" i="13"/>
  <c r="AB1357" i="13" s="1"/>
  <c r="AC1357" i="13" s="1"/>
  <c r="T1357" i="13"/>
  <c r="V1357" i="13" s="1"/>
  <c r="P1357" i="13"/>
  <c r="K1357" i="13"/>
  <c r="E1357" i="13"/>
  <c r="D1357" i="13"/>
  <c r="C1357" i="13"/>
  <c r="B1357" i="13"/>
  <c r="Z1356" i="13"/>
  <c r="AB1356" i="13" s="1"/>
  <c r="T1356" i="13"/>
  <c r="U1356" i="13" s="1"/>
  <c r="W1356" i="13" s="1"/>
  <c r="P1356" i="13"/>
  <c r="K1356" i="13"/>
  <c r="E1356" i="13"/>
  <c r="D1356" i="13"/>
  <c r="C1356" i="13"/>
  <c r="B1356" i="13"/>
  <c r="Z1355" i="13"/>
  <c r="AB1355" i="13" s="1"/>
  <c r="T1355" i="13"/>
  <c r="V1355" i="13" s="1"/>
  <c r="P1355" i="13"/>
  <c r="K1355" i="13"/>
  <c r="E1355" i="13"/>
  <c r="D1355" i="13"/>
  <c r="C1355" i="13"/>
  <c r="B1355" i="13"/>
  <c r="Z1354" i="13"/>
  <c r="T1354" i="13"/>
  <c r="U1354" i="13" s="1"/>
  <c r="W1354" i="13" s="1"/>
  <c r="P1354" i="13"/>
  <c r="K1354" i="13"/>
  <c r="E1354" i="13"/>
  <c r="D1354" i="13"/>
  <c r="C1354" i="13"/>
  <c r="B1354" i="13"/>
  <c r="Z1353" i="13"/>
  <c r="T1353" i="13"/>
  <c r="V1353" i="13" s="1"/>
  <c r="P1353" i="13"/>
  <c r="K1353" i="13"/>
  <c r="E1353" i="13"/>
  <c r="D1353" i="13"/>
  <c r="C1353" i="13"/>
  <c r="B1353" i="13"/>
  <c r="Z1352" i="13"/>
  <c r="AB1352" i="13" s="1"/>
  <c r="AC1352" i="13" s="1"/>
  <c r="T1352" i="13"/>
  <c r="P1352" i="13"/>
  <c r="K1352" i="13"/>
  <c r="E1352" i="13"/>
  <c r="D1352" i="13"/>
  <c r="C1352" i="13"/>
  <c r="B1352" i="13"/>
  <c r="Z1351" i="13"/>
  <c r="AA1351" i="13" s="1"/>
  <c r="T1351" i="13"/>
  <c r="U1351" i="13" s="1"/>
  <c r="W1351" i="13" s="1"/>
  <c r="P1351" i="13"/>
  <c r="K1351" i="13"/>
  <c r="E1351" i="13"/>
  <c r="D1351" i="13"/>
  <c r="C1351" i="13"/>
  <c r="B1351" i="13"/>
  <c r="Z1350" i="13"/>
  <c r="AB1350" i="13" s="1"/>
  <c r="T1350" i="13"/>
  <c r="V1350" i="13" s="1"/>
  <c r="P1350" i="13"/>
  <c r="K1350" i="13"/>
  <c r="E1350" i="13"/>
  <c r="D1350" i="13"/>
  <c r="C1350" i="13"/>
  <c r="B1350" i="13"/>
  <c r="Z1349" i="13"/>
  <c r="AA1349" i="13" s="1"/>
  <c r="T1349" i="13"/>
  <c r="V1349" i="13" s="1"/>
  <c r="P1349" i="13"/>
  <c r="K1349" i="13"/>
  <c r="E1349" i="13"/>
  <c r="D1349" i="13"/>
  <c r="C1349" i="13"/>
  <c r="B1349" i="13"/>
  <c r="Z1348" i="13"/>
  <c r="AB1348" i="13" s="1"/>
  <c r="T1348" i="13"/>
  <c r="U1348" i="13" s="1"/>
  <c r="W1348" i="13" s="1"/>
  <c r="P1348" i="13"/>
  <c r="K1348" i="13"/>
  <c r="E1348" i="13"/>
  <c r="D1348" i="13"/>
  <c r="C1348" i="13"/>
  <c r="B1348" i="13"/>
  <c r="Z1347" i="13"/>
  <c r="T1347" i="13"/>
  <c r="V1347" i="13" s="1"/>
  <c r="P1347" i="13"/>
  <c r="K1347" i="13"/>
  <c r="E1347" i="13"/>
  <c r="D1347" i="13"/>
  <c r="C1347" i="13"/>
  <c r="B1347" i="13"/>
  <c r="Z1346" i="13"/>
  <c r="AA1346" i="13" s="1"/>
  <c r="T1346" i="13"/>
  <c r="P1346" i="13"/>
  <c r="K1346" i="13"/>
  <c r="E1346" i="13"/>
  <c r="D1346" i="13"/>
  <c r="C1346" i="13"/>
  <c r="B1346" i="13"/>
  <c r="Z1345" i="13"/>
  <c r="T1345" i="13"/>
  <c r="U1345" i="13" s="1"/>
  <c r="P1345" i="13"/>
  <c r="K1345" i="13"/>
  <c r="E1345" i="13"/>
  <c r="D1345" i="13"/>
  <c r="C1345" i="13"/>
  <c r="B1345" i="13"/>
  <c r="Z1344" i="13"/>
  <c r="T1344" i="13"/>
  <c r="P1344" i="13"/>
  <c r="K1344" i="13"/>
  <c r="E1344" i="13"/>
  <c r="D1344" i="13"/>
  <c r="C1344" i="13"/>
  <c r="B1344" i="13"/>
  <c r="Z1343" i="13"/>
  <c r="AB1343" i="13" s="1"/>
  <c r="T1343" i="13"/>
  <c r="V1343" i="13" s="1"/>
  <c r="P1343" i="13"/>
  <c r="K1343" i="13"/>
  <c r="E1343" i="13"/>
  <c r="D1343" i="13"/>
  <c r="C1343" i="13"/>
  <c r="B1343" i="13"/>
  <c r="Z1342" i="13"/>
  <c r="AB1342" i="13" s="1"/>
  <c r="T1342" i="13"/>
  <c r="V1342" i="13" s="1"/>
  <c r="P1342" i="13"/>
  <c r="K1342" i="13"/>
  <c r="E1342" i="13"/>
  <c r="D1342" i="13"/>
  <c r="C1342" i="13"/>
  <c r="B1342" i="13"/>
  <c r="Z1341" i="13"/>
  <c r="T1341" i="13"/>
  <c r="V1341" i="13" s="1"/>
  <c r="P1341" i="13"/>
  <c r="K1341" i="13"/>
  <c r="E1341" i="13"/>
  <c r="D1341" i="13"/>
  <c r="C1341" i="13"/>
  <c r="B1341" i="13"/>
  <c r="Z1340" i="13"/>
  <c r="AB1340" i="13" s="1"/>
  <c r="T1340" i="13"/>
  <c r="U1340" i="13" s="1"/>
  <c r="W1340" i="13" s="1"/>
  <c r="P1340" i="13"/>
  <c r="K1340" i="13"/>
  <c r="E1340" i="13"/>
  <c r="D1340" i="13"/>
  <c r="C1340" i="13"/>
  <c r="B1340" i="13"/>
  <c r="Z1339" i="13"/>
  <c r="AB1339" i="13" s="1"/>
  <c r="T1339" i="13"/>
  <c r="V1339" i="13" s="1"/>
  <c r="P1339" i="13"/>
  <c r="K1339" i="13"/>
  <c r="E1339" i="13"/>
  <c r="D1339" i="13"/>
  <c r="C1339" i="13"/>
  <c r="B1339" i="13"/>
  <c r="Z1338" i="13"/>
  <c r="AB1338" i="13" s="1"/>
  <c r="AC1338" i="13" s="1"/>
  <c r="T1338" i="13"/>
  <c r="P1338" i="13"/>
  <c r="K1338" i="13"/>
  <c r="E1338" i="13"/>
  <c r="D1338" i="13"/>
  <c r="C1338" i="13"/>
  <c r="B1338" i="13"/>
  <c r="Z1337" i="13"/>
  <c r="T1337" i="13"/>
  <c r="V1337" i="13" s="1"/>
  <c r="P1337" i="13"/>
  <c r="K1337" i="13"/>
  <c r="E1337" i="13"/>
  <c r="D1337" i="13"/>
  <c r="C1337" i="13"/>
  <c r="B1337" i="13"/>
  <c r="Z1336" i="13"/>
  <c r="T1336" i="13"/>
  <c r="P1336" i="13"/>
  <c r="K1336" i="13"/>
  <c r="E1336" i="13"/>
  <c r="D1336" i="13"/>
  <c r="C1336" i="13"/>
  <c r="B1336" i="13"/>
  <c r="Z1335" i="13"/>
  <c r="AB1335" i="13" s="1"/>
  <c r="AC1335" i="13" s="1"/>
  <c r="T1335" i="13"/>
  <c r="V1335" i="13" s="1"/>
  <c r="P1335" i="13"/>
  <c r="K1335" i="13"/>
  <c r="E1335" i="13"/>
  <c r="D1335" i="13"/>
  <c r="C1335" i="13"/>
  <c r="B1335" i="13"/>
  <c r="Z1334" i="13"/>
  <c r="AB1334" i="13" s="1"/>
  <c r="T1334" i="13"/>
  <c r="V1334" i="13" s="1"/>
  <c r="P1334" i="13"/>
  <c r="K1334" i="13"/>
  <c r="E1334" i="13"/>
  <c r="D1334" i="13"/>
  <c r="C1334" i="13"/>
  <c r="B1334" i="13"/>
  <c r="Z1333" i="13"/>
  <c r="AA1333" i="13" s="1"/>
  <c r="T1333" i="13"/>
  <c r="V1333" i="13" s="1"/>
  <c r="P1333" i="13"/>
  <c r="K1333" i="13"/>
  <c r="E1333" i="13"/>
  <c r="D1333" i="13"/>
  <c r="C1333" i="13"/>
  <c r="B1333" i="13"/>
  <c r="Z1332" i="13"/>
  <c r="AB1332" i="13" s="1"/>
  <c r="T1332" i="13"/>
  <c r="U1332" i="13" s="1"/>
  <c r="W1332" i="13" s="1"/>
  <c r="P1332" i="13"/>
  <c r="K1332" i="13"/>
  <c r="E1332" i="13"/>
  <c r="D1332" i="13"/>
  <c r="C1332" i="13"/>
  <c r="B1332" i="13"/>
  <c r="Z1331" i="13"/>
  <c r="T1331" i="13"/>
  <c r="V1331" i="13" s="1"/>
  <c r="P1331" i="13"/>
  <c r="K1331" i="13"/>
  <c r="E1331" i="13"/>
  <c r="D1331" i="13"/>
  <c r="C1331" i="13"/>
  <c r="B1331" i="13"/>
  <c r="Z1330" i="13"/>
  <c r="AB1330" i="13" s="1"/>
  <c r="AC1330" i="13" s="1"/>
  <c r="T1330" i="13"/>
  <c r="U1330" i="13" s="1"/>
  <c r="P1330" i="13"/>
  <c r="K1330" i="13"/>
  <c r="E1330" i="13"/>
  <c r="D1330" i="13"/>
  <c r="C1330" i="13"/>
  <c r="B1330" i="13"/>
  <c r="Z1329" i="13"/>
  <c r="AB1329" i="13" s="1"/>
  <c r="T1329" i="13"/>
  <c r="V1329" i="13" s="1"/>
  <c r="P1329" i="13"/>
  <c r="K1329" i="13"/>
  <c r="E1329" i="13"/>
  <c r="D1329" i="13"/>
  <c r="C1329" i="13"/>
  <c r="B1329" i="13"/>
  <c r="Z1328" i="13"/>
  <c r="AB1328" i="13" s="1"/>
  <c r="T1328" i="13"/>
  <c r="V1328" i="13" s="1"/>
  <c r="P1328" i="13"/>
  <c r="K1328" i="13"/>
  <c r="E1328" i="13"/>
  <c r="D1328" i="13"/>
  <c r="C1328" i="13"/>
  <c r="B1328" i="13"/>
  <c r="Z1327" i="13"/>
  <c r="AB1327" i="13" s="1"/>
  <c r="T1327" i="13"/>
  <c r="P1327" i="13"/>
  <c r="K1327" i="13"/>
  <c r="E1327" i="13"/>
  <c r="D1327" i="13"/>
  <c r="C1327" i="13"/>
  <c r="B1327" i="13"/>
  <c r="Z1326" i="13"/>
  <c r="T1326" i="13"/>
  <c r="V1326" i="13" s="1"/>
  <c r="P1326" i="13"/>
  <c r="K1326" i="13"/>
  <c r="E1326" i="13"/>
  <c r="D1326" i="13"/>
  <c r="C1326" i="13"/>
  <c r="B1326" i="13"/>
  <c r="Z1325" i="13"/>
  <c r="AB1325" i="13" s="1"/>
  <c r="T1325" i="13"/>
  <c r="U1325" i="13" s="1"/>
  <c r="W1325" i="13" s="1"/>
  <c r="P1325" i="13"/>
  <c r="K1325" i="13"/>
  <c r="E1325" i="13"/>
  <c r="D1325" i="13"/>
  <c r="C1325" i="13"/>
  <c r="B1325" i="13"/>
  <c r="Z1324" i="13"/>
  <c r="T1324" i="13"/>
  <c r="V1324" i="13" s="1"/>
  <c r="P1324" i="13"/>
  <c r="K1324" i="13"/>
  <c r="E1324" i="13"/>
  <c r="D1324" i="13"/>
  <c r="C1324" i="13"/>
  <c r="B1324" i="13"/>
  <c r="Z1323" i="13"/>
  <c r="AA1323" i="13" s="1"/>
  <c r="T1323" i="13"/>
  <c r="V1323" i="13" s="1"/>
  <c r="P1323" i="13"/>
  <c r="K1323" i="13"/>
  <c r="E1323" i="13"/>
  <c r="D1323" i="13"/>
  <c r="C1323" i="13"/>
  <c r="B1323" i="13"/>
  <c r="Z1322" i="13"/>
  <c r="AB1322" i="13" s="1"/>
  <c r="T1322" i="13"/>
  <c r="V1322" i="13" s="1"/>
  <c r="P1322" i="13"/>
  <c r="K1322" i="13"/>
  <c r="E1322" i="13"/>
  <c r="D1322" i="13"/>
  <c r="C1322" i="13"/>
  <c r="B1322" i="13"/>
  <c r="Z1321" i="13"/>
  <c r="AB1321" i="13" s="1"/>
  <c r="T1321" i="13"/>
  <c r="U1321" i="13" s="1"/>
  <c r="P1321" i="13"/>
  <c r="K1321" i="13"/>
  <c r="E1321" i="13"/>
  <c r="D1321" i="13"/>
  <c r="C1321" i="13"/>
  <c r="B1321" i="13"/>
  <c r="Z1320" i="13"/>
  <c r="AA1320" i="13" s="1"/>
  <c r="T1320" i="13"/>
  <c r="V1320" i="13" s="1"/>
  <c r="P1320" i="13"/>
  <c r="K1320" i="13"/>
  <c r="E1320" i="13"/>
  <c r="D1320" i="13"/>
  <c r="C1320" i="13"/>
  <c r="B1320" i="13"/>
  <c r="Z1319" i="13"/>
  <c r="T1319" i="13"/>
  <c r="U1319" i="13" s="1"/>
  <c r="P1319" i="13"/>
  <c r="K1319" i="13"/>
  <c r="E1319" i="13"/>
  <c r="D1319" i="13"/>
  <c r="C1319" i="13"/>
  <c r="B1319" i="13"/>
  <c r="Z1318" i="13"/>
  <c r="AA1318" i="13" s="1"/>
  <c r="T1318" i="13"/>
  <c r="P1318" i="13"/>
  <c r="K1318" i="13"/>
  <c r="E1318" i="13"/>
  <c r="D1318" i="13"/>
  <c r="C1318" i="13"/>
  <c r="B1318" i="13"/>
  <c r="Z1317" i="13"/>
  <c r="AB1317" i="13" s="1"/>
  <c r="T1317" i="13"/>
  <c r="U1317" i="13" s="1"/>
  <c r="P1317" i="13"/>
  <c r="K1317" i="13"/>
  <c r="E1317" i="13"/>
  <c r="D1317" i="13"/>
  <c r="C1317" i="13"/>
  <c r="B1317" i="13"/>
  <c r="Z1316" i="13"/>
  <c r="AB1316" i="13" s="1"/>
  <c r="T1316" i="13"/>
  <c r="V1316" i="13" s="1"/>
  <c r="P1316" i="13"/>
  <c r="K1316" i="13"/>
  <c r="E1316" i="13"/>
  <c r="D1316" i="13"/>
  <c r="C1316" i="13"/>
  <c r="B1316" i="13"/>
  <c r="Z1315" i="13"/>
  <c r="AA1315" i="13" s="1"/>
  <c r="T1315" i="13"/>
  <c r="V1315" i="13" s="1"/>
  <c r="P1315" i="13"/>
  <c r="K1315" i="13"/>
  <c r="E1315" i="13"/>
  <c r="D1315" i="13"/>
  <c r="C1315" i="13"/>
  <c r="B1315" i="13"/>
  <c r="Z1314" i="13"/>
  <c r="AA1314" i="13" s="1"/>
  <c r="T1314" i="13"/>
  <c r="U1314" i="13" s="1"/>
  <c r="P1314" i="13"/>
  <c r="K1314" i="13"/>
  <c r="E1314" i="13"/>
  <c r="D1314" i="13"/>
  <c r="C1314" i="13"/>
  <c r="B1314" i="13"/>
  <c r="Z1313" i="13"/>
  <c r="AB1313" i="13" s="1"/>
  <c r="T1313" i="13"/>
  <c r="V1313" i="13" s="1"/>
  <c r="P1313" i="13"/>
  <c r="K1313" i="13"/>
  <c r="E1313" i="13"/>
  <c r="D1313" i="13"/>
  <c r="C1313" i="13"/>
  <c r="B1313" i="13"/>
  <c r="Z1312" i="13"/>
  <c r="AA1312" i="13" s="1"/>
  <c r="T1312" i="13"/>
  <c r="V1312" i="13" s="1"/>
  <c r="P1312" i="13"/>
  <c r="K1312" i="13"/>
  <c r="E1312" i="13"/>
  <c r="D1312" i="13"/>
  <c r="C1312" i="13"/>
  <c r="B1312" i="13"/>
  <c r="Z1311" i="13"/>
  <c r="T1311" i="13"/>
  <c r="U1311" i="13" s="1"/>
  <c r="P1311" i="13"/>
  <c r="K1311" i="13"/>
  <c r="E1311" i="13"/>
  <c r="D1311" i="13"/>
  <c r="C1311" i="13"/>
  <c r="B1311" i="13"/>
  <c r="Z1310" i="13"/>
  <c r="AA1310" i="13" s="1"/>
  <c r="T1310" i="13"/>
  <c r="P1310" i="13"/>
  <c r="K1310" i="13"/>
  <c r="E1310" i="13"/>
  <c r="D1310" i="13"/>
  <c r="C1310" i="13"/>
  <c r="B1310" i="13"/>
  <c r="Z1309" i="13"/>
  <c r="AB1309" i="13" s="1"/>
  <c r="T1309" i="13"/>
  <c r="U1309" i="13" s="1"/>
  <c r="W1309" i="13" s="1"/>
  <c r="P1309" i="13"/>
  <c r="K1309" i="13"/>
  <c r="E1309" i="13"/>
  <c r="D1309" i="13"/>
  <c r="C1309" i="13"/>
  <c r="B1309" i="13"/>
  <c r="Z1308" i="13"/>
  <c r="AB1308" i="13" s="1"/>
  <c r="T1308" i="13"/>
  <c r="V1308" i="13" s="1"/>
  <c r="P1308" i="13"/>
  <c r="K1308" i="13"/>
  <c r="E1308" i="13"/>
  <c r="D1308" i="13"/>
  <c r="C1308" i="13"/>
  <c r="B1308" i="13"/>
  <c r="Z1307" i="13"/>
  <c r="AA1307" i="13" s="1"/>
  <c r="T1307" i="13"/>
  <c r="V1307" i="13" s="1"/>
  <c r="P1307" i="13"/>
  <c r="K1307" i="13"/>
  <c r="E1307" i="13"/>
  <c r="D1307" i="13"/>
  <c r="C1307" i="13"/>
  <c r="B1307" i="13"/>
  <c r="Z1306" i="13"/>
  <c r="AA1306" i="13" s="1"/>
  <c r="T1306" i="13"/>
  <c r="P1306" i="13"/>
  <c r="K1306" i="13"/>
  <c r="E1306" i="13"/>
  <c r="D1306" i="13"/>
  <c r="C1306" i="13"/>
  <c r="B1306" i="13"/>
  <c r="Z1305" i="13"/>
  <c r="AB1305" i="13" s="1"/>
  <c r="T1305" i="13"/>
  <c r="V1305" i="13" s="1"/>
  <c r="P1305" i="13"/>
  <c r="K1305" i="13"/>
  <c r="E1305" i="13"/>
  <c r="D1305" i="13"/>
  <c r="C1305" i="13"/>
  <c r="B1305" i="13"/>
  <c r="Z1304" i="13"/>
  <c r="AA1304" i="13" s="1"/>
  <c r="T1304" i="13"/>
  <c r="V1304" i="13" s="1"/>
  <c r="P1304" i="13"/>
  <c r="K1304" i="13"/>
  <c r="E1304" i="13"/>
  <c r="D1304" i="13"/>
  <c r="C1304" i="13"/>
  <c r="B1304" i="13"/>
  <c r="Z1303" i="13"/>
  <c r="T1303" i="13"/>
  <c r="P1303" i="13"/>
  <c r="K1303" i="13"/>
  <c r="E1303" i="13"/>
  <c r="D1303" i="13"/>
  <c r="C1303" i="13"/>
  <c r="B1303" i="13"/>
  <c r="Z1302" i="13"/>
  <c r="AB1302" i="13" s="1"/>
  <c r="T1302" i="13"/>
  <c r="P1302" i="13"/>
  <c r="K1302" i="13"/>
  <c r="E1302" i="13"/>
  <c r="D1302" i="13"/>
  <c r="C1302" i="13"/>
  <c r="B1302" i="13"/>
  <c r="Z1301" i="13"/>
  <c r="AB1301" i="13" s="1"/>
  <c r="T1301" i="13"/>
  <c r="U1301" i="13" s="1"/>
  <c r="P1301" i="13"/>
  <c r="K1301" i="13"/>
  <c r="E1301" i="13"/>
  <c r="D1301" i="13"/>
  <c r="C1301" i="13"/>
  <c r="B1301" i="13"/>
  <c r="Z1300" i="13"/>
  <c r="AB1300" i="13" s="1"/>
  <c r="T1300" i="13"/>
  <c r="V1300" i="13" s="1"/>
  <c r="P1300" i="13"/>
  <c r="K1300" i="13"/>
  <c r="E1300" i="13"/>
  <c r="D1300" i="13"/>
  <c r="C1300" i="13"/>
  <c r="B1300" i="13"/>
  <c r="Z1299" i="13"/>
  <c r="AB1299" i="13" s="1"/>
  <c r="T1299" i="13"/>
  <c r="V1299" i="13" s="1"/>
  <c r="P1299" i="13"/>
  <c r="K1299" i="13"/>
  <c r="E1299" i="13"/>
  <c r="D1299" i="13"/>
  <c r="C1299" i="13"/>
  <c r="B1299" i="13"/>
  <c r="Z1298" i="13"/>
  <c r="AB1298" i="13" s="1"/>
  <c r="T1298" i="13"/>
  <c r="P1298" i="13"/>
  <c r="K1298" i="13"/>
  <c r="E1298" i="13"/>
  <c r="D1298" i="13"/>
  <c r="C1298" i="13"/>
  <c r="B1298" i="13"/>
  <c r="Z1297" i="13"/>
  <c r="AB1297" i="13" s="1"/>
  <c r="T1297" i="13"/>
  <c r="V1297" i="13" s="1"/>
  <c r="P1297" i="13"/>
  <c r="K1297" i="13"/>
  <c r="E1297" i="13"/>
  <c r="D1297" i="13"/>
  <c r="C1297" i="13"/>
  <c r="B1297" i="13"/>
  <c r="Z1296" i="13"/>
  <c r="AA1296" i="13" s="1"/>
  <c r="T1296" i="13"/>
  <c r="V1296" i="13" s="1"/>
  <c r="P1296" i="13"/>
  <c r="K1296" i="13"/>
  <c r="E1296" i="13"/>
  <c r="D1296" i="13"/>
  <c r="C1296" i="13"/>
  <c r="B1296" i="13"/>
  <c r="Z1295" i="13"/>
  <c r="T1295" i="13"/>
  <c r="U1295" i="13" s="1"/>
  <c r="P1295" i="13"/>
  <c r="K1295" i="13"/>
  <c r="E1295" i="13"/>
  <c r="D1295" i="13"/>
  <c r="C1295" i="13"/>
  <c r="B1295" i="13"/>
  <c r="Z1294" i="13"/>
  <c r="AA1294" i="13" s="1"/>
  <c r="T1294" i="13"/>
  <c r="P1294" i="13"/>
  <c r="K1294" i="13"/>
  <c r="E1294" i="13"/>
  <c r="D1294" i="13"/>
  <c r="C1294" i="13"/>
  <c r="B1294" i="13"/>
  <c r="Z1293" i="13"/>
  <c r="AB1293" i="13" s="1"/>
  <c r="T1293" i="13"/>
  <c r="P1293" i="13"/>
  <c r="K1293" i="13"/>
  <c r="E1293" i="13"/>
  <c r="D1293" i="13"/>
  <c r="C1293" i="13"/>
  <c r="B1293" i="13"/>
  <c r="Z1292" i="13"/>
  <c r="T1292" i="13"/>
  <c r="V1292" i="13" s="1"/>
  <c r="P1292" i="13"/>
  <c r="K1292" i="13"/>
  <c r="E1292" i="13"/>
  <c r="D1292" i="13"/>
  <c r="C1292" i="13"/>
  <c r="B1292" i="13"/>
  <c r="Z1291" i="13"/>
  <c r="AB1291" i="13" s="1"/>
  <c r="AC1291" i="13" s="1"/>
  <c r="T1291" i="13"/>
  <c r="V1291" i="13" s="1"/>
  <c r="P1291" i="13"/>
  <c r="K1291" i="13"/>
  <c r="E1291" i="13"/>
  <c r="D1291" i="13"/>
  <c r="C1291" i="13"/>
  <c r="B1291" i="13"/>
  <c r="Z1290" i="13"/>
  <c r="AB1290" i="13" s="1"/>
  <c r="T1290" i="13"/>
  <c r="V1290" i="13" s="1"/>
  <c r="P1290" i="13"/>
  <c r="K1290" i="13"/>
  <c r="E1290" i="13"/>
  <c r="D1290" i="13"/>
  <c r="C1290" i="13"/>
  <c r="B1290" i="13"/>
  <c r="Z1289" i="13"/>
  <c r="AA1289" i="13" s="1"/>
  <c r="T1289" i="13"/>
  <c r="V1289" i="13" s="1"/>
  <c r="P1289" i="13"/>
  <c r="K1289" i="13"/>
  <c r="E1289" i="13"/>
  <c r="D1289" i="13"/>
  <c r="C1289" i="13"/>
  <c r="B1289" i="13"/>
  <c r="Z1288" i="13"/>
  <c r="T1288" i="13"/>
  <c r="U1288" i="13" s="1"/>
  <c r="W1288" i="13" s="1"/>
  <c r="P1288" i="13"/>
  <c r="K1288" i="13"/>
  <c r="E1288" i="13"/>
  <c r="D1288" i="13"/>
  <c r="C1288" i="13"/>
  <c r="B1288" i="13"/>
  <c r="Z1287" i="13"/>
  <c r="T1287" i="13"/>
  <c r="U1287" i="13" s="1"/>
  <c r="P1287" i="13"/>
  <c r="K1287" i="13"/>
  <c r="E1287" i="13"/>
  <c r="D1287" i="13"/>
  <c r="C1287" i="13"/>
  <c r="B1287" i="13"/>
  <c r="Z1286" i="13"/>
  <c r="AB1286" i="13" s="1"/>
  <c r="AC1286" i="13" s="1"/>
  <c r="T1286" i="13"/>
  <c r="P1286" i="13"/>
  <c r="K1286" i="13"/>
  <c r="E1286" i="13"/>
  <c r="D1286" i="13"/>
  <c r="C1286" i="13"/>
  <c r="B1286" i="13"/>
  <c r="Z1285" i="13"/>
  <c r="AB1285" i="13" s="1"/>
  <c r="T1285" i="13"/>
  <c r="V1285" i="13" s="1"/>
  <c r="P1285" i="13"/>
  <c r="K1285" i="13"/>
  <c r="E1285" i="13"/>
  <c r="D1285" i="13"/>
  <c r="C1285" i="13"/>
  <c r="B1285" i="13"/>
  <c r="Z1284" i="13"/>
  <c r="AB1284" i="13" s="1"/>
  <c r="T1284" i="13"/>
  <c r="V1284" i="13" s="1"/>
  <c r="P1284" i="13"/>
  <c r="K1284" i="13"/>
  <c r="E1284" i="13"/>
  <c r="D1284" i="13"/>
  <c r="C1284" i="13"/>
  <c r="B1284" i="13"/>
  <c r="Z1283" i="13"/>
  <c r="AA1283" i="13" s="1"/>
  <c r="T1283" i="13"/>
  <c r="P1283" i="13"/>
  <c r="K1283" i="13"/>
  <c r="E1283" i="13"/>
  <c r="D1283" i="13"/>
  <c r="C1283" i="13"/>
  <c r="B1283" i="13"/>
  <c r="Z1282" i="13"/>
  <c r="AB1282" i="13" s="1"/>
  <c r="T1282" i="13"/>
  <c r="U1282" i="13" s="1"/>
  <c r="P1282" i="13"/>
  <c r="K1282" i="13"/>
  <c r="E1282" i="13"/>
  <c r="D1282" i="13"/>
  <c r="C1282" i="13"/>
  <c r="B1282" i="13"/>
  <c r="Z1281" i="13"/>
  <c r="AA1281" i="13" s="1"/>
  <c r="T1281" i="13"/>
  <c r="V1281" i="13" s="1"/>
  <c r="P1281" i="13"/>
  <c r="K1281" i="13"/>
  <c r="E1281" i="13"/>
  <c r="D1281" i="13"/>
  <c r="C1281" i="13"/>
  <c r="B1281" i="13"/>
  <c r="Z1280" i="13"/>
  <c r="AA1280" i="13" s="1"/>
  <c r="T1280" i="13"/>
  <c r="V1280" i="13" s="1"/>
  <c r="P1280" i="13"/>
  <c r="K1280" i="13"/>
  <c r="E1280" i="13"/>
  <c r="D1280" i="13"/>
  <c r="C1280" i="13"/>
  <c r="B1280" i="13"/>
  <c r="Z1279" i="13"/>
  <c r="T1279" i="13"/>
  <c r="P1279" i="13"/>
  <c r="K1279" i="13"/>
  <c r="E1279" i="13"/>
  <c r="D1279" i="13"/>
  <c r="C1279" i="13"/>
  <c r="B1279" i="13"/>
  <c r="Z1278" i="13"/>
  <c r="AB1278" i="13" s="1"/>
  <c r="T1278" i="13"/>
  <c r="P1278" i="13"/>
  <c r="K1278" i="13"/>
  <c r="E1278" i="13"/>
  <c r="D1278" i="13"/>
  <c r="C1278" i="13"/>
  <c r="B1278" i="13"/>
  <c r="Z1277" i="13"/>
  <c r="AB1277" i="13" s="1"/>
  <c r="T1277" i="13"/>
  <c r="V1277" i="13" s="1"/>
  <c r="P1277" i="13"/>
  <c r="K1277" i="13"/>
  <c r="E1277" i="13"/>
  <c r="D1277" i="13"/>
  <c r="C1277" i="13"/>
  <c r="B1277" i="13"/>
  <c r="Z1276" i="13"/>
  <c r="T1276" i="13"/>
  <c r="P1276" i="13"/>
  <c r="K1276" i="13"/>
  <c r="E1276" i="13"/>
  <c r="D1276" i="13"/>
  <c r="C1276" i="13"/>
  <c r="B1276" i="13"/>
  <c r="Z1275" i="13"/>
  <c r="T1275" i="13"/>
  <c r="V1275" i="13" s="1"/>
  <c r="P1275" i="13"/>
  <c r="K1275" i="13"/>
  <c r="E1275" i="13"/>
  <c r="D1275" i="13"/>
  <c r="C1275" i="13"/>
  <c r="B1275" i="13"/>
  <c r="Z1274" i="13"/>
  <c r="AB1274" i="13" s="1"/>
  <c r="T1274" i="13"/>
  <c r="U1274" i="13" s="1"/>
  <c r="W1274" i="13" s="1"/>
  <c r="P1274" i="13"/>
  <c r="K1274" i="13"/>
  <c r="E1274" i="13"/>
  <c r="D1274" i="13"/>
  <c r="C1274" i="13"/>
  <c r="B1274" i="13"/>
  <c r="Z1273" i="13"/>
  <c r="AA1273" i="13" s="1"/>
  <c r="T1273" i="13"/>
  <c r="V1273" i="13" s="1"/>
  <c r="P1273" i="13"/>
  <c r="K1273" i="13"/>
  <c r="E1273" i="13"/>
  <c r="D1273" i="13"/>
  <c r="C1273" i="13"/>
  <c r="B1273" i="13"/>
  <c r="Z1272" i="13"/>
  <c r="AB1272" i="13" s="1"/>
  <c r="AC1272" i="13" s="1"/>
  <c r="T1272" i="13"/>
  <c r="U1272" i="13" s="1"/>
  <c r="P1272" i="13"/>
  <c r="K1272" i="13"/>
  <c r="E1272" i="13"/>
  <c r="D1272" i="13"/>
  <c r="C1272" i="13"/>
  <c r="B1272" i="13"/>
  <c r="Z1271" i="13"/>
  <c r="T1271" i="13"/>
  <c r="U1271" i="13" s="1"/>
  <c r="P1271" i="13"/>
  <c r="K1271" i="13"/>
  <c r="E1271" i="13"/>
  <c r="D1271" i="13"/>
  <c r="C1271" i="13"/>
  <c r="B1271" i="13"/>
  <c r="Z1270" i="13"/>
  <c r="AB1270" i="13" s="1"/>
  <c r="AC1270" i="13" s="1"/>
  <c r="T1270" i="13"/>
  <c r="P1270" i="13"/>
  <c r="K1270" i="13"/>
  <c r="E1270" i="13"/>
  <c r="D1270" i="13"/>
  <c r="C1270" i="13"/>
  <c r="B1270" i="13"/>
  <c r="Z1269" i="13"/>
  <c r="AB1269" i="13" s="1"/>
  <c r="T1269" i="13"/>
  <c r="V1269" i="13" s="1"/>
  <c r="P1269" i="13"/>
  <c r="K1269" i="13"/>
  <c r="E1269" i="13"/>
  <c r="D1269" i="13"/>
  <c r="C1269" i="13"/>
  <c r="B1269" i="13"/>
  <c r="Z1268" i="13"/>
  <c r="AB1268" i="13" s="1"/>
  <c r="T1268" i="13"/>
  <c r="V1268" i="13" s="1"/>
  <c r="P1268" i="13"/>
  <c r="K1268" i="13"/>
  <c r="E1268" i="13"/>
  <c r="D1268" i="13"/>
  <c r="C1268" i="13"/>
  <c r="B1268" i="13"/>
  <c r="Z1267" i="13"/>
  <c r="AB1267" i="13" s="1"/>
  <c r="AC1267" i="13" s="1"/>
  <c r="T1267" i="13"/>
  <c r="V1267" i="13" s="1"/>
  <c r="P1267" i="13"/>
  <c r="K1267" i="13"/>
  <c r="E1267" i="13"/>
  <c r="D1267" i="13"/>
  <c r="C1267" i="13"/>
  <c r="B1267" i="13"/>
  <c r="Z1266" i="13"/>
  <c r="AB1266" i="13" s="1"/>
  <c r="T1266" i="13"/>
  <c r="P1266" i="13"/>
  <c r="K1266" i="13"/>
  <c r="E1266" i="13"/>
  <c r="D1266" i="13"/>
  <c r="C1266" i="13"/>
  <c r="B1266" i="13"/>
  <c r="Z1265" i="13"/>
  <c r="T1265" i="13"/>
  <c r="V1265" i="13" s="1"/>
  <c r="P1265" i="13"/>
  <c r="K1265" i="13"/>
  <c r="E1265" i="13"/>
  <c r="D1265" i="13"/>
  <c r="C1265" i="13"/>
  <c r="B1265" i="13"/>
  <c r="Z1264" i="13"/>
  <c r="AB1264" i="13" s="1"/>
  <c r="AC1264" i="13" s="1"/>
  <c r="T1264" i="13"/>
  <c r="U1264" i="13" s="1"/>
  <c r="P1264" i="13"/>
  <c r="K1264" i="13"/>
  <c r="E1264" i="13"/>
  <c r="D1264" i="13"/>
  <c r="C1264" i="13"/>
  <c r="B1264" i="13"/>
  <c r="Z1263" i="13"/>
  <c r="T1263" i="13"/>
  <c r="U1263" i="13" s="1"/>
  <c r="P1263" i="13"/>
  <c r="K1263" i="13"/>
  <c r="E1263" i="13"/>
  <c r="D1263" i="13"/>
  <c r="C1263" i="13"/>
  <c r="B1263" i="13"/>
  <c r="Z1262" i="13"/>
  <c r="AB1262" i="13" s="1"/>
  <c r="T1262" i="13"/>
  <c r="P1262" i="13"/>
  <c r="K1262" i="13"/>
  <c r="E1262" i="13"/>
  <c r="D1262" i="13"/>
  <c r="C1262" i="13"/>
  <c r="B1262" i="13"/>
  <c r="Z1261" i="13"/>
  <c r="AB1261" i="13" s="1"/>
  <c r="T1261" i="13"/>
  <c r="V1261" i="13" s="1"/>
  <c r="P1261" i="13"/>
  <c r="K1261" i="13"/>
  <c r="E1261" i="13"/>
  <c r="D1261" i="13"/>
  <c r="C1261" i="13"/>
  <c r="B1261" i="13"/>
  <c r="Z1260" i="13"/>
  <c r="AB1260" i="13" s="1"/>
  <c r="T1260" i="13"/>
  <c r="V1260" i="13" s="1"/>
  <c r="P1260" i="13"/>
  <c r="K1260" i="13"/>
  <c r="E1260" i="13"/>
  <c r="D1260" i="13"/>
  <c r="C1260" i="13"/>
  <c r="B1260" i="13"/>
  <c r="Z1259" i="13"/>
  <c r="AB1259" i="13" s="1"/>
  <c r="AC1259" i="13" s="1"/>
  <c r="T1259" i="13"/>
  <c r="V1259" i="13" s="1"/>
  <c r="P1259" i="13"/>
  <c r="K1259" i="13"/>
  <c r="E1259" i="13"/>
  <c r="D1259" i="13"/>
  <c r="C1259" i="13"/>
  <c r="B1259" i="13"/>
  <c r="Z1258" i="13"/>
  <c r="AB1258" i="13" s="1"/>
  <c r="T1258" i="13"/>
  <c r="V1258" i="13" s="1"/>
  <c r="P1258" i="13"/>
  <c r="K1258" i="13"/>
  <c r="E1258" i="13"/>
  <c r="D1258" i="13"/>
  <c r="C1258" i="13"/>
  <c r="B1258" i="13"/>
  <c r="Z1257" i="13"/>
  <c r="AA1257" i="13" s="1"/>
  <c r="T1257" i="13"/>
  <c r="V1257" i="13" s="1"/>
  <c r="P1257" i="13"/>
  <c r="K1257" i="13"/>
  <c r="E1257" i="13"/>
  <c r="D1257" i="13"/>
  <c r="C1257" i="13"/>
  <c r="B1257" i="13"/>
  <c r="Z1256" i="13"/>
  <c r="AB1256" i="13" s="1"/>
  <c r="AC1256" i="13" s="1"/>
  <c r="T1256" i="13"/>
  <c r="U1256" i="13" s="1"/>
  <c r="W1256" i="13" s="1"/>
  <c r="P1256" i="13"/>
  <c r="K1256" i="13"/>
  <c r="E1256" i="13"/>
  <c r="D1256" i="13"/>
  <c r="C1256" i="13"/>
  <c r="B1256" i="13"/>
  <c r="Z1255" i="13"/>
  <c r="T1255" i="13"/>
  <c r="V1255" i="13" s="1"/>
  <c r="P1255" i="13"/>
  <c r="K1255" i="13"/>
  <c r="E1255" i="13"/>
  <c r="D1255" i="13"/>
  <c r="C1255" i="13"/>
  <c r="B1255" i="13"/>
  <c r="Z1254" i="13"/>
  <c r="AB1254" i="13" s="1"/>
  <c r="T1254" i="13"/>
  <c r="P1254" i="13"/>
  <c r="K1254" i="13"/>
  <c r="E1254" i="13"/>
  <c r="D1254" i="13"/>
  <c r="C1254" i="13"/>
  <c r="B1254" i="13"/>
  <c r="Z1253" i="13"/>
  <c r="AB1253" i="13" s="1"/>
  <c r="T1253" i="13"/>
  <c r="V1253" i="13" s="1"/>
  <c r="P1253" i="13"/>
  <c r="K1253" i="13"/>
  <c r="E1253" i="13"/>
  <c r="D1253" i="13"/>
  <c r="C1253" i="13"/>
  <c r="B1253" i="13"/>
  <c r="Z1252" i="13"/>
  <c r="AB1252" i="13" s="1"/>
  <c r="T1252" i="13"/>
  <c r="V1252" i="13" s="1"/>
  <c r="P1252" i="13"/>
  <c r="K1252" i="13"/>
  <c r="E1252" i="13"/>
  <c r="D1252" i="13"/>
  <c r="C1252" i="13"/>
  <c r="B1252" i="13"/>
  <c r="Z1251" i="13"/>
  <c r="AB1251" i="13" s="1"/>
  <c r="T1251" i="13"/>
  <c r="V1251" i="13" s="1"/>
  <c r="P1251" i="13"/>
  <c r="K1251" i="13"/>
  <c r="E1251" i="13"/>
  <c r="D1251" i="13"/>
  <c r="C1251" i="13"/>
  <c r="B1251" i="13"/>
  <c r="Z1250" i="13"/>
  <c r="AB1250" i="13" s="1"/>
  <c r="T1250" i="13"/>
  <c r="V1250" i="13" s="1"/>
  <c r="P1250" i="13"/>
  <c r="K1250" i="13"/>
  <c r="E1250" i="13"/>
  <c r="D1250" i="13"/>
  <c r="C1250" i="13"/>
  <c r="B1250" i="13"/>
  <c r="Z1249" i="13"/>
  <c r="AA1249" i="13" s="1"/>
  <c r="T1249" i="13"/>
  <c r="V1249" i="13" s="1"/>
  <c r="P1249" i="13"/>
  <c r="K1249" i="13"/>
  <c r="E1249" i="13"/>
  <c r="D1249" i="13"/>
  <c r="C1249" i="13"/>
  <c r="B1249" i="13"/>
  <c r="Z1248" i="13"/>
  <c r="AB1248" i="13" s="1"/>
  <c r="AC1248" i="13" s="1"/>
  <c r="T1248" i="13"/>
  <c r="U1248" i="13" s="1"/>
  <c r="P1248" i="13"/>
  <c r="K1248" i="13"/>
  <c r="E1248" i="13"/>
  <c r="D1248" i="13"/>
  <c r="C1248" i="13"/>
  <c r="B1248" i="13"/>
  <c r="Z1247" i="13"/>
  <c r="T1247" i="13"/>
  <c r="V1247" i="13" s="1"/>
  <c r="P1247" i="13"/>
  <c r="K1247" i="13"/>
  <c r="E1247" i="13"/>
  <c r="D1247" i="13"/>
  <c r="C1247" i="13"/>
  <c r="B1247" i="13"/>
  <c r="Z1246" i="13"/>
  <c r="AB1246" i="13" s="1"/>
  <c r="T1246" i="13"/>
  <c r="P1246" i="13"/>
  <c r="K1246" i="13"/>
  <c r="E1246" i="13"/>
  <c r="D1246" i="13"/>
  <c r="C1246" i="13"/>
  <c r="B1246" i="13"/>
  <c r="Z1245" i="13"/>
  <c r="AB1245" i="13" s="1"/>
  <c r="T1245" i="13"/>
  <c r="P1245" i="13"/>
  <c r="K1245" i="13"/>
  <c r="E1245" i="13"/>
  <c r="D1245" i="13"/>
  <c r="C1245" i="13"/>
  <c r="B1245" i="13"/>
  <c r="Z1244" i="13"/>
  <c r="T1244" i="13"/>
  <c r="V1244" i="13" s="1"/>
  <c r="P1244" i="13"/>
  <c r="K1244" i="13"/>
  <c r="E1244" i="13"/>
  <c r="D1244" i="13"/>
  <c r="C1244" i="13"/>
  <c r="B1244" i="13"/>
  <c r="Z1243" i="13"/>
  <c r="T1243" i="13"/>
  <c r="V1243" i="13" s="1"/>
  <c r="P1243" i="13"/>
  <c r="K1243" i="13"/>
  <c r="E1243" i="13"/>
  <c r="D1243" i="13"/>
  <c r="C1243" i="13"/>
  <c r="B1243" i="13"/>
  <c r="Z1242" i="13"/>
  <c r="AB1242" i="13" s="1"/>
  <c r="T1242" i="13"/>
  <c r="V1242" i="13" s="1"/>
  <c r="P1242" i="13"/>
  <c r="K1242" i="13"/>
  <c r="E1242" i="13"/>
  <c r="D1242" i="13"/>
  <c r="C1242" i="13"/>
  <c r="B1242" i="13"/>
  <c r="Z1241" i="13"/>
  <c r="AA1241" i="13" s="1"/>
  <c r="T1241" i="13"/>
  <c r="V1241" i="13" s="1"/>
  <c r="P1241" i="13"/>
  <c r="K1241" i="13"/>
  <c r="E1241" i="13"/>
  <c r="D1241" i="13"/>
  <c r="C1241" i="13"/>
  <c r="B1241" i="13"/>
  <c r="Z1240" i="13"/>
  <c r="AB1240" i="13" s="1"/>
  <c r="AC1240" i="13" s="1"/>
  <c r="T1240" i="13"/>
  <c r="U1240" i="13" s="1"/>
  <c r="P1240" i="13"/>
  <c r="K1240" i="13"/>
  <c r="E1240" i="13"/>
  <c r="D1240" i="13"/>
  <c r="C1240" i="13"/>
  <c r="B1240" i="13"/>
  <c r="Z1239" i="13"/>
  <c r="T1239" i="13"/>
  <c r="U1239" i="13" s="1"/>
  <c r="P1239" i="13"/>
  <c r="K1239" i="13"/>
  <c r="E1239" i="13"/>
  <c r="D1239" i="13"/>
  <c r="C1239" i="13"/>
  <c r="B1239" i="13"/>
  <c r="Z1238" i="13"/>
  <c r="AB1238" i="13" s="1"/>
  <c r="AC1238" i="13" s="1"/>
  <c r="T1238" i="13"/>
  <c r="P1238" i="13"/>
  <c r="K1238" i="13"/>
  <c r="E1238" i="13"/>
  <c r="D1238" i="13"/>
  <c r="C1238" i="13"/>
  <c r="B1238" i="13"/>
  <c r="Z1237" i="13"/>
  <c r="AB1237" i="13" s="1"/>
  <c r="T1237" i="13"/>
  <c r="V1237" i="13" s="1"/>
  <c r="P1237" i="13"/>
  <c r="K1237" i="13"/>
  <c r="E1237" i="13"/>
  <c r="D1237" i="13"/>
  <c r="C1237" i="13"/>
  <c r="B1237" i="13"/>
  <c r="Z1236" i="13"/>
  <c r="AB1236" i="13" s="1"/>
  <c r="T1236" i="13"/>
  <c r="V1236" i="13" s="1"/>
  <c r="P1236" i="13"/>
  <c r="K1236" i="13"/>
  <c r="E1236" i="13"/>
  <c r="D1236" i="13"/>
  <c r="C1236" i="13"/>
  <c r="B1236" i="13"/>
  <c r="Z1235" i="13"/>
  <c r="AB1235" i="13" s="1"/>
  <c r="AC1235" i="13" s="1"/>
  <c r="T1235" i="13"/>
  <c r="V1235" i="13" s="1"/>
  <c r="P1235" i="13"/>
  <c r="K1235" i="13"/>
  <c r="E1235" i="13"/>
  <c r="D1235" i="13"/>
  <c r="C1235" i="13"/>
  <c r="B1235" i="13"/>
  <c r="Z1234" i="13"/>
  <c r="AB1234" i="13" s="1"/>
  <c r="T1234" i="13"/>
  <c r="P1234" i="13"/>
  <c r="K1234" i="13"/>
  <c r="E1234" i="13"/>
  <c r="D1234" i="13"/>
  <c r="C1234" i="13"/>
  <c r="B1234" i="13"/>
  <c r="Z1233" i="13"/>
  <c r="T1233" i="13"/>
  <c r="V1233" i="13" s="1"/>
  <c r="P1233" i="13"/>
  <c r="K1233" i="13"/>
  <c r="E1233" i="13"/>
  <c r="D1233" i="13"/>
  <c r="C1233" i="13"/>
  <c r="B1233" i="13"/>
  <c r="Z1232" i="13"/>
  <c r="AA1232" i="13" s="1"/>
  <c r="T1232" i="13"/>
  <c r="U1232" i="13" s="1"/>
  <c r="W1232" i="13" s="1"/>
  <c r="P1232" i="13"/>
  <c r="K1232" i="13"/>
  <c r="E1232" i="13"/>
  <c r="D1232" i="13"/>
  <c r="C1232" i="13"/>
  <c r="B1232" i="13"/>
  <c r="Z1231" i="13"/>
  <c r="T1231" i="13"/>
  <c r="V1231" i="13" s="1"/>
  <c r="P1231" i="13"/>
  <c r="K1231" i="13"/>
  <c r="E1231" i="13"/>
  <c r="D1231" i="13"/>
  <c r="C1231" i="13"/>
  <c r="B1231" i="13"/>
  <c r="Z1230" i="13"/>
  <c r="AB1230" i="13" s="1"/>
  <c r="AC1230" i="13" s="1"/>
  <c r="T1230" i="13"/>
  <c r="P1230" i="13"/>
  <c r="K1230" i="13"/>
  <c r="E1230" i="13"/>
  <c r="D1230" i="13"/>
  <c r="C1230" i="13"/>
  <c r="B1230" i="13"/>
  <c r="Z1229" i="13"/>
  <c r="AB1229" i="13" s="1"/>
  <c r="T1229" i="13"/>
  <c r="V1229" i="13" s="1"/>
  <c r="P1229" i="13"/>
  <c r="K1229" i="13"/>
  <c r="E1229" i="13"/>
  <c r="D1229" i="13"/>
  <c r="C1229" i="13"/>
  <c r="B1229" i="13"/>
  <c r="Z1228" i="13"/>
  <c r="AB1228" i="13" s="1"/>
  <c r="T1228" i="13"/>
  <c r="V1228" i="13" s="1"/>
  <c r="P1228" i="13"/>
  <c r="K1228" i="13"/>
  <c r="E1228" i="13"/>
  <c r="D1228" i="13"/>
  <c r="C1228" i="13"/>
  <c r="B1228" i="13"/>
  <c r="Z1227" i="13"/>
  <c r="T1227" i="13"/>
  <c r="U1227" i="13" s="1"/>
  <c r="P1227" i="13"/>
  <c r="K1227" i="13"/>
  <c r="E1227" i="13"/>
  <c r="D1227" i="13"/>
  <c r="C1227" i="13"/>
  <c r="B1227" i="13"/>
  <c r="Z1226" i="13"/>
  <c r="AB1226" i="13" s="1"/>
  <c r="T1226" i="13"/>
  <c r="V1226" i="13" s="1"/>
  <c r="P1226" i="13"/>
  <c r="K1226" i="13"/>
  <c r="E1226" i="13"/>
  <c r="D1226" i="13"/>
  <c r="C1226" i="13"/>
  <c r="B1226" i="13"/>
  <c r="Z1225" i="13"/>
  <c r="AA1225" i="13" s="1"/>
  <c r="T1225" i="13"/>
  <c r="V1225" i="13" s="1"/>
  <c r="P1225" i="13"/>
  <c r="K1225" i="13"/>
  <c r="E1225" i="13"/>
  <c r="D1225" i="13"/>
  <c r="C1225" i="13"/>
  <c r="B1225" i="13"/>
  <c r="Z1224" i="13"/>
  <c r="AB1224" i="13" s="1"/>
  <c r="AC1224" i="13" s="1"/>
  <c r="T1224" i="13"/>
  <c r="U1224" i="13" s="1"/>
  <c r="W1224" i="13" s="1"/>
  <c r="P1224" i="13"/>
  <c r="K1224" i="13"/>
  <c r="E1224" i="13"/>
  <c r="D1224" i="13"/>
  <c r="C1224" i="13"/>
  <c r="B1224" i="13"/>
  <c r="Z1223" i="13"/>
  <c r="T1223" i="13"/>
  <c r="V1223" i="13" s="1"/>
  <c r="P1223" i="13"/>
  <c r="K1223" i="13"/>
  <c r="E1223" i="13"/>
  <c r="D1223" i="13"/>
  <c r="C1223" i="13"/>
  <c r="B1223" i="13"/>
  <c r="Z1222" i="13"/>
  <c r="AB1222" i="13" s="1"/>
  <c r="AC1222" i="13" s="1"/>
  <c r="T1222" i="13"/>
  <c r="P1222" i="13"/>
  <c r="K1222" i="13"/>
  <c r="E1222" i="13"/>
  <c r="D1222" i="13"/>
  <c r="C1222" i="13"/>
  <c r="B1222" i="13"/>
  <c r="Z1221" i="13"/>
  <c r="T1221" i="13"/>
  <c r="V1221" i="13" s="1"/>
  <c r="P1221" i="13"/>
  <c r="K1221" i="13"/>
  <c r="E1221" i="13"/>
  <c r="D1221" i="13"/>
  <c r="C1221" i="13"/>
  <c r="B1221" i="13"/>
  <c r="Z1220" i="13"/>
  <c r="AA1220" i="13" s="1"/>
  <c r="T1220" i="13"/>
  <c r="V1220" i="13" s="1"/>
  <c r="P1220" i="13"/>
  <c r="K1220" i="13"/>
  <c r="E1220" i="13"/>
  <c r="D1220" i="13"/>
  <c r="C1220" i="13"/>
  <c r="B1220" i="13"/>
  <c r="Z1219" i="13"/>
  <c r="AB1219" i="13" s="1"/>
  <c r="AC1219" i="13" s="1"/>
  <c r="T1219" i="13"/>
  <c r="P1219" i="13"/>
  <c r="K1219" i="13"/>
  <c r="E1219" i="13"/>
  <c r="D1219" i="13"/>
  <c r="C1219" i="13"/>
  <c r="B1219" i="13"/>
  <c r="Z1218" i="13"/>
  <c r="AB1218" i="13" s="1"/>
  <c r="T1218" i="13"/>
  <c r="U1218" i="13" s="1"/>
  <c r="P1218" i="13"/>
  <c r="K1218" i="13"/>
  <c r="E1218" i="13"/>
  <c r="D1218" i="13"/>
  <c r="C1218" i="13"/>
  <c r="B1218" i="13"/>
  <c r="Z1217" i="13"/>
  <c r="AA1217" i="13" s="1"/>
  <c r="T1217" i="13"/>
  <c r="V1217" i="13" s="1"/>
  <c r="P1217" i="13"/>
  <c r="K1217" i="13"/>
  <c r="E1217" i="13"/>
  <c r="D1217" i="13"/>
  <c r="C1217" i="13"/>
  <c r="B1217" i="13"/>
  <c r="Z1216" i="13"/>
  <c r="AB1216" i="13" s="1"/>
  <c r="T1216" i="13"/>
  <c r="U1216" i="13" s="1"/>
  <c r="P1216" i="13"/>
  <c r="K1216" i="13"/>
  <c r="E1216" i="13"/>
  <c r="D1216" i="13"/>
  <c r="C1216" i="13"/>
  <c r="B1216" i="13"/>
  <c r="Z1215" i="13"/>
  <c r="T1215" i="13"/>
  <c r="V1215" i="13" s="1"/>
  <c r="P1215" i="13"/>
  <c r="K1215" i="13"/>
  <c r="E1215" i="13"/>
  <c r="D1215" i="13"/>
  <c r="C1215" i="13"/>
  <c r="B1215" i="13"/>
  <c r="Z1214" i="13"/>
  <c r="AB1214" i="13" s="1"/>
  <c r="T1214" i="13"/>
  <c r="P1214" i="13"/>
  <c r="K1214" i="13"/>
  <c r="E1214" i="13"/>
  <c r="D1214" i="13"/>
  <c r="C1214" i="13"/>
  <c r="B1214" i="13"/>
  <c r="Z1213" i="13"/>
  <c r="AB1213" i="13" s="1"/>
  <c r="T1213" i="13"/>
  <c r="V1213" i="13" s="1"/>
  <c r="P1213" i="13"/>
  <c r="K1213" i="13"/>
  <c r="E1213" i="13"/>
  <c r="D1213" i="13"/>
  <c r="C1213" i="13"/>
  <c r="B1213" i="13"/>
  <c r="Z1212" i="13"/>
  <c r="AB1212" i="13" s="1"/>
  <c r="AC1212" i="13" s="1"/>
  <c r="T1212" i="13"/>
  <c r="V1212" i="13" s="1"/>
  <c r="P1212" i="13"/>
  <c r="K1212" i="13"/>
  <c r="E1212" i="13"/>
  <c r="D1212" i="13"/>
  <c r="C1212" i="13"/>
  <c r="B1212" i="13"/>
  <c r="Z1211" i="13"/>
  <c r="AB1211" i="13" s="1"/>
  <c r="T1211" i="13"/>
  <c r="V1211" i="13" s="1"/>
  <c r="P1211" i="13"/>
  <c r="K1211" i="13"/>
  <c r="E1211" i="13"/>
  <c r="D1211" i="13"/>
  <c r="C1211" i="13"/>
  <c r="B1211" i="13"/>
  <c r="Z1210" i="13"/>
  <c r="AA1210" i="13" s="1"/>
  <c r="T1210" i="13"/>
  <c r="V1210" i="13" s="1"/>
  <c r="P1210" i="13"/>
  <c r="K1210" i="13"/>
  <c r="E1210" i="13"/>
  <c r="D1210" i="13"/>
  <c r="C1210" i="13"/>
  <c r="B1210" i="13"/>
  <c r="Z1209" i="13"/>
  <c r="AB1209" i="13" s="1"/>
  <c r="AC1209" i="13" s="1"/>
  <c r="T1209" i="13"/>
  <c r="U1209" i="13" s="1"/>
  <c r="P1209" i="13"/>
  <c r="K1209" i="13"/>
  <c r="E1209" i="13"/>
  <c r="D1209" i="13"/>
  <c r="C1209" i="13"/>
  <c r="B1209" i="13"/>
  <c r="Z1208" i="13"/>
  <c r="T1208" i="13"/>
  <c r="V1208" i="13" s="1"/>
  <c r="P1208" i="13"/>
  <c r="K1208" i="13"/>
  <c r="E1208" i="13"/>
  <c r="D1208" i="13"/>
  <c r="C1208" i="13"/>
  <c r="B1208" i="13"/>
  <c r="Z1207" i="13"/>
  <c r="AB1207" i="13" s="1"/>
  <c r="T1207" i="13"/>
  <c r="P1207" i="13"/>
  <c r="K1207" i="13"/>
  <c r="E1207" i="13"/>
  <c r="D1207" i="13"/>
  <c r="C1207" i="13"/>
  <c r="B1207" i="13"/>
  <c r="Z1206" i="13"/>
  <c r="AB1206" i="13" s="1"/>
  <c r="T1206" i="13"/>
  <c r="V1206" i="13" s="1"/>
  <c r="P1206" i="13"/>
  <c r="K1206" i="13"/>
  <c r="E1206" i="13"/>
  <c r="D1206" i="13"/>
  <c r="C1206" i="13"/>
  <c r="B1206" i="13"/>
  <c r="Z1205" i="13"/>
  <c r="AB1205" i="13" s="1"/>
  <c r="T1205" i="13"/>
  <c r="P1205" i="13"/>
  <c r="K1205" i="13"/>
  <c r="E1205" i="13"/>
  <c r="D1205" i="13"/>
  <c r="C1205" i="13"/>
  <c r="B1205" i="13"/>
  <c r="Z1204" i="13"/>
  <c r="AB1204" i="13" s="1"/>
  <c r="AC1204" i="13" s="1"/>
  <c r="T1204" i="13"/>
  <c r="V1204" i="13" s="1"/>
  <c r="P1204" i="13"/>
  <c r="K1204" i="13"/>
  <c r="E1204" i="13"/>
  <c r="D1204" i="13"/>
  <c r="C1204" i="13"/>
  <c r="B1204" i="13"/>
  <c r="Z1203" i="13"/>
  <c r="AB1203" i="13" s="1"/>
  <c r="T1203" i="13"/>
  <c r="V1203" i="13" s="1"/>
  <c r="P1203" i="13"/>
  <c r="K1203" i="13"/>
  <c r="E1203" i="13"/>
  <c r="D1203" i="13"/>
  <c r="C1203" i="13"/>
  <c r="B1203" i="13"/>
  <c r="Z1202" i="13"/>
  <c r="AA1202" i="13" s="1"/>
  <c r="T1202" i="13"/>
  <c r="V1202" i="13" s="1"/>
  <c r="P1202" i="13"/>
  <c r="K1202" i="13"/>
  <c r="E1202" i="13"/>
  <c r="D1202" i="13"/>
  <c r="C1202" i="13"/>
  <c r="B1202" i="13"/>
  <c r="Z1201" i="13"/>
  <c r="AB1201" i="13" s="1"/>
  <c r="AC1201" i="13" s="1"/>
  <c r="T1201" i="13"/>
  <c r="U1201" i="13" s="1"/>
  <c r="P1201" i="13"/>
  <c r="K1201" i="13"/>
  <c r="E1201" i="13"/>
  <c r="D1201" i="13"/>
  <c r="C1201" i="13"/>
  <c r="B1201" i="13"/>
  <c r="Z1200" i="13"/>
  <c r="T1200" i="13"/>
  <c r="V1200" i="13" s="1"/>
  <c r="P1200" i="13"/>
  <c r="K1200" i="13"/>
  <c r="E1200" i="13"/>
  <c r="D1200" i="13"/>
  <c r="C1200" i="13"/>
  <c r="B1200" i="13"/>
  <c r="Z1199" i="13"/>
  <c r="T1199" i="13"/>
  <c r="P1199" i="13"/>
  <c r="K1199" i="13"/>
  <c r="E1199" i="13"/>
  <c r="D1199" i="13"/>
  <c r="C1199" i="13"/>
  <c r="B1199" i="13"/>
  <c r="Z1198" i="13"/>
  <c r="AB1198" i="13" s="1"/>
  <c r="T1198" i="13"/>
  <c r="V1198" i="13" s="1"/>
  <c r="P1198" i="13"/>
  <c r="K1198" i="13"/>
  <c r="E1198" i="13"/>
  <c r="D1198" i="13"/>
  <c r="C1198" i="13"/>
  <c r="B1198" i="13"/>
  <c r="Z1197" i="13"/>
  <c r="AB1197" i="13" s="1"/>
  <c r="T1197" i="13"/>
  <c r="V1197" i="13" s="1"/>
  <c r="P1197" i="13"/>
  <c r="K1197" i="13"/>
  <c r="E1197" i="13"/>
  <c r="D1197" i="13"/>
  <c r="C1197" i="13"/>
  <c r="B1197" i="13"/>
  <c r="Z1196" i="13"/>
  <c r="T1196" i="13"/>
  <c r="V1196" i="13" s="1"/>
  <c r="P1196" i="13"/>
  <c r="K1196" i="13"/>
  <c r="E1196" i="13"/>
  <c r="D1196" i="13"/>
  <c r="C1196" i="13"/>
  <c r="B1196" i="13"/>
  <c r="Z1195" i="13"/>
  <c r="AB1195" i="13" s="1"/>
  <c r="T1195" i="13"/>
  <c r="V1195" i="13" s="1"/>
  <c r="P1195" i="13"/>
  <c r="K1195" i="13"/>
  <c r="E1195" i="13"/>
  <c r="D1195" i="13"/>
  <c r="C1195" i="13"/>
  <c r="B1195" i="13"/>
  <c r="Z1194" i="13"/>
  <c r="AA1194" i="13" s="1"/>
  <c r="T1194" i="13"/>
  <c r="V1194" i="13" s="1"/>
  <c r="P1194" i="13"/>
  <c r="K1194" i="13"/>
  <c r="E1194" i="13"/>
  <c r="D1194" i="13"/>
  <c r="C1194" i="13"/>
  <c r="B1194" i="13"/>
  <c r="Z1193" i="13"/>
  <c r="AB1193" i="13" s="1"/>
  <c r="AC1193" i="13" s="1"/>
  <c r="T1193" i="13"/>
  <c r="U1193" i="13" s="1"/>
  <c r="P1193" i="13"/>
  <c r="K1193" i="13"/>
  <c r="E1193" i="13"/>
  <c r="D1193" i="13"/>
  <c r="C1193" i="13"/>
  <c r="B1193" i="13"/>
  <c r="Z1192" i="13"/>
  <c r="T1192" i="13"/>
  <c r="V1192" i="13" s="1"/>
  <c r="P1192" i="13"/>
  <c r="K1192" i="13"/>
  <c r="E1192" i="13"/>
  <c r="D1192" i="13"/>
  <c r="C1192" i="13"/>
  <c r="B1192" i="13"/>
  <c r="Z1191" i="13"/>
  <c r="T1191" i="13"/>
  <c r="P1191" i="13"/>
  <c r="K1191" i="13"/>
  <c r="E1191" i="13"/>
  <c r="D1191" i="13"/>
  <c r="C1191" i="13"/>
  <c r="B1191" i="13"/>
  <c r="Z1190" i="13"/>
  <c r="AB1190" i="13" s="1"/>
  <c r="T1190" i="13"/>
  <c r="U1190" i="13" s="1"/>
  <c r="W1190" i="13" s="1"/>
  <c r="P1190" i="13"/>
  <c r="K1190" i="13"/>
  <c r="E1190" i="13"/>
  <c r="D1190" i="13"/>
  <c r="C1190" i="13"/>
  <c r="B1190" i="13"/>
  <c r="Z1189" i="13"/>
  <c r="AB1189" i="13" s="1"/>
  <c r="T1189" i="13"/>
  <c r="V1189" i="13" s="1"/>
  <c r="P1189" i="13"/>
  <c r="K1189" i="13"/>
  <c r="E1189" i="13"/>
  <c r="D1189" i="13"/>
  <c r="C1189" i="13"/>
  <c r="B1189" i="13"/>
  <c r="Z1188" i="13"/>
  <c r="AB1188" i="13" s="1"/>
  <c r="AC1188" i="13" s="1"/>
  <c r="T1188" i="13"/>
  <c r="P1188" i="13"/>
  <c r="K1188" i="13"/>
  <c r="E1188" i="13"/>
  <c r="D1188" i="13"/>
  <c r="C1188" i="13"/>
  <c r="B1188" i="13"/>
  <c r="Z1187" i="13"/>
  <c r="AB1187" i="13" s="1"/>
  <c r="T1187" i="13"/>
  <c r="V1187" i="13" s="1"/>
  <c r="P1187" i="13"/>
  <c r="K1187" i="13"/>
  <c r="E1187" i="13"/>
  <c r="D1187" i="13"/>
  <c r="C1187" i="13"/>
  <c r="B1187" i="13"/>
  <c r="Z1186" i="13"/>
  <c r="AA1186" i="13" s="1"/>
  <c r="T1186" i="13"/>
  <c r="V1186" i="13" s="1"/>
  <c r="P1186" i="13"/>
  <c r="K1186" i="13"/>
  <c r="E1186" i="13"/>
  <c r="D1186" i="13"/>
  <c r="C1186" i="13"/>
  <c r="B1186" i="13"/>
  <c r="Z1185" i="13"/>
  <c r="AB1185" i="13" s="1"/>
  <c r="AC1185" i="13" s="1"/>
  <c r="T1185" i="13"/>
  <c r="U1185" i="13" s="1"/>
  <c r="P1185" i="13"/>
  <c r="K1185" i="13"/>
  <c r="E1185" i="13"/>
  <c r="D1185" i="13"/>
  <c r="C1185" i="13"/>
  <c r="B1185" i="13"/>
  <c r="Z1184" i="13"/>
  <c r="T1184" i="13"/>
  <c r="V1184" i="13" s="1"/>
  <c r="P1184" i="13"/>
  <c r="K1184" i="13"/>
  <c r="E1184" i="13"/>
  <c r="D1184" i="13"/>
  <c r="C1184" i="13"/>
  <c r="B1184" i="13"/>
  <c r="Z1183" i="13"/>
  <c r="AB1183" i="13" s="1"/>
  <c r="AC1183" i="13" s="1"/>
  <c r="T1183" i="13"/>
  <c r="P1183" i="13"/>
  <c r="K1183" i="13"/>
  <c r="E1183" i="13"/>
  <c r="D1183" i="13"/>
  <c r="C1183" i="13"/>
  <c r="B1183" i="13"/>
  <c r="Z1182" i="13"/>
  <c r="AB1182" i="13" s="1"/>
  <c r="T1182" i="13"/>
  <c r="V1182" i="13" s="1"/>
  <c r="P1182" i="13"/>
  <c r="K1182" i="13"/>
  <c r="E1182" i="13"/>
  <c r="D1182" i="13"/>
  <c r="C1182" i="13"/>
  <c r="B1182" i="13"/>
  <c r="Z1181" i="13"/>
  <c r="AB1181" i="13" s="1"/>
  <c r="T1181" i="13"/>
  <c r="V1181" i="13" s="1"/>
  <c r="P1181" i="13"/>
  <c r="K1181" i="13"/>
  <c r="E1181" i="13"/>
  <c r="D1181" i="13"/>
  <c r="C1181" i="13"/>
  <c r="B1181" i="13"/>
  <c r="Z1180" i="13"/>
  <c r="AA1180" i="13" s="1"/>
  <c r="T1180" i="13"/>
  <c r="V1180" i="13" s="1"/>
  <c r="P1180" i="13"/>
  <c r="K1180" i="13"/>
  <c r="E1180" i="13"/>
  <c r="D1180" i="13"/>
  <c r="C1180" i="13"/>
  <c r="B1180" i="13"/>
  <c r="Z1179" i="13"/>
  <c r="AB1179" i="13" s="1"/>
  <c r="T1179" i="13"/>
  <c r="P1179" i="13"/>
  <c r="K1179" i="13"/>
  <c r="E1179" i="13"/>
  <c r="D1179" i="13"/>
  <c r="C1179" i="13"/>
  <c r="B1179" i="13"/>
  <c r="Z1178" i="13"/>
  <c r="AB1178" i="13" s="1"/>
  <c r="AC1178" i="13" s="1"/>
  <c r="T1178" i="13"/>
  <c r="U1178" i="13" s="1"/>
  <c r="W1178" i="13" s="1"/>
  <c r="P1178" i="13"/>
  <c r="K1178" i="13"/>
  <c r="E1178" i="13"/>
  <c r="D1178" i="13"/>
  <c r="C1178" i="13"/>
  <c r="B1178" i="13"/>
  <c r="Z1177" i="13"/>
  <c r="T1177" i="13"/>
  <c r="V1177" i="13" s="1"/>
  <c r="P1177" i="13"/>
  <c r="K1177" i="13"/>
  <c r="E1177" i="13"/>
  <c r="D1177" i="13"/>
  <c r="C1177" i="13"/>
  <c r="B1177" i="13"/>
  <c r="Z1176" i="13"/>
  <c r="AB1176" i="13" s="1"/>
  <c r="AC1176" i="13" s="1"/>
  <c r="T1176" i="13"/>
  <c r="P1176" i="13"/>
  <c r="K1176" i="13"/>
  <c r="E1176" i="13"/>
  <c r="D1176" i="13"/>
  <c r="C1176" i="13"/>
  <c r="B1176" i="13"/>
  <c r="Z1175" i="13"/>
  <c r="AB1175" i="13" s="1"/>
  <c r="T1175" i="13"/>
  <c r="V1175" i="13" s="1"/>
  <c r="P1175" i="13"/>
  <c r="K1175" i="13"/>
  <c r="E1175" i="13"/>
  <c r="D1175" i="13"/>
  <c r="C1175" i="13"/>
  <c r="B1175" i="13"/>
  <c r="Z1174" i="13"/>
  <c r="AB1174" i="13" s="1"/>
  <c r="T1174" i="13"/>
  <c r="V1174" i="13" s="1"/>
  <c r="P1174" i="13"/>
  <c r="K1174" i="13"/>
  <c r="E1174" i="13"/>
  <c r="D1174" i="13"/>
  <c r="C1174" i="13"/>
  <c r="B1174" i="13"/>
  <c r="Z1173" i="13"/>
  <c r="T1173" i="13"/>
  <c r="U1173" i="13" s="1"/>
  <c r="P1173" i="13"/>
  <c r="K1173" i="13"/>
  <c r="E1173" i="13"/>
  <c r="D1173" i="13"/>
  <c r="C1173" i="13"/>
  <c r="B1173" i="13"/>
  <c r="Z1172" i="13"/>
  <c r="AA1172" i="13" s="1"/>
  <c r="T1172" i="13"/>
  <c r="V1172" i="13" s="1"/>
  <c r="P1172" i="13"/>
  <c r="K1172" i="13"/>
  <c r="E1172" i="13"/>
  <c r="D1172" i="13"/>
  <c r="C1172" i="13"/>
  <c r="B1172" i="13"/>
  <c r="Z1171" i="13"/>
  <c r="AB1171" i="13" s="1"/>
  <c r="AC1171" i="13" s="1"/>
  <c r="T1171" i="13"/>
  <c r="P1171" i="13"/>
  <c r="K1171" i="13"/>
  <c r="E1171" i="13"/>
  <c r="D1171" i="13"/>
  <c r="C1171" i="13"/>
  <c r="B1171" i="13"/>
  <c r="Z1170" i="13"/>
  <c r="AA1170" i="13" s="1"/>
  <c r="T1170" i="13"/>
  <c r="P1170" i="13"/>
  <c r="K1170" i="13"/>
  <c r="E1170" i="13"/>
  <c r="D1170" i="13"/>
  <c r="C1170" i="13"/>
  <c r="B1170" i="13"/>
  <c r="Z1169" i="13"/>
  <c r="AB1169" i="13" s="1"/>
  <c r="AC1169" i="13" s="1"/>
  <c r="T1169" i="13"/>
  <c r="U1169" i="13" s="1"/>
  <c r="P1169" i="13"/>
  <c r="K1169" i="13"/>
  <c r="E1169" i="13"/>
  <c r="D1169" i="13"/>
  <c r="C1169" i="13"/>
  <c r="B1169" i="13"/>
  <c r="Z1168" i="13"/>
  <c r="T1168" i="13"/>
  <c r="P1168" i="13"/>
  <c r="K1168" i="13"/>
  <c r="E1168" i="13"/>
  <c r="D1168" i="13"/>
  <c r="C1168" i="13"/>
  <c r="B1168" i="13"/>
  <c r="Z1167" i="13"/>
  <c r="T1167" i="13"/>
  <c r="V1167" i="13" s="1"/>
  <c r="P1167" i="13"/>
  <c r="K1167" i="13"/>
  <c r="E1167" i="13"/>
  <c r="D1167" i="13"/>
  <c r="C1167" i="13"/>
  <c r="B1167" i="13"/>
  <c r="Z1166" i="13"/>
  <c r="AB1166" i="13" s="1"/>
  <c r="T1166" i="13"/>
  <c r="V1166" i="13" s="1"/>
  <c r="P1166" i="13"/>
  <c r="K1166" i="13"/>
  <c r="E1166" i="13"/>
  <c r="D1166" i="13"/>
  <c r="C1166" i="13"/>
  <c r="B1166" i="13"/>
  <c r="Z1165" i="13"/>
  <c r="AA1165" i="13" s="1"/>
  <c r="T1165" i="13"/>
  <c r="U1165" i="13" s="1"/>
  <c r="P1165" i="13"/>
  <c r="K1165" i="13"/>
  <c r="E1165" i="13"/>
  <c r="D1165" i="13"/>
  <c r="C1165" i="13"/>
  <c r="B1165" i="13"/>
  <c r="Z1164" i="13"/>
  <c r="T1164" i="13"/>
  <c r="U1164" i="13" s="1"/>
  <c r="P1164" i="13"/>
  <c r="K1164" i="13"/>
  <c r="E1164" i="13"/>
  <c r="D1164" i="13"/>
  <c r="C1164" i="13"/>
  <c r="B1164" i="13"/>
  <c r="Z1163" i="13"/>
  <c r="AB1163" i="13" s="1"/>
  <c r="AC1163" i="13" s="1"/>
  <c r="T1163" i="13"/>
  <c r="P1163" i="13"/>
  <c r="K1163" i="13"/>
  <c r="E1163" i="13"/>
  <c r="D1163" i="13"/>
  <c r="C1163" i="13"/>
  <c r="B1163" i="13"/>
  <c r="Z1162" i="13"/>
  <c r="AB1162" i="13" s="1"/>
  <c r="T1162" i="13"/>
  <c r="V1162" i="13" s="1"/>
  <c r="P1162" i="13"/>
  <c r="K1162" i="13"/>
  <c r="E1162" i="13"/>
  <c r="D1162" i="13"/>
  <c r="C1162" i="13"/>
  <c r="B1162" i="13"/>
  <c r="Z1161" i="13"/>
  <c r="AB1161" i="13" s="1"/>
  <c r="T1161" i="13"/>
  <c r="V1161" i="13" s="1"/>
  <c r="P1161" i="13"/>
  <c r="K1161" i="13"/>
  <c r="E1161" i="13"/>
  <c r="D1161" i="13"/>
  <c r="C1161" i="13"/>
  <c r="B1161" i="13"/>
  <c r="Z1160" i="13"/>
  <c r="AB1160" i="13" s="1"/>
  <c r="AC1160" i="13" s="1"/>
  <c r="T1160" i="13"/>
  <c r="V1160" i="13" s="1"/>
  <c r="P1160" i="13"/>
  <c r="K1160" i="13"/>
  <c r="E1160" i="13"/>
  <c r="D1160" i="13"/>
  <c r="C1160" i="13"/>
  <c r="B1160" i="13"/>
  <c r="Z1159" i="13"/>
  <c r="AB1159" i="13" s="1"/>
  <c r="T1159" i="13"/>
  <c r="P1159" i="13"/>
  <c r="K1159" i="13"/>
  <c r="E1159" i="13"/>
  <c r="D1159" i="13"/>
  <c r="C1159" i="13"/>
  <c r="B1159" i="13"/>
  <c r="Z1158" i="13"/>
  <c r="AA1158" i="13" s="1"/>
  <c r="T1158" i="13"/>
  <c r="V1158" i="13" s="1"/>
  <c r="P1158" i="13"/>
  <c r="K1158" i="13"/>
  <c r="E1158" i="13"/>
  <c r="D1158" i="13"/>
  <c r="C1158" i="13"/>
  <c r="B1158" i="13"/>
  <c r="Z1157" i="13"/>
  <c r="AA1157" i="13" s="1"/>
  <c r="T1157" i="13"/>
  <c r="U1157" i="13" s="1"/>
  <c r="W1157" i="13" s="1"/>
  <c r="P1157" i="13"/>
  <c r="K1157" i="13"/>
  <c r="E1157" i="13"/>
  <c r="D1157" i="13"/>
  <c r="C1157" i="13"/>
  <c r="B1157" i="13"/>
  <c r="Z1156" i="13"/>
  <c r="T1156" i="13"/>
  <c r="U1156" i="13" s="1"/>
  <c r="P1156" i="13"/>
  <c r="K1156" i="13"/>
  <c r="E1156" i="13"/>
  <c r="D1156" i="13"/>
  <c r="C1156" i="13"/>
  <c r="B1156" i="13"/>
  <c r="Z1155" i="13"/>
  <c r="AB1155" i="13" s="1"/>
  <c r="AC1155" i="13" s="1"/>
  <c r="T1155" i="13"/>
  <c r="P1155" i="13"/>
  <c r="K1155" i="13"/>
  <c r="E1155" i="13"/>
  <c r="D1155" i="13"/>
  <c r="C1155" i="13"/>
  <c r="B1155" i="13"/>
  <c r="Z1154" i="13"/>
  <c r="AB1154" i="13" s="1"/>
  <c r="T1154" i="13"/>
  <c r="V1154" i="13" s="1"/>
  <c r="P1154" i="13"/>
  <c r="K1154" i="13"/>
  <c r="E1154" i="13"/>
  <c r="D1154" i="13"/>
  <c r="C1154" i="13"/>
  <c r="B1154" i="13"/>
  <c r="Z1153" i="13"/>
  <c r="AB1153" i="13" s="1"/>
  <c r="T1153" i="13"/>
  <c r="V1153" i="13" s="1"/>
  <c r="P1153" i="13"/>
  <c r="K1153" i="13"/>
  <c r="E1153" i="13"/>
  <c r="D1153" i="13"/>
  <c r="C1153" i="13"/>
  <c r="B1153" i="13"/>
  <c r="Z1152" i="13"/>
  <c r="T1152" i="13"/>
  <c r="P1152" i="13"/>
  <c r="K1152" i="13"/>
  <c r="E1152" i="13"/>
  <c r="D1152" i="13"/>
  <c r="C1152" i="13"/>
  <c r="B1152" i="13"/>
  <c r="Z1151" i="13"/>
  <c r="T1151" i="13"/>
  <c r="V1151" i="13" s="1"/>
  <c r="P1151" i="13"/>
  <c r="K1151" i="13"/>
  <c r="E1151" i="13"/>
  <c r="D1151" i="13"/>
  <c r="C1151" i="13"/>
  <c r="B1151" i="13"/>
  <c r="Z1150" i="13"/>
  <c r="AA1150" i="13" s="1"/>
  <c r="T1150" i="13"/>
  <c r="P1150" i="13"/>
  <c r="K1150" i="13"/>
  <c r="E1150" i="13"/>
  <c r="D1150" i="13"/>
  <c r="C1150" i="13"/>
  <c r="B1150" i="13"/>
  <c r="Z1149" i="13"/>
  <c r="T1149" i="13"/>
  <c r="U1149" i="13" s="1"/>
  <c r="W1149" i="13" s="1"/>
  <c r="P1149" i="13"/>
  <c r="K1149" i="13"/>
  <c r="E1149" i="13"/>
  <c r="D1149" i="13"/>
  <c r="C1149" i="13"/>
  <c r="B1149" i="13"/>
  <c r="Z1148" i="13"/>
  <c r="T1148" i="13"/>
  <c r="U1148" i="13" s="1"/>
  <c r="P1148" i="13"/>
  <c r="K1148" i="13"/>
  <c r="E1148" i="13"/>
  <c r="D1148" i="13"/>
  <c r="C1148" i="13"/>
  <c r="B1148" i="13"/>
  <c r="Z1147" i="13"/>
  <c r="AB1147" i="13" s="1"/>
  <c r="T1147" i="13"/>
  <c r="P1147" i="13"/>
  <c r="K1147" i="13"/>
  <c r="E1147" i="13"/>
  <c r="D1147" i="13"/>
  <c r="C1147" i="13"/>
  <c r="B1147" i="13"/>
  <c r="Z1146" i="13"/>
  <c r="AB1146" i="13" s="1"/>
  <c r="T1146" i="13"/>
  <c r="V1146" i="13" s="1"/>
  <c r="P1146" i="13"/>
  <c r="K1146" i="13"/>
  <c r="E1146" i="13"/>
  <c r="D1146" i="13"/>
  <c r="C1146" i="13"/>
  <c r="B1146" i="13"/>
  <c r="Z1145" i="13"/>
  <c r="AB1145" i="13" s="1"/>
  <c r="T1145" i="13"/>
  <c r="V1145" i="13" s="1"/>
  <c r="P1145" i="13"/>
  <c r="K1145" i="13"/>
  <c r="E1145" i="13"/>
  <c r="D1145" i="13"/>
  <c r="C1145" i="13"/>
  <c r="B1145" i="13"/>
  <c r="Z1144" i="13"/>
  <c r="AB1144" i="13" s="1"/>
  <c r="AC1144" i="13" s="1"/>
  <c r="T1144" i="13"/>
  <c r="P1144" i="13"/>
  <c r="K1144" i="13"/>
  <c r="E1144" i="13"/>
  <c r="D1144" i="13"/>
  <c r="C1144" i="13"/>
  <c r="B1144" i="13"/>
  <c r="Z1143" i="13"/>
  <c r="AB1143" i="13" s="1"/>
  <c r="T1143" i="13"/>
  <c r="U1143" i="13" s="1"/>
  <c r="W1143" i="13" s="1"/>
  <c r="P1143" i="13"/>
  <c r="K1143" i="13"/>
  <c r="E1143" i="13"/>
  <c r="D1143" i="13"/>
  <c r="C1143" i="13"/>
  <c r="B1143" i="13"/>
  <c r="Z1142" i="13"/>
  <c r="AA1142" i="13" s="1"/>
  <c r="T1142" i="13"/>
  <c r="V1142" i="13" s="1"/>
  <c r="P1142" i="13"/>
  <c r="K1142" i="13"/>
  <c r="E1142" i="13"/>
  <c r="D1142" i="13"/>
  <c r="C1142" i="13"/>
  <c r="B1142" i="13"/>
  <c r="Z1141" i="13"/>
  <c r="AA1141" i="13" s="1"/>
  <c r="T1141" i="13"/>
  <c r="U1141" i="13" s="1"/>
  <c r="P1141" i="13"/>
  <c r="K1141" i="13"/>
  <c r="E1141" i="13"/>
  <c r="D1141" i="13"/>
  <c r="C1141" i="13"/>
  <c r="B1141" i="13"/>
  <c r="Z1140" i="13"/>
  <c r="T1140" i="13"/>
  <c r="U1140" i="13" s="1"/>
  <c r="P1140" i="13"/>
  <c r="K1140" i="13"/>
  <c r="E1140" i="13"/>
  <c r="D1140" i="13"/>
  <c r="C1140" i="13"/>
  <c r="B1140" i="13"/>
  <c r="Z1139" i="13"/>
  <c r="AB1139" i="13" s="1"/>
  <c r="AC1139" i="13" s="1"/>
  <c r="T1139" i="13"/>
  <c r="P1139" i="13"/>
  <c r="K1139" i="13"/>
  <c r="E1139" i="13"/>
  <c r="D1139" i="13"/>
  <c r="C1139" i="13"/>
  <c r="B1139" i="13"/>
  <c r="Z1138" i="13"/>
  <c r="AB1138" i="13" s="1"/>
  <c r="T1138" i="13"/>
  <c r="V1138" i="13" s="1"/>
  <c r="P1138" i="13"/>
  <c r="K1138" i="13"/>
  <c r="E1138" i="13"/>
  <c r="D1138" i="13"/>
  <c r="C1138" i="13"/>
  <c r="B1138" i="13"/>
  <c r="Z1137" i="13"/>
  <c r="AB1137" i="13" s="1"/>
  <c r="AC1137" i="13" s="1"/>
  <c r="T1137" i="13"/>
  <c r="P1137" i="13"/>
  <c r="K1137" i="13"/>
  <c r="E1137" i="13"/>
  <c r="D1137" i="13"/>
  <c r="C1137" i="13"/>
  <c r="B1137" i="13"/>
  <c r="Z1136" i="13"/>
  <c r="AB1136" i="13" s="1"/>
  <c r="T1136" i="13"/>
  <c r="U1136" i="13" s="1"/>
  <c r="P1136" i="13"/>
  <c r="K1136" i="13"/>
  <c r="E1136" i="13"/>
  <c r="D1136" i="13"/>
  <c r="C1136" i="13"/>
  <c r="B1136" i="13"/>
  <c r="Z1135" i="13"/>
  <c r="AA1135" i="13" s="1"/>
  <c r="T1135" i="13"/>
  <c r="V1135" i="13" s="1"/>
  <c r="P1135" i="13"/>
  <c r="K1135" i="13"/>
  <c r="E1135" i="13"/>
  <c r="D1135" i="13"/>
  <c r="C1135" i="13"/>
  <c r="B1135" i="13"/>
  <c r="Z1134" i="13"/>
  <c r="AA1134" i="13" s="1"/>
  <c r="T1134" i="13"/>
  <c r="U1134" i="13" s="1"/>
  <c r="P1134" i="13"/>
  <c r="K1134" i="13"/>
  <c r="E1134" i="13"/>
  <c r="D1134" i="13"/>
  <c r="C1134" i="13"/>
  <c r="B1134" i="13"/>
  <c r="Z1133" i="13"/>
  <c r="T1133" i="13"/>
  <c r="P1133" i="13"/>
  <c r="K1133" i="13"/>
  <c r="E1133" i="13"/>
  <c r="D1133" i="13"/>
  <c r="C1133" i="13"/>
  <c r="B1133" i="13"/>
  <c r="Z1132" i="13"/>
  <c r="T1132" i="13"/>
  <c r="P1132" i="13"/>
  <c r="K1132" i="13"/>
  <c r="E1132" i="13"/>
  <c r="D1132" i="13"/>
  <c r="C1132" i="13"/>
  <c r="B1132" i="13"/>
  <c r="Z1131" i="13"/>
  <c r="AB1131" i="13" s="1"/>
  <c r="T1131" i="13"/>
  <c r="V1131" i="13" s="1"/>
  <c r="P1131" i="13"/>
  <c r="K1131" i="13"/>
  <c r="E1131" i="13"/>
  <c r="D1131" i="13"/>
  <c r="C1131" i="13"/>
  <c r="B1131" i="13"/>
  <c r="Z1130" i="13"/>
  <c r="AB1130" i="13" s="1"/>
  <c r="T1130" i="13"/>
  <c r="V1130" i="13" s="1"/>
  <c r="P1130" i="13"/>
  <c r="K1130" i="13"/>
  <c r="E1130" i="13"/>
  <c r="D1130" i="13"/>
  <c r="C1130" i="13"/>
  <c r="B1130" i="13"/>
  <c r="Z1129" i="13"/>
  <c r="AB1129" i="13" s="1"/>
  <c r="AC1129" i="13" s="1"/>
  <c r="T1129" i="13"/>
  <c r="V1129" i="13" s="1"/>
  <c r="P1129" i="13"/>
  <c r="K1129" i="13"/>
  <c r="E1129" i="13"/>
  <c r="D1129" i="13"/>
  <c r="C1129" i="13"/>
  <c r="B1129" i="13"/>
  <c r="Z1128" i="13"/>
  <c r="AA1128" i="13" s="1"/>
  <c r="T1128" i="13"/>
  <c r="V1128" i="13" s="1"/>
  <c r="P1128" i="13"/>
  <c r="K1128" i="13"/>
  <c r="E1128" i="13"/>
  <c r="D1128" i="13"/>
  <c r="C1128" i="13"/>
  <c r="B1128" i="13"/>
  <c r="Z1127" i="13"/>
  <c r="AA1127" i="13" s="1"/>
  <c r="T1127" i="13"/>
  <c r="U1127" i="13" s="1"/>
  <c r="P1127" i="13"/>
  <c r="K1127" i="13"/>
  <c r="E1127" i="13"/>
  <c r="D1127" i="13"/>
  <c r="C1127" i="13"/>
  <c r="B1127" i="13"/>
  <c r="Z1126" i="13"/>
  <c r="AA1126" i="13" s="1"/>
  <c r="T1126" i="13"/>
  <c r="U1126" i="13" s="1"/>
  <c r="P1126" i="13"/>
  <c r="K1126" i="13"/>
  <c r="E1126" i="13"/>
  <c r="D1126" i="13"/>
  <c r="C1126" i="13"/>
  <c r="B1126" i="13"/>
  <c r="Z1125" i="13"/>
  <c r="T1125" i="13"/>
  <c r="U1125" i="13" s="1"/>
  <c r="P1125" i="13"/>
  <c r="K1125" i="13"/>
  <c r="E1125" i="13"/>
  <c r="D1125" i="13"/>
  <c r="C1125" i="13"/>
  <c r="B1125" i="13"/>
  <c r="Z1124" i="13"/>
  <c r="AB1124" i="13" s="1"/>
  <c r="AC1124" i="13" s="1"/>
  <c r="T1124" i="13"/>
  <c r="P1124" i="13"/>
  <c r="K1124" i="13"/>
  <c r="E1124" i="13"/>
  <c r="D1124" i="13"/>
  <c r="C1124" i="13"/>
  <c r="B1124" i="13"/>
  <c r="Z1123" i="13"/>
  <c r="AB1123" i="13" s="1"/>
  <c r="T1123" i="13"/>
  <c r="V1123" i="13" s="1"/>
  <c r="P1123" i="13"/>
  <c r="K1123" i="13"/>
  <c r="E1123" i="13"/>
  <c r="D1123" i="13"/>
  <c r="C1123" i="13"/>
  <c r="B1123" i="13"/>
  <c r="Z1122" i="13"/>
  <c r="AB1122" i="13" s="1"/>
  <c r="T1122" i="13"/>
  <c r="V1122" i="13" s="1"/>
  <c r="P1122" i="13"/>
  <c r="K1122" i="13"/>
  <c r="E1122" i="13"/>
  <c r="D1122" i="13"/>
  <c r="C1122" i="13"/>
  <c r="B1122" i="13"/>
  <c r="Z1121" i="13"/>
  <c r="AB1121" i="13" s="1"/>
  <c r="AC1121" i="13" s="1"/>
  <c r="T1121" i="13"/>
  <c r="V1121" i="13" s="1"/>
  <c r="P1121" i="13"/>
  <c r="K1121" i="13"/>
  <c r="E1121" i="13"/>
  <c r="D1121" i="13"/>
  <c r="C1121" i="13"/>
  <c r="B1121" i="13"/>
  <c r="Z1120" i="13"/>
  <c r="AB1120" i="13" s="1"/>
  <c r="T1120" i="13"/>
  <c r="V1120" i="13" s="1"/>
  <c r="P1120" i="13"/>
  <c r="K1120" i="13"/>
  <c r="E1120" i="13"/>
  <c r="D1120" i="13"/>
  <c r="C1120" i="13"/>
  <c r="B1120" i="13"/>
  <c r="Z1119" i="13"/>
  <c r="AA1119" i="13" s="1"/>
  <c r="T1119" i="13"/>
  <c r="V1119" i="13" s="1"/>
  <c r="P1119" i="13"/>
  <c r="K1119" i="13"/>
  <c r="E1119" i="13"/>
  <c r="D1119" i="13"/>
  <c r="C1119" i="13"/>
  <c r="B1119" i="13"/>
  <c r="Z1118" i="13"/>
  <c r="AA1118" i="13" s="1"/>
  <c r="T1118" i="13"/>
  <c r="U1118" i="13" s="1"/>
  <c r="P1118" i="13"/>
  <c r="K1118" i="13"/>
  <c r="E1118" i="13"/>
  <c r="D1118" i="13"/>
  <c r="C1118" i="13"/>
  <c r="B1118" i="13"/>
  <c r="Z1117" i="13"/>
  <c r="T1117" i="13"/>
  <c r="U1117" i="13" s="1"/>
  <c r="P1117" i="13"/>
  <c r="K1117" i="13"/>
  <c r="E1117" i="13"/>
  <c r="D1117" i="13"/>
  <c r="C1117" i="13"/>
  <c r="B1117" i="13"/>
  <c r="Z1116" i="13"/>
  <c r="AB1116" i="13" s="1"/>
  <c r="AC1116" i="13" s="1"/>
  <c r="T1116" i="13"/>
  <c r="P1116" i="13"/>
  <c r="K1116" i="13"/>
  <c r="E1116" i="13"/>
  <c r="D1116" i="13"/>
  <c r="C1116" i="13"/>
  <c r="B1116" i="13"/>
  <c r="Z1115" i="13"/>
  <c r="AB1115" i="13" s="1"/>
  <c r="T1115" i="13"/>
  <c r="V1115" i="13" s="1"/>
  <c r="P1115" i="13"/>
  <c r="K1115" i="13"/>
  <c r="E1115" i="13"/>
  <c r="D1115" i="13"/>
  <c r="C1115" i="13"/>
  <c r="B1115" i="13"/>
  <c r="Z1114" i="13"/>
  <c r="AB1114" i="13" s="1"/>
  <c r="T1114" i="13"/>
  <c r="V1114" i="13" s="1"/>
  <c r="P1114" i="13"/>
  <c r="K1114" i="13"/>
  <c r="E1114" i="13"/>
  <c r="D1114" i="13"/>
  <c r="C1114" i="13"/>
  <c r="B1114" i="13"/>
  <c r="Z1113" i="13"/>
  <c r="T1113" i="13"/>
  <c r="V1113" i="13" s="1"/>
  <c r="P1113" i="13"/>
  <c r="K1113" i="13"/>
  <c r="E1113" i="13"/>
  <c r="D1113" i="13"/>
  <c r="C1113" i="13"/>
  <c r="B1113" i="13"/>
  <c r="Z1112" i="13"/>
  <c r="AB1112" i="13" s="1"/>
  <c r="T1112" i="13"/>
  <c r="V1112" i="13" s="1"/>
  <c r="P1112" i="13"/>
  <c r="K1112" i="13"/>
  <c r="E1112" i="13"/>
  <c r="D1112" i="13"/>
  <c r="C1112" i="13"/>
  <c r="B1112" i="13"/>
  <c r="Z1111" i="13"/>
  <c r="AA1111" i="13" s="1"/>
  <c r="T1111" i="13"/>
  <c r="V1111" i="13" s="1"/>
  <c r="P1111" i="13"/>
  <c r="K1111" i="13"/>
  <c r="E1111" i="13"/>
  <c r="D1111" i="13"/>
  <c r="C1111" i="13"/>
  <c r="B1111" i="13"/>
  <c r="Z1110" i="13"/>
  <c r="AA1110" i="13" s="1"/>
  <c r="T1110" i="13"/>
  <c r="U1110" i="13" s="1"/>
  <c r="P1110" i="13"/>
  <c r="K1110" i="13"/>
  <c r="E1110" i="13"/>
  <c r="D1110" i="13"/>
  <c r="C1110" i="13"/>
  <c r="B1110" i="13"/>
  <c r="Z1109" i="13"/>
  <c r="T1109" i="13"/>
  <c r="U1109" i="13" s="1"/>
  <c r="P1109" i="13"/>
  <c r="K1109" i="13"/>
  <c r="E1109" i="13"/>
  <c r="D1109" i="13"/>
  <c r="C1109" i="13"/>
  <c r="B1109" i="13"/>
  <c r="Z1108" i="13"/>
  <c r="AB1108" i="13" s="1"/>
  <c r="AC1108" i="13" s="1"/>
  <c r="T1108" i="13"/>
  <c r="P1108" i="13"/>
  <c r="K1108" i="13"/>
  <c r="E1108" i="13"/>
  <c r="D1108" i="13"/>
  <c r="C1108" i="13"/>
  <c r="B1108" i="13"/>
  <c r="Z1107" i="13"/>
  <c r="AB1107" i="13" s="1"/>
  <c r="T1107" i="13"/>
  <c r="V1107" i="13" s="1"/>
  <c r="P1107" i="13"/>
  <c r="K1107" i="13"/>
  <c r="E1107" i="13"/>
  <c r="D1107" i="13"/>
  <c r="C1107" i="13"/>
  <c r="B1107" i="13"/>
  <c r="Z1106" i="13"/>
  <c r="AB1106" i="13" s="1"/>
  <c r="T1106" i="13"/>
  <c r="P1106" i="13"/>
  <c r="K1106" i="13"/>
  <c r="E1106" i="13"/>
  <c r="D1106" i="13"/>
  <c r="C1106" i="13"/>
  <c r="B1106" i="13"/>
  <c r="Z1105" i="13"/>
  <c r="AB1105" i="13" s="1"/>
  <c r="AC1105" i="13" s="1"/>
  <c r="T1105" i="13"/>
  <c r="V1105" i="13" s="1"/>
  <c r="P1105" i="13"/>
  <c r="K1105" i="13"/>
  <c r="E1105" i="13"/>
  <c r="D1105" i="13"/>
  <c r="C1105" i="13"/>
  <c r="B1105" i="13"/>
  <c r="Z1104" i="13"/>
  <c r="AA1104" i="13" s="1"/>
  <c r="T1104" i="13"/>
  <c r="P1104" i="13"/>
  <c r="K1104" i="13"/>
  <c r="E1104" i="13"/>
  <c r="D1104" i="13"/>
  <c r="C1104" i="13"/>
  <c r="B1104" i="13"/>
  <c r="Z1103" i="13"/>
  <c r="T1103" i="13"/>
  <c r="P1103" i="13"/>
  <c r="K1103" i="13"/>
  <c r="E1103" i="13"/>
  <c r="D1103" i="13"/>
  <c r="C1103" i="13"/>
  <c r="B1103" i="13"/>
  <c r="Z1102" i="13"/>
  <c r="T1102" i="13"/>
  <c r="U1102" i="13" s="1"/>
  <c r="W1102" i="13" s="1"/>
  <c r="P1102" i="13"/>
  <c r="K1102" i="13"/>
  <c r="E1102" i="13"/>
  <c r="D1102" i="13"/>
  <c r="C1102" i="13"/>
  <c r="B1102" i="13"/>
  <c r="Z1101" i="13"/>
  <c r="T1101" i="13"/>
  <c r="U1101" i="13" s="1"/>
  <c r="W1101" i="13" s="1"/>
  <c r="P1101" i="13"/>
  <c r="K1101" i="13"/>
  <c r="E1101" i="13"/>
  <c r="D1101" i="13"/>
  <c r="C1101" i="13"/>
  <c r="B1101" i="13"/>
  <c r="Z1100" i="13"/>
  <c r="AB1100" i="13" s="1"/>
  <c r="T1100" i="13"/>
  <c r="P1100" i="13"/>
  <c r="K1100" i="13"/>
  <c r="E1100" i="13"/>
  <c r="D1100" i="13"/>
  <c r="C1100" i="13"/>
  <c r="B1100" i="13"/>
  <c r="Z1099" i="13"/>
  <c r="AB1099" i="13" s="1"/>
  <c r="T1099" i="13"/>
  <c r="P1099" i="13"/>
  <c r="K1099" i="13"/>
  <c r="E1099" i="13"/>
  <c r="D1099" i="13"/>
  <c r="C1099" i="13"/>
  <c r="B1099" i="13"/>
  <c r="Z1098" i="13"/>
  <c r="T1098" i="13"/>
  <c r="P1098" i="13"/>
  <c r="K1098" i="13"/>
  <c r="E1098" i="13"/>
  <c r="D1098" i="13"/>
  <c r="C1098" i="13"/>
  <c r="B1098" i="13"/>
  <c r="Z1097" i="13"/>
  <c r="AB1097" i="13" s="1"/>
  <c r="AC1097" i="13" s="1"/>
  <c r="T1097" i="13"/>
  <c r="V1097" i="13" s="1"/>
  <c r="P1097" i="13"/>
  <c r="K1097" i="13"/>
  <c r="E1097" i="13"/>
  <c r="D1097" i="13"/>
  <c r="C1097" i="13"/>
  <c r="B1097" i="13"/>
  <c r="Z1096" i="13"/>
  <c r="AA1096" i="13" s="1"/>
  <c r="T1096" i="13"/>
  <c r="P1096" i="13"/>
  <c r="K1096" i="13"/>
  <c r="E1096" i="13"/>
  <c r="D1096" i="13"/>
  <c r="C1096" i="13"/>
  <c r="B1096" i="13"/>
  <c r="Z1095" i="13"/>
  <c r="T1095" i="13"/>
  <c r="P1095" i="13"/>
  <c r="K1095" i="13"/>
  <c r="E1095" i="13"/>
  <c r="D1095" i="13"/>
  <c r="C1095" i="13"/>
  <c r="B1095" i="13"/>
  <c r="Z1094" i="13"/>
  <c r="T1094" i="13"/>
  <c r="U1094" i="13" s="1"/>
  <c r="P1094" i="13"/>
  <c r="K1094" i="13"/>
  <c r="E1094" i="13"/>
  <c r="D1094" i="13"/>
  <c r="C1094" i="13"/>
  <c r="B1094" i="13"/>
  <c r="Z1093" i="13"/>
  <c r="T1093" i="13"/>
  <c r="U1093" i="13" s="1"/>
  <c r="P1093" i="13"/>
  <c r="K1093" i="13"/>
  <c r="E1093" i="13"/>
  <c r="D1093" i="13"/>
  <c r="C1093" i="13"/>
  <c r="B1093" i="13"/>
  <c r="Z1092" i="13"/>
  <c r="AB1092" i="13" s="1"/>
  <c r="T1092" i="13"/>
  <c r="P1092" i="13"/>
  <c r="K1092" i="13"/>
  <c r="E1092" i="13"/>
  <c r="D1092" i="13"/>
  <c r="C1092" i="13"/>
  <c r="B1092" i="13"/>
  <c r="Z1091" i="13"/>
  <c r="AB1091" i="13" s="1"/>
  <c r="T1091" i="13"/>
  <c r="P1091" i="13"/>
  <c r="K1091" i="13"/>
  <c r="E1091" i="13"/>
  <c r="D1091" i="13"/>
  <c r="C1091" i="13"/>
  <c r="B1091" i="13"/>
  <c r="Z1090" i="13"/>
  <c r="T1090" i="13"/>
  <c r="V1090" i="13" s="1"/>
  <c r="P1090" i="13"/>
  <c r="K1090" i="13"/>
  <c r="E1090" i="13"/>
  <c r="D1090" i="13"/>
  <c r="C1090" i="13"/>
  <c r="B1090" i="13"/>
  <c r="Z1089" i="13"/>
  <c r="AA1089" i="13" s="1"/>
  <c r="T1089" i="13"/>
  <c r="V1089" i="13" s="1"/>
  <c r="P1089" i="13"/>
  <c r="K1089" i="13"/>
  <c r="E1089" i="13"/>
  <c r="D1089" i="13"/>
  <c r="C1089" i="13"/>
  <c r="B1089" i="13"/>
  <c r="Z1088" i="13"/>
  <c r="AA1088" i="13" s="1"/>
  <c r="T1088" i="13"/>
  <c r="U1088" i="13" s="1"/>
  <c r="W1088" i="13" s="1"/>
  <c r="P1088" i="13"/>
  <c r="K1088" i="13"/>
  <c r="E1088" i="13"/>
  <c r="D1088" i="13"/>
  <c r="C1088" i="13"/>
  <c r="B1088" i="13"/>
  <c r="Z1087" i="13"/>
  <c r="AA1087" i="13" s="1"/>
  <c r="T1087" i="13"/>
  <c r="U1087" i="13" s="1"/>
  <c r="P1087" i="13"/>
  <c r="K1087" i="13"/>
  <c r="E1087" i="13"/>
  <c r="D1087" i="13"/>
  <c r="C1087" i="13"/>
  <c r="B1087" i="13"/>
  <c r="Z1086" i="13"/>
  <c r="AA1086" i="13" s="1"/>
  <c r="T1086" i="13"/>
  <c r="U1086" i="13" s="1"/>
  <c r="W1086" i="13" s="1"/>
  <c r="P1086" i="13"/>
  <c r="K1086" i="13"/>
  <c r="E1086" i="13"/>
  <c r="D1086" i="13"/>
  <c r="C1086" i="13"/>
  <c r="B1086" i="13"/>
  <c r="Z1085" i="13"/>
  <c r="T1085" i="13"/>
  <c r="U1085" i="13" s="1"/>
  <c r="P1085" i="13"/>
  <c r="K1085" i="13"/>
  <c r="E1085" i="13"/>
  <c r="D1085" i="13"/>
  <c r="C1085" i="13"/>
  <c r="B1085" i="13"/>
  <c r="Z1084" i="13"/>
  <c r="AB1084" i="13" s="1"/>
  <c r="AC1084" i="13" s="1"/>
  <c r="T1084" i="13"/>
  <c r="P1084" i="13"/>
  <c r="K1084" i="13"/>
  <c r="E1084" i="13"/>
  <c r="D1084" i="13"/>
  <c r="C1084" i="13"/>
  <c r="B1084" i="13"/>
  <c r="Z1083" i="13"/>
  <c r="T1083" i="13"/>
  <c r="V1083" i="13" s="1"/>
  <c r="P1083" i="13"/>
  <c r="K1083" i="13"/>
  <c r="E1083" i="13"/>
  <c r="D1083" i="13"/>
  <c r="C1083" i="13"/>
  <c r="B1083" i="13"/>
  <c r="Z1082" i="13"/>
  <c r="AB1082" i="13" s="1"/>
  <c r="T1082" i="13"/>
  <c r="V1082" i="13" s="1"/>
  <c r="P1082" i="13"/>
  <c r="K1082" i="13"/>
  <c r="E1082" i="13"/>
  <c r="D1082" i="13"/>
  <c r="C1082" i="13"/>
  <c r="B1082" i="13"/>
  <c r="Z1081" i="13"/>
  <c r="T1081" i="13"/>
  <c r="V1081" i="13" s="1"/>
  <c r="P1081" i="13"/>
  <c r="K1081" i="13"/>
  <c r="E1081" i="13"/>
  <c r="D1081" i="13"/>
  <c r="C1081" i="13"/>
  <c r="B1081" i="13"/>
  <c r="Z1080" i="13"/>
  <c r="AA1080" i="13" s="1"/>
  <c r="T1080" i="13"/>
  <c r="U1080" i="13" s="1"/>
  <c r="P1080" i="13"/>
  <c r="K1080" i="13"/>
  <c r="E1080" i="13"/>
  <c r="D1080" i="13"/>
  <c r="C1080" i="13"/>
  <c r="B1080" i="13"/>
  <c r="Z1079" i="13"/>
  <c r="AA1079" i="13" s="1"/>
  <c r="T1079" i="13"/>
  <c r="U1079" i="13" s="1"/>
  <c r="P1079" i="13"/>
  <c r="K1079" i="13"/>
  <c r="E1079" i="13"/>
  <c r="D1079" i="13"/>
  <c r="C1079" i="13"/>
  <c r="B1079" i="13"/>
  <c r="Z1078" i="13"/>
  <c r="AA1078" i="13" s="1"/>
  <c r="T1078" i="13"/>
  <c r="U1078" i="13" s="1"/>
  <c r="P1078" i="13"/>
  <c r="K1078" i="13"/>
  <c r="E1078" i="13"/>
  <c r="D1078" i="13"/>
  <c r="C1078" i="13"/>
  <c r="B1078" i="13"/>
  <c r="Z1077" i="13"/>
  <c r="T1077" i="13"/>
  <c r="U1077" i="13" s="1"/>
  <c r="P1077" i="13"/>
  <c r="K1077" i="13"/>
  <c r="E1077" i="13"/>
  <c r="D1077" i="13"/>
  <c r="C1077" i="13"/>
  <c r="B1077" i="13"/>
  <c r="Z1076" i="13"/>
  <c r="AB1076" i="13" s="1"/>
  <c r="AC1076" i="13" s="1"/>
  <c r="T1076" i="13"/>
  <c r="P1076" i="13"/>
  <c r="K1076" i="13"/>
  <c r="E1076" i="13"/>
  <c r="D1076" i="13"/>
  <c r="C1076" i="13"/>
  <c r="B1076" i="13"/>
  <c r="Z1075" i="13"/>
  <c r="AB1075" i="13" s="1"/>
  <c r="T1075" i="13"/>
  <c r="V1075" i="13" s="1"/>
  <c r="P1075" i="13"/>
  <c r="K1075" i="13"/>
  <c r="E1075" i="13"/>
  <c r="D1075" i="13"/>
  <c r="C1075" i="13"/>
  <c r="B1075" i="13"/>
  <c r="Z1074" i="13"/>
  <c r="AB1074" i="13" s="1"/>
  <c r="T1074" i="13"/>
  <c r="V1074" i="13" s="1"/>
  <c r="P1074" i="13"/>
  <c r="K1074" i="13"/>
  <c r="E1074" i="13"/>
  <c r="D1074" i="13"/>
  <c r="C1074" i="13"/>
  <c r="B1074" i="13"/>
  <c r="Z1073" i="13"/>
  <c r="AA1073" i="13" s="1"/>
  <c r="T1073" i="13"/>
  <c r="V1073" i="13" s="1"/>
  <c r="P1073" i="13"/>
  <c r="K1073" i="13"/>
  <c r="E1073" i="13"/>
  <c r="D1073" i="13"/>
  <c r="C1073" i="13"/>
  <c r="B1073" i="13"/>
  <c r="Z1072" i="13"/>
  <c r="AA1072" i="13" s="1"/>
  <c r="T1072" i="13"/>
  <c r="V1072" i="13" s="1"/>
  <c r="P1072" i="13"/>
  <c r="K1072" i="13"/>
  <c r="E1072" i="13"/>
  <c r="D1072" i="13"/>
  <c r="C1072" i="13"/>
  <c r="B1072" i="13"/>
  <c r="Z1071" i="13"/>
  <c r="AA1071" i="13" s="1"/>
  <c r="T1071" i="13"/>
  <c r="U1071" i="13" s="1"/>
  <c r="P1071" i="13"/>
  <c r="K1071" i="13"/>
  <c r="E1071" i="13"/>
  <c r="D1071" i="13"/>
  <c r="C1071" i="13"/>
  <c r="B1071" i="13"/>
  <c r="Z1070" i="13"/>
  <c r="AA1070" i="13" s="1"/>
  <c r="T1070" i="13"/>
  <c r="U1070" i="13" s="1"/>
  <c r="P1070" i="13"/>
  <c r="K1070" i="13"/>
  <c r="E1070" i="13"/>
  <c r="D1070" i="13"/>
  <c r="C1070" i="13"/>
  <c r="B1070" i="13"/>
  <c r="Z1069" i="13"/>
  <c r="T1069" i="13"/>
  <c r="U1069" i="13" s="1"/>
  <c r="P1069" i="13"/>
  <c r="K1069" i="13"/>
  <c r="E1069" i="13"/>
  <c r="D1069" i="13"/>
  <c r="C1069" i="13"/>
  <c r="B1069" i="13"/>
  <c r="Z1068" i="13"/>
  <c r="AB1068" i="13" s="1"/>
  <c r="T1068" i="13"/>
  <c r="P1068" i="13"/>
  <c r="K1068" i="13"/>
  <c r="E1068" i="13"/>
  <c r="D1068" i="13"/>
  <c r="C1068" i="13"/>
  <c r="B1068" i="13"/>
  <c r="Z1067" i="13"/>
  <c r="AB1067" i="13" s="1"/>
  <c r="T1067" i="13"/>
  <c r="V1067" i="13" s="1"/>
  <c r="P1067" i="13"/>
  <c r="K1067" i="13"/>
  <c r="E1067" i="13"/>
  <c r="D1067" i="13"/>
  <c r="C1067" i="13"/>
  <c r="B1067" i="13"/>
  <c r="Z1066" i="13"/>
  <c r="AB1066" i="13" s="1"/>
  <c r="T1066" i="13"/>
  <c r="V1066" i="13" s="1"/>
  <c r="P1066" i="13"/>
  <c r="K1066" i="13"/>
  <c r="E1066" i="13"/>
  <c r="D1066" i="13"/>
  <c r="C1066" i="13"/>
  <c r="B1066" i="13"/>
  <c r="Z1065" i="13"/>
  <c r="AB1065" i="13" s="1"/>
  <c r="AC1065" i="13" s="1"/>
  <c r="T1065" i="13"/>
  <c r="V1065" i="13" s="1"/>
  <c r="P1065" i="13"/>
  <c r="K1065" i="13"/>
  <c r="E1065" i="13"/>
  <c r="D1065" i="13"/>
  <c r="C1065" i="13"/>
  <c r="B1065" i="13"/>
  <c r="Z1064" i="13"/>
  <c r="AB1064" i="13" s="1"/>
  <c r="T1064" i="13"/>
  <c r="U1064" i="13" s="1"/>
  <c r="P1064" i="13"/>
  <c r="K1064" i="13"/>
  <c r="E1064" i="13"/>
  <c r="D1064" i="13"/>
  <c r="C1064" i="13"/>
  <c r="B1064" i="13"/>
  <c r="Z1063" i="13"/>
  <c r="AA1063" i="13" s="1"/>
  <c r="T1063" i="13"/>
  <c r="V1063" i="13" s="1"/>
  <c r="P1063" i="13"/>
  <c r="K1063" i="13"/>
  <c r="E1063" i="13"/>
  <c r="D1063" i="13"/>
  <c r="C1063" i="13"/>
  <c r="B1063" i="13"/>
  <c r="Z1062" i="13"/>
  <c r="AA1062" i="13" s="1"/>
  <c r="T1062" i="13"/>
  <c r="P1062" i="13"/>
  <c r="K1062" i="13"/>
  <c r="E1062" i="13"/>
  <c r="D1062" i="13"/>
  <c r="C1062" i="13"/>
  <c r="B1062" i="13"/>
  <c r="Z1061" i="13"/>
  <c r="T1061" i="13"/>
  <c r="U1061" i="13" s="1"/>
  <c r="W1061" i="13" s="1"/>
  <c r="P1061" i="13"/>
  <c r="K1061" i="13"/>
  <c r="E1061" i="13"/>
  <c r="D1061" i="13"/>
  <c r="C1061" i="13"/>
  <c r="B1061" i="13"/>
  <c r="Z1060" i="13"/>
  <c r="AB1060" i="13" s="1"/>
  <c r="AC1060" i="13" s="1"/>
  <c r="T1060" i="13"/>
  <c r="P1060" i="13"/>
  <c r="K1060" i="13"/>
  <c r="E1060" i="13"/>
  <c r="D1060" i="13"/>
  <c r="C1060" i="13"/>
  <c r="B1060" i="13"/>
  <c r="Z1059" i="13"/>
  <c r="AB1059" i="13" s="1"/>
  <c r="T1059" i="13"/>
  <c r="V1059" i="13" s="1"/>
  <c r="P1059" i="13"/>
  <c r="K1059" i="13"/>
  <c r="E1059" i="13"/>
  <c r="D1059" i="13"/>
  <c r="C1059" i="13"/>
  <c r="B1059" i="13"/>
  <c r="Z1058" i="13"/>
  <c r="AB1058" i="13" s="1"/>
  <c r="T1058" i="13"/>
  <c r="V1058" i="13" s="1"/>
  <c r="P1058" i="13"/>
  <c r="K1058" i="13"/>
  <c r="E1058" i="13"/>
  <c r="D1058" i="13"/>
  <c r="C1058" i="13"/>
  <c r="B1058" i="13"/>
  <c r="Z1057" i="13"/>
  <c r="AA1057" i="13" s="1"/>
  <c r="T1057" i="13"/>
  <c r="V1057" i="13" s="1"/>
  <c r="P1057" i="13"/>
  <c r="K1057" i="13"/>
  <c r="E1057" i="13"/>
  <c r="D1057" i="13"/>
  <c r="C1057" i="13"/>
  <c r="B1057" i="13"/>
  <c r="Z1056" i="13"/>
  <c r="AB1056" i="13" s="1"/>
  <c r="T1056" i="13"/>
  <c r="V1056" i="13" s="1"/>
  <c r="P1056" i="13"/>
  <c r="K1056" i="13"/>
  <c r="E1056" i="13"/>
  <c r="D1056" i="13"/>
  <c r="C1056" i="13"/>
  <c r="B1056" i="13"/>
  <c r="Z1055" i="13"/>
  <c r="AA1055" i="13" s="1"/>
  <c r="T1055" i="13"/>
  <c r="V1055" i="13" s="1"/>
  <c r="P1055" i="13"/>
  <c r="K1055" i="13"/>
  <c r="E1055" i="13"/>
  <c r="D1055" i="13"/>
  <c r="C1055" i="13"/>
  <c r="B1055" i="13"/>
  <c r="Z1054" i="13"/>
  <c r="AA1054" i="13" s="1"/>
  <c r="T1054" i="13"/>
  <c r="U1054" i="13" s="1"/>
  <c r="P1054" i="13"/>
  <c r="K1054" i="13"/>
  <c r="E1054" i="13"/>
  <c r="D1054" i="13"/>
  <c r="C1054" i="13"/>
  <c r="B1054" i="13"/>
  <c r="Z1053" i="13"/>
  <c r="T1053" i="13"/>
  <c r="U1053" i="13" s="1"/>
  <c r="P1053" i="13"/>
  <c r="K1053" i="13"/>
  <c r="E1053" i="13"/>
  <c r="D1053" i="13"/>
  <c r="C1053" i="13"/>
  <c r="B1053" i="13"/>
  <c r="Z1052" i="13"/>
  <c r="AB1052" i="13" s="1"/>
  <c r="T1052" i="13"/>
  <c r="P1052" i="13"/>
  <c r="K1052" i="13"/>
  <c r="E1052" i="13"/>
  <c r="D1052" i="13"/>
  <c r="C1052" i="13"/>
  <c r="B1052" i="13"/>
  <c r="Z1051" i="13"/>
  <c r="AB1051" i="13" s="1"/>
  <c r="T1051" i="13"/>
  <c r="V1051" i="13" s="1"/>
  <c r="P1051" i="13"/>
  <c r="K1051" i="13"/>
  <c r="E1051" i="13"/>
  <c r="D1051" i="13"/>
  <c r="C1051" i="13"/>
  <c r="B1051" i="13"/>
  <c r="Z1050" i="13"/>
  <c r="AB1050" i="13" s="1"/>
  <c r="T1050" i="13"/>
  <c r="V1050" i="13" s="1"/>
  <c r="P1050" i="13"/>
  <c r="K1050" i="13"/>
  <c r="E1050" i="13"/>
  <c r="D1050" i="13"/>
  <c r="C1050" i="13"/>
  <c r="B1050" i="13"/>
  <c r="Z1049" i="13"/>
  <c r="AA1049" i="13" s="1"/>
  <c r="T1049" i="13"/>
  <c r="V1049" i="13" s="1"/>
  <c r="P1049" i="13"/>
  <c r="K1049" i="13"/>
  <c r="E1049" i="13"/>
  <c r="D1049" i="13"/>
  <c r="C1049" i="13"/>
  <c r="B1049" i="13"/>
  <c r="Z1048" i="13"/>
  <c r="AB1048" i="13" s="1"/>
  <c r="T1048" i="13"/>
  <c r="V1048" i="13" s="1"/>
  <c r="P1048" i="13"/>
  <c r="K1048" i="13"/>
  <c r="E1048" i="13"/>
  <c r="D1048" i="13"/>
  <c r="C1048" i="13"/>
  <c r="B1048" i="13"/>
  <c r="Z1047" i="13"/>
  <c r="AA1047" i="13" s="1"/>
  <c r="T1047" i="13"/>
  <c r="V1047" i="13" s="1"/>
  <c r="P1047" i="13"/>
  <c r="K1047" i="13"/>
  <c r="E1047" i="13"/>
  <c r="D1047" i="13"/>
  <c r="C1047" i="13"/>
  <c r="B1047" i="13"/>
  <c r="Z1046" i="13"/>
  <c r="AA1046" i="13" s="1"/>
  <c r="T1046" i="13"/>
  <c r="U1046" i="13" s="1"/>
  <c r="P1046" i="13"/>
  <c r="K1046" i="13"/>
  <c r="E1046" i="13"/>
  <c r="D1046" i="13"/>
  <c r="C1046" i="13"/>
  <c r="B1046" i="13"/>
  <c r="Z1045" i="13"/>
  <c r="T1045" i="13"/>
  <c r="U1045" i="13" s="1"/>
  <c r="P1045" i="13"/>
  <c r="K1045" i="13"/>
  <c r="E1045" i="13"/>
  <c r="D1045" i="13"/>
  <c r="C1045" i="13"/>
  <c r="B1045" i="13"/>
  <c r="Z1044" i="13"/>
  <c r="AB1044" i="13" s="1"/>
  <c r="T1044" i="13"/>
  <c r="P1044" i="13"/>
  <c r="K1044" i="13"/>
  <c r="E1044" i="13"/>
  <c r="D1044" i="13"/>
  <c r="C1044" i="13"/>
  <c r="B1044" i="13"/>
  <c r="Z1043" i="13"/>
  <c r="AB1043" i="13" s="1"/>
  <c r="T1043" i="13"/>
  <c r="V1043" i="13" s="1"/>
  <c r="P1043" i="13"/>
  <c r="K1043" i="13"/>
  <c r="E1043" i="13"/>
  <c r="D1043" i="13"/>
  <c r="C1043" i="13"/>
  <c r="B1043" i="13"/>
  <c r="Z1042" i="13"/>
  <c r="AB1042" i="13" s="1"/>
  <c r="T1042" i="13"/>
  <c r="V1042" i="13" s="1"/>
  <c r="P1042" i="13"/>
  <c r="K1042" i="13"/>
  <c r="E1042" i="13"/>
  <c r="D1042" i="13"/>
  <c r="C1042" i="13"/>
  <c r="B1042" i="13"/>
  <c r="Z1041" i="13"/>
  <c r="AB1041" i="13" s="1"/>
  <c r="AC1041" i="13" s="1"/>
  <c r="T1041" i="13"/>
  <c r="P1041" i="13"/>
  <c r="K1041" i="13"/>
  <c r="E1041" i="13"/>
  <c r="D1041" i="13"/>
  <c r="C1041" i="13"/>
  <c r="B1041" i="13"/>
  <c r="Z1040" i="13"/>
  <c r="AB1040" i="13" s="1"/>
  <c r="T1040" i="13"/>
  <c r="U1040" i="13" s="1"/>
  <c r="P1040" i="13"/>
  <c r="K1040" i="13"/>
  <c r="E1040" i="13"/>
  <c r="D1040" i="13"/>
  <c r="C1040" i="13"/>
  <c r="B1040" i="13"/>
  <c r="Z1039" i="13"/>
  <c r="AA1039" i="13" s="1"/>
  <c r="T1039" i="13"/>
  <c r="V1039" i="13" s="1"/>
  <c r="P1039" i="13"/>
  <c r="K1039" i="13"/>
  <c r="E1039" i="13"/>
  <c r="D1039" i="13"/>
  <c r="C1039" i="13"/>
  <c r="B1039" i="13"/>
  <c r="Z1038" i="13"/>
  <c r="AA1038" i="13" s="1"/>
  <c r="T1038" i="13"/>
  <c r="U1038" i="13" s="1"/>
  <c r="P1038" i="13"/>
  <c r="K1038" i="13"/>
  <c r="E1038" i="13"/>
  <c r="D1038" i="13"/>
  <c r="C1038" i="13"/>
  <c r="B1038" i="13"/>
  <c r="Z1037" i="13"/>
  <c r="T1037" i="13"/>
  <c r="U1037" i="13" s="1"/>
  <c r="W1037" i="13" s="1"/>
  <c r="P1037" i="13"/>
  <c r="K1037" i="13"/>
  <c r="E1037" i="13"/>
  <c r="D1037" i="13"/>
  <c r="C1037" i="13"/>
  <c r="B1037" i="13"/>
  <c r="Z1036" i="13"/>
  <c r="AB1036" i="13" s="1"/>
  <c r="T1036" i="13"/>
  <c r="P1036" i="13"/>
  <c r="K1036" i="13"/>
  <c r="E1036" i="13"/>
  <c r="D1036" i="13"/>
  <c r="C1036" i="13"/>
  <c r="B1036" i="13"/>
  <c r="Z1035" i="13"/>
  <c r="AB1035" i="13" s="1"/>
  <c r="T1035" i="13"/>
  <c r="V1035" i="13" s="1"/>
  <c r="P1035" i="13"/>
  <c r="K1035" i="13"/>
  <c r="E1035" i="13"/>
  <c r="D1035" i="13"/>
  <c r="C1035" i="13"/>
  <c r="B1035" i="13"/>
  <c r="Z1034" i="13"/>
  <c r="AB1034" i="13" s="1"/>
  <c r="T1034" i="13"/>
  <c r="V1034" i="13" s="1"/>
  <c r="P1034" i="13"/>
  <c r="K1034" i="13"/>
  <c r="E1034" i="13"/>
  <c r="D1034" i="13"/>
  <c r="C1034" i="13"/>
  <c r="B1034" i="13"/>
  <c r="Z1033" i="13"/>
  <c r="AB1033" i="13" s="1"/>
  <c r="AC1033" i="13" s="1"/>
  <c r="T1033" i="13"/>
  <c r="V1033" i="13" s="1"/>
  <c r="P1033" i="13"/>
  <c r="K1033" i="13"/>
  <c r="E1033" i="13"/>
  <c r="D1033" i="13"/>
  <c r="C1033" i="13"/>
  <c r="B1033" i="13"/>
  <c r="Z1032" i="13"/>
  <c r="AB1032" i="13" s="1"/>
  <c r="T1032" i="13"/>
  <c r="V1032" i="13" s="1"/>
  <c r="P1032" i="13"/>
  <c r="K1032" i="13"/>
  <c r="E1032" i="13"/>
  <c r="D1032" i="13"/>
  <c r="C1032" i="13"/>
  <c r="B1032" i="13"/>
  <c r="Z1031" i="13"/>
  <c r="AA1031" i="13" s="1"/>
  <c r="T1031" i="13"/>
  <c r="V1031" i="13" s="1"/>
  <c r="P1031" i="13"/>
  <c r="K1031" i="13"/>
  <c r="E1031" i="13"/>
  <c r="D1031" i="13"/>
  <c r="C1031" i="13"/>
  <c r="B1031" i="13"/>
  <c r="Z1030" i="13"/>
  <c r="T1030" i="13"/>
  <c r="U1030" i="13" s="1"/>
  <c r="P1030" i="13"/>
  <c r="K1030" i="13"/>
  <c r="E1030" i="13"/>
  <c r="D1030" i="13"/>
  <c r="C1030" i="13"/>
  <c r="B1030" i="13"/>
  <c r="Z1029" i="13"/>
  <c r="T1029" i="13"/>
  <c r="U1029" i="13" s="1"/>
  <c r="P1029" i="13"/>
  <c r="K1029" i="13"/>
  <c r="E1029" i="13"/>
  <c r="D1029" i="13"/>
  <c r="C1029" i="13"/>
  <c r="B1029" i="13"/>
  <c r="Z1028" i="13"/>
  <c r="AB1028" i="13" s="1"/>
  <c r="T1028" i="13"/>
  <c r="P1028" i="13"/>
  <c r="K1028" i="13"/>
  <c r="E1028" i="13"/>
  <c r="D1028" i="13"/>
  <c r="C1028" i="13"/>
  <c r="B1028" i="13"/>
  <c r="Z1027" i="13"/>
  <c r="AB1027" i="13" s="1"/>
  <c r="T1027" i="13"/>
  <c r="V1027" i="13" s="1"/>
  <c r="P1027" i="13"/>
  <c r="K1027" i="13"/>
  <c r="E1027" i="13"/>
  <c r="D1027" i="13"/>
  <c r="C1027" i="13"/>
  <c r="B1027" i="13"/>
  <c r="Z1026" i="13"/>
  <c r="AB1026" i="13" s="1"/>
  <c r="T1026" i="13"/>
  <c r="V1026" i="13" s="1"/>
  <c r="P1026" i="13"/>
  <c r="K1026" i="13"/>
  <c r="E1026" i="13"/>
  <c r="D1026" i="13"/>
  <c r="C1026" i="13"/>
  <c r="B1026" i="13"/>
  <c r="Z1025" i="13"/>
  <c r="AB1025" i="13" s="1"/>
  <c r="AC1025" i="13" s="1"/>
  <c r="T1025" i="13"/>
  <c r="V1025" i="13" s="1"/>
  <c r="P1025" i="13"/>
  <c r="K1025" i="13"/>
  <c r="E1025" i="13"/>
  <c r="D1025" i="13"/>
  <c r="C1025" i="13"/>
  <c r="B1025" i="13"/>
  <c r="Z1024" i="13"/>
  <c r="AB1024" i="13" s="1"/>
  <c r="T1024" i="13"/>
  <c r="V1024" i="13" s="1"/>
  <c r="P1024" i="13"/>
  <c r="K1024" i="13"/>
  <c r="E1024" i="13"/>
  <c r="D1024" i="13"/>
  <c r="C1024" i="13"/>
  <c r="B1024" i="13"/>
  <c r="Z1023" i="13"/>
  <c r="AA1023" i="13" s="1"/>
  <c r="T1023" i="13"/>
  <c r="V1023" i="13" s="1"/>
  <c r="P1023" i="13"/>
  <c r="K1023" i="13"/>
  <c r="E1023" i="13"/>
  <c r="D1023" i="13"/>
  <c r="C1023" i="13"/>
  <c r="B1023" i="13"/>
  <c r="Z1022" i="13"/>
  <c r="AA1022" i="13" s="1"/>
  <c r="T1022" i="13"/>
  <c r="P1022" i="13"/>
  <c r="K1022" i="13"/>
  <c r="E1022" i="13"/>
  <c r="D1022" i="13"/>
  <c r="C1022" i="13"/>
  <c r="B1022" i="13"/>
  <c r="Z1021" i="13"/>
  <c r="T1021" i="13"/>
  <c r="U1021" i="13" s="1"/>
  <c r="P1021" i="13"/>
  <c r="K1021" i="13"/>
  <c r="E1021" i="13"/>
  <c r="D1021" i="13"/>
  <c r="C1021" i="13"/>
  <c r="B1021" i="13"/>
  <c r="Z1020" i="13"/>
  <c r="AB1020" i="13" s="1"/>
  <c r="T1020" i="13"/>
  <c r="P1020" i="13"/>
  <c r="K1020" i="13"/>
  <c r="E1020" i="13"/>
  <c r="D1020" i="13"/>
  <c r="C1020" i="13"/>
  <c r="B1020" i="13"/>
  <c r="Z1019" i="13"/>
  <c r="AB1019" i="13" s="1"/>
  <c r="T1019" i="13"/>
  <c r="V1019" i="13" s="1"/>
  <c r="P1019" i="13"/>
  <c r="K1019" i="13"/>
  <c r="E1019" i="13"/>
  <c r="D1019" i="13"/>
  <c r="C1019" i="13"/>
  <c r="B1019" i="13"/>
  <c r="Z1018" i="13"/>
  <c r="AB1018" i="13" s="1"/>
  <c r="T1018" i="13"/>
  <c r="V1018" i="13" s="1"/>
  <c r="P1018" i="13"/>
  <c r="K1018" i="13"/>
  <c r="E1018" i="13"/>
  <c r="D1018" i="13"/>
  <c r="C1018" i="13"/>
  <c r="B1018" i="13"/>
  <c r="Z1017" i="13"/>
  <c r="AB1017" i="13" s="1"/>
  <c r="AC1017" i="13" s="1"/>
  <c r="T1017" i="13"/>
  <c r="V1017" i="13" s="1"/>
  <c r="P1017" i="13"/>
  <c r="K1017" i="13"/>
  <c r="E1017" i="13"/>
  <c r="D1017" i="13"/>
  <c r="C1017" i="13"/>
  <c r="B1017" i="13"/>
  <c r="Z1016" i="13"/>
  <c r="AB1016" i="13" s="1"/>
  <c r="T1016" i="13"/>
  <c r="U1016" i="13" s="1"/>
  <c r="P1016" i="13"/>
  <c r="K1016" i="13"/>
  <c r="E1016" i="13"/>
  <c r="D1016" i="13"/>
  <c r="C1016" i="13"/>
  <c r="B1016" i="13"/>
  <c r="Z1015" i="13"/>
  <c r="AA1015" i="13" s="1"/>
  <c r="T1015" i="13"/>
  <c r="V1015" i="13" s="1"/>
  <c r="P1015" i="13"/>
  <c r="K1015" i="13"/>
  <c r="E1015" i="13"/>
  <c r="D1015" i="13"/>
  <c r="C1015" i="13"/>
  <c r="B1015" i="13"/>
  <c r="Z1014" i="13"/>
  <c r="AA1014" i="13" s="1"/>
  <c r="T1014" i="13"/>
  <c r="U1014" i="13" s="1"/>
  <c r="P1014" i="13"/>
  <c r="K1014" i="13"/>
  <c r="E1014" i="13"/>
  <c r="D1014" i="13"/>
  <c r="C1014" i="13"/>
  <c r="B1014" i="13"/>
  <c r="Z1013" i="13"/>
  <c r="T1013" i="13"/>
  <c r="U1013" i="13" s="1"/>
  <c r="P1013" i="13"/>
  <c r="K1013" i="13"/>
  <c r="E1013" i="13"/>
  <c r="D1013" i="13"/>
  <c r="C1013" i="13"/>
  <c r="B1013" i="13"/>
  <c r="Z1012" i="13"/>
  <c r="AB1012" i="13" s="1"/>
  <c r="T1012" i="13"/>
  <c r="P1012" i="13"/>
  <c r="K1012" i="13"/>
  <c r="E1012" i="13"/>
  <c r="D1012" i="13"/>
  <c r="C1012" i="13"/>
  <c r="B1012" i="13"/>
  <c r="Z1011" i="13"/>
  <c r="AB1011" i="13" s="1"/>
  <c r="T1011" i="13"/>
  <c r="V1011" i="13" s="1"/>
  <c r="P1011" i="13"/>
  <c r="K1011" i="13"/>
  <c r="E1011" i="13"/>
  <c r="D1011" i="13"/>
  <c r="C1011" i="13"/>
  <c r="B1011" i="13"/>
  <c r="Z1010" i="13"/>
  <c r="AB1010" i="13" s="1"/>
  <c r="T1010" i="13"/>
  <c r="V1010" i="13" s="1"/>
  <c r="P1010" i="13"/>
  <c r="K1010" i="13"/>
  <c r="E1010" i="13"/>
  <c r="D1010" i="13"/>
  <c r="C1010" i="13"/>
  <c r="B1010" i="13"/>
  <c r="Z1009" i="13"/>
  <c r="AA1009" i="13" s="1"/>
  <c r="T1009" i="13"/>
  <c r="V1009" i="13" s="1"/>
  <c r="P1009" i="13"/>
  <c r="K1009" i="13"/>
  <c r="E1009" i="13"/>
  <c r="D1009" i="13"/>
  <c r="C1009" i="13"/>
  <c r="B1009" i="13"/>
  <c r="Z1008" i="13"/>
  <c r="AB1008" i="13" s="1"/>
  <c r="T1008" i="13"/>
  <c r="V1008" i="13" s="1"/>
  <c r="P1008" i="13"/>
  <c r="K1008" i="13"/>
  <c r="E1008" i="13"/>
  <c r="D1008" i="13"/>
  <c r="C1008" i="13"/>
  <c r="B1008" i="13"/>
  <c r="Z1007" i="13"/>
  <c r="AA1007" i="13" s="1"/>
  <c r="T1007" i="13"/>
  <c r="V1007" i="13" s="1"/>
  <c r="P1007" i="13"/>
  <c r="K1007" i="13"/>
  <c r="E1007" i="13"/>
  <c r="D1007" i="13"/>
  <c r="C1007" i="13"/>
  <c r="B1007" i="13"/>
  <c r="Z1006" i="13"/>
  <c r="T1006" i="13"/>
  <c r="U1006" i="13" s="1"/>
  <c r="P1006" i="13"/>
  <c r="K1006" i="13"/>
  <c r="E1006" i="13"/>
  <c r="D1006" i="13"/>
  <c r="C1006" i="13"/>
  <c r="B1006" i="13"/>
  <c r="Z1005" i="13"/>
  <c r="T1005" i="13"/>
  <c r="U1005" i="13" s="1"/>
  <c r="P1005" i="13"/>
  <c r="K1005" i="13"/>
  <c r="E1005" i="13"/>
  <c r="D1005" i="13"/>
  <c r="C1005" i="13"/>
  <c r="B1005" i="13"/>
  <c r="Z1004" i="13"/>
  <c r="AB1004" i="13" s="1"/>
  <c r="T1004" i="13"/>
  <c r="P1004" i="13"/>
  <c r="K1004" i="13"/>
  <c r="E1004" i="13"/>
  <c r="D1004" i="13"/>
  <c r="C1004" i="13"/>
  <c r="B1004" i="13"/>
  <c r="Z1003" i="13"/>
  <c r="AB1003" i="13" s="1"/>
  <c r="T1003" i="13"/>
  <c r="V1003" i="13" s="1"/>
  <c r="P1003" i="13"/>
  <c r="K1003" i="13"/>
  <c r="E1003" i="13"/>
  <c r="D1003" i="13"/>
  <c r="C1003" i="13"/>
  <c r="B1003" i="13"/>
  <c r="Z1002" i="13"/>
  <c r="AB1002" i="13" s="1"/>
  <c r="T1002" i="13"/>
  <c r="V1002" i="13" s="1"/>
  <c r="P1002" i="13"/>
  <c r="K1002" i="13"/>
  <c r="E1002" i="13"/>
  <c r="D1002" i="13"/>
  <c r="C1002" i="13"/>
  <c r="B1002" i="13"/>
  <c r="Z1001" i="13"/>
  <c r="AB1001" i="13" s="1"/>
  <c r="T1001" i="13"/>
  <c r="V1001" i="13" s="1"/>
  <c r="P1001" i="13"/>
  <c r="K1001" i="13"/>
  <c r="E1001" i="13"/>
  <c r="D1001" i="13"/>
  <c r="C1001" i="13"/>
  <c r="B1001" i="13"/>
  <c r="Z1000" i="13"/>
  <c r="AB1000" i="13" s="1"/>
  <c r="AC1000" i="13" s="1"/>
  <c r="T1000" i="13"/>
  <c r="U1000" i="13" s="1"/>
  <c r="P1000" i="13"/>
  <c r="K1000" i="13"/>
  <c r="E1000" i="13"/>
  <c r="D1000" i="13"/>
  <c r="C1000" i="13"/>
  <c r="B1000" i="13"/>
  <c r="Z999" i="13"/>
  <c r="T999" i="13"/>
  <c r="V999" i="13" s="1"/>
  <c r="P999" i="13"/>
  <c r="K999" i="13"/>
  <c r="E999" i="13"/>
  <c r="D999" i="13"/>
  <c r="C999" i="13"/>
  <c r="B999" i="13"/>
  <c r="Z998" i="13"/>
  <c r="AA998" i="13" s="1"/>
  <c r="T998" i="13"/>
  <c r="U998" i="13" s="1"/>
  <c r="P998" i="13"/>
  <c r="K998" i="13"/>
  <c r="E998" i="13"/>
  <c r="D998" i="13"/>
  <c r="C998" i="13"/>
  <c r="B998" i="13"/>
  <c r="Z997" i="13"/>
  <c r="T997" i="13"/>
  <c r="U997" i="13" s="1"/>
  <c r="P997" i="13"/>
  <c r="K997" i="13"/>
  <c r="E997" i="13"/>
  <c r="D997" i="13"/>
  <c r="C997" i="13"/>
  <c r="B997" i="13"/>
  <c r="Z996" i="13"/>
  <c r="AB996" i="13" s="1"/>
  <c r="AC996" i="13" s="1"/>
  <c r="T996" i="13"/>
  <c r="P996" i="13"/>
  <c r="K996" i="13"/>
  <c r="E996" i="13"/>
  <c r="D996" i="13"/>
  <c r="C996" i="13"/>
  <c r="B996" i="13"/>
  <c r="Z995" i="13"/>
  <c r="AB995" i="13" s="1"/>
  <c r="T995" i="13"/>
  <c r="V995" i="13" s="1"/>
  <c r="P995" i="13"/>
  <c r="K995" i="13"/>
  <c r="E995" i="13"/>
  <c r="D995" i="13"/>
  <c r="C995" i="13"/>
  <c r="B995" i="13"/>
  <c r="Z994" i="13"/>
  <c r="AB994" i="13" s="1"/>
  <c r="T994" i="13"/>
  <c r="V994" i="13" s="1"/>
  <c r="P994" i="13"/>
  <c r="K994" i="13"/>
  <c r="E994" i="13"/>
  <c r="D994" i="13"/>
  <c r="C994" i="13"/>
  <c r="B994" i="13"/>
  <c r="Z993" i="13"/>
  <c r="AB993" i="13" s="1"/>
  <c r="T993" i="13"/>
  <c r="V993" i="13" s="1"/>
  <c r="P993" i="13"/>
  <c r="K993" i="13"/>
  <c r="E993" i="13"/>
  <c r="D993" i="13"/>
  <c r="C993" i="13"/>
  <c r="B993" i="13"/>
  <c r="Z992" i="13"/>
  <c r="AB992" i="13" s="1"/>
  <c r="T992" i="13"/>
  <c r="P992" i="13"/>
  <c r="K992" i="13"/>
  <c r="E992" i="13"/>
  <c r="D992" i="13"/>
  <c r="C992" i="13"/>
  <c r="B992" i="13"/>
  <c r="Z991" i="13"/>
  <c r="T991" i="13"/>
  <c r="V991" i="13" s="1"/>
  <c r="P991" i="13"/>
  <c r="K991" i="13"/>
  <c r="E991" i="13"/>
  <c r="D991" i="13"/>
  <c r="C991" i="13"/>
  <c r="B991" i="13"/>
  <c r="Z990" i="13"/>
  <c r="AA990" i="13" s="1"/>
  <c r="T990" i="13"/>
  <c r="U990" i="13" s="1"/>
  <c r="P990" i="13"/>
  <c r="K990" i="13"/>
  <c r="E990" i="13"/>
  <c r="D990" i="13"/>
  <c r="C990" i="13"/>
  <c r="B990" i="13"/>
  <c r="Z989" i="13"/>
  <c r="T989" i="13"/>
  <c r="U989" i="13" s="1"/>
  <c r="P989" i="13"/>
  <c r="K989" i="13"/>
  <c r="E989" i="13"/>
  <c r="D989" i="13"/>
  <c r="C989" i="13"/>
  <c r="B989" i="13"/>
  <c r="Z988" i="13"/>
  <c r="T988" i="13"/>
  <c r="P988" i="13"/>
  <c r="K988" i="13"/>
  <c r="E988" i="13"/>
  <c r="D988" i="13"/>
  <c r="C988" i="13"/>
  <c r="B988" i="13"/>
  <c r="Z987" i="13"/>
  <c r="AB987" i="13" s="1"/>
  <c r="T987" i="13"/>
  <c r="V987" i="13" s="1"/>
  <c r="P987" i="13"/>
  <c r="K987" i="13"/>
  <c r="E987" i="13"/>
  <c r="D987" i="13"/>
  <c r="C987" i="13"/>
  <c r="B987" i="13"/>
  <c r="Z986" i="13"/>
  <c r="AB986" i="13" s="1"/>
  <c r="T986" i="13"/>
  <c r="V986" i="13" s="1"/>
  <c r="P986" i="13"/>
  <c r="K986" i="13"/>
  <c r="E986" i="13"/>
  <c r="D986" i="13"/>
  <c r="C986" i="13"/>
  <c r="B986" i="13"/>
  <c r="Z985" i="13"/>
  <c r="AB985" i="13" s="1"/>
  <c r="T985" i="13"/>
  <c r="P985" i="13"/>
  <c r="K985" i="13"/>
  <c r="E985" i="13"/>
  <c r="D985" i="13"/>
  <c r="C985" i="13"/>
  <c r="B985" i="13"/>
  <c r="Z984" i="13"/>
  <c r="AB984" i="13" s="1"/>
  <c r="AC984" i="13" s="1"/>
  <c r="T984" i="13"/>
  <c r="V984" i="13" s="1"/>
  <c r="P984" i="13"/>
  <c r="K984" i="13"/>
  <c r="E984" i="13"/>
  <c r="D984" i="13"/>
  <c r="C984" i="13"/>
  <c r="B984" i="13"/>
  <c r="Z983" i="13"/>
  <c r="AA983" i="13" s="1"/>
  <c r="T983" i="13"/>
  <c r="V983" i="13" s="1"/>
  <c r="P983" i="13"/>
  <c r="K983" i="13"/>
  <c r="E983" i="13"/>
  <c r="D983" i="13"/>
  <c r="C983" i="13"/>
  <c r="B983" i="13"/>
  <c r="Z982" i="13"/>
  <c r="AA982" i="13" s="1"/>
  <c r="T982" i="13"/>
  <c r="U982" i="13" s="1"/>
  <c r="P982" i="13"/>
  <c r="K982" i="13"/>
  <c r="E982" i="13"/>
  <c r="D982" i="13"/>
  <c r="C982" i="13"/>
  <c r="B982" i="13"/>
  <c r="Z981" i="13"/>
  <c r="T981" i="13"/>
  <c r="U981" i="13" s="1"/>
  <c r="W981" i="13" s="1"/>
  <c r="P981" i="13"/>
  <c r="K981" i="13"/>
  <c r="E981" i="13"/>
  <c r="D981" i="13"/>
  <c r="C981" i="13"/>
  <c r="B981" i="13"/>
  <c r="Z980" i="13"/>
  <c r="T980" i="13"/>
  <c r="P980" i="13"/>
  <c r="K980" i="13"/>
  <c r="E980" i="13"/>
  <c r="D980" i="13"/>
  <c r="C980" i="13"/>
  <c r="B980" i="13"/>
  <c r="Z979" i="13"/>
  <c r="AB979" i="13" s="1"/>
  <c r="AC979" i="13" s="1"/>
  <c r="T979" i="13"/>
  <c r="V979" i="13" s="1"/>
  <c r="P979" i="13"/>
  <c r="K979" i="13"/>
  <c r="E979" i="13"/>
  <c r="D979" i="13"/>
  <c r="C979" i="13"/>
  <c r="B979" i="13"/>
  <c r="Z978" i="13"/>
  <c r="AB978" i="13" s="1"/>
  <c r="T978" i="13"/>
  <c r="V978" i="13" s="1"/>
  <c r="P978" i="13"/>
  <c r="K978" i="13"/>
  <c r="E978" i="13"/>
  <c r="D978" i="13"/>
  <c r="C978" i="13"/>
  <c r="B978" i="13"/>
  <c r="Z977" i="13"/>
  <c r="AB977" i="13" s="1"/>
  <c r="T977" i="13"/>
  <c r="V977" i="13" s="1"/>
  <c r="P977" i="13"/>
  <c r="K977" i="13"/>
  <c r="E977" i="13"/>
  <c r="D977" i="13"/>
  <c r="C977" i="13"/>
  <c r="B977" i="13"/>
  <c r="Z976" i="13"/>
  <c r="AB976" i="13" s="1"/>
  <c r="AC976" i="13" s="1"/>
  <c r="T976" i="13"/>
  <c r="U976" i="13" s="1"/>
  <c r="P976" i="13"/>
  <c r="K976" i="13"/>
  <c r="E976" i="13"/>
  <c r="D976" i="13"/>
  <c r="C976" i="13"/>
  <c r="B976" i="13"/>
  <c r="Z975" i="13"/>
  <c r="AB975" i="13" s="1"/>
  <c r="T975" i="13"/>
  <c r="V975" i="13" s="1"/>
  <c r="P975" i="13"/>
  <c r="K975" i="13"/>
  <c r="E975" i="13"/>
  <c r="D975" i="13"/>
  <c r="C975" i="13"/>
  <c r="B975" i="13"/>
  <c r="Z974" i="13"/>
  <c r="AA974" i="13" s="1"/>
  <c r="T974" i="13"/>
  <c r="V974" i="13" s="1"/>
  <c r="P974" i="13"/>
  <c r="K974" i="13"/>
  <c r="E974" i="13"/>
  <c r="D974" i="13"/>
  <c r="C974" i="13"/>
  <c r="B974" i="13"/>
  <c r="Z973" i="13"/>
  <c r="AB973" i="13" s="1"/>
  <c r="AC973" i="13" s="1"/>
  <c r="T973" i="13"/>
  <c r="U973" i="13" s="1"/>
  <c r="P973" i="13"/>
  <c r="K973" i="13"/>
  <c r="E973" i="13"/>
  <c r="D973" i="13"/>
  <c r="C973" i="13"/>
  <c r="B973" i="13"/>
  <c r="Z972" i="13"/>
  <c r="AB972" i="13" s="1"/>
  <c r="T972" i="13"/>
  <c r="V972" i="13" s="1"/>
  <c r="P972" i="13"/>
  <c r="K972" i="13"/>
  <c r="E972" i="13"/>
  <c r="D972" i="13"/>
  <c r="C972" i="13"/>
  <c r="B972" i="13"/>
  <c r="Z971" i="13"/>
  <c r="T971" i="13"/>
  <c r="V971" i="13" s="1"/>
  <c r="P971" i="13"/>
  <c r="K971" i="13"/>
  <c r="E971" i="13"/>
  <c r="D971" i="13"/>
  <c r="C971" i="13"/>
  <c r="B971" i="13"/>
  <c r="Z970" i="13"/>
  <c r="AA970" i="13" s="1"/>
  <c r="T970" i="13"/>
  <c r="V970" i="13" s="1"/>
  <c r="P970" i="13"/>
  <c r="K970" i="13"/>
  <c r="E970" i="13"/>
  <c r="D970" i="13"/>
  <c r="C970" i="13"/>
  <c r="B970" i="13"/>
  <c r="Z969" i="13"/>
  <c r="AB969" i="13" s="1"/>
  <c r="AC969" i="13" s="1"/>
  <c r="T969" i="13"/>
  <c r="V969" i="13" s="1"/>
  <c r="P969" i="13"/>
  <c r="K969" i="13"/>
  <c r="E969" i="13"/>
  <c r="D969" i="13"/>
  <c r="C969" i="13"/>
  <c r="B969" i="13"/>
  <c r="Z968" i="13"/>
  <c r="AB968" i="13" s="1"/>
  <c r="T968" i="13"/>
  <c r="U968" i="13" s="1"/>
  <c r="W968" i="13" s="1"/>
  <c r="P968" i="13"/>
  <c r="K968" i="13"/>
  <c r="E968" i="13"/>
  <c r="D968" i="13"/>
  <c r="C968" i="13"/>
  <c r="B968" i="13"/>
  <c r="Z967" i="13"/>
  <c r="T967" i="13"/>
  <c r="V967" i="13" s="1"/>
  <c r="P967" i="13"/>
  <c r="K967" i="13"/>
  <c r="E967" i="13"/>
  <c r="D967" i="13"/>
  <c r="C967" i="13"/>
  <c r="B967" i="13"/>
  <c r="Z966" i="13"/>
  <c r="AA966" i="13" s="1"/>
  <c r="T966" i="13"/>
  <c r="V966" i="13" s="1"/>
  <c r="P966" i="13"/>
  <c r="K966" i="13"/>
  <c r="E966" i="13"/>
  <c r="D966" i="13"/>
  <c r="C966" i="13"/>
  <c r="B966" i="13"/>
  <c r="Z965" i="13"/>
  <c r="AB965" i="13" s="1"/>
  <c r="AC965" i="13" s="1"/>
  <c r="T965" i="13"/>
  <c r="U965" i="13" s="1"/>
  <c r="P965" i="13"/>
  <c r="K965" i="13"/>
  <c r="E965" i="13"/>
  <c r="D965" i="13"/>
  <c r="C965" i="13"/>
  <c r="B965" i="13"/>
  <c r="Z964" i="13"/>
  <c r="AB964" i="13" s="1"/>
  <c r="AC964" i="13" s="1"/>
  <c r="T964" i="13"/>
  <c r="P964" i="13"/>
  <c r="K964" i="13"/>
  <c r="E964" i="13"/>
  <c r="D964" i="13"/>
  <c r="C964" i="13"/>
  <c r="B964" i="13"/>
  <c r="Z963" i="13"/>
  <c r="AB963" i="13" s="1"/>
  <c r="T963" i="13"/>
  <c r="V963" i="13" s="1"/>
  <c r="P963" i="13"/>
  <c r="K963" i="13"/>
  <c r="E963" i="13"/>
  <c r="D963" i="13"/>
  <c r="C963" i="13"/>
  <c r="B963" i="13"/>
  <c r="Z962" i="13"/>
  <c r="T962" i="13"/>
  <c r="V962" i="13" s="1"/>
  <c r="P962" i="13"/>
  <c r="K962" i="13"/>
  <c r="E962" i="13"/>
  <c r="D962" i="13"/>
  <c r="C962" i="13"/>
  <c r="B962" i="13"/>
  <c r="Z961" i="13"/>
  <c r="AA961" i="13" s="1"/>
  <c r="T961" i="13"/>
  <c r="V961" i="13" s="1"/>
  <c r="P961" i="13"/>
  <c r="K961" i="13"/>
  <c r="E961" i="13"/>
  <c r="D961" i="13"/>
  <c r="C961" i="13"/>
  <c r="B961" i="13"/>
  <c r="Z960" i="13"/>
  <c r="AB960" i="13" s="1"/>
  <c r="T960" i="13"/>
  <c r="V960" i="13" s="1"/>
  <c r="P960" i="13"/>
  <c r="K960" i="13"/>
  <c r="E960" i="13"/>
  <c r="D960" i="13"/>
  <c r="C960" i="13"/>
  <c r="B960" i="13"/>
  <c r="Z959" i="13"/>
  <c r="AA959" i="13" s="1"/>
  <c r="T959" i="13"/>
  <c r="V959" i="13" s="1"/>
  <c r="P959" i="13"/>
  <c r="K959" i="13"/>
  <c r="E959" i="13"/>
  <c r="D959" i="13"/>
  <c r="C959" i="13"/>
  <c r="B959" i="13"/>
  <c r="Z958" i="13"/>
  <c r="AA958" i="13" s="1"/>
  <c r="T958" i="13"/>
  <c r="V958" i="13" s="1"/>
  <c r="P958" i="13"/>
  <c r="K958" i="13"/>
  <c r="E958" i="13"/>
  <c r="D958" i="13"/>
  <c r="C958" i="13"/>
  <c r="B958" i="13"/>
  <c r="Z957" i="13"/>
  <c r="T957" i="13"/>
  <c r="U957" i="13" s="1"/>
  <c r="P957" i="13"/>
  <c r="K957" i="13"/>
  <c r="E957" i="13"/>
  <c r="D957" i="13"/>
  <c r="C957" i="13"/>
  <c r="B957" i="13"/>
  <c r="Z956" i="13"/>
  <c r="AB956" i="13" s="1"/>
  <c r="T956" i="13"/>
  <c r="P956" i="13"/>
  <c r="K956" i="13"/>
  <c r="E956" i="13"/>
  <c r="D956" i="13"/>
  <c r="C956" i="13"/>
  <c r="B956" i="13"/>
  <c r="Z955" i="13"/>
  <c r="AB955" i="13" s="1"/>
  <c r="T955" i="13"/>
  <c r="V955" i="13" s="1"/>
  <c r="P955" i="13"/>
  <c r="K955" i="13"/>
  <c r="E955" i="13"/>
  <c r="D955" i="13"/>
  <c r="C955" i="13"/>
  <c r="B955" i="13"/>
  <c r="Z954" i="13"/>
  <c r="AB954" i="13" s="1"/>
  <c r="T954" i="13"/>
  <c r="V954" i="13" s="1"/>
  <c r="P954" i="13"/>
  <c r="K954" i="13"/>
  <c r="E954" i="13"/>
  <c r="D954" i="13"/>
  <c r="C954" i="13"/>
  <c r="B954" i="13"/>
  <c r="Z953" i="13"/>
  <c r="AB953" i="13" s="1"/>
  <c r="T953" i="13"/>
  <c r="V953" i="13" s="1"/>
  <c r="P953" i="13"/>
  <c r="K953" i="13"/>
  <c r="E953" i="13"/>
  <c r="D953" i="13"/>
  <c r="C953" i="13"/>
  <c r="B953" i="13"/>
  <c r="Z952" i="13"/>
  <c r="AB952" i="13" s="1"/>
  <c r="T952" i="13"/>
  <c r="P952" i="13"/>
  <c r="K952" i="13"/>
  <c r="E952" i="13"/>
  <c r="D952" i="13"/>
  <c r="C952" i="13"/>
  <c r="B952" i="13"/>
  <c r="Z951" i="13"/>
  <c r="T951" i="13"/>
  <c r="V951" i="13" s="1"/>
  <c r="P951" i="13"/>
  <c r="K951" i="13"/>
  <c r="E951" i="13"/>
  <c r="D951" i="13"/>
  <c r="C951" i="13"/>
  <c r="B951" i="13"/>
  <c r="Z950" i="13"/>
  <c r="AA950" i="13" s="1"/>
  <c r="T950" i="13"/>
  <c r="V950" i="13" s="1"/>
  <c r="P950" i="13"/>
  <c r="K950" i="13"/>
  <c r="E950" i="13"/>
  <c r="D950" i="13"/>
  <c r="C950" i="13"/>
  <c r="B950" i="13"/>
  <c r="Z949" i="13"/>
  <c r="T949" i="13"/>
  <c r="V949" i="13" s="1"/>
  <c r="P949" i="13"/>
  <c r="K949" i="13"/>
  <c r="E949" i="13"/>
  <c r="D949" i="13"/>
  <c r="C949" i="13"/>
  <c r="B949" i="13"/>
  <c r="Z948" i="13"/>
  <c r="AB948" i="13" s="1"/>
  <c r="AC948" i="13" s="1"/>
  <c r="T948" i="13"/>
  <c r="P948" i="13"/>
  <c r="K948" i="13"/>
  <c r="E948" i="13"/>
  <c r="D948" i="13"/>
  <c r="C948" i="13"/>
  <c r="B948" i="13"/>
  <c r="Z947" i="13"/>
  <c r="AB947" i="13" s="1"/>
  <c r="T947" i="13"/>
  <c r="V947" i="13" s="1"/>
  <c r="P947" i="13"/>
  <c r="K947" i="13"/>
  <c r="E947" i="13"/>
  <c r="D947" i="13"/>
  <c r="C947" i="13"/>
  <c r="B947" i="13"/>
  <c r="Z946" i="13"/>
  <c r="AB946" i="13" s="1"/>
  <c r="T946" i="13"/>
  <c r="V946" i="13" s="1"/>
  <c r="P946" i="13"/>
  <c r="K946" i="13"/>
  <c r="E946" i="13"/>
  <c r="D946" i="13"/>
  <c r="C946" i="13"/>
  <c r="B946" i="13"/>
  <c r="Z945" i="13"/>
  <c r="AB945" i="13" s="1"/>
  <c r="T945" i="13"/>
  <c r="V945" i="13" s="1"/>
  <c r="P945" i="13"/>
  <c r="K945" i="13"/>
  <c r="E945" i="13"/>
  <c r="D945" i="13"/>
  <c r="C945" i="13"/>
  <c r="B945" i="13"/>
  <c r="Z944" i="13"/>
  <c r="AB944" i="13" s="1"/>
  <c r="T944" i="13"/>
  <c r="V944" i="13" s="1"/>
  <c r="P944" i="13"/>
  <c r="K944" i="13"/>
  <c r="E944" i="13"/>
  <c r="D944" i="13"/>
  <c r="C944" i="13"/>
  <c r="B944" i="13"/>
  <c r="Z943" i="13"/>
  <c r="AA943" i="13" s="1"/>
  <c r="T943" i="13"/>
  <c r="V943" i="13" s="1"/>
  <c r="P943" i="13"/>
  <c r="K943" i="13"/>
  <c r="E943" i="13"/>
  <c r="D943" i="13"/>
  <c r="C943" i="13"/>
  <c r="B943" i="13"/>
  <c r="Z942" i="13"/>
  <c r="AB942" i="13" s="1"/>
  <c r="AC942" i="13" s="1"/>
  <c r="T942" i="13"/>
  <c r="U942" i="13" s="1"/>
  <c r="P942" i="13"/>
  <c r="K942" i="13"/>
  <c r="E942" i="13"/>
  <c r="D942" i="13"/>
  <c r="C942" i="13"/>
  <c r="B942" i="13"/>
  <c r="Z941" i="13"/>
  <c r="T941" i="13"/>
  <c r="U941" i="13" s="1"/>
  <c r="P941" i="13"/>
  <c r="K941" i="13"/>
  <c r="E941" i="13"/>
  <c r="D941" i="13"/>
  <c r="C941" i="13"/>
  <c r="B941" i="13"/>
  <c r="Z940" i="13"/>
  <c r="AB940" i="13" s="1"/>
  <c r="T940" i="13"/>
  <c r="P940" i="13"/>
  <c r="K940" i="13"/>
  <c r="E940" i="13"/>
  <c r="D940" i="13"/>
  <c r="C940" i="13"/>
  <c r="B940" i="13"/>
  <c r="Z939" i="13"/>
  <c r="AB939" i="13" s="1"/>
  <c r="T939" i="13"/>
  <c r="U939" i="13" s="1"/>
  <c r="W939" i="13" s="1"/>
  <c r="P939" i="13"/>
  <c r="K939" i="13"/>
  <c r="E939" i="13"/>
  <c r="D939" i="13"/>
  <c r="C939" i="13"/>
  <c r="B939" i="13"/>
  <c r="Z938" i="13"/>
  <c r="AB938" i="13" s="1"/>
  <c r="T938" i="13"/>
  <c r="V938" i="13" s="1"/>
  <c r="P938" i="13"/>
  <c r="K938" i="13"/>
  <c r="E938" i="13"/>
  <c r="D938" i="13"/>
  <c r="C938" i="13"/>
  <c r="B938" i="13"/>
  <c r="Z937" i="13"/>
  <c r="AA937" i="13" s="1"/>
  <c r="T937" i="13"/>
  <c r="V937" i="13" s="1"/>
  <c r="P937" i="13"/>
  <c r="K937" i="13"/>
  <c r="E937" i="13"/>
  <c r="D937" i="13"/>
  <c r="C937" i="13"/>
  <c r="B937" i="13"/>
  <c r="Z936" i="13"/>
  <c r="AB936" i="13" s="1"/>
  <c r="T936" i="13"/>
  <c r="V936" i="13" s="1"/>
  <c r="P936" i="13"/>
  <c r="K936" i="13"/>
  <c r="E936" i="13"/>
  <c r="D936" i="13"/>
  <c r="C936" i="13"/>
  <c r="B936" i="13"/>
  <c r="Z935" i="13"/>
  <c r="AB935" i="13" s="1"/>
  <c r="T935" i="13"/>
  <c r="P935" i="13"/>
  <c r="K935" i="13"/>
  <c r="E935" i="13"/>
  <c r="D935" i="13"/>
  <c r="C935" i="13"/>
  <c r="B935" i="13"/>
  <c r="Z934" i="13"/>
  <c r="AB934" i="13" s="1"/>
  <c r="AC934" i="13" s="1"/>
  <c r="T934" i="13"/>
  <c r="U934" i="13" s="1"/>
  <c r="P934" i="13"/>
  <c r="K934" i="13"/>
  <c r="E934" i="13"/>
  <c r="D934" i="13"/>
  <c r="C934" i="13"/>
  <c r="B934" i="13"/>
  <c r="Z933" i="13"/>
  <c r="T933" i="13"/>
  <c r="U933" i="13" s="1"/>
  <c r="P933" i="13"/>
  <c r="K933" i="13"/>
  <c r="E933" i="13"/>
  <c r="D933" i="13"/>
  <c r="C933" i="13"/>
  <c r="B933" i="13"/>
  <c r="Z932" i="13"/>
  <c r="AB932" i="13" s="1"/>
  <c r="AC932" i="13" s="1"/>
  <c r="T932" i="13"/>
  <c r="P932" i="13"/>
  <c r="K932" i="13"/>
  <c r="E932" i="13"/>
  <c r="D932" i="13"/>
  <c r="C932" i="13"/>
  <c r="B932" i="13"/>
  <c r="Z931" i="13"/>
  <c r="AB931" i="13" s="1"/>
  <c r="T931" i="13"/>
  <c r="V931" i="13" s="1"/>
  <c r="P931" i="13"/>
  <c r="K931" i="13"/>
  <c r="E931" i="13"/>
  <c r="D931" i="13"/>
  <c r="C931" i="13"/>
  <c r="B931" i="13"/>
  <c r="Z930" i="13"/>
  <c r="AB930" i="13" s="1"/>
  <c r="T930" i="13"/>
  <c r="V930" i="13" s="1"/>
  <c r="P930" i="13"/>
  <c r="K930" i="13"/>
  <c r="E930" i="13"/>
  <c r="D930" i="13"/>
  <c r="C930" i="13"/>
  <c r="B930" i="13"/>
  <c r="Z929" i="13"/>
  <c r="AB929" i="13" s="1"/>
  <c r="T929" i="13"/>
  <c r="V929" i="13" s="1"/>
  <c r="P929" i="13"/>
  <c r="K929" i="13"/>
  <c r="E929" i="13"/>
  <c r="D929" i="13"/>
  <c r="C929" i="13"/>
  <c r="B929" i="13"/>
  <c r="Z928" i="13"/>
  <c r="AA928" i="13" s="1"/>
  <c r="T928" i="13"/>
  <c r="U928" i="13" s="1"/>
  <c r="P928" i="13"/>
  <c r="K928" i="13"/>
  <c r="E928" i="13"/>
  <c r="D928" i="13"/>
  <c r="C928" i="13"/>
  <c r="B928" i="13"/>
  <c r="Z927" i="13"/>
  <c r="AB927" i="13" s="1"/>
  <c r="T927" i="13"/>
  <c r="U927" i="13" s="1"/>
  <c r="P927" i="13"/>
  <c r="K927" i="13"/>
  <c r="E927" i="13"/>
  <c r="D927" i="13"/>
  <c r="C927" i="13"/>
  <c r="B927" i="13"/>
  <c r="Z926" i="13"/>
  <c r="AB926" i="13" s="1"/>
  <c r="AC926" i="13" s="1"/>
  <c r="T926" i="13"/>
  <c r="P926" i="13"/>
  <c r="K926" i="13"/>
  <c r="E926" i="13"/>
  <c r="D926" i="13"/>
  <c r="C926" i="13"/>
  <c r="B926" i="13"/>
  <c r="Z925" i="13"/>
  <c r="T925" i="13"/>
  <c r="U925" i="13" s="1"/>
  <c r="P925" i="13"/>
  <c r="K925" i="13"/>
  <c r="E925" i="13"/>
  <c r="D925" i="13"/>
  <c r="C925" i="13"/>
  <c r="B925" i="13"/>
  <c r="Z924" i="13"/>
  <c r="AB924" i="13" s="1"/>
  <c r="T924" i="13"/>
  <c r="P924" i="13"/>
  <c r="K924" i="13"/>
  <c r="E924" i="13"/>
  <c r="D924" i="13"/>
  <c r="C924" i="13"/>
  <c r="B924" i="13"/>
  <c r="Z923" i="13"/>
  <c r="AB923" i="13" s="1"/>
  <c r="T923" i="13"/>
  <c r="V923" i="13" s="1"/>
  <c r="P923" i="13"/>
  <c r="K923" i="13"/>
  <c r="E923" i="13"/>
  <c r="D923" i="13"/>
  <c r="C923" i="13"/>
  <c r="B923" i="13"/>
  <c r="Z922" i="13"/>
  <c r="AB922" i="13" s="1"/>
  <c r="T922" i="13"/>
  <c r="V922" i="13" s="1"/>
  <c r="P922" i="13"/>
  <c r="K922" i="13"/>
  <c r="E922" i="13"/>
  <c r="D922" i="13"/>
  <c r="C922" i="13"/>
  <c r="B922" i="13"/>
  <c r="Z921" i="13"/>
  <c r="AB921" i="13" s="1"/>
  <c r="T921" i="13"/>
  <c r="V921" i="13" s="1"/>
  <c r="P921" i="13"/>
  <c r="K921" i="13"/>
  <c r="E921" i="13"/>
  <c r="D921" i="13"/>
  <c r="C921" i="13"/>
  <c r="B921" i="13"/>
  <c r="Z920" i="13"/>
  <c r="AB920" i="13" s="1"/>
  <c r="T920" i="13"/>
  <c r="V920" i="13" s="1"/>
  <c r="P920" i="13"/>
  <c r="K920" i="13"/>
  <c r="E920" i="13"/>
  <c r="D920" i="13"/>
  <c r="C920" i="13"/>
  <c r="B920" i="13"/>
  <c r="Z919" i="13"/>
  <c r="AB919" i="13" s="1"/>
  <c r="T919" i="13"/>
  <c r="U919" i="13" s="1"/>
  <c r="W919" i="13" s="1"/>
  <c r="P919" i="13"/>
  <c r="K919" i="13"/>
  <c r="E919" i="13"/>
  <c r="D919" i="13"/>
  <c r="C919" i="13"/>
  <c r="B919" i="13"/>
  <c r="Z918" i="13"/>
  <c r="AB918" i="13" s="1"/>
  <c r="AC918" i="13" s="1"/>
  <c r="T918" i="13"/>
  <c r="U918" i="13" s="1"/>
  <c r="P918" i="13"/>
  <c r="K918" i="13"/>
  <c r="E918" i="13"/>
  <c r="D918" i="13"/>
  <c r="C918" i="13"/>
  <c r="B918" i="13"/>
  <c r="Z917" i="13"/>
  <c r="T917" i="13"/>
  <c r="V917" i="13" s="1"/>
  <c r="P917" i="13"/>
  <c r="K917" i="13"/>
  <c r="E917" i="13"/>
  <c r="D917" i="13"/>
  <c r="C917" i="13"/>
  <c r="B917" i="13"/>
  <c r="Z916" i="13"/>
  <c r="AA916" i="13" s="1"/>
  <c r="T916" i="13"/>
  <c r="P916" i="13"/>
  <c r="K916" i="13"/>
  <c r="E916" i="13"/>
  <c r="D916" i="13"/>
  <c r="C916" i="13"/>
  <c r="B916" i="13"/>
  <c r="Z915" i="13"/>
  <c r="AB915" i="13" s="1"/>
  <c r="T915" i="13"/>
  <c r="V915" i="13" s="1"/>
  <c r="P915" i="13"/>
  <c r="K915" i="13"/>
  <c r="E915" i="13"/>
  <c r="D915" i="13"/>
  <c r="C915" i="13"/>
  <c r="B915" i="13"/>
  <c r="Z914" i="13"/>
  <c r="AB914" i="13" s="1"/>
  <c r="T914" i="13"/>
  <c r="V914" i="13" s="1"/>
  <c r="P914" i="13"/>
  <c r="K914" i="13"/>
  <c r="E914" i="13"/>
  <c r="D914" i="13"/>
  <c r="C914" i="13"/>
  <c r="B914" i="13"/>
  <c r="Z913" i="13"/>
  <c r="AB913" i="13" s="1"/>
  <c r="T913" i="13"/>
  <c r="V913" i="13" s="1"/>
  <c r="P913" i="13"/>
  <c r="K913" i="13"/>
  <c r="E913" i="13"/>
  <c r="D913" i="13"/>
  <c r="C913" i="13"/>
  <c r="B913" i="13"/>
  <c r="Z912" i="13"/>
  <c r="AB912" i="13" s="1"/>
  <c r="T912" i="13"/>
  <c r="U912" i="13" s="1"/>
  <c r="P912" i="13"/>
  <c r="K912" i="13"/>
  <c r="E912" i="13"/>
  <c r="D912" i="13"/>
  <c r="C912" i="13"/>
  <c r="B912" i="13"/>
  <c r="Z911" i="13"/>
  <c r="AA911" i="13" s="1"/>
  <c r="T911" i="13"/>
  <c r="V911" i="13" s="1"/>
  <c r="P911" i="13"/>
  <c r="K911" i="13"/>
  <c r="E911" i="13"/>
  <c r="D911" i="13"/>
  <c r="C911" i="13"/>
  <c r="B911" i="13"/>
  <c r="Z910" i="13"/>
  <c r="AA910" i="13" s="1"/>
  <c r="T910" i="13"/>
  <c r="P910" i="13"/>
  <c r="K910" i="13"/>
  <c r="E910" i="13"/>
  <c r="D910" i="13"/>
  <c r="C910" i="13"/>
  <c r="B910" i="13"/>
  <c r="Z909" i="13"/>
  <c r="T909" i="13"/>
  <c r="U909" i="13" s="1"/>
  <c r="P909" i="13"/>
  <c r="K909" i="13"/>
  <c r="E909" i="13"/>
  <c r="D909" i="13"/>
  <c r="C909" i="13"/>
  <c r="B909" i="13"/>
  <c r="Z908" i="13"/>
  <c r="AB908" i="13" s="1"/>
  <c r="AC908" i="13" s="1"/>
  <c r="T908" i="13"/>
  <c r="P908" i="13"/>
  <c r="K908" i="13"/>
  <c r="E908" i="13"/>
  <c r="D908" i="13"/>
  <c r="C908" i="13"/>
  <c r="B908" i="13"/>
  <c r="Z907" i="13"/>
  <c r="AB907" i="13" s="1"/>
  <c r="T907" i="13"/>
  <c r="V907" i="13" s="1"/>
  <c r="P907" i="13"/>
  <c r="K907" i="13"/>
  <c r="E907" i="13"/>
  <c r="D907" i="13"/>
  <c r="C907" i="13"/>
  <c r="B907" i="13"/>
  <c r="Z906" i="13"/>
  <c r="AB906" i="13" s="1"/>
  <c r="T906" i="13"/>
  <c r="V906" i="13" s="1"/>
  <c r="P906" i="13"/>
  <c r="K906" i="13"/>
  <c r="E906" i="13"/>
  <c r="D906" i="13"/>
  <c r="C906" i="13"/>
  <c r="B906" i="13"/>
  <c r="Z905" i="13"/>
  <c r="AB905" i="13" s="1"/>
  <c r="T905" i="13"/>
  <c r="U905" i="13" s="1"/>
  <c r="P905" i="13"/>
  <c r="K905" i="13"/>
  <c r="E905" i="13"/>
  <c r="D905" i="13"/>
  <c r="C905" i="13"/>
  <c r="B905" i="13"/>
  <c r="Z904" i="13"/>
  <c r="AB904" i="13" s="1"/>
  <c r="T904" i="13"/>
  <c r="V904" i="13" s="1"/>
  <c r="P904" i="13"/>
  <c r="K904" i="13"/>
  <c r="E904" i="13"/>
  <c r="D904" i="13"/>
  <c r="C904" i="13"/>
  <c r="B904" i="13"/>
  <c r="Z903" i="13"/>
  <c r="AA903" i="13" s="1"/>
  <c r="T903" i="13"/>
  <c r="V903" i="13" s="1"/>
  <c r="P903" i="13"/>
  <c r="K903" i="13"/>
  <c r="E903" i="13"/>
  <c r="D903" i="13"/>
  <c r="C903" i="13"/>
  <c r="B903" i="13"/>
  <c r="Z902" i="13"/>
  <c r="AB902" i="13" s="1"/>
  <c r="AC902" i="13" s="1"/>
  <c r="T902" i="13"/>
  <c r="U902" i="13" s="1"/>
  <c r="P902" i="13"/>
  <c r="K902" i="13"/>
  <c r="E902" i="13"/>
  <c r="D902" i="13"/>
  <c r="C902" i="13"/>
  <c r="B902" i="13"/>
  <c r="Z901" i="13"/>
  <c r="T901" i="13"/>
  <c r="V901" i="13" s="1"/>
  <c r="P901" i="13"/>
  <c r="K901" i="13"/>
  <c r="E901" i="13"/>
  <c r="D901" i="13"/>
  <c r="C901" i="13"/>
  <c r="B901" i="13"/>
  <c r="Z900" i="13"/>
  <c r="AB900" i="13" s="1"/>
  <c r="T900" i="13"/>
  <c r="P900" i="13"/>
  <c r="K900" i="13"/>
  <c r="E900" i="13"/>
  <c r="D900" i="13"/>
  <c r="C900" i="13"/>
  <c r="B900" i="13"/>
  <c r="Z899" i="13"/>
  <c r="AB899" i="13" s="1"/>
  <c r="T899" i="13"/>
  <c r="V899" i="13" s="1"/>
  <c r="P899" i="13"/>
  <c r="K899" i="13"/>
  <c r="E899" i="13"/>
  <c r="D899" i="13"/>
  <c r="C899" i="13"/>
  <c r="B899" i="13"/>
  <c r="Z898" i="13"/>
  <c r="AB898" i="13" s="1"/>
  <c r="T898" i="13"/>
  <c r="V898" i="13" s="1"/>
  <c r="P898" i="13"/>
  <c r="K898" i="13"/>
  <c r="E898" i="13"/>
  <c r="D898" i="13"/>
  <c r="C898" i="13"/>
  <c r="B898" i="13"/>
  <c r="Z897" i="13"/>
  <c r="AB897" i="13" s="1"/>
  <c r="T897" i="13"/>
  <c r="P897" i="13"/>
  <c r="K897" i="13"/>
  <c r="E897" i="13"/>
  <c r="D897" i="13"/>
  <c r="C897" i="13"/>
  <c r="B897" i="13"/>
  <c r="Z896" i="13"/>
  <c r="AB896" i="13" s="1"/>
  <c r="T896" i="13"/>
  <c r="V896" i="13" s="1"/>
  <c r="P896" i="13"/>
  <c r="K896" i="13"/>
  <c r="E896" i="13"/>
  <c r="D896" i="13"/>
  <c r="C896" i="13"/>
  <c r="B896" i="13"/>
  <c r="Z895" i="13"/>
  <c r="T895" i="13"/>
  <c r="V895" i="13" s="1"/>
  <c r="P895" i="13"/>
  <c r="K895" i="13"/>
  <c r="E895" i="13"/>
  <c r="D895" i="13"/>
  <c r="C895" i="13"/>
  <c r="B895" i="13"/>
  <c r="Z894" i="13"/>
  <c r="AB894" i="13" s="1"/>
  <c r="AC894" i="13" s="1"/>
  <c r="T894" i="13"/>
  <c r="V894" i="13" s="1"/>
  <c r="P894" i="13"/>
  <c r="K894" i="13"/>
  <c r="E894" i="13"/>
  <c r="D894" i="13"/>
  <c r="C894" i="13"/>
  <c r="B894" i="13"/>
  <c r="Z893" i="13"/>
  <c r="T893" i="13"/>
  <c r="V893" i="13" s="1"/>
  <c r="P893" i="13"/>
  <c r="K893" i="13"/>
  <c r="E893" i="13"/>
  <c r="D893" i="13"/>
  <c r="C893" i="13"/>
  <c r="B893" i="13"/>
  <c r="Z892" i="13"/>
  <c r="AB892" i="13" s="1"/>
  <c r="AC892" i="13" s="1"/>
  <c r="T892" i="13"/>
  <c r="P892" i="13"/>
  <c r="K892" i="13"/>
  <c r="E892" i="13"/>
  <c r="D892" i="13"/>
  <c r="C892" i="13"/>
  <c r="B892" i="13"/>
  <c r="Z891" i="13"/>
  <c r="AB891" i="13" s="1"/>
  <c r="T891" i="13"/>
  <c r="V891" i="13" s="1"/>
  <c r="P891" i="13"/>
  <c r="K891" i="13"/>
  <c r="E891" i="13"/>
  <c r="D891" i="13"/>
  <c r="C891" i="13"/>
  <c r="B891" i="13"/>
  <c r="Z890" i="13"/>
  <c r="AB890" i="13" s="1"/>
  <c r="T890" i="13"/>
  <c r="V890" i="13" s="1"/>
  <c r="P890" i="13"/>
  <c r="K890" i="13"/>
  <c r="E890" i="13"/>
  <c r="D890" i="13"/>
  <c r="C890" i="13"/>
  <c r="B890" i="13"/>
  <c r="Z889" i="13"/>
  <c r="AB889" i="13" s="1"/>
  <c r="T889" i="13"/>
  <c r="P889" i="13"/>
  <c r="K889" i="13"/>
  <c r="E889" i="13"/>
  <c r="D889" i="13"/>
  <c r="C889" i="13"/>
  <c r="B889" i="13"/>
  <c r="Z888" i="13"/>
  <c r="T888" i="13"/>
  <c r="U888" i="13" s="1"/>
  <c r="P888" i="13"/>
  <c r="K888" i="13"/>
  <c r="E888" i="13"/>
  <c r="D888" i="13"/>
  <c r="C888" i="13"/>
  <c r="B888" i="13"/>
  <c r="Z887" i="13"/>
  <c r="AA887" i="13" s="1"/>
  <c r="T887" i="13"/>
  <c r="U887" i="13" s="1"/>
  <c r="W887" i="13" s="1"/>
  <c r="P887" i="13"/>
  <c r="K887" i="13"/>
  <c r="E887" i="13"/>
  <c r="D887" i="13"/>
  <c r="C887" i="13"/>
  <c r="B887" i="13"/>
  <c r="Z886" i="13"/>
  <c r="AB886" i="13" s="1"/>
  <c r="AC886" i="13" s="1"/>
  <c r="T886" i="13"/>
  <c r="U886" i="13" s="1"/>
  <c r="W886" i="13" s="1"/>
  <c r="P886" i="13"/>
  <c r="K886" i="13"/>
  <c r="E886" i="13"/>
  <c r="D886" i="13"/>
  <c r="C886" i="13"/>
  <c r="B886" i="13"/>
  <c r="Z885" i="13"/>
  <c r="T885" i="13"/>
  <c r="V885" i="13" s="1"/>
  <c r="P885" i="13"/>
  <c r="K885" i="13"/>
  <c r="E885" i="13"/>
  <c r="D885" i="13"/>
  <c r="C885" i="13"/>
  <c r="B885" i="13"/>
  <c r="Z884" i="13"/>
  <c r="AB884" i="13" s="1"/>
  <c r="AC884" i="13" s="1"/>
  <c r="T884" i="13"/>
  <c r="P884" i="13"/>
  <c r="K884" i="13"/>
  <c r="E884" i="13"/>
  <c r="D884" i="13"/>
  <c r="C884" i="13"/>
  <c r="B884" i="13"/>
  <c r="Z883" i="13"/>
  <c r="AB883" i="13" s="1"/>
  <c r="T883" i="13"/>
  <c r="V883" i="13" s="1"/>
  <c r="P883" i="13"/>
  <c r="K883" i="13"/>
  <c r="E883" i="13"/>
  <c r="D883" i="13"/>
  <c r="C883" i="13"/>
  <c r="B883" i="13"/>
  <c r="Z882" i="13"/>
  <c r="T882" i="13"/>
  <c r="V882" i="13" s="1"/>
  <c r="P882" i="13"/>
  <c r="K882" i="13"/>
  <c r="E882" i="13"/>
  <c r="D882" i="13"/>
  <c r="C882" i="13"/>
  <c r="B882" i="13"/>
  <c r="Z881" i="13"/>
  <c r="AA881" i="13" s="1"/>
  <c r="T881" i="13"/>
  <c r="V881" i="13" s="1"/>
  <c r="P881" i="13"/>
  <c r="K881" i="13"/>
  <c r="E881" i="13"/>
  <c r="D881" i="13"/>
  <c r="C881" i="13"/>
  <c r="B881" i="13"/>
  <c r="Z880" i="13"/>
  <c r="AB880" i="13" s="1"/>
  <c r="T880" i="13"/>
  <c r="V880" i="13" s="1"/>
  <c r="P880" i="13"/>
  <c r="K880" i="13"/>
  <c r="E880" i="13"/>
  <c r="D880" i="13"/>
  <c r="C880" i="13"/>
  <c r="B880" i="13"/>
  <c r="Z879" i="13"/>
  <c r="AA879" i="13" s="1"/>
  <c r="T879" i="13"/>
  <c r="V879" i="13" s="1"/>
  <c r="P879" i="13"/>
  <c r="K879" i="13"/>
  <c r="E879" i="13"/>
  <c r="D879" i="13"/>
  <c r="C879" i="13"/>
  <c r="B879" i="13"/>
  <c r="Z878" i="13"/>
  <c r="AB878" i="13" s="1"/>
  <c r="AC878" i="13" s="1"/>
  <c r="T878" i="13"/>
  <c r="U878" i="13" s="1"/>
  <c r="W878" i="13" s="1"/>
  <c r="P878" i="13"/>
  <c r="K878" i="13"/>
  <c r="E878" i="13"/>
  <c r="D878" i="13"/>
  <c r="C878" i="13"/>
  <c r="B878" i="13"/>
  <c r="Z877" i="13"/>
  <c r="T877" i="13"/>
  <c r="V877" i="13" s="1"/>
  <c r="P877" i="13"/>
  <c r="K877" i="13"/>
  <c r="E877" i="13"/>
  <c r="D877" i="13"/>
  <c r="C877" i="13"/>
  <c r="B877" i="13"/>
  <c r="Z876" i="13"/>
  <c r="AA876" i="13" s="1"/>
  <c r="T876" i="13"/>
  <c r="P876" i="13"/>
  <c r="K876" i="13"/>
  <c r="E876" i="13"/>
  <c r="D876" i="13"/>
  <c r="C876" i="13"/>
  <c r="B876" i="13"/>
  <c r="Z875" i="13"/>
  <c r="AB875" i="13" s="1"/>
  <c r="T875" i="13"/>
  <c r="U875" i="13" s="1"/>
  <c r="W875" i="13" s="1"/>
  <c r="P875" i="13"/>
  <c r="K875" i="13"/>
  <c r="E875" i="13"/>
  <c r="D875" i="13"/>
  <c r="C875" i="13"/>
  <c r="B875" i="13"/>
  <c r="Z874" i="13"/>
  <c r="AB874" i="13" s="1"/>
  <c r="T874" i="13"/>
  <c r="V874" i="13" s="1"/>
  <c r="P874" i="13"/>
  <c r="K874" i="13"/>
  <c r="E874" i="13"/>
  <c r="D874" i="13"/>
  <c r="C874" i="13"/>
  <c r="B874" i="13"/>
  <c r="Z873" i="13"/>
  <c r="AA873" i="13" s="1"/>
  <c r="T873" i="13"/>
  <c r="V873" i="13" s="1"/>
  <c r="P873" i="13"/>
  <c r="K873" i="13"/>
  <c r="E873" i="13"/>
  <c r="D873" i="13"/>
  <c r="C873" i="13"/>
  <c r="B873" i="13"/>
  <c r="Z872" i="13"/>
  <c r="AB872" i="13" s="1"/>
  <c r="T872" i="13"/>
  <c r="U872" i="13" s="1"/>
  <c r="W872" i="13" s="1"/>
  <c r="P872" i="13"/>
  <c r="K872" i="13"/>
  <c r="E872" i="13"/>
  <c r="D872" i="13"/>
  <c r="C872" i="13"/>
  <c r="B872" i="13"/>
  <c r="Z871" i="13"/>
  <c r="AA871" i="13" s="1"/>
  <c r="T871" i="13"/>
  <c r="V871" i="13" s="1"/>
  <c r="P871" i="13"/>
  <c r="K871" i="13"/>
  <c r="E871" i="13"/>
  <c r="D871" i="13"/>
  <c r="C871" i="13"/>
  <c r="B871" i="13"/>
  <c r="Z870" i="13"/>
  <c r="AB870" i="13" s="1"/>
  <c r="T870" i="13"/>
  <c r="U870" i="13" s="1"/>
  <c r="W870" i="13" s="1"/>
  <c r="P870" i="13"/>
  <c r="K870" i="13"/>
  <c r="E870" i="13"/>
  <c r="D870" i="13"/>
  <c r="C870" i="13"/>
  <c r="B870" i="13"/>
  <c r="Z869" i="13"/>
  <c r="T869" i="13"/>
  <c r="V869" i="13" s="1"/>
  <c r="P869" i="13"/>
  <c r="K869" i="13"/>
  <c r="E869" i="13"/>
  <c r="D869" i="13"/>
  <c r="C869" i="13"/>
  <c r="B869" i="13"/>
  <c r="Z868" i="13"/>
  <c r="AA868" i="13" s="1"/>
  <c r="T868" i="13"/>
  <c r="P868" i="13"/>
  <c r="K868" i="13"/>
  <c r="E868" i="13"/>
  <c r="D868" i="13"/>
  <c r="C868" i="13"/>
  <c r="B868" i="13"/>
  <c r="Z867" i="13"/>
  <c r="AB867" i="13" s="1"/>
  <c r="T867" i="13"/>
  <c r="V867" i="13" s="1"/>
  <c r="P867" i="13"/>
  <c r="K867" i="13"/>
  <c r="E867" i="13"/>
  <c r="D867" i="13"/>
  <c r="C867" i="13"/>
  <c r="B867" i="13"/>
  <c r="Z866" i="13"/>
  <c r="AB866" i="13" s="1"/>
  <c r="T866" i="13"/>
  <c r="V866" i="13" s="1"/>
  <c r="P866" i="13"/>
  <c r="K866" i="13"/>
  <c r="E866" i="13"/>
  <c r="D866" i="13"/>
  <c r="C866" i="13"/>
  <c r="B866" i="13"/>
  <c r="Z865" i="13"/>
  <c r="AA865" i="13" s="1"/>
  <c r="T865" i="13"/>
  <c r="V865" i="13" s="1"/>
  <c r="P865" i="13"/>
  <c r="K865" i="13"/>
  <c r="E865" i="13"/>
  <c r="D865" i="13"/>
  <c r="C865" i="13"/>
  <c r="B865" i="13"/>
  <c r="Z864" i="13"/>
  <c r="AB864" i="13" s="1"/>
  <c r="T864" i="13"/>
  <c r="V864" i="13" s="1"/>
  <c r="P864" i="13"/>
  <c r="K864" i="13"/>
  <c r="E864" i="13"/>
  <c r="D864" i="13"/>
  <c r="C864" i="13"/>
  <c r="B864" i="13"/>
  <c r="Z863" i="13"/>
  <c r="AA863" i="13" s="1"/>
  <c r="T863" i="13"/>
  <c r="V863" i="13" s="1"/>
  <c r="P863" i="13"/>
  <c r="K863" i="13"/>
  <c r="E863" i="13"/>
  <c r="D863" i="13"/>
  <c r="C863" i="13"/>
  <c r="B863" i="13"/>
  <c r="Z862" i="13"/>
  <c r="AB862" i="13" s="1"/>
  <c r="AC862" i="13" s="1"/>
  <c r="T862" i="13"/>
  <c r="V862" i="13" s="1"/>
  <c r="P862" i="13"/>
  <c r="K862" i="13"/>
  <c r="E862" i="13"/>
  <c r="D862" i="13"/>
  <c r="C862" i="13"/>
  <c r="B862" i="13"/>
  <c r="Z861" i="13"/>
  <c r="T861" i="13"/>
  <c r="V861" i="13" s="1"/>
  <c r="P861" i="13"/>
  <c r="K861" i="13"/>
  <c r="E861" i="13"/>
  <c r="D861" i="13"/>
  <c r="C861" i="13"/>
  <c r="B861" i="13"/>
  <c r="Z860" i="13"/>
  <c r="AA860" i="13" s="1"/>
  <c r="T860" i="13"/>
  <c r="P860" i="13"/>
  <c r="K860" i="13"/>
  <c r="E860" i="13"/>
  <c r="D860" i="13"/>
  <c r="C860" i="13"/>
  <c r="B860" i="13"/>
  <c r="Z859" i="13"/>
  <c r="AB859" i="13" s="1"/>
  <c r="T859" i="13"/>
  <c r="P859" i="13"/>
  <c r="K859" i="13"/>
  <c r="E859" i="13"/>
  <c r="D859" i="13"/>
  <c r="C859" i="13"/>
  <c r="B859" i="13"/>
  <c r="Z858" i="13"/>
  <c r="AB858" i="13" s="1"/>
  <c r="T858" i="13"/>
  <c r="V858" i="13" s="1"/>
  <c r="P858" i="13"/>
  <c r="K858" i="13"/>
  <c r="E858" i="13"/>
  <c r="D858" i="13"/>
  <c r="C858" i="13"/>
  <c r="B858" i="13"/>
  <c r="Z857" i="13"/>
  <c r="AB857" i="13" s="1"/>
  <c r="T857" i="13"/>
  <c r="V857" i="13" s="1"/>
  <c r="P857" i="13"/>
  <c r="K857" i="13"/>
  <c r="E857" i="13"/>
  <c r="D857" i="13"/>
  <c r="C857" i="13"/>
  <c r="B857" i="13"/>
  <c r="Z856" i="13"/>
  <c r="AB856" i="13" s="1"/>
  <c r="T856" i="13"/>
  <c r="U856" i="13" s="1"/>
  <c r="W856" i="13" s="1"/>
  <c r="P856" i="13"/>
  <c r="K856" i="13"/>
  <c r="E856" i="13"/>
  <c r="D856" i="13"/>
  <c r="C856" i="13"/>
  <c r="B856" i="13"/>
  <c r="Z855" i="13"/>
  <c r="AA855" i="13" s="1"/>
  <c r="T855" i="13"/>
  <c r="V855" i="13" s="1"/>
  <c r="P855" i="13"/>
  <c r="K855" i="13"/>
  <c r="E855" i="13"/>
  <c r="D855" i="13"/>
  <c r="C855" i="13"/>
  <c r="B855" i="13"/>
  <c r="Z854" i="13"/>
  <c r="AB854" i="13" s="1"/>
  <c r="T854" i="13"/>
  <c r="U854" i="13" s="1"/>
  <c r="W854" i="13" s="1"/>
  <c r="P854" i="13"/>
  <c r="K854" i="13"/>
  <c r="E854" i="13"/>
  <c r="D854" i="13"/>
  <c r="C854" i="13"/>
  <c r="B854" i="13"/>
  <c r="Z853" i="13"/>
  <c r="T853" i="13"/>
  <c r="V853" i="13" s="1"/>
  <c r="P853" i="13"/>
  <c r="K853" i="13"/>
  <c r="E853" i="13"/>
  <c r="D853" i="13"/>
  <c r="C853" i="13"/>
  <c r="B853" i="13"/>
  <c r="Z852" i="13"/>
  <c r="T852" i="13"/>
  <c r="P852" i="13"/>
  <c r="K852" i="13"/>
  <c r="E852" i="13"/>
  <c r="D852" i="13"/>
  <c r="C852" i="13"/>
  <c r="B852" i="13"/>
  <c r="Z851" i="13"/>
  <c r="AB851" i="13" s="1"/>
  <c r="T851" i="13"/>
  <c r="V851" i="13" s="1"/>
  <c r="P851" i="13"/>
  <c r="K851" i="13"/>
  <c r="E851" i="13"/>
  <c r="D851" i="13"/>
  <c r="C851" i="13"/>
  <c r="B851" i="13"/>
  <c r="Z850" i="13"/>
  <c r="AA850" i="13" s="1"/>
  <c r="T850" i="13"/>
  <c r="V850" i="13" s="1"/>
  <c r="P850" i="13"/>
  <c r="K850" i="13"/>
  <c r="E850" i="13"/>
  <c r="D850" i="13"/>
  <c r="C850" i="13"/>
  <c r="B850" i="13"/>
  <c r="Z849" i="13"/>
  <c r="AA849" i="13" s="1"/>
  <c r="T849" i="13"/>
  <c r="P849" i="13"/>
  <c r="K849" i="13"/>
  <c r="E849" i="13"/>
  <c r="D849" i="13"/>
  <c r="C849" i="13"/>
  <c r="B849" i="13"/>
  <c r="Z848" i="13"/>
  <c r="AB848" i="13" s="1"/>
  <c r="T848" i="13"/>
  <c r="U848" i="13" s="1"/>
  <c r="W848" i="13" s="1"/>
  <c r="P848" i="13"/>
  <c r="K848" i="13"/>
  <c r="E848" i="13"/>
  <c r="D848" i="13"/>
  <c r="C848" i="13"/>
  <c r="B848" i="13"/>
  <c r="Z847" i="13"/>
  <c r="AA847" i="13" s="1"/>
  <c r="T847" i="13"/>
  <c r="V847" i="13" s="1"/>
  <c r="P847" i="13"/>
  <c r="K847" i="13"/>
  <c r="E847" i="13"/>
  <c r="D847" i="13"/>
  <c r="C847" i="13"/>
  <c r="B847" i="13"/>
  <c r="Z846" i="13"/>
  <c r="AB846" i="13" s="1"/>
  <c r="AC846" i="13" s="1"/>
  <c r="T846" i="13"/>
  <c r="U846" i="13" s="1"/>
  <c r="W846" i="13" s="1"/>
  <c r="P846" i="13"/>
  <c r="K846" i="13"/>
  <c r="E846" i="13"/>
  <c r="D846" i="13"/>
  <c r="C846" i="13"/>
  <c r="B846" i="13"/>
  <c r="Z845" i="13"/>
  <c r="T845" i="13"/>
  <c r="V845" i="13" s="1"/>
  <c r="P845" i="13"/>
  <c r="K845" i="13"/>
  <c r="E845" i="13"/>
  <c r="D845" i="13"/>
  <c r="C845" i="13"/>
  <c r="B845" i="13"/>
  <c r="Z844" i="13"/>
  <c r="AB844" i="13" s="1"/>
  <c r="AC844" i="13" s="1"/>
  <c r="T844" i="13"/>
  <c r="P844" i="13"/>
  <c r="K844" i="13"/>
  <c r="E844" i="13"/>
  <c r="D844" i="13"/>
  <c r="C844" i="13"/>
  <c r="B844" i="13"/>
  <c r="Z843" i="13"/>
  <c r="AB843" i="13" s="1"/>
  <c r="T843" i="13"/>
  <c r="V843" i="13" s="1"/>
  <c r="P843" i="13"/>
  <c r="K843" i="13"/>
  <c r="E843" i="13"/>
  <c r="D843" i="13"/>
  <c r="C843" i="13"/>
  <c r="B843" i="13"/>
  <c r="Z842" i="13"/>
  <c r="AA842" i="13" s="1"/>
  <c r="T842" i="13"/>
  <c r="V842" i="13" s="1"/>
  <c r="P842" i="13"/>
  <c r="K842" i="13"/>
  <c r="E842" i="13"/>
  <c r="D842" i="13"/>
  <c r="C842" i="13"/>
  <c r="B842" i="13"/>
  <c r="Z841" i="13"/>
  <c r="AA841" i="13" s="1"/>
  <c r="T841" i="13"/>
  <c r="U841" i="13" s="1"/>
  <c r="W841" i="13" s="1"/>
  <c r="P841" i="13"/>
  <c r="K841" i="13"/>
  <c r="E841" i="13"/>
  <c r="D841" i="13"/>
  <c r="C841" i="13"/>
  <c r="B841" i="13"/>
  <c r="Z840" i="13"/>
  <c r="AB840" i="13" s="1"/>
  <c r="T840" i="13"/>
  <c r="P840" i="13"/>
  <c r="K840" i="13"/>
  <c r="E840" i="13"/>
  <c r="D840" i="13"/>
  <c r="C840" i="13"/>
  <c r="B840" i="13"/>
  <c r="Z839" i="13"/>
  <c r="T839" i="13"/>
  <c r="V839" i="13" s="1"/>
  <c r="P839" i="13"/>
  <c r="K839" i="13"/>
  <c r="E839" i="13"/>
  <c r="D839" i="13"/>
  <c r="C839" i="13"/>
  <c r="B839" i="13"/>
  <c r="Z838" i="13"/>
  <c r="AB838" i="13" s="1"/>
  <c r="AC838" i="13" s="1"/>
  <c r="T838" i="13"/>
  <c r="U838" i="13" s="1"/>
  <c r="P838" i="13"/>
  <c r="K838" i="13"/>
  <c r="E838" i="13"/>
  <c r="D838" i="13"/>
  <c r="C838" i="13"/>
  <c r="B838" i="13"/>
  <c r="Z837" i="13"/>
  <c r="T837" i="13"/>
  <c r="V837" i="13" s="1"/>
  <c r="P837" i="13"/>
  <c r="K837" i="13"/>
  <c r="E837" i="13"/>
  <c r="D837" i="13"/>
  <c r="C837" i="13"/>
  <c r="B837" i="13"/>
  <c r="Z836" i="13"/>
  <c r="AA836" i="13" s="1"/>
  <c r="T836" i="13"/>
  <c r="P836" i="13"/>
  <c r="K836" i="13"/>
  <c r="E836" i="13"/>
  <c r="D836" i="13"/>
  <c r="C836" i="13"/>
  <c r="B836" i="13"/>
  <c r="Z835" i="13"/>
  <c r="AB835" i="13" s="1"/>
  <c r="T835" i="13"/>
  <c r="V835" i="13" s="1"/>
  <c r="P835" i="13"/>
  <c r="K835" i="13"/>
  <c r="E835" i="13"/>
  <c r="D835" i="13"/>
  <c r="C835" i="13"/>
  <c r="B835" i="13"/>
  <c r="Z834" i="13"/>
  <c r="AB834" i="13" s="1"/>
  <c r="T834" i="13"/>
  <c r="V834" i="13" s="1"/>
  <c r="P834" i="13"/>
  <c r="K834" i="13"/>
  <c r="E834" i="13"/>
  <c r="D834" i="13"/>
  <c r="C834" i="13"/>
  <c r="B834" i="13"/>
  <c r="Z833" i="13"/>
  <c r="T833" i="13"/>
  <c r="V833" i="13" s="1"/>
  <c r="P833" i="13"/>
  <c r="K833" i="13"/>
  <c r="E833" i="13"/>
  <c r="D833" i="13"/>
  <c r="C833" i="13"/>
  <c r="B833" i="13"/>
  <c r="Z832" i="13"/>
  <c r="AB832" i="13" s="1"/>
  <c r="T832" i="13"/>
  <c r="U832" i="13" s="1"/>
  <c r="W832" i="13" s="1"/>
  <c r="P832" i="13"/>
  <c r="K832" i="13"/>
  <c r="E832" i="13"/>
  <c r="D832" i="13"/>
  <c r="C832" i="13"/>
  <c r="B832" i="13"/>
  <c r="Z831" i="13"/>
  <c r="AB831" i="13" s="1"/>
  <c r="T831" i="13"/>
  <c r="V831" i="13" s="1"/>
  <c r="P831" i="13"/>
  <c r="K831" i="13"/>
  <c r="E831" i="13"/>
  <c r="D831" i="13"/>
  <c r="C831" i="13"/>
  <c r="B831" i="13"/>
  <c r="Z830" i="13"/>
  <c r="AB830" i="13" s="1"/>
  <c r="T830" i="13"/>
  <c r="U830" i="13" s="1"/>
  <c r="P830" i="13"/>
  <c r="K830" i="13"/>
  <c r="E830" i="13"/>
  <c r="D830" i="13"/>
  <c r="C830" i="13"/>
  <c r="B830" i="13"/>
  <c r="Z829" i="13"/>
  <c r="T829" i="13"/>
  <c r="V829" i="13" s="1"/>
  <c r="P829" i="13"/>
  <c r="K829" i="13"/>
  <c r="E829" i="13"/>
  <c r="D829" i="13"/>
  <c r="C829" i="13"/>
  <c r="B829" i="13"/>
  <c r="Z828" i="13"/>
  <c r="AA828" i="13" s="1"/>
  <c r="T828" i="13"/>
  <c r="P828" i="13"/>
  <c r="K828" i="13"/>
  <c r="E828" i="13"/>
  <c r="D828" i="13"/>
  <c r="C828" i="13"/>
  <c r="B828" i="13"/>
  <c r="Z827" i="13"/>
  <c r="AB827" i="13" s="1"/>
  <c r="T827" i="13"/>
  <c r="U827" i="13" s="1"/>
  <c r="P827" i="13"/>
  <c r="K827" i="13"/>
  <c r="E827" i="13"/>
  <c r="D827" i="13"/>
  <c r="C827" i="13"/>
  <c r="B827" i="13"/>
  <c r="Z826" i="13"/>
  <c r="AB826" i="13" s="1"/>
  <c r="T826" i="13"/>
  <c r="V826" i="13" s="1"/>
  <c r="P826" i="13"/>
  <c r="K826" i="13"/>
  <c r="E826" i="13"/>
  <c r="D826" i="13"/>
  <c r="C826" i="13"/>
  <c r="B826" i="13"/>
  <c r="Z825" i="13"/>
  <c r="AB825" i="13" s="1"/>
  <c r="AC825" i="13" s="1"/>
  <c r="T825" i="13"/>
  <c r="V825" i="13" s="1"/>
  <c r="P825" i="13"/>
  <c r="K825" i="13"/>
  <c r="E825" i="13"/>
  <c r="D825" i="13"/>
  <c r="C825" i="13"/>
  <c r="B825" i="13"/>
  <c r="Z824" i="13"/>
  <c r="AB824" i="13" s="1"/>
  <c r="T824" i="13"/>
  <c r="V824" i="13" s="1"/>
  <c r="P824" i="13"/>
  <c r="K824" i="13"/>
  <c r="E824" i="13"/>
  <c r="D824" i="13"/>
  <c r="C824" i="13"/>
  <c r="B824" i="13"/>
  <c r="Z823" i="13"/>
  <c r="AA823" i="13" s="1"/>
  <c r="T823" i="13"/>
  <c r="V823" i="13" s="1"/>
  <c r="P823" i="13"/>
  <c r="K823" i="13"/>
  <c r="E823" i="13"/>
  <c r="D823" i="13"/>
  <c r="C823" i="13"/>
  <c r="B823" i="13"/>
  <c r="Z822" i="13"/>
  <c r="AB822" i="13" s="1"/>
  <c r="T822" i="13"/>
  <c r="U822" i="13" s="1"/>
  <c r="P822" i="13"/>
  <c r="K822" i="13"/>
  <c r="E822" i="13"/>
  <c r="D822" i="13"/>
  <c r="C822" i="13"/>
  <c r="B822" i="13"/>
  <c r="Z821" i="13"/>
  <c r="T821" i="13"/>
  <c r="V821" i="13" s="1"/>
  <c r="P821" i="13"/>
  <c r="K821" i="13"/>
  <c r="E821" i="13"/>
  <c r="D821" i="13"/>
  <c r="C821" i="13"/>
  <c r="B821" i="13"/>
  <c r="Z820" i="13"/>
  <c r="AB820" i="13" s="1"/>
  <c r="AC820" i="13" s="1"/>
  <c r="T820" i="13"/>
  <c r="P820" i="13"/>
  <c r="K820" i="13"/>
  <c r="E820" i="13"/>
  <c r="D820" i="13"/>
  <c r="C820" i="13"/>
  <c r="B820" i="13"/>
  <c r="Z819" i="13"/>
  <c r="AB819" i="13" s="1"/>
  <c r="T819" i="13"/>
  <c r="V819" i="13" s="1"/>
  <c r="P819" i="13"/>
  <c r="K819" i="13"/>
  <c r="E819" i="13"/>
  <c r="D819" i="13"/>
  <c r="C819" i="13"/>
  <c r="B819" i="13"/>
  <c r="Z818" i="13"/>
  <c r="AB818" i="13" s="1"/>
  <c r="T818" i="13"/>
  <c r="V818" i="13" s="1"/>
  <c r="P818" i="13"/>
  <c r="K818" i="13"/>
  <c r="E818" i="13"/>
  <c r="D818" i="13"/>
  <c r="C818" i="13"/>
  <c r="B818" i="13"/>
  <c r="Z817" i="13"/>
  <c r="AB817" i="13" s="1"/>
  <c r="AC817" i="13" s="1"/>
  <c r="T817" i="13"/>
  <c r="P817" i="13"/>
  <c r="K817" i="13"/>
  <c r="E817" i="13"/>
  <c r="D817" i="13"/>
  <c r="C817" i="13"/>
  <c r="B817" i="13"/>
  <c r="Z816" i="13"/>
  <c r="AB816" i="13" s="1"/>
  <c r="T816" i="13"/>
  <c r="V816" i="13" s="1"/>
  <c r="P816" i="13"/>
  <c r="K816" i="13"/>
  <c r="E816" i="13"/>
  <c r="D816" i="13"/>
  <c r="C816" i="13"/>
  <c r="B816" i="13"/>
  <c r="Z815" i="13"/>
  <c r="AA815" i="13" s="1"/>
  <c r="T815" i="13"/>
  <c r="V815" i="13" s="1"/>
  <c r="P815" i="13"/>
  <c r="K815" i="13"/>
  <c r="E815" i="13"/>
  <c r="D815" i="13"/>
  <c r="C815" i="13"/>
  <c r="B815" i="13"/>
  <c r="Z814" i="13"/>
  <c r="AB814" i="13" s="1"/>
  <c r="AC814" i="13" s="1"/>
  <c r="T814" i="13"/>
  <c r="U814" i="13" s="1"/>
  <c r="P814" i="13"/>
  <c r="K814" i="13"/>
  <c r="E814" i="13"/>
  <c r="D814" i="13"/>
  <c r="C814" i="13"/>
  <c r="B814" i="13"/>
  <c r="Z813" i="13"/>
  <c r="T813" i="13"/>
  <c r="V813" i="13" s="1"/>
  <c r="P813" i="13"/>
  <c r="K813" i="13"/>
  <c r="E813" i="13"/>
  <c r="D813" i="13"/>
  <c r="C813" i="13"/>
  <c r="B813" i="13"/>
  <c r="Z812" i="13"/>
  <c r="AB812" i="13" s="1"/>
  <c r="AC812" i="13" s="1"/>
  <c r="T812" i="13"/>
  <c r="P812" i="13"/>
  <c r="K812" i="13"/>
  <c r="E812" i="13"/>
  <c r="D812" i="13"/>
  <c r="C812" i="13"/>
  <c r="B812" i="13"/>
  <c r="Z811" i="13"/>
  <c r="AB811" i="13" s="1"/>
  <c r="T811" i="13"/>
  <c r="V811" i="13" s="1"/>
  <c r="P811" i="13"/>
  <c r="K811" i="13"/>
  <c r="E811" i="13"/>
  <c r="D811" i="13"/>
  <c r="C811" i="13"/>
  <c r="B811" i="13"/>
  <c r="Z810" i="13"/>
  <c r="AB810" i="13" s="1"/>
  <c r="T810" i="13"/>
  <c r="V810" i="13" s="1"/>
  <c r="P810" i="13"/>
  <c r="K810" i="13"/>
  <c r="E810" i="13"/>
  <c r="D810" i="13"/>
  <c r="C810" i="13"/>
  <c r="B810" i="13"/>
  <c r="Z809" i="13"/>
  <c r="T809" i="13"/>
  <c r="V809" i="13" s="1"/>
  <c r="P809" i="13"/>
  <c r="K809" i="13"/>
  <c r="E809" i="13"/>
  <c r="D809" i="13"/>
  <c r="C809" i="13"/>
  <c r="B809" i="13"/>
  <c r="Z808" i="13"/>
  <c r="AB808" i="13" s="1"/>
  <c r="T808" i="13"/>
  <c r="V808" i="13" s="1"/>
  <c r="P808" i="13"/>
  <c r="K808" i="13"/>
  <c r="E808" i="13"/>
  <c r="D808" i="13"/>
  <c r="C808" i="13"/>
  <c r="B808" i="13"/>
  <c r="Z807" i="13"/>
  <c r="AA807" i="13" s="1"/>
  <c r="T807" i="13"/>
  <c r="V807" i="13" s="1"/>
  <c r="P807" i="13"/>
  <c r="K807" i="13"/>
  <c r="E807" i="13"/>
  <c r="D807" i="13"/>
  <c r="C807" i="13"/>
  <c r="B807" i="13"/>
  <c r="Z806" i="13"/>
  <c r="AA806" i="13" s="1"/>
  <c r="T806" i="13"/>
  <c r="U806" i="13" s="1"/>
  <c r="P806" i="13"/>
  <c r="K806" i="13"/>
  <c r="E806" i="13"/>
  <c r="D806" i="13"/>
  <c r="C806" i="13"/>
  <c r="B806" i="13"/>
  <c r="Z805" i="13"/>
  <c r="T805" i="13"/>
  <c r="U805" i="13" s="1"/>
  <c r="P805" i="13"/>
  <c r="K805" i="13"/>
  <c r="E805" i="13"/>
  <c r="D805" i="13"/>
  <c r="C805" i="13"/>
  <c r="B805" i="13"/>
  <c r="Z804" i="13"/>
  <c r="AB804" i="13" s="1"/>
  <c r="T804" i="13"/>
  <c r="P804" i="13"/>
  <c r="K804" i="13"/>
  <c r="E804" i="13"/>
  <c r="D804" i="13"/>
  <c r="C804" i="13"/>
  <c r="B804" i="13"/>
  <c r="Z803" i="13"/>
  <c r="AB803" i="13" s="1"/>
  <c r="T803" i="13"/>
  <c r="V803" i="13" s="1"/>
  <c r="P803" i="13"/>
  <c r="K803" i="13"/>
  <c r="E803" i="13"/>
  <c r="D803" i="13"/>
  <c r="C803" i="13"/>
  <c r="B803" i="13"/>
  <c r="Z802" i="13"/>
  <c r="AB802" i="13" s="1"/>
  <c r="T802" i="13"/>
  <c r="V802" i="13" s="1"/>
  <c r="P802" i="13"/>
  <c r="K802" i="13"/>
  <c r="E802" i="13"/>
  <c r="D802" i="13"/>
  <c r="C802" i="13"/>
  <c r="B802" i="13"/>
  <c r="Z801" i="13"/>
  <c r="AB801" i="13" s="1"/>
  <c r="AC801" i="13" s="1"/>
  <c r="T801" i="13"/>
  <c r="V801" i="13" s="1"/>
  <c r="P801" i="13"/>
  <c r="K801" i="13"/>
  <c r="E801" i="13"/>
  <c r="D801" i="13"/>
  <c r="C801" i="13"/>
  <c r="B801" i="13"/>
  <c r="Z800" i="13"/>
  <c r="AB800" i="13" s="1"/>
  <c r="T800" i="13"/>
  <c r="V800" i="13" s="1"/>
  <c r="P800" i="13"/>
  <c r="K800" i="13"/>
  <c r="E800" i="13"/>
  <c r="D800" i="13"/>
  <c r="C800" i="13"/>
  <c r="B800" i="13"/>
  <c r="Z799" i="13"/>
  <c r="AA799" i="13" s="1"/>
  <c r="T799" i="13"/>
  <c r="V799" i="13" s="1"/>
  <c r="P799" i="13"/>
  <c r="K799" i="13"/>
  <c r="E799" i="13"/>
  <c r="D799" i="13"/>
  <c r="C799" i="13"/>
  <c r="B799" i="13"/>
  <c r="Z798" i="13"/>
  <c r="AA798" i="13" s="1"/>
  <c r="T798" i="13"/>
  <c r="U798" i="13" s="1"/>
  <c r="W798" i="13" s="1"/>
  <c r="P798" i="13"/>
  <c r="K798" i="13"/>
  <c r="E798" i="13"/>
  <c r="D798" i="13"/>
  <c r="C798" i="13"/>
  <c r="B798" i="13"/>
  <c r="Z797" i="13"/>
  <c r="T797" i="13"/>
  <c r="P797" i="13"/>
  <c r="K797" i="13"/>
  <c r="E797" i="13"/>
  <c r="D797" i="13"/>
  <c r="C797" i="13"/>
  <c r="B797" i="13"/>
  <c r="Z796" i="13"/>
  <c r="AB796" i="13" s="1"/>
  <c r="AC796" i="13" s="1"/>
  <c r="T796" i="13"/>
  <c r="P796" i="13"/>
  <c r="K796" i="13"/>
  <c r="E796" i="13"/>
  <c r="D796" i="13"/>
  <c r="C796" i="13"/>
  <c r="B796" i="13"/>
  <c r="Z795" i="13"/>
  <c r="AB795" i="13" s="1"/>
  <c r="T795" i="13"/>
  <c r="V795" i="13" s="1"/>
  <c r="P795" i="13"/>
  <c r="K795" i="13"/>
  <c r="E795" i="13"/>
  <c r="D795" i="13"/>
  <c r="C795" i="13"/>
  <c r="B795" i="13"/>
  <c r="Z794" i="13"/>
  <c r="AB794" i="13" s="1"/>
  <c r="T794" i="13"/>
  <c r="V794" i="13" s="1"/>
  <c r="P794" i="13"/>
  <c r="K794" i="13"/>
  <c r="E794" i="13"/>
  <c r="D794" i="13"/>
  <c r="C794" i="13"/>
  <c r="B794" i="13"/>
  <c r="Z793" i="13"/>
  <c r="AA793" i="13" s="1"/>
  <c r="T793" i="13"/>
  <c r="V793" i="13" s="1"/>
  <c r="P793" i="13"/>
  <c r="K793" i="13"/>
  <c r="E793" i="13"/>
  <c r="D793" i="13"/>
  <c r="C793" i="13"/>
  <c r="B793" i="13"/>
  <c r="Z792" i="13"/>
  <c r="AB792" i="13" s="1"/>
  <c r="T792" i="13"/>
  <c r="U792" i="13" s="1"/>
  <c r="P792" i="13"/>
  <c r="K792" i="13"/>
  <c r="E792" i="13"/>
  <c r="D792" i="13"/>
  <c r="C792" i="13"/>
  <c r="B792" i="13"/>
  <c r="Z791" i="13"/>
  <c r="AA791" i="13" s="1"/>
  <c r="T791" i="13"/>
  <c r="V791" i="13" s="1"/>
  <c r="P791" i="13"/>
  <c r="K791" i="13"/>
  <c r="E791" i="13"/>
  <c r="D791" i="13"/>
  <c r="C791" i="13"/>
  <c r="B791" i="13"/>
  <c r="Z790" i="13"/>
  <c r="AA790" i="13" s="1"/>
  <c r="T790" i="13"/>
  <c r="U790" i="13" s="1"/>
  <c r="P790" i="13"/>
  <c r="K790" i="13"/>
  <c r="E790" i="13"/>
  <c r="D790" i="13"/>
  <c r="C790" i="13"/>
  <c r="B790" i="13"/>
  <c r="Z789" i="13"/>
  <c r="T789" i="13"/>
  <c r="U789" i="13" s="1"/>
  <c r="P789" i="13"/>
  <c r="K789" i="13"/>
  <c r="E789" i="13"/>
  <c r="D789" i="13"/>
  <c r="C789" i="13"/>
  <c r="B789" i="13"/>
  <c r="Z788" i="13"/>
  <c r="AB788" i="13" s="1"/>
  <c r="T788" i="13"/>
  <c r="P788" i="13"/>
  <c r="K788" i="13"/>
  <c r="E788" i="13"/>
  <c r="D788" i="13"/>
  <c r="C788" i="13"/>
  <c r="B788" i="13"/>
  <c r="Z787" i="13"/>
  <c r="AB787" i="13" s="1"/>
  <c r="T787" i="13"/>
  <c r="V787" i="13" s="1"/>
  <c r="P787" i="13"/>
  <c r="K787" i="13"/>
  <c r="E787" i="13"/>
  <c r="D787" i="13"/>
  <c r="C787" i="13"/>
  <c r="B787" i="13"/>
  <c r="Z786" i="13"/>
  <c r="AB786" i="13" s="1"/>
  <c r="T786" i="13"/>
  <c r="V786" i="13" s="1"/>
  <c r="P786" i="13"/>
  <c r="K786" i="13"/>
  <c r="E786" i="13"/>
  <c r="D786" i="13"/>
  <c r="C786" i="13"/>
  <c r="B786" i="13"/>
  <c r="Z785" i="13"/>
  <c r="AA785" i="13" s="1"/>
  <c r="T785" i="13"/>
  <c r="U785" i="13" s="1"/>
  <c r="P785" i="13"/>
  <c r="K785" i="13"/>
  <c r="E785" i="13"/>
  <c r="D785" i="13"/>
  <c r="C785" i="13"/>
  <c r="B785" i="13"/>
  <c r="Z784" i="13"/>
  <c r="AB784" i="13" s="1"/>
  <c r="T784" i="13"/>
  <c r="P784" i="13"/>
  <c r="K784" i="13"/>
  <c r="E784" i="13"/>
  <c r="D784" i="13"/>
  <c r="C784" i="13"/>
  <c r="B784" i="13"/>
  <c r="Z783" i="13"/>
  <c r="T783" i="13"/>
  <c r="P783" i="13"/>
  <c r="K783" i="13"/>
  <c r="E783" i="13"/>
  <c r="D783" i="13"/>
  <c r="C783" i="13"/>
  <c r="B783" i="13"/>
  <c r="Z782" i="13"/>
  <c r="AA782" i="13" s="1"/>
  <c r="T782" i="13"/>
  <c r="V782" i="13" s="1"/>
  <c r="P782" i="13"/>
  <c r="K782" i="13"/>
  <c r="E782" i="13"/>
  <c r="D782" i="13"/>
  <c r="C782" i="13"/>
  <c r="B782" i="13"/>
  <c r="Z781" i="13"/>
  <c r="AB781" i="13" s="1"/>
  <c r="T781" i="13"/>
  <c r="U781" i="13" s="1"/>
  <c r="W781" i="13" s="1"/>
  <c r="P781" i="13"/>
  <c r="K781" i="13"/>
  <c r="E781" i="13"/>
  <c r="D781" i="13"/>
  <c r="C781" i="13"/>
  <c r="B781" i="13"/>
  <c r="Z780" i="13"/>
  <c r="AB780" i="13" s="1"/>
  <c r="AC780" i="13" s="1"/>
  <c r="T780" i="13"/>
  <c r="V780" i="13" s="1"/>
  <c r="P780" i="13"/>
  <c r="K780" i="13"/>
  <c r="E780" i="13"/>
  <c r="D780" i="13"/>
  <c r="C780" i="13"/>
  <c r="B780" i="13"/>
  <c r="Z779" i="13"/>
  <c r="AB779" i="13" s="1"/>
  <c r="T779" i="13"/>
  <c r="V779" i="13" s="1"/>
  <c r="P779" i="13"/>
  <c r="K779" i="13"/>
  <c r="E779" i="13"/>
  <c r="D779" i="13"/>
  <c r="C779" i="13"/>
  <c r="B779" i="13"/>
  <c r="Z778" i="13"/>
  <c r="T778" i="13"/>
  <c r="V778" i="13" s="1"/>
  <c r="P778" i="13"/>
  <c r="K778" i="13"/>
  <c r="E778" i="13"/>
  <c r="D778" i="13"/>
  <c r="C778" i="13"/>
  <c r="B778" i="13"/>
  <c r="Z777" i="13"/>
  <c r="AA777" i="13" s="1"/>
  <c r="T777" i="13"/>
  <c r="V777" i="13" s="1"/>
  <c r="P777" i="13"/>
  <c r="K777" i="13"/>
  <c r="E777" i="13"/>
  <c r="D777" i="13"/>
  <c r="C777" i="13"/>
  <c r="B777" i="13"/>
  <c r="Z776" i="13"/>
  <c r="T776" i="13"/>
  <c r="V776" i="13" s="1"/>
  <c r="P776" i="13"/>
  <c r="K776" i="13"/>
  <c r="E776" i="13"/>
  <c r="D776" i="13"/>
  <c r="C776" i="13"/>
  <c r="B776" i="13"/>
  <c r="Z775" i="13"/>
  <c r="T775" i="13"/>
  <c r="P775" i="13"/>
  <c r="K775" i="13"/>
  <c r="E775" i="13"/>
  <c r="D775" i="13"/>
  <c r="C775" i="13"/>
  <c r="B775" i="13"/>
  <c r="Z774" i="13"/>
  <c r="AA774" i="13" s="1"/>
  <c r="T774" i="13"/>
  <c r="V774" i="13" s="1"/>
  <c r="P774" i="13"/>
  <c r="K774" i="13"/>
  <c r="E774" i="13"/>
  <c r="D774" i="13"/>
  <c r="C774" i="13"/>
  <c r="B774" i="13"/>
  <c r="Z773" i="13"/>
  <c r="AB773" i="13" s="1"/>
  <c r="T773" i="13"/>
  <c r="U773" i="13" s="1"/>
  <c r="P773" i="13"/>
  <c r="K773" i="13"/>
  <c r="E773" i="13"/>
  <c r="D773" i="13"/>
  <c r="C773" i="13"/>
  <c r="B773" i="13"/>
  <c r="Z772" i="13"/>
  <c r="AB772" i="13" s="1"/>
  <c r="T772" i="13"/>
  <c r="V772" i="13" s="1"/>
  <c r="P772" i="13"/>
  <c r="K772" i="13"/>
  <c r="E772" i="13"/>
  <c r="D772" i="13"/>
  <c r="C772" i="13"/>
  <c r="B772" i="13"/>
  <c r="Z771" i="13"/>
  <c r="AB771" i="13" s="1"/>
  <c r="T771" i="13"/>
  <c r="V771" i="13" s="1"/>
  <c r="P771" i="13"/>
  <c r="K771" i="13"/>
  <c r="E771" i="13"/>
  <c r="D771" i="13"/>
  <c r="C771" i="13"/>
  <c r="B771" i="13"/>
  <c r="Z770" i="13"/>
  <c r="AB770" i="13" s="1"/>
  <c r="T770" i="13"/>
  <c r="V770" i="13" s="1"/>
  <c r="P770" i="13"/>
  <c r="K770" i="13"/>
  <c r="E770" i="13"/>
  <c r="D770" i="13"/>
  <c r="C770" i="13"/>
  <c r="B770" i="13"/>
  <c r="Z769" i="13"/>
  <c r="AB769" i="13" s="1"/>
  <c r="T769" i="13"/>
  <c r="V769" i="13" s="1"/>
  <c r="P769" i="13"/>
  <c r="K769" i="13"/>
  <c r="E769" i="13"/>
  <c r="D769" i="13"/>
  <c r="C769" i="13"/>
  <c r="B769" i="13"/>
  <c r="Z768" i="13"/>
  <c r="T768" i="13"/>
  <c r="V768" i="13" s="1"/>
  <c r="P768" i="13"/>
  <c r="K768" i="13"/>
  <c r="E768" i="13"/>
  <c r="D768" i="13"/>
  <c r="C768" i="13"/>
  <c r="B768" i="13"/>
  <c r="Z767" i="13"/>
  <c r="T767" i="13"/>
  <c r="P767" i="13"/>
  <c r="K767" i="13"/>
  <c r="E767" i="13"/>
  <c r="D767" i="13"/>
  <c r="C767" i="13"/>
  <c r="B767" i="13"/>
  <c r="Z766" i="13"/>
  <c r="AA766" i="13" s="1"/>
  <c r="T766" i="13"/>
  <c r="V766" i="13" s="1"/>
  <c r="P766" i="13"/>
  <c r="K766" i="13"/>
  <c r="E766" i="13"/>
  <c r="D766" i="13"/>
  <c r="C766" i="13"/>
  <c r="B766" i="13"/>
  <c r="Z765" i="13"/>
  <c r="AB765" i="13" s="1"/>
  <c r="T765" i="13"/>
  <c r="U765" i="13" s="1"/>
  <c r="W765" i="13" s="1"/>
  <c r="P765" i="13"/>
  <c r="K765" i="13"/>
  <c r="E765" i="13"/>
  <c r="D765" i="13"/>
  <c r="C765" i="13"/>
  <c r="B765" i="13"/>
  <c r="Z764" i="13"/>
  <c r="AB764" i="13" s="1"/>
  <c r="T764" i="13"/>
  <c r="P764" i="13"/>
  <c r="K764" i="13"/>
  <c r="E764" i="13"/>
  <c r="D764" i="13"/>
  <c r="C764" i="13"/>
  <c r="B764" i="13"/>
  <c r="Z763" i="13"/>
  <c r="AB763" i="13" s="1"/>
  <c r="T763" i="13"/>
  <c r="V763" i="13" s="1"/>
  <c r="P763" i="13"/>
  <c r="K763" i="13"/>
  <c r="E763" i="13"/>
  <c r="D763" i="13"/>
  <c r="C763" i="13"/>
  <c r="B763" i="13"/>
  <c r="Z762" i="13"/>
  <c r="AB762" i="13" s="1"/>
  <c r="T762" i="13"/>
  <c r="V762" i="13" s="1"/>
  <c r="P762" i="13"/>
  <c r="K762" i="13"/>
  <c r="E762" i="13"/>
  <c r="D762" i="13"/>
  <c r="C762" i="13"/>
  <c r="B762" i="13"/>
  <c r="Z761" i="13"/>
  <c r="AB761" i="13" s="1"/>
  <c r="T761" i="13"/>
  <c r="V761" i="13" s="1"/>
  <c r="P761" i="13"/>
  <c r="K761" i="13"/>
  <c r="E761" i="13"/>
  <c r="D761" i="13"/>
  <c r="C761" i="13"/>
  <c r="B761" i="13"/>
  <c r="Z760" i="13"/>
  <c r="T760" i="13"/>
  <c r="U760" i="13" s="1"/>
  <c r="W760" i="13" s="1"/>
  <c r="P760" i="13"/>
  <c r="K760" i="13"/>
  <c r="E760" i="13"/>
  <c r="D760" i="13"/>
  <c r="C760" i="13"/>
  <c r="B760" i="13"/>
  <c r="Z759" i="13"/>
  <c r="AB759" i="13" s="1"/>
  <c r="T759" i="13"/>
  <c r="P759" i="13"/>
  <c r="K759" i="13"/>
  <c r="E759" i="13"/>
  <c r="D759" i="13"/>
  <c r="C759" i="13"/>
  <c r="B759" i="13"/>
  <c r="Z758" i="13"/>
  <c r="AA758" i="13" s="1"/>
  <c r="T758" i="13"/>
  <c r="P758" i="13"/>
  <c r="K758" i="13"/>
  <c r="E758" i="13"/>
  <c r="D758" i="13"/>
  <c r="C758" i="13"/>
  <c r="B758" i="13"/>
  <c r="Z757" i="13"/>
  <c r="AB757" i="13" s="1"/>
  <c r="AC757" i="13" s="1"/>
  <c r="T757" i="13"/>
  <c r="U757" i="13" s="1"/>
  <c r="P757" i="13"/>
  <c r="K757" i="13"/>
  <c r="E757" i="13"/>
  <c r="D757" i="13"/>
  <c r="C757" i="13"/>
  <c r="B757" i="13"/>
  <c r="Z756" i="13"/>
  <c r="T756" i="13"/>
  <c r="V756" i="13" s="1"/>
  <c r="P756" i="13"/>
  <c r="K756" i="13"/>
  <c r="E756" i="13"/>
  <c r="D756" i="13"/>
  <c r="C756" i="13"/>
  <c r="B756" i="13"/>
  <c r="Z755" i="13"/>
  <c r="AB755" i="13" s="1"/>
  <c r="AC755" i="13" s="1"/>
  <c r="T755" i="13"/>
  <c r="V755" i="13" s="1"/>
  <c r="P755" i="13"/>
  <c r="K755" i="13"/>
  <c r="E755" i="13"/>
  <c r="D755" i="13"/>
  <c r="C755" i="13"/>
  <c r="B755" i="13"/>
  <c r="Z754" i="13"/>
  <c r="T754" i="13"/>
  <c r="P754" i="13"/>
  <c r="K754" i="13"/>
  <c r="E754" i="13"/>
  <c r="D754" i="13"/>
  <c r="C754" i="13"/>
  <c r="B754" i="13"/>
  <c r="Z753" i="13"/>
  <c r="AA753" i="13" s="1"/>
  <c r="T753" i="13"/>
  <c r="V753" i="13" s="1"/>
  <c r="P753" i="13"/>
  <c r="K753" i="13"/>
  <c r="E753" i="13"/>
  <c r="D753" i="13"/>
  <c r="C753" i="13"/>
  <c r="B753" i="13"/>
  <c r="Z752" i="13"/>
  <c r="AB752" i="13" s="1"/>
  <c r="AC752" i="13" s="1"/>
  <c r="T752" i="13"/>
  <c r="V752" i="13" s="1"/>
  <c r="P752" i="13"/>
  <c r="K752" i="13"/>
  <c r="E752" i="13"/>
  <c r="D752" i="13"/>
  <c r="C752" i="13"/>
  <c r="B752" i="13"/>
  <c r="Z751" i="13"/>
  <c r="T751" i="13"/>
  <c r="V751" i="13" s="1"/>
  <c r="P751" i="13"/>
  <c r="K751" i="13"/>
  <c r="E751" i="13"/>
  <c r="D751" i="13"/>
  <c r="C751" i="13"/>
  <c r="B751" i="13"/>
  <c r="Z750" i="13"/>
  <c r="AB750" i="13" s="1"/>
  <c r="AC750" i="13" s="1"/>
  <c r="T750" i="13"/>
  <c r="P750" i="13"/>
  <c r="K750" i="13"/>
  <c r="E750" i="13"/>
  <c r="D750" i="13"/>
  <c r="C750" i="13"/>
  <c r="B750" i="13"/>
  <c r="Z749" i="13"/>
  <c r="AB749" i="13" s="1"/>
  <c r="T749" i="13"/>
  <c r="V749" i="13" s="1"/>
  <c r="P749" i="13"/>
  <c r="K749" i="13"/>
  <c r="E749" i="13"/>
  <c r="D749" i="13"/>
  <c r="C749" i="13"/>
  <c r="B749" i="13"/>
  <c r="Z748" i="13"/>
  <c r="AA748" i="13" s="1"/>
  <c r="T748" i="13"/>
  <c r="V748" i="13" s="1"/>
  <c r="P748" i="13"/>
  <c r="K748" i="13"/>
  <c r="E748" i="13"/>
  <c r="D748" i="13"/>
  <c r="C748" i="13"/>
  <c r="B748" i="13"/>
  <c r="Z747" i="13"/>
  <c r="AB747" i="13" s="1"/>
  <c r="AC747" i="13" s="1"/>
  <c r="T747" i="13"/>
  <c r="V747" i="13" s="1"/>
  <c r="P747" i="13"/>
  <c r="K747" i="13"/>
  <c r="E747" i="13"/>
  <c r="D747" i="13"/>
  <c r="C747" i="13"/>
  <c r="B747" i="13"/>
  <c r="Z746" i="13"/>
  <c r="AB746" i="13" s="1"/>
  <c r="T746" i="13"/>
  <c r="U746" i="13" s="1"/>
  <c r="P746" i="13"/>
  <c r="K746" i="13"/>
  <c r="E746" i="13"/>
  <c r="D746" i="13"/>
  <c r="C746" i="13"/>
  <c r="B746" i="13"/>
  <c r="Z745" i="13"/>
  <c r="AB745" i="13" s="1"/>
  <c r="T745" i="13"/>
  <c r="V745" i="13" s="1"/>
  <c r="P745" i="13"/>
  <c r="K745" i="13"/>
  <c r="E745" i="13"/>
  <c r="D745" i="13"/>
  <c r="C745" i="13"/>
  <c r="B745" i="13"/>
  <c r="Z744" i="13"/>
  <c r="AB744" i="13" s="1"/>
  <c r="AC744" i="13" s="1"/>
  <c r="T744" i="13"/>
  <c r="V744" i="13" s="1"/>
  <c r="P744" i="13"/>
  <c r="K744" i="13"/>
  <c r="E744" i="13"/>
  <c r="D744" i="13"/>
  <c r="C744" i="13"/>
  <c r="B744" i="13"/>
  <c r="Z743" i="13"/>
  <c r="T743" i="13"/>
  <c r="V743" i="13" s="1"/>
  <c r="P743" i="13"/>
  <c r="K743" i="13"/>
  <c r="E743" i="13"/>
  <c r="D743" i="13"/>
  <c r="C743" i="13"/>
  <c r="B743" i="13"/>
  <c r="Z742" i="13"/>
  <c r="AA742" i="13" s="1"/>
  <c r="T742" i="13"/>
  <c r="P742" i="13"/>
  <c r="K742" i="13"/>
  <c r="E742" i="13"/>
  <c r="D742" i="13"/>
  <c r="C742" i="13"/>
  <c r="B742" i="13"/>
  <c r="Z741" i="13"/>
  <c r="AB741" i="13" s="1"/>
  <c r="T741" i="13"/>
  <c r="V741" i="13" s="1"/>
  <c r="P741" i="13"/>
  <c r="K741" i="13"/>
  <c r="E741" i="13"/>
  <c r="D741" i="13"/>
  <c r="C741" i="13"/>
  <c r="B741" i="13"/>
  <c r="Z740" i="13"/>
  <c r="AB740" i="13" s="1"/>
  <c r="T740" i="13"/>
  <c r="V740" i="13" s="1"/>
  <c r="P740" i="13"/>
  <c r="K740" i="13"/>
  <c r="E740" i="13"/>
  <c r="D740" i="13"/>
  <c r="C740" i="13"/>
  <c r="B740" i="13"/>
  <c r="Z739" i="13"/>
  <c r="AA739" i="13" s="1"/>
  <c r="T739" i="13"/>
  <c r="U739" i="13" s="1"/>
  <c r="P739" i="13"/>
  <c r="K739" i="13"/>
  <c r="E739" i="13"/>
  <c r="D739" i="13"/>
  <c r="C739" i="13"/>
  <c r="B739" i="13"/>
  <c r="Z738" i="13"/>
  <c r="AB738" i="13" s="1"/>
  <c r="T738" i="13"/>
  <c r="V738" i="13" s="1"/>
  <c r="P738" i="13"/>
  <c r="K738" i="13"/>
  <c r="E738" i="13"/>
  <c r="D738" i="13"/>
  <c r="C738" i="13"/>
  <c r="B738" i="13"/>
  <c r="Z737" i="13"/>
  <c r="AB737" i="13" s="1"/>
  <c r="T737" i="13"/>
  <c r="V737" i="13" s="1"/>
  <c r="P737" i="13"/>
  <c r="K737" i="13"/>
  <c r="E737" i="13"/>
  <c r="D737" i="13"/>
  <c r="C737" i="13"/>
  <c r="B737" i="13"/>
  <c r="Z736" i="13"/>
  <c r="AB736" i="13" s="1"/>
  <c r="AC736" i="13" s="1"/>
  <c r="T736" i="13"/>
  <c r="V736" i="13" s="1"/>
  <c r="P736" i="13"/>
  <c r="K736" i="13"/>
  <c r="E736" i="13"/>
  <c r="D736" i="13"/>
  <c r="C736" i="13"/>
  <c r="B736" i="13"/>
  <c r="Z735" i="13"/>
  <c r="T735" i="13"/>
  <c r="V735" i="13" s="1"/>
  <c r="P735" i="13"/>
  <c r="K735" i="13"/>
  <c r="E735" i="13"/>
  <c r="D735" i="13"/>
  <c r="C735" i="13"/>
  <c r="B735" i="13"/>
  <c r="Z734" i="13"/>
  <c r="AA734" i="13" s="1"/>
  <c r="T734" i="13"/>
  <c r="P734" i="13"/>
  <c r="K734" i="13"/>
  <c r="E734" i="13"/>
  <c r="D734" i="13"/>
  <c r="C734" i="13"/>
  <c r="B734" i="13"/>
  <c r="Z733" i="13"/>
  <c r="AB733" i="13" s="1"/>
  <c r="T733" i="13"/>
  <c r="V733" i="13" s="1"/>
  <c r="P733" i="13"/>
  <c r="K733" i="13"/>
  <c r="E733" i="13"/>
  <c r="D733" i="13"/>
  <c r="C733" i="13"/>
  <c r="B733" i="13"/>
  <c r="Z732" i="13"/>
  <c r="AA732" i="13" s="1"/>
  <c r="T732" i="13"/>
  <c r="V732" i="13" s="1"/>
  <c r="P732" i="13"/>
  <c r="K732" i="13"/>
  <c r="E732" i="13"/>
  <c r="D732" i="13"/>
  <c r="C732" i="13"/>
  <c r="B732" i="13"/>
  <c r="Z731" i="13"/>
  <c r="T731" i="13"/>
  <c r="V731" i="13" s="1"/>
  <c r="P731" i="13"/>
  <c r="K731" i="13"/>
  <c r="E731" i="13"/>
  <c r="D731" i="13"/>
  <c r="C731" i="13"/>
  <c r="B731" i="13"/>
  <c r="Z730" i="13"/>
  <c r="AB730" i="13" s="1"/>
  <c r="T730" i="13"/>
  <c r="U730" i="13" s="1"/>
  <c r="W730" i="13" s="1"/>
  <c r="P730" i="13"/>
  <c r="K730" i="13"/>
  <c r="E730" i="13"/>
  <c r="D730" i="13"/>
  <c r="C730" i="13"/>
  <c r="B730" i="13"/>
  <c r="Z729" i="13"/>
  <c r="AB729" i="13" s="1"/>
  <c r="T729" i="13"/>
  <c r="V729" i="13" s="1"/>
  <c r="P729" i="13"/>
  <c r="K729" i="13"/>
  <c r="E729" i="13"/>
  <c r="D729" i="13"/>
  <c r="C729" i="13"/>
  <c r="B729" i="13"/>
  <c r="Z728" i="13"/>
  <c r="AB728" i="13" s="1"/>
  <c r="AC728" i="13" s="1"/>
  <c r="T728" i="13"/>
  <c r="V728" i="13" s="1"/>
  <c r="P728" i="13"/>
  <c r="K728" i="13"/>
  <c r="E728" i="13"/>
  <c r="D728" i="13"/>
  <c r="C728" i="13"/>
  <c r="B728" i="13"/>
  <c r="Z727" i="13"/>
  <c r="T727" i="13"/>
  <c r="U727" i="13" s="1"/>
  <c r="P727" i="13"/>
  <c r="K727" i="13"/>
  <c r="E727" i="13"/>
  <c r="D727" i="13"/>
  <c r="C727" i="13"/>
  <c r="B727" i="13"/>
  <c r="Z726" i="13"/>
  <c r="AA726" i="13" s="1"/>
  <c r="T726" i="13"/>
  <c r="P726" i="13"/>
  <c r="K726" i="13"/>
  <c r="E726" i="13"/>
  <c r="D726" i="13"/>
  <c r="C726" i="13"/>
  <c r="B726" i="13"/>
  <c r="Z725" i="13"/>
  <c r="AB725" i="13" s="1"/>
  <c r="T725" i="13"/>
  <c r="U725" i="13" s="1"/>
  <c r="P725" i="13"/>
  <c r="K725" i="13"/>
  <c r="E725" i="13"/>
  <c r="D725" i="13"/>
  <c r="C725" i="13"/>
  <c r="B725" i="13"/>
  <c r="Z724" i="13"/>
  <c r="AB724" i="13" s="1"/>
  <c r="T724" i="13"/>
  <c r="V724" i="13" s="1"/>
  <c r="P724" i="13"/>
  <c r="K724" i="13"/>
  <c r="E724" i="13"/>
  <c r="D724" i="13"/>
  <c r="C724" i="13"/>
  <c r="B724" i="13"/>
  <c r="Z723" i="13"/>
  <c r="AB723" i="13" s="1"/>
  <c r="T723" i="13"/>
  <c r="V723" i="13" s="1"/>
  <c r="P723" i="13"/>
  <c r="K723" i="13"/>
  <c r="E723" i="13"/>
  <c r="D723" i="13"/>
  <c r="C723" i="13"/>
  <c r="B723" i="13"/>
  <c r="Z722" i="13"/>
  <c r="AB722" i="13" s="1"/>
  <c r="T722" i="13"/>
  <c r="V722" i="13" s="1"/>
  <c r="P722" i="13"/>
  <c r="K722" i="13"/>
  <c r="E722" i="13"/>
  <c r="D722" i="13"/>
  <c r="C722" i="13"/>
  <c r="B722" i="13"/>
  <c r="Z721" i="13"/>
  <c r="AB721" i="13" s="1"/>
  <c r="T721" i="13"/>
  <c r="V721" i="13" s="1"/>
  <c r="P721" i="13"/>
  <c r="K721" i="13"/>
  <c r="E721" i="13"/>
  <c r="D721" i="13"/>
  <c r="C721" i="13"/>
  <c r="B721" i="13"/>
  <c r="Z720" i="13"/>
  <c r="AB720" i="13" s="1"/>
  <c r="AC720" i="13" s="1"/>
  <c r="T720" i="13"/>
  <c r="U720" i="13" s="1"/>
  <c r="P720" i="13"/>
  <c r="K720" i="13"/>
  <c r="E720" i="13"/>
  <c r="D720" i="13"/>
  <c r="C720" i="13"/>
  <c r="B720" i="13"/>
  <c r="Z719" i="13"/>
  <c r="T719" i="13"/>
  <c r="U719" i="13" s="1"/>
  <c r="P719" i="13"/>
  <c r="K719" i="13"/>
  <c r="E719" i="13"/>
  <c r="D719" i="13"/>
  <c r="C719" i="13"/>
  <c r="B719" i="13"/>
  <c r="Z718" i="13"/>
  <c r="AA718" i="13" s="1"/>
  <c r="T718" i="13"/>
  <c r="P718" i="13"/>
  <c r="K718" i="13"/>
  <c r="E718" i="13"/>
  <c r="D718" i="13"/>
  <c r="C718" i="13"/>
  <c r="B718" i="13"/>
  <c r="Z717" i="13"/>
  <c r="AB717" i="13" s="1"/>
  <c r="T717" i="13"/>
  <c r="U717" i="13" s="1"/>
  <c r="P717" i="13"/>
  <c r="K717" i="13"/>
  <c r="E717" i="13"/>
  <c r="D717" i="13"/>
  <c r="C717" i="13"/>
  <c r="B717" i="13"/>
  <c r="Z716" i="13"/>
  <c r="AB716" i="13" s="1"/>
  <c r="T716" i="13"/>
  <c r="V716" i="13" s="1"/>
  <c r="P716" i="13"/>
  <c r="K716" i="13"/>
  <c r="E716" i="13"/>
  <c r="D716" i="13"/>
  <c r="C716" i="13"/>
  <c r="B716" i="13"/>
  <c r="Z715" i="13"/>
  <c r="AA715" i="13" s="1"/>
  <c r="T715" i="13"/>
  <c r="V715" i="13" s="1"/>
  <c r="P715" i="13"/>
  <c r="K715" i="13"/>
  <c r="E715" i="13"/>
  <c r="D715" i="13"/>
  <c r="C715" i="13"/>
  <c r="B715" i="13"/>
  <c r="Z714" i="13"/>
  <c r="AB714" i="13" s="1"/>
  <c r="T714" i="13"/>
  <c r="V714" i="13" s="1"/>
  <c r="P714" i="13"/>
  <c r="K714" i="13"/>
  <c r="E714" i="13"/>
  <c r="D714" i="13"/>
  <c r="C714" i="13"/>
  <c r="B714" i="13"/>
  <c r="Z713" i="13"/>
  <c r="T713" i="13"/>
  <c r="V713" i="13" s="1"/>
  <c r="P713" i="13"/>
  <c r="K713" i="13"/>
  <c r="E713" i="13"/>
  <c r="D713" i="13"/>
  <c r="C713" i="13"/>
  <c r="B713" i="13"/>
  <c r="Z712" i="13"/>
  <c r="AA712" i="13" s="1"/>
  <c r="T712" i="13"/>
  <c r="V712" i="13" s="1"/>
  <c r="P712" i="13"/>
  <c r="K712" i="13"/>
  <c r="E712" i="13"/>
  <c r="D712" i="13"/>
  <c r="C712" i="13"/>
  <c r="B712" i="13"/>
  <c r="Z711" i="13"/>
  <c r="T711" i="13"/>
  <c r="U711" i="13" s="1"/>
  <c r="W711" i="13" s="1"/>
  <c r="P711" i="13"/>
  <c r="K711" i="13"/>
  <c r="E711" i="13"/>
  <c r="D711" i="13"/>
  <c r="C711" i="13"/>
  <c r="B711" i="13"/>
  <c r="Z710" i="13"/>
  <c r="AA710" i="13" s="1"/>
  <c r="T710" i="13"/>
  <c r="P710" i="13"/>
  <c r="K710" i="13"/>
  <c r="E710" i="13"/>
  <c r="D710" i="13"/>
  <c r="C710" i="13"/>
  <c r="B710" i="13"/>
  <c r="Z709" i="13"/>
  <c r="AB709" i="13" s="1"/>
  <c r="T709" i="13"/>
  <c r="U709" i="13" s="1"/>
  <c r="P709" i="13"/>
  <c r="K709" i="13"/>
  <c r="E709" i="13"/>
  <c r="D709" i="13"/>
  <c r="C709" i="13"/>
  <c r="B709" i="13"/>
  <c r="Z708" i="13"/>
  <c r="T708" i="13"/>
  <c r="V708" i="13" s="1"/>
  <c r="P708" i="13"/>
  <c r="K708" i="13"/>
  <c r="E708" i="13"/>
  <c r="D708" i="13"/>
  <c r="C708" i="13"/>
  <c r="B708" i="13"/>
  <c r="Z707" i="13"/>
  <c r="AA707" i="13" s="1"/>
  <c r="T707" i="13"/>
  <c r="V707" i="13" s="1"/>
  <c r="P707" i="13"/>
  <c r="K707" i="13"/>
  <c r="E707" i="13"/>
  <c r="D707" i="13"/>
  <c r="C707" i="13"/>
  <c r="B707" i="13"/>
  <c r="Z706" i="13"/>
  <c r="AB706" i="13" s="1"/>
  <c r="T706" i="13"/>
  <c r="V706" i="13" s="1"/>
  <c r="P706" i="13"/>
  <c r="K706" i="13"/>
  <c r="E706" i="13"/>
  <c r="D706" i="13"/>
  <c r="C706" i="13"/>
  <c r="B706" i="13"/>
  <c r="Z705" i="13"/>
  <c r="T705" i="13"/>
  <c r="V705" i="13" s="1"/>
  <c r="P705" i="13"/>
  <c r="K705" i="13"/>
  <c r="E705" i="13"/>
  <c r="D705" i="13"/>
  <c r="C705" i="13"/>
  <c r="B705" i="13"/>
  <c r="Z704" i="13"/>
  <c r="AA704" i="13" s="1"/>
  <c r="T704" i="13"/>
  <c r="V704" i="13" s="1"/>
  <c r="P704" i="13"/>
  <c r="K704" i="13"/>
  <c r="E704" i="13"/>
  <c r="D704" i="13"/>
  <c r="C704" i="13"/>
  <c r="B704" i="13"/>
  <c r="Z703" i="13"/>
  <c r="T703" i="13"/>
  <c r="U703" i="13" s="1"/>
  <c r="P703" i="13"/>
  <c r="K703" i="13"/>
  <c r="E703" i="13"/>
  <c r="D703" i="13"/>
  <c r="C703" i="13"/>
  <c r="B703" i="13"/>
  <c r="Z702" i="13"/>
  <c r="AB702" i="13" s="1"/>
  <c r="AC702" i="13" s="1"/>
  <c r="T702" i="13"/>
  <c r="P702" i="13"/>
  <c r="K702" i="13"/>
  <c r="E702" i="13"/>
  <c r="D702" i="13"/>
  <c r="C702" i="13"/>
  <c r="B702" i="13"/>
  <c r="Z701" i="13"/>
  <c r="AB701" i="13" s="1"/>
  <c r="T701" i="13"/>
  <c r="V701" i="13" s="1"/>
  <c r="P701" i="13"/>
  <c r="K701" i="13"/>
  <c r="E701" i="13"/>
  <c r="D701" i="13"/>
  <c r="C701" i="13"/>
  <c r="B701" i="13"/>
  <c r="Z700" i="13"/>
  <c r="AB700" i="13" s="1"/>
  <c r="T700" i="13"/>
  <c r="V700" i="13" s="1"/>
  <c r="P700" i="13"/>
  <c r="K700" i="13"/>
  <c r="E700" i="13"/>
  <c r="D700" i="13"/>
  <c r="C700" i="13"/>
  <c r="B700" i="13"/>
  <c r="Z699" i="13"/>
  <c r="AA699" i="13" s="1"/>
  <c r="T699" i="13"/>
  <c r="V699" i="13" s="1"/>
  <c r="P699" i="13"/>
  <c r="K699" i="13"/>
  <c r="E699" i="13"/>
  <c r="D699" i="13"/>
  <c r="C699" i="13"/>
  <c r="B699" i="13"/>
  <c r="Z698" i="13"/>
  <c r="AB698" i="13" s="1"/>
  <c r="T698" i="13"/>
  <c r="P698" i="13"/>
  <c r="K698" i="13"/>
  <c r="E698" i="13"/>
  <c r="D698" i="13"/>
  <c r="C698" i="13"/>
  <c r="B698" i="13"/>
  <c r="Z697" i="13"/>
  <c r="T697" i="13"/>
  <c r="V697" i="13" s="1"/>
  <c r="P697" i="13"/>
  <c r="K697" i="13"/>
  <c r="E697" i="13"/>
  <c r="D697" i="13"/>
  <c r="C697" i="13"/>
  <c r="B697" i="13"/>
  <c r="Z696" i="13"/>
  <c r="AA696" i="13" s="1"/>
  <c r="T696" i="13"/>
  <c r="U696" i="13" s="1"/>
  <c r="W696" i="13" s="1"/>
  <c r="P696" i="13"/>
  <c r="K696" i="13"/>
  <c r="E696" i="13"/>
  <c r="D696" i="13"/>
  <c r="C696" i="13"/>
  <c r="B696" i="13"/>
  <c r="Z695" i="13"/>
  <c r="T695" i="13"/>
  <c r="U695" i="13" s="1"/>
  <c r="W695" i="13" s="1"/>
  <c r="P695" i="13"/>
  <c r="K695" i="13"/>
  <c r="E695" i="13"/>
  <c r="D695" i="13"/>
  <c r="C695" i="13"/>
  <c r="B695" i="13"/>
  <c r="Z694" i="13"/>
  <c r="AB694" i="13" s="1"/>
  <c r="T694" i="13"/>
  <c r="P694" i="13"/>
  <c r="K694" i="13"/>
  <c r="E694" i="13"/>
  <c r="D694" i="13"/>
  <c r="C694" i="13"/>
  <c r="B694" i="13"/>
  <c r="Z693" i="13"/>
  <c r="AB693" i="13" s="1"/>
  <c r="T693" i="13"/>
  <c r="V693" i="13" s="1"/>
  <c r="P693" i="13"/>
  <c r="K693" i="13"/>
  <c r="E693" i="13"/>
  <c r="D693" i="13"/>
  <c r="C693" i="13"/>
  <c r="B693" i="13"/>
  <c r="Z692" i="13"/>
  <c r="AB692" i="13" s="1"/>
  <c r="T692" i="13"/>
  <c r="V692" i="13" s="1"/>
  <c r="P692" i="13"/>
  <c r="K692" i="13"/>
  <c r="E692" i="13"/>
  <c r="D692" i="13"/>
  <c r="C692" i="13"/>
  <c r="B692" i="13"/>
  <c r="Z691" i="13"/>
  <c r="AA691" i="13" s="1"/>
  <c r="T691" i="13"/>
  <c r="V691" i="13" s="1"/>
  <c r="P691" i="13"/>
  <c r="K691" i="13"/>
  <c r="E691" i="13"/>
  <c r="D691" i="13"/>
  <c r="C691" i="13"/>
  <c r="B691" i="13"/>
  <c r="Z690" i="13"/>
  <c r="AB690" i="13" s="1"/>
  <c r="T690" i="13"/>
  <c r="V690" i="13" s="1"/>
  <c r="P690" i="13"/>
  <c r="K690" i="13"/>
  <c r="E690" i="13"/>
  <c r="D690" i="13"/>
  <c r="C690" i="13"/>
  <c r="B690" i="13"/>
  <c r="Z689" i="13"/>
  <c r="AA689" i="13" s="1"/>
  <c r="T689" i="13"/>
  <c r="V689" i="13" s="1"/>
  <c r="P689" i="13"/>
  <c r="K689" i="13"/>
  <c r="E689" i="13"/>
  <c r="D689" i="13"/>
  <c r="C689" i="13"/>
  <c r="B689" i="13"/>
  <c r="Z688" i="13"/>
  <c r="T688" i="13"/>
  <c r="U688" i="13" s="1"/>
  <c r="P688" i="13"/>
  <c r="K688" i="13"/>
  <c r="E688" i="13"/>
  <c r="D688" i="13"/>
  <c r="C688" i="13"/>
  <c r="B688" i="13"/>
  <c r="Z687" i="13"/>
  <c r="T687" i="13"/>
  <c r="U687" i="13" s="1"/>
  <c r="P687" i="13"/>
  <c r="K687" i="13"/>
  <c r="E687" i="13"/>
  <c r="D687" i="13"/>
  <c r="C687" i="13"/>
  <c r="B687" i="13"/>
  <c r="Z686" i="13"/>
  <c r="AB686" i="13" s="1"/>
  <c r="T686" i="13"/>
  <c r="P686" i="13"/>
  <c r="K686" i="13"/>
  <c r="E686" i="13"/>
  <c r="D686" i="13"/>
  <c r="C686" i="13"/>
  <c r="B686" i="13"/>
  <c r="Z685" i="13"/>
  <c r="AB685" i="13" s="1"/>
  <c r="T685" i="13"/>
  <c r="V685" i="13" s="1"/>
  <c r="P685" i="13"/>
  <c r="K685" i="13"/>
  <c r="E685" i="13"/>
  <c r="D685" i="13"/>
  <c r="C685" i="13"/>
  <c r="B685" i="13"/>
  <c r="Z684" i="13"/>
  <c r="AB684" i="13" s="1"/>
  <c r="T684" i="13"/>
  <c r="V684" i="13" s="1"/>
  <c r="P684" i="13"/>
  <c r="K684" i="13"/>
  <c r="E684" i="13"/>
  <c r="D684" i="13"/>
  <c r="C684" i="13"/>
  <c r="B684" i="13"/>
  <c r="Z683" i="13"/>
  <c r="AB683" i="13" s="1"/>
  <c r="AC683" i="13" s="1"/>
  <c r="T683" i="13"/>
  <c r="U683" i="13" s="1"/>
  <c r="P683" i="13"/>
  <c r="K683" i="13"/>
  <c r="E683" i="13"/>
  <c r="D683" i="13"/>
  <c r="C683" i="13"/>
  <c r="B683" i="13"/>
  <c r="Z682" i="13"/>
  <c r="AB682" i="13" s="1"/>
  <c r="T682" i="13"/>
  <c r="V682" i="13" s="1"/>
  <c r="P682" i="13"/>
  <c r="K682" i="13"/>
  <c r="E682" i="13"/>
  <c r="D682" i="13"/>
  <c r="C682" i="13"/>
  <c r="B682" i="13"/>
  <c r="Z681" i="13"/>
  <c r="AA681" i="13" s="1"/>
  <c r="T681" i="13"/>
  <c r="V681" i="13" s="1"/>
  <c r="P681" i="13"/>
  <c r="K681" i="13"/>
  <c r="E681" i="13"/>
  <c r="D681" i="13"/>
  <c r="C681" i="13"/>
  <c r="B681" i="13"/>
  <c r="Z680" i="13"/>
  <c r="AA680" i="13" s="1"/>
  <c r="T680" i="13"/>
  <c r="P680" i="13"/>
  <c r="K680" i="13"/>
  <c r="E680" i="13"/>
  <c r="D680" i="13"/>
  <c r="C680" i="13"/>
  <c r="B680" i="13"/>
  <c r="Z679" i="13"/>
  <c r="T679" i="13"/>
  <c r="U679" i="13" s="1"/>
  <c r="P679" i="13"/>
  <c r="K679" i="13"/>
  <c r="E679" i="13"/>
  <c r="D679" i="13"/>
  <c r="C679" i="13"/>
  <c r="B679" i="13"/>
  <c r="Z678" i="13"/>
  <c r="AB678" i="13" s="1"/>
  <c r="T678" i="13"/>
  <c r="P678" i="13"/>
  <c r="K678" i="13"/>
  <c r="E678" i="13"/>
  <c r="D678" i="13"/>
  <c r="C678" i="13"/>
  <c r="B678" i="13"/>
  <c r="Z677" i="13"/>
  <c r="AB677" i="13" s="1"/>
  <c r="T677" i="13"/>
  <c r="V677" i="13" s="1"/>
  <c r="P677" i="13"/>
  <c r="K677" i="13"/>
  <c r="E677" i="13"/>
  <c r="D677" i="13"/>
  <c r="C677" i="13"/>
  <c r="B677" i="13"/>
  <c r="Z676" i="13"/>
  <c r="AA676" i="13" s="1"/>
  <c r="T676" i="13"/>
  <c r="V676" i="13" s="1"/>
  <c r="P676" i="13"/>
  <c r="K676" i="13"/>
  <c r="E676" i="13"/>
  <c r="D676" i="13"/>
  <c r="C676" i="13"/>
  <c r="B676" i="13"/>
  <c r="Z675" i="13"/>
  <c r="AB675" i="13" s="1"/>
  <c r="AC675" i="13" s="1"/>
  <c r="T675" i="13"/>
  <c r="P675" i="13"/>
  <c r="K675" i="13"/>
  <c r="E675" i="13"/>
  <c r="D675" i="13"/>
  <c r="C675" i="13"/>
  <c r="B675" i="13"/>
  <c r="Z674" i="13"/>
  <c r="AB674" i="13" s="1"/>
  <c r="T674" i="13"/>
  <c r="V674" i="13" s="1"/>
  <c r="P674" i="13"/>
  <c r="K674" i="13"/>
  <c r="E674" i="13"/>
  <c r="D674" i="13"/>
  <c r="C674" i="13"/>
  <c r="B674" i="13"/>
  <c r="Z673" i="13"/>
  <c r="AA673" i="13" s="1"/>
  <c r="T673" i="13"/>
  <c r="V673" i="13" s="1"/>
  <c r="P673" i="13"/>
  <c r="K673" i="13"/>
  <c r="E673" i="13"/>
  <c r="D673" i="13"/>
  <c r="C673" i="13"/>
  <c r="B673" i="13"/>
  <c r="Z672" i="13"/>
  <c r="AA672" i="13" s="1"/>
  <c r="T672" i="13"/>
  <c r="U672" i="13" s="1"/>
  <c r="P672" i="13"/>
  <c r="K672" i="13"/>
  <c r="E672" i="13"/>
  <c r="D672" i="13"/>
  <c r="C672" i="13"/>
  <c r="B672" i="13"/>
  <c r="Z671" i="13"/>
  <c r="T671" i="13"/>
  <c r="U671" i="13" s="1"/>
  <c r="P671" i="13"/>
  <c r="K671" i="13"/>
  <c r="E671" i="13"/>
  <c r="D671" i="13"/>
  <c r="C671" i="13"/>
  <c r="B671" i="13"/>
  <c r="Z670" i="13"/>
  <c r="AB670" i="13" s="1"/>
  <c r="AC670" i="13" s="1"/>
  <c r="T670" i="13"/>
  <c r="P670" i="13"/>
  <c r="K670" i="13"/>
  <c r="E670" i="13"/>
  <c r="D670" i="13"/>
  <c r="C670" i="13"/>
  <c r="B670" i="13"/>
  <c r="Z669" i="13"/>
  <c r="AB669" i="13" s="1"/>
  <c r="T669" i="13"/>
  <c r="V669" i="13" s="1"/>
  <c r="P669" i="13"/>
  <c r="K669" i="13"/>
  <c r="E669" i="13"/>
  <c r="D669" i="13"/>
  <c r="C669" i="13"/>
  <c r="B669" i="13"/>
  <c r="Z668" i="13"/>
  <c r="T668" i="13"/>
  <c r="V668" i="13" s="1"/>
  <c r="P668" i="13"/>
  <c r="K668" i="13"/>
  <c r="E668" i="13"/>
  <c r="D668" i="13"/>
  <c r="C668" i="13"/>
  <c r="B668" i="13"/>
  <c r="Z667" i="13"/>
  <c r="AA667" i="13" s="1"/>
  <c r="T667" i="13"/>
  <c r="V667" i="13" s="1"/>
  <c r="P667" i="13"/>
  <c r="K667" i="13"/>
  <c r="E667" i="13"/>
  <c r="D667" i="13"/>
  <c r="C667" i="13"/>
  <c r="B667" i="13"/>
  <c r="Z666" i="13"/>
  <c r="AB666" i="13" s="1"/>
  <c r="T666" i="13"/>
  <c r="P666" i="13"/>
  <c r="K666" i="13"/>
  <c r="E666" i="13"/>
  <c r="D666" i="13"/>
  <c r="C666" i="13"/>
  <c r="B666" i="13"/>
  <c r="Z665" i="13"/>
  <c r="T665" i="13"/>
  <c r="V665" i="13" s="1"/>
  <c r="P665" i="13"/>
  <c r="K665" i="13"/>
  <c r="E665" i="13"/>
  <c r="D665" i="13"/>
  <c r="C665" i="13"/>
  <c r="B665" i="13"/>
  <c r="Z664" i="13"/>
  <c r="AA664" i="13" s="1"/>
  <c r="T664" i="13"/>
  <c r="V664" i="13" s="1"/>
  <c r="P664" i="13"/>
  <c r="K664" i="13"/>
  <c r="E664" i="13"/>
  <c r="D664" i="13"/>
  <c r="C664" i="13"/>
  <c r="B664" i="13"/>
  <c r="Z663" i="13"/>
  <c r="T663" i="13"/>
  <c r="U663" i="13" s="1"/>
  <c r="W663" i="13" s="1"/>
  <c r="P663" i="13"/>
  <c r="K663" i="13"/>
  <c r="E663" i="13"/>
  <c r="D663" i="13"/>
  <c r="C663" i="13"/>
  <c r="B663" i="13"/>
  <c r="Z662" i="13"/>
  <c r="AB662" i="13" s="1"/>
  <c r="T662" i="13"/>
  <c r="P662" i="13"/>
  <c r="K662" i="13"/>
  <c r="E662" i="13"/>
  <c r="D662" i="13"/>
  <c r="C662" i="13"/>
  <c r="B662" i="13"/>
  <c r="Z661" i="13"/>
  <c r="AB661" i="13" s="1"/>
  <c r="T661" i="13"/>
  <c r="V661" i="13" s="1"/>
  <c r="P661" i="13"/>
  <c r="K661" i="13"/>
  <c r="E661" i="13"/>
  <c r="D661" i="13"/>
  <c r="C661" i="13"/>
  <c r="B661" i="13"/>
  <c r="Z660" i="13"/>
  <c r="AA660" i="13" s="1"/>
  <c r="T660" i="13"/>
  <c r="V660" i="13" s="1"/>
  <c r="P660" i="13"/>
  <c r="K660" i="13"/>
  <c r="E660" i="13"/>
  <c r="D660" i="13"/>
  <c r="C660" i="13"/>
  <c r="B660" i="13"/>
  <c r="Z659" i="13"/>
  <c r="AB659" i="13" s="1"/>
  <c r="AC659" i="13" s="1"/>
  <c r="T659" i="13"/>
  <c r="V659" i="13" s="1"/>
  <c r="P659" i="13"/>
  <c r="K659" i="13"/>
  <c r="E659" i="13"/>
  <c r="D659" i="13"/>
  <c r="C659" i="13"/>
  <c r="B659" i="13"/>
  <c r="Z658" i="13"/>
  <c r="AB658" i="13" s="1"/>
  <c r="T658" i="13"/>
  <c r="V658" i="13" s="1"/>
  <c r="P658" i="13"/>
  <c r="K658" i="13"/>
  <c r="E658" i="13"/>
  <c r="D658" i="13"/>
  <c r="C658" i="13"/>
  <c r="B658" i="13"/>
  <c r="Z657" i="13"/>
  <c r="AA657" i="13" s="1"/>
  <c r="T657" i="13"/>
  <c r="V657" i="13" s="1"/>
  <c r="P657" i="13"/>
  <c r="K657" i="13"/>
  <c r="E657" i="13"/>
  <c r="D657" i="13"/>
  <c r="C657" i="13"/>
  <c r="B657" i="13"/>
  <c r="Z656" i="13"/>
  <c r="T656" i="13"/>
  <c r="U656" i="13" s="1"/>
  <c r="W656" i="13" s="1"/>
  <c r="P656" i="13"/>
  <c r="K656" i="13"/>
  <c r="E656" i="13"/>
  <c r="D656" i="13"/>
  <c r="C656" i="13"/>
  <c r="B656" i="13"/>
  <c r="Z655" i="13"/>
  <c r="T655" i="13"/>
  <c r="U655" i="13" s="1"/>
  <c r="W655" i="13" s="1"/>
  <c r="P655" i="13"/>
  <c r="K655" i="13"/>
  <c r="E655" i="13"/>
  <c r="D655" i="13"/>
  <c r="C655" i="13"/>
  <c r="B655" i="13"/>
  <c r="Z654" i="13"/>
  <c r="AB654" i="13" s="1"/>
  <c r="AC654" i="13" s="1"/>
  <c r="T654" i="13"/>
  <c r="P654" i="13"/>
  <c r="K654" i="13"/>
  <c r="E654" i="13"/>
  <c r="D654" i="13"/>
  <c r="C654" i="13"/>
  <c r="B654" i="13"/>
  <c r="Z653" i="13"/>
  <c r="AB653" i="13" s="1"/>
  <c r="T653" i="13"/>
  <c r="V653" i="13" s="1"/>
  <c r="P653" i="13"/>
  <c r="K653" i="13"/>
  <c r="E653" i="13"/>
  <c r="D653" i="13"/>
  <c r="C653" i="13"/>
  <c r="B653" i="13"/>
  <c r="Z652" i="13"/>
  <c r="AB652" i="13" s="1"/>
  <c r="T652" i="13"/>
  <c r="V652" i="13" s="1"/>
  <c r="P652" i="13"/>
  <c r="K652" i="13"/>
  <c r="E652" i="13"/>
  <c r="D652" i="13"/>
  <c r="C652" i="13"/>
  <c r="B652" i="13"/>
  <c r="Z651" i="13"/>
  <c r="AB651" i="13" s="1"/>
  <c r="AC651" i="13" s="1"/>
  <c r="T651" i="13"/>
  <c r="U651" i="13" s="1"/>
  <c r="P651" i="13"/>
  <c r="K651" i="13"/>
  <c r="E651" i="13"/>
  <c r="D651" i="13"/>
  <c r="C651" i="13"/>
  <c r="B651" i="13"/>
  <c r="Z650" i="13"/>
  <c r="AB650" i="13" s="1"/>
  <c r="T650" i="13"/>
  <c r="V650" i="13" s="1"/>
  <c r="P650" i="13"/>
  <c r="K650" i="13"/>
  <c r="E650" i="13"/>
  <c r="D650" i="13"/>
  <c r="C650" i="13"/>
  <c r="B650" i="13"/>
  <c r="Z649" i="13"/>
  <c r="AA649" i="13" s="1"/>
  <c r="T649" i="13"/>
  <c r="V649" i="13" s="1"/>
  <c r="P649" i="13"/>
  <c r="K649" i="13"/>
  <c r="E649" i="13"/>
  <c r="D649" i="13"/>
  <c r="C649" i="13"/>
  <c r="B649" i="13"/>
  <c r="Z648" i="13"/>
  <c r="AA648" i="13" s="1"/>
  <c r="T648" i="13"/>
  <c r="P648" i="13"/>
  <c r="K648" i="13"/>
  <c r="E648" i="13"/>
  <c r="D648" i="13"/>
  <c r="C648" i="13"/>
  <c r="B648" i="13"/>
  <c r="Z647" i="13"/>
  <c r="T647" i="13"/>
  <c r="U647" i="13" s="1"/>
  <c r="P647" i="13"/>
  <c r="K647" i="13"/>
  <c r="E647" i="13"/>
  <c r="D647" i="13"/>
  <c r="C647" i="13"/>
  <c r="B647" i="13"/>
  <c r="Z646" i="13"/>
  <c r="AB646" i="13" s="1"/>
  <c r="AC646" i="13" s="1"/>
  <c r="T646" i="13"/>
  <c r="P646" i="13"/>
  <c r="K646" i="13"/>
  <c r="E646" i="13"/>
  <c r="D646" i="13"/>
  <c r="C646" i="13"/>
  <c r="B646" i="13"/>
  <c r="Z645" i="13"/>
  <c r="AB645" i="13" s="1"/>
  <c r="T645" i="13"/>
  <c r="V645" i="13" s="1"/>
  <c r="P645" i="13"/>
  <c r="K645" i="13"/>
  <c r="E645" i="13"/>
  <c r="D645" i="13"/>
  <c r="C645" i="13"/>
  <c r="B645" i="13"/>
  <c r="Z644" i="13"/>
  <c r="AB644" i="13" s="1"/>
  <c r="T644" i="13"/>
  <c r="V644" i="13" s="1"/>
  <c r="P644" i="13"/>
  <c r="K644" i="13"/>
  <c r="E644" i="13"/>
  <c r="D644" i="13"/>
  <c r="C644" i="13"/>
  <c r="B644" i="13"/>
  <c r="Z643" i="13"/>
  <c r="AA643" i="13" s="1"/>
  <c r="T643" i="13"/>
  <c r="P643" i="13"/>
  <c r="K643" i="13"/>
  <c r="E643" i="13"/>
  <c r="D643" i="13"/>
  <c r="C643" i="13"/>
  <c r="B643" i="13"/>
  <c r="Z642" i="13"/>
  <c r="AB642" i="13" s="1"/>
  <c r="T642" i="13"/>
  <c r="V642" i="13" s="1"/>
  <c r="P642" i="13"/>
  <c r="K642" i="13"/>
  <c r="E642" i="13"/>
  <c r="D642" i="13"/>
  <c r="C642" i="13"/>
  <c r="B642" i="13"/>
  <c r="Z641" i="13"/>
  <c r="AA641" i="13" s="1"/>
  <c r="T641" i="13"/>
  <c r="V641" i="13" s="1"/>
  <c r="P641" i="13"/>
  <c r="K641" i="13"/>
  <c r="E641" i="13"/>
  <c r="D641" i="13"/>
  <c r="C641" i="13"/>
  <c r="B641" i="13"/>
  <c r="Z640" i="13"/>
  <c r="AA640" i="13" s="1"/>
  <c r="T640" i="13"/>
  <c r="U640" i="13" s="1"/>
  <c r="P640" i="13"/>
  <c r="K640" i="13"/>
  <c r="E640" i="13"/>
  <c r="D640" i="13"/>
  <c r="C640" i="13"/>
  <c r="B640" i="13"/>
  <c r="Z639" i="13"/>
  <c r="T639" i="13"/>
  <c r="U639" i="13" s="1"/>
  <c r="P639" i="13"/>
  <c r="K639" i="13"/>
  <c r="E639" i="13"/>
  <c r="D639" i="13"/>
  <c r="C639" i="13"/>
  <c r="B639" i="13"/>
  <c r="Z638" i="13"/>
  <c r="AB638" i="13" s="1"/>
  <c r="AC638" i="13" s="1"/>
  <c r="T638" i="13"/>
  <c r="P638" i="13"/>
  <c r="K638" i="13"/>
  <c r="E638" i="13"/>
  <c r="D638" i="13"/>
  <c r="C638" i="13"/>
  <c r="B638" i="13"/>
  <c r="Z637" i="13"/>
  <c r="AB637" i="13" s="1"/>
  <c r="T637" i="13"/>
  <c r="V637" i="13" s="1"/>
  <c r="P637" i="13"/>
  <c r="K637" i="13"/>
  <c r="E637" i="13"/>
  <c r="D637" i="13"/>
  <c r="C637" i="13"/>
  <c r="B637" i="13"/>
  <c r="Z636" i="13"/>
  <c r="T636" i="13"/>
  <c r="V636" i="13" s="1"/>
  <c r="P636" i="13"/>
  <c r="K636" i="13"/>
  <c r="E636" i="13"/>
  <c r="D636" i="13"/>
  <c r="C636" i="13"/>
  <c r="B636" i="13"/>
  <c r="Z635" i="13"/>
  <c r="AA635" i="13" s="1"/>
  <c r="T635" i="13"/>
  <c r="V635" i="13" s="1"/>
  <c r="P635" i="13"/>
  <c r="K635" i="13"/>
  <c r="E635" i="13"/>
  <c r="D635" i="13"/>
  <c r="C635" i="13"/>
  <c r="B635" i="13"/>
  <c r="Z634" i="13"/>
  <c r="AB634" i="13" s="1"/>
  <c r="T634" i="13"/>
  <c r="P634" i="13"/>
  <c r="K634" i="13"/>
  <c r="E634" i="13"/>
  <c r="D634" i="13"/>
  <c r="C634" i="13"/>
  <c r="B634" i="13"/>
  <c r="Z633" i="13"/>
  <c r="T633" i="13"/>
  <c r="V633" i="13" s="1"/>
  <c r="P633" i="13"/>
  <c r="K633" i="13"/>
  <c r="E633" i="13"/>
  <c r="D633" i="13"/>
  <c r="C633" i="13"/>
  <c r="B633" i="13"/>
  <c r="Z632" i="13"/>
  <c r="AA632" i="13" s="1"/>
  <c r="T632" i="13"/>
  <c r="U632" i="13" s="1"/>
  <c r="P632" i="13"/>
  <c r="K632" i="13"/>
  <c r="E632" i="13"/>
  <c r="D632" i="13"/>
  <c r="C632" i="13"/>
  <c r="B632" i="13"/>
  <c r="Z631" i="13"/>
  <c r="T631" i="13"/>
  <c r="U631" i="13" s="1"/>
  <c r="P631" i="13"/>
  <c r="K631" i="13"/>
  <c r="E631" i="13"/>
  <c r="D631" i="13"/>
  <c r="C631" i="13"/>
  <c r="B631" i="13"/>
  <c r="Z630" i="13"/>
  <c r="AB630" i="13" s="1"/>
  <c r="AC630" i="13" s="1"/>
  <c r="T630" i="13"/>
  <c r="P630" i="13"/>
  <c r="K630" i="13"/>
  <c r="E630" i="13"/>
  <c r="D630" i="13"/>
  <c r="C630" i="13"/>
  <c r="B630" i="13"/>
  <c r="Z629" i="13"/>
  <c r="AB629" i="13" s="1"/>
  <c r="T629" i="13"/>
  <c r="V629" i="13" s="1"/>
  <c r="P629" i="13"/>
  <c r="K629" i="13"/>
  <c r="E629" i="13"/>
  <c r="D629" i="13"/>
  <c r="C629" i="13"/>
  <c r="B629" i="13"/>
  <c r="Z628" i="13"/>
  <c r="AB628" i="13" s="1"/>
  <c r="T628" i="13"/>
  <c r="V628" i="13" s="1"/>
  <c r="P628" i="13"/>
  <c r="K628" i="13"/>
  <c r="E628" i="13"/>
  <c r="D628" i="13"/>
  <c r="C628" i="13"/>
  <c r="B628" i="13"/>
  <c r="Z627" i="13"/>
  <c r="AB627" i="13" s="1"/>
  <c r="AC627" i="13" s="1"/>
  <c r="T627" i="13"/>
  <c r="V627" i="13" s="1"/>
  <c r="P627" i="13"/>
  <c r="K627" i="13"/>
  <c r="E627" i="13"/>
  <c r="D627" i="13"/>
  <c r="C627" i="13"/>
  <c r="B627" i="13"/>
  <c r="Z626" i="13"/>
  <c r="AB626" i="13" s="1"/>
  <c r="T626" i="13"/>
  <c r="U626" i="13" s="1"/>
  <c r="P626" i="13"/>
  <c r="K626" i="13"/>
  <c r="E626" i="13"/>
  <c r="D626" i="13"/>
  <c r="C626" i="13"/>
  <c r="B626" i="13"/>
  <c r="Z625" i="13"/>
  <c r="AA625" i="13" s="1"/>
  <c r="T625" i="13"/>
  <c r="V625" i="13" s="1"/>
  <c r="P625" i="13"/>
  <c r="K625" i="13"/>
  <c r="E625" i="13"/>
  <c r="D625" i="13"/>
  <c r="C625" i="13"/>
  <c r="B625" i="13"/>
  <c r="Z624" i="13"/>
  <c r="AA624" i="13" s="1"/>
  <c r="T624" i="13"/>
  <c r="U624" i="13" s="1"/>
  <c r="P624" i="13"/>
  <c r="K624" i="13"/>
  <c r="E624" i="13"/>
  <c r="D624" i="13"/>
  <c r="C624" i="13"/>
  <c r="B624" i="13"/>
  <c r="Z623" i="13"/>
  <c r="T623" i="13"/>
  <c r="U623" i="13" s="1"/>
  <c r="P623" i="13"/>
  <c r="K623" i="13"/>
  <c r="E623" i="13"/>
  <c r="D623" i="13"/>
  <c r="C623" i="13"/>
  <c r="B623" i="13"/>
  <c r="Z622" i="13"/>
  <c r="AB622" i="13" s="1"/>
  <c r="T622" i="13"/>
  <c r="P622" i="13"/>
  <c r="K622" i="13"/>
  <c r="E622" i="13"/>
  <c r="D622" i="13"/>
  <c r="C622" i="13"/>
  <c r="B622" i="13"/>
  <c r="Z621" i="13"/>
  <c r="AB621" i="13" s="1"/>
  <c r="T621" i="13"/>
  <c r="V621" i="13" s="1"/>
  <c r="P621" i="13"/>
  <c r="K621" i="13"/>
  <c r="E621" i="13"/>
  <c r="D621" i="13"/>
  <c r="C621" i="13"/>
  <c r="B621" i="13"/>
  <c r="Z620" i="13"/>
  <c r="AB620" i="13" s="1"/>
  <c r="T620" i="13"/>
  <c r="V620" i="13" s="1"/>
  <c r="P620" i="13"/>
  <c r="K620" i="13"/>
  <c r="E620" i="13"/>
  <c r="D620" i="13"/>
  <c r="C620" i="13"/>
  <c r="B620" i="13"/>
  <c r="Z619" i="13"/>
  <c r="T619" i="13"/>
  <c r="V619" i="13" s="1"/>
  <c r="P619" i="13"/>
  <c r="K619" i="13"/>
  <c r="E619" i="13"/>
  <c r="D619" i="13"/>
  <c r="C619" i="13"/>
  <c r="B619" i="13"/>
  <c r="Z618" i="13"/>
  <c r="AB618" i="13" s="1"/>
  <c r="T618" i="13"/>
  <c r="V618" i="13" s="1"/>
  <c r="P618" i="13"/>
  <c r="K618" i="13"/>
  <c r="E618" i="13"/>
  <c r="D618" i="13"/>
  <c r="C618" i="13"/>
  <c r="B618" i="13"/>
  <c r="Z617" i="13"/>
  <c r="AA617" i="13" s="1"/>
  <c r="T617" i="13"/>
  <c r="V617" i="13" s="1"/>
  <c r="P617" i="13"/>
  <c r="K617" i="13"/>
  <c r="E617" i="13"/>
  <c r="D617" i="13"/>
  <c r="C617" i="13"/>
  <c r="B617" i="13"/>
  <c r="Z616" i="13"/>
  <c r="AA616" i="13" s="1"/>
  <c r="T616" i="13"/>
  <c r="V616" i="13" s="1"/>
  <c r="P616" i="13"/>
  <c r="K616" i="13"/>
  <c r="E616" i="13"/>
  <c r="D616" i="13"/>
  <c r="C616" i="13"/>
  <c r="B616" i="13"/>
  <c r="Z615" i="13"/>
  <c r="T615" i="13"/>
  <c r="U615" i="13" s="1"/>
  <c r="P615" i="13"/>
  <c r="K615" i="13"/>
  <c r="E615" i="13"/>
  <c r="D615" i="13"/>
  <c r="C615" i="13"/>
  <c r="B615" i="13"/>
  <c r="Z614" i="13"/>
  <c r="AB614" i="13" s="1"/>
  <c r="AC614" i="13" s="1"/>
  <c r="T614" i="13"/>
  <c r="P614" i="13"/>
  <c r="K614" i="13"/>
  <c r="E614" i="13"/>
  <c r="D614" i="13"/>
  <c r="C614" i="13"/>
  <c r="B614" i="13"/>
  <c r="Z613" i="13"/>
  <c r="AB613" i="13" s="1"/>
  <c r="T613" i="13"/>
  <c r="V613" i="13" s="1"/>
  <c r="P613" i="13"/>
  <c r="K613" i="13"/>
  <c r="E613" i="13"/>
  <c r="D613" i="13"/>
  <c r="C613" i="13"/>
  <c r="B613" i="13"/>
  <c r="Z612" i="13"/>
  <c r="AA612" i="13" s="1"/>
  <c r="T612" i="13"/>
  <c r="V612" i="13" s="1"/>
  <c r="P612" i="13"/>
  <c r="K612" i="13"/>
  <c r="E612" i="13"/>
  <c r="D612" i="13"/>
  <c r="C612" i="13"/>
  <c r="B612" i="13"/>
  <c r="Z611" i="13"/>
  <c r="AB611" i="13" s="1"/>
  <c r="AC611" i="13" s="1"/>
  <c r="T611" i="13"/>
  <c r="V611" i="13" s="1"/>
  <c r="P611" i="13"/>
  <c r="K611" i="13"/>
  <c r="E611" i="13"/>
  <c r="D611" i="13"/>
  <c r="C611" i="13"/>
  <c r="B611" i="13"/>
  <c r="Z610" i="13"/>
  <c r="AB610" i="13" s="1"/>
  <c r="T610" i="13"/>
  <c r="U610" i="13" s="1"/>
  <c r="W610" i="13" s="1"/>
  <c r="P610" i="13"/>
  <c r="K610" i="13"/>
  <c r="E610" i="13"/>
  <c r="D610" i="13"/>
  <c r="C610" i="13"/>
  <c r="B610" i="13"/>
  <c r="Z609" i="13"/>
  <c r="AA609" i="13" s="1"/>
  <c r="T609" i="13"/>
  <c r="V609" i="13" s="1"/>
  <c r="P609" i="13"/>
  <c r="K609" i="13"/>
  <c r="E609" i="13"/>
  <c r="D609" i="13"/>
  <c r="C609" i="13"/>
  <c r="B609" i="13"/>
  <c r="Z608" i="13"/>
  <c r="AA608" i="13" s="1"/>
  <c r="T608" i="13"/>
  <c r="U608" i="13" s="1"/>
  <c r="P608" i="13"/>
  <c r="K608" i="13"/>
  <c r="E608" i="13"/>
  <c r="D608" i="13"/>
  <c r="C608" i="13"/>
  <c r="B608" i="13"/>
  <c r="Z607" i="13"/>
  <c r="T607" i="13"/>
  <c r="U607" i="13" s="1"/>
  <c r="P607" i="13"/>
  <c r="K607" i="13"/>
  <c r="E607" i="13"/>
  <c r="D607" i="13"/>
  <c r="C607" i="13"/>
  <c r="B607" i="13"/>
  <c r="Z606" i="13"/>
  <c r="AB606" i="13" s="1"/>
  <c r="AC606" i="13" s="1"/>
  <c r="T606" i="13"/>
  <c r="P606" i="13"/>
  <c r="K606" i="13"/>
  <c r="E606" i="13"/>
  <c r="D606" i="13"/>
  <c r="C606" i="13"/>
  <c r="B606" i="13"/>
  <c r="Z605" i="13"/>
  <c r="AB605" i="13" s="1"/>
  <c r="T605" i="13"/>
  <c r="V605" i="13" s="1"/>
  <c r="P605" i="13"/>
  <c r="K605" i="13"/>
  <c r="E605" i="13"/>
  <c r="D605" i="13"/>
  <c r="C605" i="13"/>
  <c r="B605" i="13"/>
  <c r="Z604" i="13"/>
  <c r="T604" i="13"/>
  <c r="V604" i="13" s="1"/>
  <c r="P604" i="13"/>
  <c r="K604" i="13"/>
  <c r="E604" i="13"/>
  <c r="D604" i="13"/>
  <c r="C604" i="13"/>
  <c r="B604" i="13"/>
  <c r="Z603" i="13"/>
  <c r="AA603" i="13" s="1"/>
  <c r="T603" i="13"/>
  <c r="V603" i="13" s="1"/>
  <c r="P603" i="13"/>
  <c r="K603" i="13"/>
  <c r="E603" i="13"/>
  <c r="D603" i="13"/>
  <c r="C603" i="13"/>
  <c r="B603" i="13"/>
  <c r="Z602" i="13"/>
  <c r="AB602" i="13" s="1"/>
  <c r="T602" i="13"/>
  <c r="P602" i="13"/>
  <c r="K602" i="13"/>
  <c r="E602" i="13"/>
  <c r="D602" i="13"/>
  <c r="C602" i="13"/>
  <c r="B602" i="13"/>
  <c r="Z601" i="13"/>
  <c r="T601" i="13"/>
  <c r="V601" i="13" s="1"/>
  <c r="P601" i="13"/>
  <c r="K601" i="13"/>
  <c r="E601" i="13"/>
  <c r="D601" i="13"/>
  <c r="C601" i="13"/>
  <c r="B601" i="13"/>
  <c r="Z600" i="13"/>
  <c r="AA600" i="13" s="1"/>
  <c r="T600" i="13"/>
  <c r="U600" i="13" s="1"/>
  <c r="P600" i="13"/>
  <c r="K600" i="13"/>
  <c r="E600" i="13"/>
  <c r="D600" i="13"/>
  <c r="C600" i="13"/>
  <c r="B600" i="13"/>
  <c r="Z599" i="13"/>
  <c r="T599" i="13"/>
  <c r="U599" i="13" s="1"/>
  <c r="P599" i="13"/>
  <c r="K599" i="13"/>
  <c r="E599" i="13"/>
  <c r="D599" i="13"/>
  <c r="C599" i="13"/>
  <c r="B599" i="13"/>
  <c r="Z598" i="13"/>
  <c r="AB598" i="13" s="1"/>
  <c r="AC598" i="13" s="1"/>
  <c r="T598" i="13"/>
  <c r="P598" i="13"/>
  <c r="K598" i="13"/>
  <c r="E598" i="13"/>
  <c r="D598" i="13"/>
  <c r="C598" i="13"/>
  <c r="B598" i="13"/>
  <c r="Z597" i="13"/>
  <c r="AB597" i="13" s="1"/>
  <c r="T597" i="13"/>
  <c r="V597" i="13" s="1"/>
  <c r="P597" i="13"/>
  <c r="K597" i="13"/>
  <c r="E597" i="13"/>
  <c r="D597" i="13"/>
  <c r="C597" i="13"/>
  <c r="B597" i="13"/>
  <c r="Z596" i="13"/>
  <c r="AB596" i="13" s="1"/>
  <c r="T596" i="13"/>
  <c r="V596" i="13" s="1"/>
  <c r="P596" i="13"/>
  <c r="K596" i="13"/>
  <c r="E596" i="13"/>
  <c r="D596" i="13"/>
  <c r="C596" i="13"/>
  <c r="B596" i="13"/>
  <c r="Z595" i="13"/>
  <c r="AB595" i="13" s="1"/>
  <c r="AC595" i="13" s="1"/>
  <c r="T595" i="13"/>
  <c r="V595" i="13" s="1"/>
  <c r="P595" i="13"/>
  <c r="K595" i="13"/>
  <c r="E595" i="13"/>
  <c r="D595" i="13"/>
  <c r="C595" i="13"/>
  <c r="B595" i="13"/>
  <c r="Z594" i="13"/>
  <c r="AB594" i="13" s="1"/>
  <c r="T594" i="13"/>
  <c r="V594" i="13" s="1"/>
  <c r="P594" i="13"/>
  <c r="K594" i="13"/>
  <c r="E594" i="13"/>
  <c r="D594" i="13"/>
  <c r="C594" i="13"/>
  <c r="B594" i="13"/>
  <c r="Z593" i="13"/>
  <c r="AA593" i="13" s="1"/>
  <c r="T593" i="13"/>
  <c r="V593" i="13" s="1"/>
  <c r="P593" i="13"/>
  <c r="K593" i="13"/>
  <c r="E593" i="13"/>
  <c r="D593" i="13"/>
  <c r="C593" i="13"/>
  <c r="B593" i="13"/>
  <c r="Z592" i="13"/>
  <c r="AA592" i="13" s="1"/>
  <c r="T592" i="13"/>
  <c r="U592" i="13" s="1"/>
  <c r="P592" i="13"/>
  <c r="K592" i="13"/>
  <c r="E592" i="13"/>
  <c r="D592" i="13"/>
  <c r="C592" i="13"/>
  <c r="B592" i="13"/>
  <c r="Z591" i="13"/>
  <c r="T591" i="13"/>
  <c r="U591" i="13" s="1"/>
  <c r="P591" i="13"/>
  <c r="K591" i="13"/>
  <c r="E591" i="13"/>
  <c r="D591" i="13"/>
  <c r="C591" i="13"/>
  <c r="B591" i="13"/>
  <c r="Z590" i="13"/>
  <c r="AB590" i="13" s="1"/>
  <c r="AC590" i="13" s="1"/>
  <c r="T590" i="13"/>
  <c r="P590" i="13"/>
  <c r="K590" i="13"/>
  <c r="E590" i="13"/>
  <c r="D590" i="13"/>
  <c r="C590" i="13"/>
  <c r="B590" i="13"/>
  <c r="Z589" i="13"/>
  <c r="AB589" i="13" s="1"/>
  <c r="T589" i="13"/>
  <c r="V589" i="13" s="1"/>
  <c r="P589" i="13"/>
  <c r="K589" i="13"/>
  <c r="E589" i="13"/>
  <c r="D589" i="13"/>
  <c r="C589" i="13"/>
  <c r="B589" i="13"/>
  <c r="Z588" i="13"/>
  <c r="AA588" i="13" s="1"/>
  <c r="T588" i="13"/>
  <c r="V588" i="13" s="1"/>
  <c r="P588" i="13"/>
  <c r="K588" i="13"/>
  <c r="E588" i="13"/>
  <c r="D588" i="13"/>
  <c r="C588" i="13"/>
  <c r="B588" i="13"/>
  <c r="Z587" i="13"/>
  <c r="AB587" i="13" s="1"/>
  <c r="AC587" i="13" s="1"/>
  <c r="T587" i="13"/>
  <c r="V587" i="13" s="1"/>
  <c r="P587" i="13"/>
  <c r="K587" i="13"/>
  <c r="E587" i="13"/>
  <c r="D587" i="13"/>
  <c r="C587" i="13"/>
  <c r="B587" i="13"/>
  <c r="Z586" i="13"/>
  <c r="AB586" i="13" s="1"/>
  <c r="T586" i="13"/>
  <c r="V586" i="13" s="1"/>
  <c r="P586" i="13"/>
  <c r="K586" i="13"/>
  <c r="E586" i="13"/>
  <c r="D586" i="13"/>
  <c r="C586" i="13"/>
  <c r="B586" i="13"/>
  <c r="Z585" i="13"/>
  <c r="AA585" i="13" s="1"/>
  <c r="T585" i="13"/>
  <c r="V585" i="13" s="1"/>
  <c r="P585" i="13"/>
  <c r="K585" i="13"/>
  <c r="E585" i="13"/>
  <c r="D585" i="13"/>
  <c r="C585" i="13"/>
  <c r="B585" i="13"/>
  <c r="Z584" i="13"/>
  <c r="AA584" i="13" s="1"/>
  <c r="T584" i="13"/>
  <c r="U584" i="13" s="1"/>
  <c r="W584" i="13" s="1"/>
  <c r="P584" i="13"/>
  <c r="K584" i="13"/>
  <c r="E584" i="13"/>
  <c r="D584" i="13"/>
  <c r="C584" i="13"/>
  <c r="B584" i="13"/>
  <c r="Z583" i="13"/>
  <c r="T583" i="13"/>
  <c r="U583" i="13" s="1"/>
  <c r="P583" i="13"/>
  <c r="K583" i="13"/>
  <c r="E583" i="13"/>
  <c r="D583" i="13"/>
  <c r="C583" i="13"/>
  <c r="B583" i="13"/>
  <c r="Z582" i="13"/>
  <c r="AB582" i="13" s="1"/>
  <c r="AC582" i="13" s="1"/>
  <c r="T582" i="13"/>
  <c r="P582" i="13"/>
  <c r="K582" i="13"/>
  <c r="E582" i="13"/>
  <c r="D582" i="13"/>
  <c r="C582" i="13"/>
  <c r="B582" i="13"/>
  <c r="Z581" i="13"/>
  <c r="AB581" i="13" s="1"/>
  <c r="T581" i="13"/>
  <c r="V581" i="13" s="1"/>
  <c r="P581" i="13"/>
  <c r="K581" i="13"/>
  <c r="E581" i="13"/>
  <c r="D581" i="13"/>
  <c r="C581" i="13"/>
  <c r="B581" i="13"/>
  <c r="Z580" i="13"/>
  <c r="AB580" i="13" s="1"/>
  <c r="T580" i="13"/>
  <c r="V580" i="13" s="1"/>
  <c r="P580" i="13"/>
  <c r="K580" i="13"/>
  <c r="E580" i="13"/>
  <c r="D580" i="13"/>
  <c r="C580" i="13"/>
  <c r="B580" i="13"/>
  <c r="Z579" i="13"/>
  <c r="AB579" i="13" s="1"/>
  <c r="AC579" i="13" s="1"/>
  <c r="T579" i="13"/>
  <c r="V579" i="13" s="1"/>
  <c r="P579" i="13"/>
  <c r="K579" i="13"/>
  <c r="E579" i="13"/>
  <c r="D579" i="13"/>
  <c r="C579" i="13"/>
  <c r="B579" i="13"/>
  <c r="Z578" i="13"/>
  <c r="AB578" i="13" s="1"/>
  <c r="T578" i="13"/>
  <c r="V578" i="13" s="1"/>
  <c r="P578" i="13"/>
  <c r="K578" i="13"/>
  <c r="E578" i="13"/>
  <c r="D578" i="13"/>
  <c r="C578" i="13"/>
  <c r="B578" i="13"/>
  <c r="Z577" i="13"/>
  <c r="AA577" i="13" s="1"/>
  <c r="T577" i="13"/>
  <c r="V577" i="13" s="1"/>
  <c r="P577" i="13"/>
  <c r="K577" i="13"/>
  <c r="E577" i="13"/>
  <c r="D577" i="13"/>
  <c r="C577" i="13"/>
  <c r="B577" i="13"/>
  <c r="Z576" i="13"/>
  <c r="AA576" i="13" s="1"/>
  <c r="T576" i="13"/>
  <c r="U576" i="13" s="1"/>
  <c r="W576" i="13" s="1"/>
  <c r="P576" i="13"/>
  <c r="K576" i="13"/>
  <c r="E576" i="13"/>
  <c r="D576" i="13"/>
  <c r="C576" i="13"/>
  <c r="B576" i="13"/>
  <c r="Z575" i="13"/>
  <c r="T575" i="13"/>
  <c r="U575" i="13" s="1"/>
  <c r="W575" i="13" s="1"/>
  <c r="P575" i="13"/>
  <c r="K575" i="13"/>
  <c r="E575" i="13"/>
  <c r="D575" i="13"/>
  <c r="C575" i="13"/>
  <c r="B575" i="13"/>
  <c r="Z574" i="13"/>
  <c r="AB574" i="13" s="1"/>
  <c r="AC574" i="13" s="1"/>
  <c r="T574" i="13"/>
  <c r="P574" i="13"/>
  <c r="K574" i="13"/>
  <c r="E574" i="13"/>
  <c r="D574" i="13"/>
  <c r="C574" i="13"/>
  <c r="B574" i="13"/>
  <c r="Z573" i="13"/>
  <c r="AB573" i="13" s="1"/>
  <c r="T573" i="13"/>
  <c r="V573" i="13" s="1"/>
  <c r="P573" i="13"/>
  <c r="K573" i="13"/>
  <c r="E573" i="13"/>
  <c r="D573" i="13"/>
  <c r="C573" i="13"/>
  <c r="B573" i="13"/>
  <c r="Z572" i="13"/>
  <c r="AB572" i="13" s="1"/>
  <c r="T572" i="13"/>
  <c r="V572" i="13" s="1"/>
  <c r="P572" i="13"/>
  <c r="K572" i="13"/>
  <c r="E572" i="13"/>
  <c r="D572" i="13"/>
  <c r="C572" i="13"/>
  <c r="B572" i="13"/>
  <c r="Z571" i="13"/>
  <c r="AB571" i="13" s="1"/>
  <c r="AC571" i="13" s="1"/>
  <c r="T571" i="13"/>
  <c r="U571" i="13" s="1"/>
  <c r="P571" i="13"/>
  <c r="K571" i="13"/>
  <c r="E571" i="13"/>
  <c r="D571" i="13"/>
  <c r="C571" i="13"/>
  <c r="B571" i="13"/>
  <c r="Z570" i="13"/>
  <c r="AB570" i="13" s="1"/>
  <c r="T570" i="13"/>
  <c r="V570" i="13" s="1"/>
  <c r="P570" i="13"/>
  <c r="K570" i="13"/>
  <c r="E570" i="13"/>
  <c r="D570" i="13"/>
  <c r="C570" i="13"/>
  <c r="B570" i="13"/>
  <c r="Z569" i="13"/>
  <c r="AA569" i="13" s="1"/>
  <c r="T569" i="13"/>
  <c r="V569" i="13" s="1"/>
  <c r="P569" i="13"/>
  <c r="K569" i="13"/>
  <c r="E569" i="13"/>
  <c r="D569" i="13"/>
  <c r="C569" i="13"/>
  <c r="B569" i="13"/>
  <c r="Z568" i="13"/>
  <c r="AA568" i="13" s="1"/>
  <c r="T568" i="13"/>
  <c r="U568" i="13" s="1"/>
  <c r="P568" i="13"/>
  <c r="K568" i="13"/>
  <c r="E568" i="13"/>
  <c r="D568" i="13"/>
  <c r="C568" i="13"/>
  <c r="B568" i="13"/>
  <c r="Z567" i="13"/>
  <c r="T567" i="13"/>
  <c r="U567" i="13" s="1"/>
  <c r="P567" i="13"/>
  <c r="K567" i="13"/>
  <c r="E567" i="13"/>
  <c r="D567" i="13"/>
  <c r="C567" i="13"/>
  <c r="B567" i="13"/>
  <c r="Z566" i="13"/>
  <c r="AB566" i="13" s="1"/>
  <c r="AC566" i="13" s="1"/>
  <c r="T566" i="13"/>
  <c r="P566" i="13"/>
  <c r="K566" i="13"/>
  <c r="E566" i="13"/>
  <c r="D566" i="13"/>
  <c r="C566" i="13"/>
  <c r="B566" i="13"/>
  <c r="Z565" i="13"/>
  <c r="AB565" i="13" s="1"/>
  <c r="T565" i="13"/>
  <c r="V565" i="13" s="1"/>
  <c r="P565" i="13"/>
  <c r="K565" i="13"/>
  <c r="E565" i="13"/>
  <c r="D565" i="13"/>
  <c r="C565" i="13"/>
  <c r="B565" i="13"/>
  <c r="Z564" i="13"/>
  <c r="AA564" i="13" s="1"/>
  <c r="T564" i="13"/>
  <c r="V564" i="13" s="1"/>
  <c r="P564" i="13"/>
  <c r="K564" i="13"/>
  <c r="E564" i="13"/>
  <c r="D564" i="13"/>
  <c r="C564" i="13"/>
  <c r="B564" i="13"/>
  <c r="Z563" i="13"/>
  <c r="AB563" i="13" s="1"/>
  <c r="AC563" i="13" s="1"/>
  <c r="T563" i="13"/>
  <c r="U563" i="13" s="1"/>
  <c r="W563" i="13" s="1"/>
  <c r="P563" i="13"/>
  <c r="K563" i="13"/>
  <c r="E563" i="13"/>
  <c r="D563" i="13"/>
  <c r="C563" i="13"/>
  <c r="B563" i="13"/>
  <c r="Z562" i="13"/>
  <c r="AB562" i="13" s="1"/>
  <c r="T562" i="13"/>
  <c r="U562" i="13" s="1"/>
  <c r="P562" i="13"/>
  <c r="K562" i="13"/>
  <c r="E562" i="13"/>
  <c r="D562" i="13"/>
  <c r="C562" i="13"/>
  <c r="B562" i="13"/>
  <c r="Z561" i="13"/>
  <c r="AA561" i="13" s="1"/>
  <c r="T561" i="13"/>
  <c r="V561" i="13" s="1"/>
  <c r="P561" i="13"/>
  <c r="K561" i="13"/>
  <c r="E561" i="13"/>
  <c r="D561" i="13"/>
  <c r="C561" i="13"/>
  <c r="B561" i="13"/>
  <c r="Z560" i="13"/>
  <c r="AA560" i="13" s="1"/>
  <c r="T560" i="13"/>
  <c r="U560" i="13" s="1"/>
  <c r="P560" i="13"/>
  <c r="K560" i="13"/>
  <c r="E560" i="13"/>
  <c r="D560" i="13"/>
  <c r="C560" i="13"/>
  <c r="B560" i="13"/>
  <c r="Z559" i="13"/>
  <c r="T559" i="13"/>
  <c r="U559" i="13" s="1"/>
  <c r="P559" i="13"/>
  <c r="K559" i="13"/>
  <c r="E559" i="13"/>
  <c r="D559" i="13"/>
  <c r="C559" i="13"/>
  <c r="B559" i="13"/>
  <c r="Z558" i="13"/>
  <c r="AB558" i="13" s="1"/>
  <c r="T558" i="13"/>
  <c r="V558" i="13" s="1"/>
  <c r="P558" i="13"/>
  <c r="K558" i="13"/>
  <c r="E558" i="13"/>
  <c r="D558" i="13"/>
  <c r="C558" i="13"/>
  <c r="B558" i="13"/>
  <c r="Z557" i="13"/>
  <c r="AB557" i="13" s="1"/>
  <c r="T557" i="13"/>
  <c r="V557" i="13" s="1"/>
  <c r="P557" i="13"/>
  <c r="K557" i="13"/>
  <c r="E557" i="13"/>
  <c r="D557" i="13"/>
  <c r="C557" i="13"/>
  <c r="B557" i="13"/>
  <c r="Z556" i="13"/>
  <c r="AA556" i="13" s="1"/>
  <c r="T556" i="13"/>
  <c r="V556" i="13" s="1"/>
  <c r="P556" i="13"/>
  <c r="K556" i="13"/>
  <c r="E556" i="13"/>
  <c r="D556" i="13"/>
  <c r="C556" i="13"/>
  <c r="B556" i="13"/>
  <c r="Z555" i="13"/>
  <c r="AB555" i="13" s="1"/>
  <c r="AC555" i="13" s="1"/>
  <c r="T555" i="13"/>
  <c r="V555" i="13" s="1"/>
  <c r="P555" i="13"/>
  <c r="K555" i="13"/>
  <c r="E555" i="13"/>
  <c r="D555" i="13"/>
  <c r="C555" i="13"/>
  <c r="B555" i="13"/>
  <c r="Z554" i="13"/>
  <c r="T554" i="13"/>
  <c r="U554" i="13" s="1"/>
  <c r="P554" i="13"/>
  <c r="K554" i="13"/>
  <c r="E554" i="13"/>
  <c r="D554" i="13"/>
  <c r="C554" i="13"/>
  <c r="B554" i="13"/>
  <c r="Z553" i="13"/>
  <c r="AA553" i="13" s="1"/>
  <c r="T553" i="13"/>
  <c r="P553" i="13"/>
  <c r="K553" i="13"/>
  <c r="E553" i="13"/>
  <c r="D553" i="13"/>
  <c r="C553" i="13"/>
  <c r="B553" i="13"/>
  <c r="Z552" i="13"/>
  <c r="AA552" i="13" s="1"/>
  <c r="T552" i="13"/>
  <c r="U552" i="13" s="1"/>
  <c r="P552" i="13"/>
  <c r="K552" i="13"/>
  <c r="E552" i="13"/>
  <c r="D552" i="13"/>
  <c r="C552" i="13"/>
  <c r="B552" i="13"/>
  <c r="Z551" i="13"/>
  <c r="AB551" i="13" s="1"/>
  <c r="T551" i="13"/>
  <c r="U551" i="13" s="1"/>
  <c r="P551" i="13"/>
  <c r="K551" i="13"/>
  <c r="E551" i="13"/>
  <c r="D551" i="13"/>
  <c r="C551" i="13"/>
  <c r="B551" i="13"/>
  <c r="Z550" i="13"/>
  <c r="AB550" i="13" s="1"/>
  <c r="AC550" i="13" s="1"/>
  <c r="T550" i="13"/>
  <c r="V550" i="13" s="1"/>
  <c r="P550" i="13"/>
  <c r="K550" i="13"/>
  <c r="E550" i="13"/>
  <c r="D550" i="13"/>
  <c r="C550" i="13"/>
  <c r="B550" i="13"/>
  <c r="Z549" i="13"/>
  <c r="AB549" i="13" s="1"/>
  <c r="T549" i="13"/>
  <c r="V549" i="13" s="1"/>
  <c r="P549" i="13"/>
  <c r="K549" i="13"/>
  <c r="E549" i="13"/>
  <c r="D549" i="13"/>
  <c r="C549" i="13"/>
  <c r="B549" i="13"/>
  <c r="Z548" i="13"/>
  <c r="AB548" i="13" s="1"/>
  <c r="T548" i="13"/>
  <c r="V548" i="13" s="1"/>
  <c r="P548" i="13"/>
  <c r="K548" i="13"/>
  <c r="E548" i="13"/>
  <c r="D548" i="13"/>
  <c r="C548" i="13"/>
  <c r="B548" i="13"/>
  <c r="Z547" i="13"/>
  <c r="AB547" i="13" s="1"/>
  <c r="T547" i="13"/>
  <c r="V547" i="13" s="1"/>
  <c r="P547" i="13"/>
  <c r="K547" i="13"/>
  <c r="E547" i="13"/>
  <c r="D547" i="13"/>
  <c r="C547" i="13"/>
  <c r="B547" i="13"/>
  <c r="Z546" i="13"/>
  <c r="T546" i="13"/>
  <c r="V546" i="13" s="1"/>
  <c r="P546" i="13"/>
  <c r="K546" i="13"/>
  <c r="E546" i="13"/>
  <c r="D546" i="13"/>
  <c r="C546" i="13"/>
  <c r="B546" i="13"/>
  <c r="Z545" i="13"/>
  <c r="AA545" i="13" s="1"/>
  <c r="T545" i="13"/>
  <c r="P545" i="13"/>
  <c r="K545" i="13"/>
  <c r="E545" i="13"/>
  <c r="D545" i="13"/>
  <c r="C545" i="13"/>
  <c r="B545" i="13"/>
  <c r="Z544" i="13"/>
  <c r="AA544" i="13" s="1"/>
  <c r="T544" i="13"/>
  <c r="U544" i="13" s="1"/>
  <c r="P544" i="13"/>
  <c r="K544" i="13"/>
  <c r="E544" i="13"/>
  <c r="D544" i="13"/>
  <c r="C544" i="13"/>
  <c r="B544" i="13"/>
  <c r="Z543" i="13"/>
  <c r="AB543" i="13" s="1"/>
  <c r="AC543" i="13" s="1"/>
  <c r="T543" i="13"/>
  <c r="U543" i="13" s="1"/>
  <c r="P543" i="13"/>
  <c r="K543" i="13"/>
  <c r="E543" i="13"/>
  <c r="D543" i="13"/>
  <c r="C543" i="13"/>
  <c r="B543" i="13"/>
  <c r="Z542" i="13"/>
  <c r="T542" i="13"/>
  <c r="V542" i="13" s="1"/>
  <c r="P542" i="13"/>
  <c r="K542" i="13"/>
  <c r="E542" i="13"/>
  <c r="D542" i="13"/>
  <c r="C542" i="13"/>
  <c r="B542" i="13"/>
  <c r="Z541" i="13"/>
  <c r="AB541" i="13" s="1"/>
  <c r="AC541" i="13" s="1"/>
  <c r="T541" i="13"/>
  <c r="V541" i="13" s="1"/>
  <c r="P541" i="13"/>
  <c r="K541" i="13"/>
  <c r="E541" i="13"/>
  <c r="D541" i="13"/>
  <c r="C541" i="13"/>
  <c r="B541" i="13"/>
  <c r="Z540" i="13"/>
  <c r="AB540" i="13" s="1"/>
  <c r="T540" i="13"/>
  <c r="V540" i="13" s="1"/>
  <c r="P540" i="13"/>
  <c r="K540" i="13"/>
  <c r="E540" i="13"/>
  <c r="D540" i="13"/>
  <c r="C540" i="13"/>
  <c r="B540" i="13"/>
  <c r="Z539" i="13"/>
  <c r="AA539" i="13" s="1"/>
  <c r="T539" i="13"/>
  <c r="V539" i="13" s="1"/>
  <c r="P539" i="13"/>
  <c r="K539" i="13"/>
  <c r="E539" i="13"/>
  <c r="D539" i="13"/>
  <c r="C539" i="13"/>
  <c r="B539" i="13"/>
  <c r="Z538" i="13"/>
  <c r="AA538" i="13" s="1"/>
  <c r="T538" i="13"/>
  <c r="U538" i="13" s="1"/>
  <c r="P538" i="13"/>
  <c r="K538" i="13"/>
  <c r="E538" i="13"/>
  <c r="D538" i="13"/>
  <c r="C538" i="13"/>
  <c r="B538" i="13"/>
  <c r="Z537" i="13"/>
  <c r="T537" i="13"/>
  <c r="U537" i="13" s="1"/>
  <c r="P537" i="13"/>
  <c r="K537" i="13"/>
  <c r="E537" i="13"/>
  <c r="D537" i="13"/>
  <c r="C537" i="13"/>
  <c r="B537" i="13"/>
  <c r="Z536" i="13"/>
  <c r="AB536" i="13" s="1"/>
  <c r="AC536" i="13" s="1"/>
  <c r="T536" i="13"/>
  <c r="P536" i="13"/>
  <c r="K536" i="13"/>
  <c r="E536" i="13"/>
  <c r="D536" i="13"/>
  <c r="C536" i="13"/>
  <c r="B536" i="13"/>
  <c r="Z535" i="13"/>
  <c r="AB535" i="13" s="1"/>
  <c r="T535" i="13"/>
  <c r="V535" i="13" s="1"/>
  <c r="P535" i="13"/>
  <c r="K535" i="13"/>
  <c r="E535" i="13"/>
  <c r="D535" i="13"/>
  <c r="C535" i="13"/>
  <c r="B535" i="13"/>
  <c r="Z534" i="13"/>
  <c r="AB534" i="13" s="1"/>
  <c r="T534" i="13"/>
  <c r="V534" i="13" s="1"/>
  <c r="P534" i="13"/>
  <c r="K534" i="13"/>
  <c r="E534" i="13"/>
  <c r="D534" i="13"/>
  <c r="C534" i="13"/>
  <c r="B534" i="13"/>
  <c r="Z533" i="13"/>
  <c r="AB533" i="13" s="1"/>
  <c r="AC533" i="13" s="1"/>
  <c r="T533" i="13"/>
  <c r="V533" i="13" s="1"/>
  <c r="P533" i="13"/>
  <c r="K533" i="13"/>
  <c r="E533" i="13"/>
  <c r="D533" i="13"/>
  <c r="C533" i="13"/>
  <c r="B533" i="13"/>
  <c r="Z532" i="13"/>
  <c r="AB532" i="13" s="1"/>
  <c r="T532" i="13"/>
  <c r="U532" i="13" s="1"/>
  <c r="W532" i="13" s="1"/>
  <c r="P532" i="13"/>
  <c r="K532" i="13"/>
  <c r="E532" i="13"/>
  <c r="D532" i="13"/>
  <c r="C532" i="13"/>
  <c r="B532" i="13"/>
  <c r="Z531" i="13"/>
  <c r="AA531" i="13" s="1"/>
  <c r="T531" i="13"/>
  <c r="V531" i="13" s="1"/>
  <c r="P531" i="13"/>
  <c r="K531" i="13"/>
  <c r="E531" i="13"/>
  <c r="D531" i="13"/>
  <c r="C531" i="13"/>
  <c r="B531" i="13"/>
  <c r="Z530" i="13"/>
  <c r="AA530" i="13" s="1"/>
  <c r="T530" i="13"/>
  <c r="U530" i="13" s="1"/>
  <c r="W530" i="13" s="1"/>
  <c r="P530" i="13"/>
  <c r="K530" i="13"/>
  <c r="E530" i="13"/>
  <c r="D530" i="13"/>
  <c r="C530" i="13"/>
  <c r="B530" i="13"/>
  <c r="Z529" i="13"/>
  <c r="T529" i="13"/>
  <c r="U529" i="13" s="1"/>
  <c r="P529" i="13"/>
  <c r="K529" i="13"/>
  <c r="E529" i="13"/>
  <c r="D529" i="13"/>
  <c r="C529" i="13"/>
  <c r="B529" i="13"/>
  <c r="Z528" i="13"/>
  <c r="AB528" i="13" s="1"/>
  <c r="AC528" i="13" s="1"/>
  <c r="T528" i="13"/>
  <c r="P528" i="13"/>
  <c r="K528" i="13"/>
  <c r="E528" i="13"/>
  <c r="D528" i="13"/>
  <c r="C528" i="13"/>
  <c r="B528" i="13"/>
  <c r="Z527" i="13"/>
  <c r="AB527" i="13" s="1"/>
  <c r="T527" i="13"/>
  <c r="V527" i="13" s="1"/>
  <c r="P527" i="13"/>
  <c r="K527" i="13"/>
  <c r="E527" i="13"/>
  <c r="D527" i="13"/>
  <c r="C527" i="13"/>
  <c r="B527" i="13"/>
  <c r="Z526" i="13"/>
  <c r="AB526" i="13" s="1"/>
  <c r="T526" i="13"/>
  <c r="V526" i="13" s="1"/>
  <c r="P526" i="13"/>
  <c r="K526" i="13"/>
  <c r="E526" i="13"/>
  <c r="D526" i="13"/>
  <c r="C526" i="13"/>
  <c r="B526" i="13"/>
  <c r="Z525" i="13"/>
  <c r="AB525" i="13" s="1"/>
  <c r="AC525" i="13" s="1"/>
  <c r="T525" i="13"/>
  <c r="V525" i="13" s="1"/>
  <c r="P525" i="13"/>
  <c r="K525" i="13"/>
  <c r="E525" i="13"/>
  <c r="D525" i="13"/>
  <c r="C525" i="13"/>
  <c r="B525" i="13"/>
  <c r="Z524" i="13"/>
  <c r="AB524" i="13" s="1"/>
  <c r="T524" i="13"/>
  <c r="V524" i="13" s="1"/>
  <c r="P524" i="13"/>
  <c r="K524" i="13"/>
  <c r="E524" i="13"/>
  <c r="D524" i="13"/>
  <c r="C524" i="13"/>
  <c r="B524" i="13"/>
  <c r="Z523" i="13"/>
  <c r="AA523" i="13" s="1"/>
  <c r="T523" i="13"/>
  <c r="V523" i="13" s="1"/>
  <c r="P523" i="13"/>
  <c r="K523" i="13"/>
  <c r="E523" i="13"/>
  <c r="D523" i="13"/>
  <c r="C523" i="13"/>
  <c r="B523" i="13"/>
  <c r="Z522" i="13"/>
  <c r="AA522" i="13" s="1"/>
  <c r="T522" i="13"/>
  <c r="U522" i="13" s="1"/>
  <c r="P522" i="13"/>
  <c r="K522" i="13"/>
  <c r="E522" i="13"/>
  <c r="D522" i="13"/>
  <c r="C522" i="13"/>
  <c r="B522" i="13"/>
  <c r="Z521" i="13"/>
  <c r="T521" i="13"/>
  <c r="U521" i="13" s="1"/>
  <c r="P521" i="13"/>
  <c r="K521" i="13"/>
  <c r="E521" i="13"/>
  <c r="D521" i="13"/>
  <c r="C521" i="13"/>
  <c r="B521" i="13"/>
  <c r="Z520" i="13"/>
  <c r="AB520" i="13" s="1"/>
  <c r="AC520" i="13" s="1"/>
  <c r="T520" i="13"/>
  <c r="P520" i="13"/>
  <c r="K520" i="13"/>
  <c r="E520" i="13"/>
  <c r="D520" i="13"/>
  <c r="C520" i="13"/>
  <c r="B520" i="13"/>
  <c r="Z519" i="13"/>
  <c r="AB519" i="13" s="1"/>
  <c r="T519" i="13"/>
  <c r="V519" i="13" s="1"/>
  <c r="P519" i="13"/>
  <c r="K519" i="13"/>
  <c r="E519" i="13"/>
  <c r="D519" i="13"/>
  <c r="C519" i="13"/>
  <c r="B519" i="13"/>
  <c r="Z518" i="13"/>
  <c r="AB518" i="13" s="1"/>
  <c r="T518" i="13"/>
  <c r="V518" i="13" s="1"/>
  <c r="P518" i="13"/>
  <c r="K518" i="13"/>
  <c r="E518" i="13"/>
  <c r="D518" i="13"/>
  <c r="C518" i="13"/>
  <c r="B518" i="13"/>
  <c r="Z517" i="13"/>
  <c r="AB517" i="13" s="1"/>
  <c r="AC517" i="13" s="1"/>
  <c r="T517" i="13"/>
  <c r="V517" i="13" s="1"/>
  <c r="P517" i="13"/>
  <c r="K517" i="13"/>
  <c r="E517" i="13"/>
  <c r="D517" i="13"/>
  <c r="C517" i="13"/>
  <c r="B517" i="13"/>
  <c r="Z516" i="13"/>
  <c r="AB516" i="13" s="1"/>
  <c r="T516" i="13"/>
  <c r="V516" i="13" s="1"/>
  <c r="P516" i="13"/>
  <c r="K516" i="13"/>
  <c r="E516" i="13"/>
  <c r="D516" i="13"/>
  <c r="C516" i="13"/>
  <c r="B516" i="13"/>
  <c r="Z515" i="13"/>
  <c r="AA515" i="13" s="1"/>
  <c r="T515" i="13"/>
  <c r="V515" i="13" s="1"/>
  <c r="P515" i="13"/>
  <c r="K515" i="13"/>
  <c r="E515" i="13"/>
  <c r="D515" i="13"/>
  <c r="C515" i="13"/>
  <c r="B515" i="13"/>
  <c r="Z514" i="13"/>
  <c r="AA514" i="13" s="1"/>
  <c r="T514" i="13"/>
  <c r="U514" i="13" s="1"/>
  <c r="P514" i="13"/>
  <c r="K514" i="13"/>
  <c r="E514" i="13"/>
  <c r="D514" i="13"/>
  <c r="C514" i="13"/>
  <c r="B514" i="13"/>
  <c r="Z513" i="13"/>
  <c r="T513" i="13"/>
  <c r="U513" i="13" s="1"/>
  <c r="P513" i="13"/>
  <c r="K513" i="13"/>
  <c r="E513" i="13"/>
  <c r="D513" i="13"/>
  <c r="C513" i="13"/>
  <c r="B513" i="13"/>
  <c r="Z512" i="13"/>
  <c r="AB512" i="13" s="1"/>
  <c r="AC512" i="13" s="1"/>
  <c r="T512" i="13"/>
  <c r="P512" i="13"/>
  <c r="K512" i="13"/>
  <c r="E512" i="13"/>
  <c r="D512" i="13"/>
  <c r="C512" i="13"/>
  <c r="B512" i="13"/>
  <c r="Z511" i="13"/>
  <c r="AB511" i="13" s="1"/>
  <c r="T511" i="13"/>
  <c r="V511" i="13" s="1"/>
  <c r="P511" i="13"/>
  <c r="K511" i="13"/>
  <c r="E511" i="13"/>
  <c r="D511" i="13"/>
  <c r="C511" i="13"/>
  <c r="B511" i="13"/>
  <c r="Z510" i="13"/>
  <c r="AB510" i="13" s="1"/>
  <c r="T510" i="13"/>
  <c r="V510" i="13" s="1"/>
  <c r="P510" i="13"/>
  <c r="K510" i="13"/>
  <c r="E510" i="13"/>
  <c r="D510" i="13"/>
  <c r="C510" i="13"/>
  <c r="B510" i="13"/>
  <c r="Z509" i="13"/>
  <c r="AB509" i="13" s="1"/>
  <c r="AC509" i="13" s="1"/>
  <c r="T509" i="13"/>
  <c r="V509" i="13" s="1"/>
  <c r="P509" i="13"/>
  <c r="K509" i="13"/>
  <c r="E509" i="13"/>
  <c r="D509" i="13"/>
  <c r="C509" i="13"/>
  <c r="B509" i="13"/>
  <c r="Z508" i="13"/>
  <c r="AB508" i="13" s="1"/>
  <c r="T508" i="13"/>
  <c r="V508" i="13" s="1"/>
  <c r="P508" i="13"/>
  <c r="K508" i="13"/>
  <c r="E508" i="13"/>
  <c r="D508" i="13"/>
  <c r="C508" i="13"/>
  <c r="B508" i="13"/>
  <c r="Z507" i="13"/>
  <c r="AA507" i="13" s="1"/>
  <c r="T507" i="13"/>
  <c r="V507" i="13" s="1"/>
  <c r="P507" i="13"/>
  <c r="K507" i="13"/>
  <c r="E507" i="13"/>
  <c r="D507" i="13"/>
  <c r="C507" i="13"/>
  <c r="B507" i="13"/>
  <c r="Z506" i="13"/>
  <c r="AA506" i="13" s="1"/>
  <c r="T506" i="13"/>
  <c r="U506" i="13" s="1"/>
  <c r="W506" i="13" s="1"/>
  <c r="P506" i="13"/>
  <c r="K506" i="13"/>
  <c r="E506" i="13"/>
  <c r="D506" i="13"/>
  <c r="C506" i="13"/>
  <c r="B506" i="13"/>
  <c r="Z505" i="13"/>
  <c r="T505" i="13"/>
  <c r="U505" i="13" s="1"/>
  <c r="W505" i="13" s="1"/>
  <c r="P505" i="13"/>
  <c r="K505" i="13"/>
  <c r="E505" i="13"/>
  <c r="D505" i="13"/>
  <c r="C505" i="13"/>
  <c r="B505" i="13"/>
  <c r="Z504" i="13"/>
  <c r="AB504" i="13" s="1"/>
  <c r="T504" i="13"/>
  <c r="P504" i="13"/>
  <c r="K504" i="13"/>
  <c r="E504" i="13"/>
  <c r="D504" i="13"/>
  <c r="C504" i="13"/>
  <c r="B504" i="13"/>
  <c r="Z503" i="13"/>
  <c r="AB503" i="13" s="1"/>
  <c r="T503" i="13"/>
  <c r="V503" i="13" s="1"/>
  <c r="P503" i="13"/>
  <c r="K503" i="13"/>
  <c r="E503" i="13"/>
  <c r="D503" i="13"/>
  <c r="C503" i="13"/>
  <c r="B503" i="13"/>
  <c r="Z502" i="13"/>
  <c r="AB502" i="13" s="1"/>
  <c r="T502" i="13"/>
  <c r="V502" i="13" s="1"/>
  <c r="P502" i="13"/>
  <c r="K502" i="13"/>
  <c r="E502" i="13"/>
  <c r="D502" i="13"/>
  <c r="C502" i="13"/>
  <c r="B502" i="13"/>
  <c r="Z501" i="13"/>
  <c r="AB501" i="13" s="1"/>
  <c r="AC501" i="13" s="1"/>
  <c r="T501" i="13"/>
  <c r="V501" i="13" s="1"/>
  <c r="P501" i="13"/>
  <c r="K501" i="13"/>
  <c r="E501" i="13"/>
  <c r="D501" i="13"/>
  <c r="C501" i="13"/>
  <c r="B501" i="13"/>
  <c r="Z500" i="13"/>
  <c r="AB500" i="13" s="1"/>
  <c r="T500" i="13"/>
  <c r="U500" i="13" s="1"/>
  <c r="P500" i="13"/>
  <c r="K500" i="13"/>
  <c r="E500" i="13"/>
  <c r="D500" i="13"/>
  <c r="C500" i="13"/>
  <c r="B500" i="13"/>
  <c r="Z499" i="13"/>
  <c r="AA499" i="13" s="1"/>
  <c r="T499" i="13"/>
  <c r="V499" i="13" s="1"/>
  <c r="P499" i="13"/>
  <c r="K499" i="13"/>
  <c r="E499" i="13"/>
  <c r="D499" i="13"/>
  <c r="C499" i="13"/>
  <c r="B499" i="13"/>
  <c r="Z498" i="13"/>
  <c r="AA498" i="13" s="1"/>
  <c r="T498" i="13"/>
  <c r="U498" i="13" s="1"/>
  <c r="P498" i="13"/>
  <c r="K498" i="13"/>
  <c r="E498" i="13"/>
  <c r="D498" i="13"/>
  <c r="C498" i="13"/>
  <c r="B498" i="13"/>
  <c r="Z497" i="13"/>
  <c r="T497" i="13"/>
  <c r="U497" i="13" s="1"/>
  <c r="W497" i="13" s="1"/>
  <c r="P497" i="13"/>
  <c r="K497" i="13"/>
  <c r="E497" i="13"/>
  <c r="D497" i="13"/>
  <c r="C497" i="13"/>
  <c r="B497" i="13"/>
  <c r="Z496" i="13"/>
  <c r="AB496" i="13" s="1"/>
  <c r="AC496" i="13" s="1"/>
  <c r="T496" i="13"/>
  <c r="P496" i="13"/>
  <c r="K496" i="13"/>
  <c r="E496" i="13"/>
  <c r="D496" i="13"/>
  <c r="C496" i="13"/>
  <c r="B496" i="13"/>
  <c r="Z495" i="13"/>
  <c r="AB495" i="13" s="1"/>
  <c r="T495" i="13"/>
  <c r="V495" i="13" s="1"/>
  <c r="P495" i="13"/>
  <c r="K495" i="13"/>
  <c r="E495" i="13"/>
  <c r="D495" i="13"/>
  <c r="C495" i="13"/>
  <c r="B495" i="13"/>
  <c r="Z494" i="13"/>
  <c r="AB494" i="13" s="1"/>
  <c r="T494" i="13"/>
  <c r="V494" i="13" s="1"/>
  <c r="P494" i="13"/>
  <c r="K494" i="13"/>
  <c r="E494" i="13"/>
  <c r="D494" i="13"/>
  <c r="C494" i="13"/>
  <c r="B494" i="13"/>
  <c r="Z493" i="13"/>
  <c r="AB493" i="13" s="1"/>
  <c r="AC493" i="13" s="1"/>
  <c r="T493" i="13"/>
  <c r="V493" i="13" s="1"/>
  <c r="P493" i="13"/>
  <c r="K493" i="13"/>
  <c r="E493" i="13"/>
  <c r="D493" i="13"/>
  <c r="C493" i="13"/>
  <c r="B493" i="13"/>
  <c r="Z492" i="13"/>
  <c r="AB492" i="13" s="1"/>
  <c r="T492" i="13"/>
  <c r="V492" i="13" s="1"/>
  <c r="P492" i="13"/>
  <c r="K492" i="13"/>
  <c r="E492" i="13"/>
  <c r="D492" i="13"/>
  <c r="C492" i="13"/>
  <c r="B492" i="13"/>
  <c r="Z491" i="13"/>
  <c r="AA491" i="13" s="1"/>
  <c r="T491" i="13"/>
  <c r="V491" i="13" s="1"/>
  <c r="P491" i="13"/>
  <c r="K491" i="13"/>
  <c r="E491" i="13"/>
  <c r="D491" i="13"/>
  <c r="C491" i="13"/>
  <c r="B491" i="13"/>
  <c r="Z490" i="13"/>
  <c r="AA490" i="13" s="1"/>
  <c r="T490" i="13"/>
  <c r="U490" i="13" s="1"/>
  <c r="P490" i="13"/>
  <c r="K490" i="13"/>
  <c r="E490" i="13"/>
  <c r="D490" i="13"/>
  <c r="C490" i="13"/>
  <c r="B490" i="13"/>
  <c r="Z489" i="13"/>
  <c r="T489" i="13"/>
  <c r="U489" i="13" s="1"/>
  <c r="P489" i="13"/>
  <c r="K489" i="13"/>
  <c r="E489" i="13"/>
  <c r="D489" i="13"/>
  <c r="C489" i="13"/>
  <c r="B489" i="13"/>
  <c r="Z488" i="13"/>
  <c r="AB488" i="13" s="1"/>
  <c r="T488" i="13"/>
  <c r="P488" i="13"/>
  <c r="K488" i="13"/>
  <c r="E488" i="13"/>
  <c r="D488" i="13"/>
  <c r="C488" i="13"/>
  <c r="B488" i="13"/>
  <c r="Z487" i="13"/>
  <c r="AB487" i="13" s="1"/>
  <c r="T487" i="13"/>
  <c r="V487" i="13" s="1"/>
  <c r="P487" i="13"/>
  <c r="K487" i="13"/>
  <c r="E487" i="13"/>
  <c r="D487" i="13"/>
  <c r="C487" i="13"/>
  <c r="B487" i="13"/>
  <c r="Z486" i="13"/>
  <c r="AB486" i="13" s="1"/>
  <c r="T486" i="13"/>
  <c r="V486" i="13" s="1"/>
  <c r="P486" i="13"/>
  <c r="K486" i="13"/>
  <c r="E486" i="13"/>
  <c r="D486" i="13"/>
  <c r="C486" i="13"/>
  <c r="B486" i="13"/>
  <c r="Z485" i="13"/>
  <c r="AB485" i="13" s="1"/>
  <c r="AC485" i="13" s="1"/>
  <c r="T485" i="13"/>
  <c r="V485" i="13" s="1"/>
  <c r="P485" i="13"/>
  <c r="K485" i="13"/>
  <c r="E485" i="13"/>
  <c r="D485" i="13"/>
  <c r="C485" i="13"/>
  <c r="B485" i="13"/>
  <c r="Z484" i="13"/>
  <c r="AB484" i="13" s="1"/>
  <c r="T484" i="13"/>
  <c r="V484" i="13" s="1"/>
  <c r="P484" i="13"/>
  <c r="K484" i="13"/>
  <c r="E484" i="13"/>
  <c r="D484" i="13"/>
  <c r="C484" i="13"/>
  <c r="B484" i="13"/>
  <c r="Z483" i="13"/>
  <c r="AA483" i="13" s="1"/>
  <c r="T483" i="13"/>
  <c r="V483" i="13" s="1"/>
  <c r="P483" i="13"/>
  <c r="K483" i="13"/>
  <c r="E483" i="13"/>
  <c r="D483" i="13"/>
  <c r="C483" i="13"/>
  <c r="B483" i="13"/>
  <c r="Z482" i="13"/>
  <c r="AA482" i="13" s="1"/>
  <c r="T482" i="13"/>
  <c r="U482" i="13" s="1"/>
  <c r="P482" i="13"/>
  <c r="K482" i="13"/>
  <c r="E482" i="13"/>
  <c r="D482" i="13"/>
  <c r="C482" i="13"/>
  <c r="B482" i="13"/>
  <c r="Z481" i="13"/>
  <c r="T481" i="13"/>
  <c r="U481" i="13" s="1"/>
  <c r="P481" i="13"/>
  <c r="K481" i="13"/>
  <c r="E481" i="13"/>
  <c r="D481" i="13"/>
  <c r="C481" i="13"/>
  <c r="B481" i="13"/>
  <c r="Z480" i="13"/>
  <c r="AB480" i="13" s="1"/>
  <c r="AC480" i="13" s="1"/>
  <c r="T480" i="13"/>
  <c r="P480" i="13"/>
  <c r="K480" i="13"/>
  <c r="E480" i="13"/>
  <c r="D480" i="13"/>
  <c r="C480" i="13"/>
  <c r="B480" i="13"/>
  <c r="Z479" i="13"/>
  <c r="AB479" i="13" s="1"/>
  <c r="T479" i="13"/>
  <c r="V479" i="13" s="1"/>
  <c r="P479" i="13"/>
  <c r="K479" i="13"/>
  <c r="E479" i="13"/>
  <c r="D479" i="13"/>
  <c r="C479" i="13"/>
  <c r="B479" i="13"/>
  <c r="Z478" i="13"/>
  <c r="AB478" i="13" s="1"/>
  <c r="T478" i="13"/>
  <c r="V478" i="13" s="1"/>
  <c r="P478" i="13"/>
  <c r="K478" i="13"/>
  <c r="E478" i="13"/>
  <c r="D478" i="13"/>
  <c r="C478" i="13"/>
  <c r="B478" i="13"/>
  <c r="Z477" i="13"/>
  <c r="AB477" i="13" s="1"/>
  <c r="AC477" i="13" s="1"/>
  <c r="T477" i="13"/>
  <c r="V477" i="13" s="1"/>
  <c r="P477" i="13"/>
  <c r="K477" i="13"/>
  <c r="E477" i="13"/>
  <c r="D477" i="13"/>
  <c r="C477" i="13"/>
  <c r="B477" i="13"/>
  <c r="Z476" i="13"/>
  <c r="AB476" i="13" s="1"/>
  <c r="T476" i="13"/>
  <c r="U476" i="13" s="1"/>
  <c r="P476" i="13"/>
  <c r="K476" i="13"/>
  <c r="E476" i="13"/>
  <c r="D476" i="13"/>
  <c r="C476" i="13"/>
  <c r="B476" i="13"/>
  <c r="Z475" i="13"/>
  <c r="AA475" i="13" s="1"/>
  <c r="T475" i="13"/>
  <c r="V475" i="13" s="1"/>
  <c r="P475" i="13"/>
  <c r="K475" i="13"/>
  <c r="E475" i="13"/>
  <c r="D475" i="13"/>
  <c r="C475" i="13"/>
  <c r="B475" i="13"/>
  <c r="Z474" i="13"/>
  <c r="AA474" i="13" s="1"/>
  <c r="T474" i="13"/>
  <c r="U474" i="13" s="1"/>
  <c r="P474" i="13"/>
  <c r="K474" i="13"/>
  <c r="E474" i="13"/>
  <c r="D474" i="13"/>
  <c r="C474" i="13"/>
  <c r="B474" i="13"/>
  <c r="Z473" i="13"/>
  <c r="T473" i="13"/>
  <c r="U473" i="13" s="1"/>
  <c r="P473" i="13"/>
  <c r="K473" i="13"/>
  <c r="E473" i="13"/>
  <c r="D473" i="13"/>
  <c r="C473" i="13"/>
  <c r="B473" i="13"/>
  <c r="Z472" i="13"/>
  <c r="AB472" i="13" s="1"/>
  <c r="T472" i="13"/>
  <c r="P472" i="13"/>
  <c r="K472" i="13"/>
  <c r="E472" i="13"/>
  <c r="D472" i="13"/>
  <c r="C472" i="13"/>
  <c r="B472" i="13"/>
  <c r="Z471" i="13"/>
  <c r="AB471" i="13" s="1"/>
  <c r="T471" i="13"/>
  <c r="V471" i="13" s="1"/>
  <c r="P471" i="13"/>
  <c r="K471" i="13"/>
  <c r="E471" i="13"/>
  <c r="D471" i="13"/>
  <c r="C471" i="13"/>
  <c r="B471" i="13"/>
  <c r="Z470" i="13"/>
  <c r="AB470" i="13" s="1"/>
  <c r="T470" i="13"/>
  <c r="V470" i="13" s="1"/>
  <c r="P470" i="13"/>
  <c r="K470" i="13"/>
  <c r="E470" i="13"/>
  <c r="D470" i="13"/>
  <c r="C470" i="13"/>
  <c r="B470" i="13"/>
  <c r="Z469" i="13"/>
  <c r="AA469" i="13" s="1"/>
  <c r="T469" i="13"/>
  <c r="V469" i="13" s="1"/>
  <c r="P469" i="13"/>
  <c r="K469" i="13"/>
  <c r="E469" i="13"/>
  <c r="D469" i="13"/>
  <c r="C469" i="13"/>
  <c r="B469" i="13"/>
  <c r="Z468" i="13"/>
  <c r="AB468" i="13" s="1"/>
  <c r="T468" i="13"/>
  <c r="V468" i="13" s="1"/>
  <c r="P468" i="13"/>
  <c r="K468" i="13"/>
  <c r="E468" i="13"/>
  <c r="D468" i="13"/>
  <c r="C468" i="13"/>
  <c r="B468" i="13"/>
  <c r="Z467" i="13"/>
  <c r="AA467" i="13" s="1"/>
  <c r="T467" i="13"/>
  <c r="V467" i="13" s="1"/>
  <c r="P467" i="13"/>
  <c r="K467" i="13"/>
  <c r="E467" i="13"/>
  <c r="D467" i="13"/>
  <c r="C467" i="13"/>
  <c r="B467" i="13"/>
  <c r="Z466" i="13"/>
  <c r="AA466" i="13" s="1"/>
  <c r="T466" i="13"/>
  <c r="U466" i="13" s="1"/>
  <c r="P466" i="13"/>
  <c r="K466" i="13"/>
  <c r="E466" i="13"/>
  <c r="D466" i="13"/>
  <c r="C466" i="13"/>
  <c r="B466" i="13"/>
  <c r="Z465" i="13"/>
  <c r="T465" i="13"/>
  <c r="U465" i="13" s="1"/>
  <c r="W465" i="13" s="1"/>
  <c r="P465" i="13"/>
  <c r="K465" i="13"/>
  <c r="E465" i="13"/>
  <c r="D465" i="13"/>
  <c r="C465" i="13"/>
  <c r="B465" i="13"/>
  <c r="Z464" i="13"/>
  <c r="AB464" i="13" s="1"/>
  <c r="T464" i="13"/>
  <c r="P464" i="13"/>
  <c r="K464" i="13"/>
  <c r="E464" i="13"/>
  <c r="D464" i="13"/>
  <c r="C464" i="13"/>
  <c r="B464" i="13"/>
  <c r="Z463" i="13"/>
  <c r="AB463" i="13" s="1"/>
  <c r="T463" i="13"/>
  <c r="V463" i="13" s="1"/>
  <c r="P463" i="13"/>
  <c r="K463" i="13"/>
  <c r="E463" i="13"/>
  <c r="D463" i="13"/>
  <c r="C463" i="13"/>
  <c r="B463" i="13"/>
  <c r="Z462" i="13"/>
  <c r="AB462" i="13" s="1"/>
  <c r="T462" i="13"/>
  <c r="V462" i="13" s="1"/>
  <c r="P462" i="13"/>
  <c r="K462" i="13"/>
  <c r="E462" i="13"/>
  <c r="D462" i="13"/>
  <c r="C462" i="13"/>
  <c r="B462" i="13"/>
  <c r="Z461" i="13"/>
  <c r="AA461" i="13" s="1"/>
  <c r="T461" i="13"/>
  <c r="V461" i="13" s="1"/>
  <c r="P461" i="13"/>
  <c r="K461" i="13"/>
  <c r="E461" i="13"/>
  <c r="D461" i="13"/>
  <c r="C461" i="13"/>
  <c r="B461" i="13"/>
  <c r="Z460" i="13"/>
  <c r="AB460" i="13" s="1"/>
  <c r="T460" i="13"/>
  <c r="U460" i="13" s="1"/>
  <c r="P460" i="13"/>
  <c r="K460" i="13"/>
  <c r="E460" i="13"/>
  <c r="D460" i="13"/>
  <c r="C460" i="13"/>
  <c r="B460" i="13"/>
  <c r="Z459" i="13"/>
  <c r="AA459" i="13" s="1"/>
  <c r="T459" i="13"/>
  <c r="V459" i="13" s="1"/>
  <c r="P459" i="13"/>
  <c r="K459" i="13"/>
  <c r="E459" i="13"/>
  <c r="D459" i="13"/>
  <c r="C459" i="13"/>
  <c r="B459" i="13"/>
  <c r="Z458" i="13"/>
  <c r="AA458" i="13" s="1"/>
  <c r="T458" i="13"/>
  <c r="U458" i="13" s="1"/>
  <c r="P458" i="13"/>
  <c r="K458" i="13"/>
  <c r="E458" i="13"/>
  <c r="D458" i="13"/>
  <c r="C458" i="13"/>
  <c r="B458" i="13"/>
  <c r="Z457" i="13"/>
  <c r="T457" i="13"/>
  <c r="U457" i="13" s="1"/>
  <c r="P457" i="13"/>
  <c r="K457" i="13"/>
  <c r="E457" i="13"/>
  <c r="D457" i="13"/>
  <c r="C457" i="13"/>
  <c r="B457" i="13"/>
  <c r="Z456" i="13"/>
  <c r="AB456" i="13" s="1"/>
  <c r="AC456" i="13" s="1"/>
  <c r="T456" i="13"/>
  <c r="P456" i="13"/>
  <c r="K456" i="13"/>
  <c r="E456" i="13"/>
  <c r="D456" i="13"/>
  <c r="C456" i="13"/>
  <c r="B456" i="13"/>
  <c r="Z455" i="13"/>
  <c r="AB455" i="13" s="1"/>
  <c r="T455" i="13"/>
  <c r="V455" i="13" s="1"/>
  <c r="P455" i="13"/>
  <c r="K455" i="13"/>
  <c r="E455" i="13"/>
  <c r="D455" i="13"/>
  <c r="C455" i="13"/>
  <c r="B455" i="13"/>
  <c r="Z454" i="13"/>
  <c r="AB454" i="13" s="1"/>
  <c r="T454" i="13"/>
  <c r="V454" i="13" s="1"/>
  <c r="P454" i="13"/>
  <c r="K454" i="13"/>
  <c r="E454" i="13"/>
  <c r="D454" i="13"/>
  <c r="C454" i="13"/>
  <c r="B454" i="13"/>
  <c r="Z453" i="13"/>
  <c r="AA453" i="13" s="1"/>
  <c r="T453" i="13"/>
  <c r="V453" i="13" s="1"/>
  <c r="P453" i="13"/>
  <c r="K453" i="13"/>
  <c r="E453" i="13"/>
  <c r="D453" i="13"/>
  <c r="C453" i="13"/>
  <c r="B453" i="13"/>
  <c r="Z452" i="13"/>
  <c r="AB452" i="13" s="1"/>
  <c r="T452" i="13"/>
  <c r="V452" i="13" s="1"/>
  <c r="P452" i="13"/>
  <c r="K452" i="13"/>
  <c r="E452" i="13"/>
  <c r="D452" i="13"/>
  <c r="C452" i="13"/>
  <c r="B452" i="13"/>
  <c r="Z451" i="13"/>
  <c r="AA451" i="13" s="1"/>
  <c r="T451" i="13"/>
  <c r="V451" i="13" s="1"/>
  <c r="P451" i="13"/>
  <c r="K451" i="13"/>
  <c r="E451" i="13"/>
  <c r="D451" i="13"/>
  <c r="C451" i="13"/>
  <c r="B451" i="13"/>
  <c r="Z450" i="13"/>
  <c r="AA450" i="13" s="1"/>
  <c r="T450" i="13"/>
  <c r="U450" i="13" s="1"/>
  <c r="W450" i="13" s="1"/>
  <c r="P450" i="13"/>
  <c r="K450" i="13"/>
  <c r="E450" i="13"/>
  <c r="D450" i="13"/>
  <c r="C450" i="13"/>
  <c r="B450" i="13"/>
  <c r="Z449" i="13"/>
  <c r="T449" i="13"/>
  <c r="U449" i="13" s="1"/>
  <c r="W449" i="13" s="1"/>
  <c r="P449" i="13"/>
  <c r="K449" i="13"/>
  <c r="E449" i="13"/>
  <c r="D449" i="13"/>
  <c r="C449" i="13"/>
  <c r="B449" i="13"/>
  <c r="Z448" i="13"/>
  <c r="AB448" i="13" s="1"/>
  <c r="AC448" i="13" s="1"/>
  <c r="T448" i="13"/>
  <c r="P448" i="13"/>
  <c r="K448" i="13"/>
  <c r="E448" i="13"/>
  <c r="D448" i="13"/>
  <c r="C448" i="13"/>
  <c r="B448" i="13"/>
  <c r="Z447" i="13"/>
  <c r="AB447" i="13" s="1"/>
  <c r="T447" i="13"/>
  <c r="V447" i="13" s="1"/>
  <c r="P447" i="13"/>
  <c r="K447" i="13"/>
  <c r="E447" i="13"/>
  <c r="D447" i="13"/>
  <c r="C447" i="13"/>
  <c r="B447" i="13"/>
  <c r="Z446" i="13"/>
  <c r="AB446" i="13" s="1"/>
  <c r="T446" i="13"/>
  <c r="V446" i="13" s="1"/>
  <c r="P446" i="13"/>
  <c r="K446" i="13"/>
  <c r="E446" i="13"/>
  <c r="D446" i="13"/>
  <c r="C446" i="13"/>
  <c r="B446" i="13"/>
  <c r="Z445" i="13"/>
  <c r="AA445" i="13" s="1"/>
  <c r="T445" i="13"/>
  <c r="V445" i="13" s="1"/>
  <c r="P445" i="13"/>
  <c r="K445" i="13"/>
  <c r="E445" i="13"/>
  <c r="D445" i="13"/>
  <c r="C445" i="13"/>
  <c r="B445" i="13"/>
  <c r="Z444" i="13"/>
  <c r="AB444" i="13" s="1"/>
  <c r="T444" i="13"/>
  <c r="U444" i="13" s="1"/>
  <c r="W444" i="13" s="1"/>
  <c r="P444" i="13"/>
  <c r="K444" i="13"/>
  <c r="E444" i="13"/>
  <c r="D444" i="13"/>
  <c r="C444" i="13"/>
  <c r="B444" i="13"/>
  <c r="Z443" i="13"/>
  <c r="AA443" i="13" s="1"/>
  <c r="T443" i="13"/>
  <c r="V443" i="13" s="1"/>
  <c r="P443" i="13"/>
  <c r="K443" i="13"/>
  <c r="E443" i="13"/>
  <c r="D443" i="13"/>
  <c r="C443" i="13"/>
  <c r="B443" i="13"/>
  <c r="Z442" i="13"/>
  <c r="AA442" i="13" s="1"/>
  <c r="T442" i="13"/>
  <c r="U442" i="13" s="1"/>
  <c r="P442" i="13"/>
  <c r="K442" i="13"/>
  <c r="E442" i="13"/>
  <c r="D442" i="13"/>
  <c r="C442" i="13"/>
  <c r="B442" i="13"/>
  <c r="Z441" i="13"/>
  <c r="T441" i="13"/>
  <c r="U441" i="13" s="1"/>
  <c r="P441" i="13"/>
  <c r="K441" i="13"/>
  <c r="E441" i="13"/>
  <c r="D441" i="13"/>
  <c r="C441" i="13"/>
  <c r="B441" i="13"/>
  <c r="Z440" i="13"/>
  <c r="AB440" i="13" s="1"/>
  <c r="AC440" i="13" s="1"/>
  <c r="T440" i="13"/>
  <c r="P440" i="13"/>
  <c r="K440" i="13"/>
  <c r="E440" i="13"/>
  <c r="D440" i="13"/>
  <c r="C440" i="13"/>
  <c r="B440" i="13"/>
  <c r="Z439" i="13"/>
  <c r="AA439" i="13" s="1"/>
  <c r="T439" i="13"/>
  <c r="V439" i="13" s="1"/>
  <c r="P439" i="13"/>
  <c r="K439" i="13"/>
  <c r="E439" i="13"/>
  <c r="D439" i="13"/>
  <c r="C439" i="13"/>
  <c r="B439" i="13"/>
  <c r="Z438" i="13"/>
  <c r="AB438" i="13" s="1"/>
  <c r="T438" i="13"/>
  <c r="U438" i="13" s="1"/>
  <c r="P438" i="13"/>
  <c r="K438" i="13"/>
  <c r="E438" i="13"/>
  <c r="D438" i="13"/>
  <c r="C438" i="13"/>
  <c r="B438" i="13"/>
  <c r="Z437" i="13"/>
  <c r="AB437" i="13" s="1"/>
  <c r="T437" i="13"/>
  <c r="V437" i="13" s="1"/>
  <c r="P437" i="13"/>
  <c r="K437" i="13"/>
  <c r="E437" i="13"/>
  <c r="D437" i="13"/>
  <c r="C437" i="13"/>
  <c r="B437" i="13"/>
  <c r="Z436" i="13"/>
  <c r="AB436" i="13" s="1"/>
  <c r="T436" i="13"/>
  <c r="V436" i="13" s="1"/>
  <c r="P436" i="13"/>
  <c r="K436" i="13"/>
  <c r="E436" i="13"/>
  <c r="D436" i="13"/>
  <c r="C436" i="13"/>
  <c r="B436" i="13"/>
  <c r="Z435" i="13"/>
  <c r="AA435" i="13" s="1"/>
  <c r="T435" i="13"/>
  <c r="V435" i="13" s="1"/>
  <c r="P435" i="13"/>
  <c r="K435" i="13"/>
  <c r="E435" i="13"/>
  <c r="D435" i="13"/>
  <c r="C435" i="13"/>
  <c r="B435" i="13"/>
  <c r="Z434" i="13"/>
  <c r="AA434" i="13" s="1"/>
  <c r="T434" i="13"/>
  <c r="U434" i="13" s="1"/>
  <c r="P434" i="13"/>
  <c r="K434" i="13"/>
  <c r="E434" i="13"/>
  <c r="D434" i="13"/>
  <c r="C434" i="13"/>
  <c r="B434" i="13"/>
  <c r="Z433" i="13"/>
  <c r="T433" i="13"/>
  <c r="U433" i="13" s="1"/>
  <c r="P433" i="13"/>
  <c r="K433" i="13"/>
  <c r="E433" i="13"/>
  <c r="D433" i="13"/>
  <c r="C433" i="13"/>
  <c r="B433" i="13"/>
  <c r="Z432" i="13"/>
  <c r="AB432" i="13" s="1"/>
  <c r="AC432" i="13" s="1"/>
  <c r="T432" i="13"/>
  <c r="P432" i="13"/>
  <c r="K432" i="13"/>
  <c r="E432" i="13"/>
  <c r="D432" i="13"/>
  <c r="C432" i="13"/>
  <c r="B432" i="13"/>
  <c r="Z431" i="13"/>
  <c r="AB431" i="13" s="1"/>
  <c r="T431" i="13"/>
  <c r="V431" i="13" s="1"/>
  <c r="P431" i="13"/>
  <c r="K431" i="13"/>
  <c r="E431" i="13"/>
  <c r="D431" i="13"/>
  <c r="C431" i="13"/>
  <c r="B431" i="13"/>
  <c r="Z430" i="13"/>
  <c r="AB430" i="13" s="1"/>
  <c r="T430" i="13"/>
  <c r="V430" i="13" s="1"/>
  <c r="P430" i="13"/>
  <c r="K430" i="13"/>
  <c r="E430" i="13"/>
  <c r="D430" i="13"/>
  <c r="C430" i="13"/>
  <c r="B430" i="13"/>
  <c r="Z429" i="13"/>
  <c r="AB429" i="13" s="1"/>
  <c r="T429" i="13"/>
  <c r="V429" i="13" s="1"/>
  <c r="P429" i="13"/>
  <c r="K429" i="13"/>
  <c r="E429" i="13"/>
  <c r="D429" i="13"/>
  <c r="C429" i="13"/>
  <c r="B429" i="13"/>
  <c r="Z428" i="13"/>
  <c r="AB428" i="13" s="1"/>
  <c r="T428" i="13"/>
  <c r="V428" i="13" s="1"/>
  <c r="P428" i="13"/>
  <c r="K428" i="13"/>
  <c r="E428" i="13"/>
  <c r="D428" i="13"/>
  <c r="C428" i="13"/>
  <c r="B428" i="13"/>
  <c r="Z427" i="13"/>
  <c r="AA427" i="13" s="1"/>
  <c r="T427" i="13"/>
  <c r="V427" i="13" s="1"/>
  <c r="P427" i="13"/>
  <c r="K427" i="13"/>
  <c r="E427" i="13"/>
  <c r="D427" i="13"/>
  <c r="C427" i="13"/>
  <c r="B427" i="13"/>
  <c r="Z426" i="13"/>
  <c r="AA426" i="13" s="1"/>
  <c r="T426" i="13"/>
  <c r="U426" i="13" s="1"/>
  <c r="P426" i="13"/>
  <c r="K426" i="13"/>
  <c r="E426" i="13"/>
  <c r="D426" i="13"/>
  <c r="C426" i="13"/>
  <c r="B426" i="13"/>
  <c r="Z425" i="13"/>
  <c r="T425" i="13"/>
  <c r="V425" i="13" s="1"/>
  <c r="P425" i="13"/>
  <c r="K425" i="13"/>
  <c r="E425" i="13"/>
  <c r="D425" i="13"/>
  <c r="C425" i="13"/>
  <c r="B425" i="13"/>
  <c r="Z424" i="13"/>
  <c r="AB424" i="13" s="1"/>
  <c r="T424" i="13"/>
  <c r="P424" i="13"/>
  <c r="K424" i="13"/>
  <c r="E424" i="13"/>
  <c r="D424" i="13"/>
  <c r="C424" i="13"/>
  <c r="B424" i="13"/>
  <c r="Z423" i="13"/>
  <c r="AB423" i="13" s="1"/>
  <c r="T423" i="13"/>
  <c r="V423" i="13" s="1"/>
  <c r="P423" i="13"/>
  <c r="K423" i="13"/>
  <c r="E423" i="13"/>
  <c r="D423" i="13"/>
  <c r="C423" i="13"/>
  <c r="B423" i="13"/>
  <c r="Z422" i="13"/>
  <c r="AB422" i="13" s="1"/>
  <c r="T422" i="13"/>
  <c r="V422" i="13" s="1"/>
  <c r="P422" i="13"/>
  <c r="K422" i="13"/>
  <c r="E422" i="13"/>
  <c r="D422" i="13"/>
  <c r="C422" i="13"/>
  <c r="B422" i="13"/>
  <c r="Z421" i="13"/>
  <c r="AB421" i="13" s="1"/>
  <c r="T421" i="13"/>
  <c r="V421" i="13" s="1"/>
  <c r="P421" i="13"/>
  <c r="K421" i="13"/>
  <c r="E421" i="13"/>
  <c r="D421" i="13"/>
  <c r="C421" i="13"/>
  <c r="B421" i="13"/>
  <c r="Z420" i="13"/>
  <c r="AB420" i="13" s="1"/>
  <c r="T420" i="13"/>
  <c r="U420" i="13" s="1"/>
  <c r="W420" i="13" s="1"/>
  <c r="P420" i="13"/>
  <c r="K420" i="13"/>
  <c r="E420" i="13"/>
  <c r="D420" i="13"/>
  <c r="C420" i="13"/>
  <c r="B420" i="13"/>
  <c r="Z419" i="13"/>
  <c r="AA419" i="13" s="1"/>
  <c r="T419" i="13"/>
  <c r="V419" i="13" s="1"/>
  <c r="P419" i="13"/>
  <c r="K419" i="13"/>
  <c r="E419" i="13"/>
  <c r="D419" i="13"/>
  <c r="C419" i="13"/>
  <c r="B419" i="13"/>
  <c r="Z418" i="13"/>
  <c r="AB418" i="13" s="1"/>
  <c r="AC418" i="13" s="1"/>
  <c r="T418" i="13"/>
  <c r="U418" i="13" s="1"/>
  <c r="W418" i="13" s="1"/>
  <c r="P418" i="13"/>
  <c r="K418" i="13"/>
  <c r="E418" i="13"/>
  <c r="D418" i="13"/>
  <c r="C418" i="13"/>
  <c r="B418" i="13"/>
  <c r="Z417" i="13"/>
  <c r="T417" i="13"/>
  <c r="V417" i="13" s="1"/>
  <c r="P417" i="13"/>
  <c r="K417" i="13"/>
  <c r="E417" i="13"/>
  <c r="D417" i="13"/>
  <c r="C417" i="13"/>
  <c r="B417" i="13"/>
  <c r="Z416" i="13"/>
  <c r="AB416" i="13" s="1"/>
  <c r="T416" i="13"/>
  <c r="P416" i="13"/>
  <c r="K416" i="13"/>
  <c r="E416" i="13"/>
  <c r="D416" i="13"/>
  <c r="C416" i="13"/>
  <c r="B416" i="13"/>
  <c r="Z415" i="13"/>
  <c r="AB415" i="13" s="1"/>
  <c r="T415" i="13"/>
  <c r="V415" i="13" s="1"/>
  <c r="P415" i="13"/>
  <c r="K415" i="13"/>
  <c r="E415" i="13"/>
  <c r="D415" i="13"/>
  <c r="C415" i="13"/>
  <c r="B415" i="13"/>
  <c r="Z414" i="13"/>
  <c r="AB414" i="13" s="1"/>
  <c r="T414" i="13"/>
  <c r="V414" i="13" s="1"/>
  <c r="P414" i="13"/>
  <c r="K414" i="13"/>
  <c r="E414" i="13"/>
  <c r="D414" i="13"/>
  <c r="C414" i="13"/>
  <c r="B414" i="13"/>
  <c r="Z413" i="13"/>
  <c r="AB413" i="13" s="1"/>
  <c r="T413" i="13"/>
  <c r="V413" i="13" s="1"/>
  <c r="P413" i="13"/>
  <c r="K413" i="13"/>
  <c r="E413" i="13"/>
  <c r="D413" i="13"/>
  <c r="C413" i="13"/>
  <c r="B413" i="13"/>
  <c r="Z412" i="13"/>
  <c r="AB412" i="13" s="1"/>
  <c r="T412" i="13"/>
  <c r="V412" i="13" s="1"/>
  <c r="P412" i="13"/>
  <c r="K412" i="13"/>
  <c r="E412" i="13"/>
  <c r="D412" i="13"/>
  <c r="C412" i="13"/>
  <c r="B412" i="13"/>
  <c r="Z411" i="13"/>
  <c r="AA411" i="13" s="1"/>
  <c r="T411" i="13"/>
  <c r="V411" i="13" s="1"/>
  <c r="P411" i="13"/>
  <c r="K411" i="13"/>
  <c r="E411" i="13"/>
  <c r="D411" i="13"/>
  <c r="C411" i="13"/>
  <c r="B411" i="13"/>
  <c r="Z410" i="13"/>
  <c r="AB410" i="13" s="1"/>
  <c r="AC410" i="13" s="1"/>
  <c r="T410" i="13"/>
  <c r="U410" i="13" s="1"/>
  <c r="P410" i="13"/>
  <c r="K410" i="13"/>
  <c r="E410" i="13"/>
  <c r="D410" i="13"/>
  <c r="C410" i="13"/>
  <c r="B410" i="13"/>
  <c r="Z409" i="13"/>
  <c r="T409" i="13"/>
  <c r="V409" i="13" s="1"/>
  <c r="P409" i="13"/>
  <c r="K409" i="13"/>
  <c r="E409" i="13"/>
  <c r="D409" i="13"/>
  <c r="C409" i="13"/>
  <c r="B409" i="13"/>
  <c r="Z408" i="13"/>
  <c r="AB408" i="13" s="1"/>
  <c r="AC408" i="13" s="1"/>
  <c r="T408" i="13"/>
  <c r="P408" i="13"/>
  <c r="K408" i="13"/>
  <c r="E408" i="13"/>
  <c r="D408" i="13"/>
  <c r="C408" i="13"/>
  <c r="B408" i="13"/>
  <c r="Z407" i="13"/>
  <c r="AB407" i="13" s="1"/>
  <c r="T407" i="13"/>
  <c r="V407" i="13" s="1"/>
  <c r="P407" i="13"/>
  <c r="K407" i="13"/>
  <c r="E407" i="13"/>
  <c r="D407" i="13"/>
  <c r="C407" i="13"/>
  <c r="B407" i="13"/>
  <c r="Z406" i="13"/>
  <c r="AB406" i="13" s="1"/>
  <c r="T406" i="13"/>
  <c r="V406" i="13" s="1"/>
  <c r="P406" i="13"/>
  <c r="K406" i="13"/>
  <c r="E406" i="13"/>
  <c r="D406" i="13"/>
  <c r="C406" i="13"/>
  <c r="B406" i="13"/>
  <c r="Z405" i="13"/>
  <c r="AB405" i="13" s="1"/>
  <c r="AC405" i="13" s="1"/>
  <c r="T405" i="13"/>
  <c r="V405" i="13" s="1"/>
  <c r="P405" i="13"/>
  <c r="K405" i="13"/>
  <c r="E405" i="13"/>
  <c r="D405" i="13"/>
  <c r="C405" i="13"/>
  <c r="B405" i="13"/>
  <c r="Z404" i="13"/>
  <c r="AB404" i="13" s="1"/>
  <c r="T404" i="13"/>
  <c r="V404" i="13" s="1"/>
  <c r="P404" i="13"/>
  <c r="K404" i="13"/>
  <c r="E404" i="13"/>
  <c r="D404" i="13"/>
  <c r="C404" i="13"/>
  <c r="B404" i="13"/>
  <c r="Z403" i="13"/>
  <c r="AA403" i="13" s="1"/>
  <c r="T403" i="13"/>
  <c r="V403" i="13" s="1"/>
  <c r="P403" i="13"/>
  <c r="K403" i="13"/>
  <c r="E403" i="13"/>
  <c r="D403" i="13"/>
  <c r="C403" i="13"/>
  <c r="B403" i="13"/>
  <c r="Z402" i="13"/>
  <c r="AB402" i="13" s="1"/>
  <c r="AC402" i="13" s="1"/>
  <c r="T402" i="13"/>
  <c r="U402" i="13" s="1"/>
  <c r="W402" i="13" s="1"/>
  <c r="P402" i="13"/>
  <c r="K402" i="13"/>
  <c r="E402" i="13"/>
  <c r="D402" i="13"/>
  <c r="C402" i="13"/>
  <c r="B402" i="13"/>
  <c r="Z401" i="13"/>
  <c r="T401" i="13"/>
  <c r="V401" i="13" s="1"/>
  <c r="P401" i="13"/>
  <c r="K401" i="13"/>
  <c r="E401" i="13"/>
  <c r="D401" i="13"/>
  <c r="C401" i="13"/>
  <c r="B401" i="13"/>
  <c r="Z400" i="13"/>
  <c r="AB400" i="13" s="1"/>
  <c r="AC400" i="13" s="1"/>
  <c r="T400" i="13"/>
  <c r="P400" i="13"/>
  <c r="K400" i="13"/>
  <c r="E400" i="13"/>
  <c r="D400" i="13"/>
  <c r="C400" i="13"/>
  <c r="B400" i="13"/>
  <c r="Z399" i="13"/>
  <c r="AB399" i="13" s="1"/>
  <c r="T399" i="13"/>
  <c r="U399" i="13" s="1"/>
  <c r="P399" i="13"/>
  <c r="K399" i="13"/>
  <c r="E399" i="13"/>
  <c r="D399" i="13"/>
  <c r="C399" i="13"/>
  <c r="B399" i="13"/>
  <c r="Z398" i="13"/>
  <c r="AB398" i="13" s="1"/>
  <c r="T398" i="13"/>
  <c r="V398" i="13" s="1"/>
  <c r="P398" i="13"/>
  <c r="K398" i="13"/>
  <c r="E398" i="13"/>
  <c r="D398" i="13"/>
  <c r="C398" i="13"/>
  <c r="B398" i="13"/>
  <c r="Z397" i="13"/>
  <c r="AA397" i="13" s="1"/>
  <c r="T397" i="13"/>
  <c r="V397" i="13" s="1"/>
  <c r="P397" i="13"/>
  <c r="K397" i="13"/>
  <c r="E397" i="13"/>
  <c r="D397" i="13"/>
  <c r="C397" i="13"/>
  <c r="B397" i="13"/>
  <c r="Z396" i="13"/>
  <c r="AB396" i="13" s="1"/>
  <c r="T396" i="13"/>
  <c r="V396" i="13" s="1"/>
  <c r="P396" i="13"/>
  <c r="K396" i="13"/>
  <c r="E396" i="13"/>
  <c r="D396" i="13"/>
  <c r="C396" i="13"/>
  <c r="B396" i="13"/>
  <c r="Z395" i="13"/>
  <c r="AA395" i="13" s="1"/>
  <c r="T395" i="13"/>
  <c r="V395" i="13" s="1"/>
  <c r="P395" i="13"/>
  <c r="K395" i="13"/>
  <c r="E395" i="13"/>
  <c r="D395" i="13"/>
  <c r="C395" i="13"/>
  <c r="B395" i="13"/>
  <c r="Z394" i="13"/>
  <c r="AB394" i="13" s="1"/>
  <c r="AC394" i="13" s="1"/>
  <c r="T394" i="13"/>
  <c r="V394" i="13" s="1"/>
  <c r="P394" i="13"/>
  <c r="K394" i="13"/>
  <c r="E394" i="13"/>
  <c r="D394" i="13"/>
  <c r="C394" i="13"/>
  <c r="B394" i="13"/>
  <c r="Z393" i="13"/>
  <c r="T393" i="13"/>
  <c r="V393" i="13" s="1"/>
  <c r="P393" i="13"/>
  <c r="K393" i="13"/>
  <c r="E393" i="13"/>
  <c r="D393" i="13"/>
  <c r="C393" i="13"/>
  <c r="B393" i="13"/>
  <c r="Z392" i="13"/>
  <c r="AA392" i="13" s="1"/>
  <c r="T392" i="13"/>
  <c r="P392" i="13"/>
  <c r="K392" i="13"/>
  <c r="E392" i="13"/>
  <c r="D392" i="13"/>
  <c r="C392" i="13"/>
  <c r="B392" i="13"/>
  <c r="Z391" i="13"/>
  <c r="AB391" i="13" s="1"/>
  <c r="T391" i="13"/>
  <c r="U391" i="13" s="1"/>
  <c r="W391" i="13" s="1"/>
  <c r="P391" i="13"/>
  <c r="K391" i="13"/>
  <c r="E391" i="13"/>
  <c r="D391" i="13"/>
  <c r="C391" i="13"/>
  <c r="B391" i="13"/>
  <c r="Z390" i="13"/>
  <c r="AB390" i="13" s="1"/>
  <c r="T390" i="13"/>
  <c r="V390" i="13" s="1"/>
  <c r="P390" i="13"/>
  <c r="K390" i="13"/>
  <c r="E390" i="13"/>
  <c r="D390" i="13"/>
  <c r="C390" i="13"/>
  <c r="B390" i="13"/>
  <c r="Z389" i="13"/>
  <c r="AB389" i="13" s="1"/>
  <c r="T389" i="13"/>
  <c r="V389" i="13" s="1"/>
  <c r="P389" i="13"/>
  <c r="K389" i="13"/>
  <c r="E389" i="13"/>
  <c r="D389" i="13"/>
  <c r="C389" i="13"/>
  <c r="B389" i="13"/>
  <c r="Z388" i="13"/>
  <c r="AB388" i="13" s="1"/>
  <c r="T388" i="13"/>
  <c r="V388" i="13" s="1"/>
  <c r="P388" i="13"/>
  <c r="K388" i="13"/>
  <c r="E388" i="13"/>
  <c r="D388" i="13"/>
  <c r="C388" i="13"/>
  <c r="B388" i="13"/>
  <c r="Z387" i="13"/>
  <c r="AA387" i="13" s="1"/>
  <c r="T387" i="13"/>
  <c r="V387" i="13" s="1"/>
  <c r="P387" i="13"/>
  <c r="K387" i="13"/>
  <c r="E387" i="13"/>
  <c r="D387" i="13"/>
  <c r="C387" i="13"/>
  <c r="B387" i="13"/>
  <c r="Z386" i="13"/>
  <c r="AB386" i="13" s="1"/>
  <c r="AC386" i="13" s="1"/>
  <c r="T386" i="13"/>
  <c r="V386" i="13" s="1"/>
  <c r="P386" i="13"/>
  <c r="K386" i="13"/>
  <c r="E386" i="13"/>
  <c r="D386" i="13"/>
  <c r="C386" i="13"/>
  <c r="B386" i="13"/>
  <c r="Z385" i="13"/>
  <c r="T385" i="13"/>
  <c r="V385" i="13" s="1"/>
  <c r="P385" i="13"/>
  <c r="K385" i="13"/>
  <c r="E385" i="13"/>
  <c r="D385" i="13"/>
  <c r="C385" i="13"/>
  <c r="B385" i="13"/>
  <c r="Z384" i="13"/>
  <c r="AA384" i="13" s="1"/>
  <c r="T384" i="13"/>
  <c r="P384" i="13"/>
  <c r="K384" i="13"/>
  <c r="E384" i="13"/>
  <c r="D384" i="13"/>
  <c r="C384" i="13"/>
  <c r="B384" i="13"/>
  <c r="Z383" i="13"/>
  <c r="AB383" i="13" s="1"/>
  <c r="T383" i="13"/>
  <c r="V383" i="13" s="1"/>
  <c r="P383" i="13"/>
  <c r="K383" i="13"/>
  <c r="E383" i="13"/>
  <c r="D383" i="13"/>
  <c r="C383" i="13"/>
  <c r="B383" i="13"/>
  <c r="Z382" i="13"/>
  <c r="AB382" i="13" s="1"/>
  <c r="T382" i="13"/>
  <c r="V382" i="13" s="1"/>
  <c r="P382" i="13"/>
  <c r="K382" i="13"/>
  <c r="E382" i="13"/>
  <c r="D382" i="13"/>
  <c r="C382" i="13"/>
  <c r="B382" i="13"/>
  <c r="Z381" i="13"/>
  <c r="AB381" i="13" s="1"/>
  <c r="AC381" i="13" s="1"/>
  <c r="T381" i="13"/>
  <c r="V381" i="13" s="1"/>
  <c r="P381" i="13"/>
  <c r="K381" i="13"/>
  <c r="E381" i="13"/>
  <c r="D381" i="13"/>
  <c r="C381" i="13"/>
  <c r="B381" i="13"/>
  <c r="Z380" i="13"/>
  <c r="AB380" i="13" s="1"/>
  <c r="T380" i="13"/>
  <c r="V380" i="13" s="1"/>
  <c r="P380" i="13"/>
  <c r="K380" i="13"/>
  <c r="E380" i="13"/>
  <c r="D380" i="13"/>
  <c r="C380" i="13"/>
  <c r="B380" i="13"/>
  <c r="Z379" i="13"/>
  <c r="AB379" i="13" s="1"/>
  <c r="T379" i="13"/>
  <c r="V379" i="13" s="1"/>
  <c r="P379" i="13"/>
  <c r="K379" i="13"/>
  <c r="E379" i="13"/>
  <c r="D379" i="13"/>
  <c r="C379" i="13"/>
  <c r="B379" i="13"/>
  <c r="Z378" i="13"/>
  <c r="AB378" i="13" s="1"/>
  <c r="AC378" i="13" s="1"/>
  <c r="T378" i="13"/>
  <c r="V378" i="13" s="1"/>
  <c r="P378" i="13"/>
  <c r="K378" i="13"/>
  <c r="E378" i="13"/>
  <c r="D378" i="13"/>
  <c r="C378" i="13"/>
  <c r="B378" i="13"/>
  <c r="Z377" i="13"/>
  <c r="T377" i="13"/>
  <c r="V377" i="13" s="1"/>
  <c r="P377" i="13"/>
  <c r="K377" i="13"/>
  <c r="E377" i="13"/>
  <c r="D377" i="13"/>
  <c r="C377" i="13"/>
  <c r="B377" i="13"/>
  <c r="Z376" i="13"/>
  <c r="AA376" i="13" s="1"/>
  <c r="T376" i="13"/>
  <c r="P376" i="13"/>
  <c r="K376" i="13"/>
  <c r="E376" i="13"/>
  <c r="D376" i="13"/>
  <c r="C376" i="13"/>
  <c r="B376" i="13"/>
  <c r="Z375" i="13"/>
  <c r="AB375" i="13" s="1"/>
  <c r="T375" i="13"/>
  <c r="U375" i="13" s="1"/>
  <c r="P375" i="13"/>
  <c r="K375" i="13"/>
  <c r="E375" i="13"/>
  <c r="D375" i="13"/>
  <c r="C375" i="13"/>
  <c r="B375" i="13"/>
  <c r="Z374" i="13"/>
  <c r="AB374" i="13" s="1"/>
  <c r="T374" i="13"/>
  <c r="V374" i="13" s="1"/>
  <c r="P374" i="13"/>
  <c r="K374" i="13"/>
  <c r="E374" i="13"/>
  <c r="D374" i="13"/>
  <c r="C374" i="13"/>
  <c r="B374" i="13"/>
  <c r="Z373" i="13"/>
  <c r="AA373" i="13" s="1"/>
  <c r="T373" i="13"/>
  <c r="V373" i="13" s="1"/>
  <c r="P373" i="13"/>
  <c r="K373" i="13"/>
  <c r="E373" i="13"/>
  <c r="D373" i="13"/>
  <c r="C373" i="13"/>
  <c r="B373" i="13"/>
  <c r="Z372" i="13"/>
  <c r="AB372" i="13" s="1"/>
  <c r="T372" i="13"/>
  <c r="V372" i="13" s="1"/>
  <c r="P372" i="13"/>
  <c r="K372" i="13"/>
  <c r="E372" i="13"/>
  <c r="D372" i="13"/>
  <c r="C372" i="13"/>
  <c r="B372" i="13"/>
  <c r="Z371" i="13"/>
  <c r="AA371" i="13" s="1"/>
  <c r="T371" i="13"/>
  <c r="V371" i="13" s="1"/>
  <c r="P371" i="13"/>
  <c r="K371" i="13"/>
  <c r="E371" i="13"/>
  <c r="D371" i="13"/>
  <c r="C371" i="13"/>
  <c r="B371" i="13"/>
  <c r="Z370" i="13"/>
  <c r="AB370" i="13" s="1"/>
  <c r="AC370" i="13" s="1"/>
  <c r="T370" i="13"/>
  <c r="U370" i="13" s="1"/>
  <c r="P370" i="13"/>
  <c r="K370" i="13"/>
  <c r="E370" i="13"/>
  <c r="D370" i="13"/>
  <c r="C370" i="13"/>
  <c r="B370" i="13"/>
  <c r="Z369" i="13"/>
  <c r="T369" i="13"/>
  <c r="V369" i="13" s="1"/>
  <c r="P369" i="13"/>
  <c r="K369" i="13"/>
  <c r="E369" i="13"/>
  <c r="D369" i="13"/>
  <c r="C369" i="13"/>
  <c r="B369" i="13"/>
  <c r="Z368" i="13"/>
  <c r="AB368" i="13" s="1"/>
  <c r="T368" i="13"/>
  <c r="P368" i="13"/>
  <c r="K368" i="13"/>
  <c r="E368" i="13"/>
  <c r="D368" i="13"/>
  <c r="C368" i="13"/>
  <c r="B368" i="13"/>
  <c r="Z367" i="13"/>
  <c r="AB367" i="13" s="1"/>
  <c r="T367" i="13"/>
  <c r="U367" i="13" s="1"/>
  <c r="W367" i="13" s="1"/>
  <c r="P367" i="13"/>
  <c r="K367" i="13"/>
  <c r="E367" i="13"/>
  <c r="D367" i="13"/>
  <c r="C367" i="13"/>
  <c r="B367" i="13"/>
  <c r="Z366" i="13"/>
  <c r="AB366" i="13" s="1"/>
  <c r="T366" i="13"/>
  <c r="V366" i="13" s="1"/>
  <c r="P366" i="13"/>
  <c r="K366" i="13"/>
  <c r="E366" i="13"/>
  <c r="D366" i="13"/>
  <c r="C366" i="13"/>
  <c r="B366" i="13"/>
  <c r="Z365" i="13"/>
  <c r="AA365" i="13" s="1"/>
  <c r="T365" i="13"/>
  <c r="V365" i="13" s="1"/>
  <c r="P365" i="13"/>
  <c r="K365" i="13"/>
  <c r="E365" i="13"/>
  <c r="D365" i="13"/>
  <c r="C365" i="13"/>
  <c r="B365" i="13"/>
  <c r="Z364" i="13"/>
  <c r="AB364" i="13" s="1"/>
  <c r="T364" i="13"/>
  <c r="V364" i="13" s="1"/>
  <c r="P364" i="13"/>
  <c r="K364" i="13"/>
  <c r="E364" i="13"/>
  <c r="D364" i="13"/>
  <c r="C364" i="13"/>
  <c r="B364" i="13"/>
  <c r="Z363" i="13"/>
  <c r="AA363" i="13" s="1"/>
  <c r="T363" i="13"/>
  <c r="U363" i="13" s="1"/>
  <c r="P363" i="13"/>
  <c r="K363" i="13"/>
  <c r="E363" i="13"/>
  <c r="D363" i="13"/>
  <c r="C363" i="13"/>
  <c r="B363" i="13"/>
  <c r="Z362" i="13"/>
  <c r="AB362" i="13" s="1"/>
  <c r="AC362" i="13" s="1"/>
  <c r="T362" i="13"/>
  <c r="U362" i="13" s="1"/>
  <c r="W362" i="13" s="1"/>
  <c r="P362" i="13"/>
  <c r="K362" i="13"/>
  <c r="E362" i="13"/>
  <c r="D362" i="13"/>
  <c r="C362" i="13"/>
  <c r="B362" i="13"/>
  <c r="Z361" i="13"/>
  <c r="T361" i="13"/>
  <c r="V361" i="13" s="1"/>
  <c r="P361" i="13"/>
  <c r="K361" i="13"/>
  <c r="E361" i="13"/>
  <c r="D361" i="13"/>
  <c r="C361" i="13"/>
  <c r="B361" i="13"/>
  <c r="Z360" i="13"/>
  <c r="AB360" i="13" s="1"/>
  <c r="T360" i="13"/>
  <c r="P360" i="13"/>
  <c r="K360" i="13"/>
  <c r="E360" i="13"/>
  <c r="D360" i="13"/>
  <c r="C360" i="13"/>
  <c r="B360" i="13"/>
  <c r="Z359" i="13"/>
  <c r="AB359" i="13" s="1"/>
  <c r="T359" i="13"/>
  <c r="V359" i="13" s="1"/>
  <c r="P359" i="13"/>
  <c r="K359" i="13"/>
  <c r="E359" i="13"/>
  <c r="D359" i="13"/>
  <c r="C359" i="13"/>
  <c r="B359" i="13"/>
  <c r="Z358" i="13"/>
  <c r="AB358" i="13" s="1"/>
  <c r="T358" i="13"/>
  <c r="V358" i="13" s="1"/>
  <c r="P358" i="13"/>
  <c r="K358" i="13"/>
  <c r="E358" i="13"/>
  <c r="D358" i="13"/>
  <c r="C358" i="13"/>
  <c r="B358" i="13"/>
  <c r="Z357" i="13"/>
  <c r="AB357" i="13" s="1"/>
  <c r="AC357" i="13" s="1"/>
  <c r="T357" i="13"/>
  <c r="V357" i="13" s="1"/>
  <c r="P357" i="13"/>
  <c r="K357" i="13"/>
  <c r="E357" i="13"/>
  <c r="D357" i="13"/>
  <c r="C357" i="13"/>
  <c r="B357" i="13"/>
  <c r="Z356" i="13"/>
  <c r="AB356" i="13" s="1"/>
  <c r="T356" i="13"/>
  <c r="U356" i="13" s="1"/>
  <c r="P356" i="13"/>
  <c r="K356" i="13"/>
  <c r="E356" i="13"/>
  <c r="D356" i="13"/>
  <c r="C356" i="13"/>
  <c r="B356" i="13"/>
  <c r="Z355" i="13"/>
  <c r="AA355" i="13" s="1"/>
  <c r="T355" i="13"/>
  <c r="U355" i="13" s="1"/>
  <c r="P355" i="13"/>
  <c r="K355" i="13"/>
  <c r="E355" i="13"/>
  <c r="D355" i="13"/>
  <c r="C355" i="13"/>
  <c r="B355" i="13"/>
  <c r="Z354" i="13"/>
  <c r="AB354" i="13" s="1"/>
  <c r="AC354" i="13" s="1"/>
  <c r="T354" i="13"/>
  <c r="U354" i="13" s="1"/>
  <c r="P354" i="13"/>
  <c r="K354" i="13"/>
  <c r="E354" i="13"/>
  <c r="D354" i="13"/>
  <c r="C354" i="13"/>
  <c r="B354" i="13"/>
  <c r="Z353" i="13"/>
  <c r="T353" i="13"/>
  <c r="U353" i="13" s="1"/>
  <c r="W353" i="13" s="1"/>
  <c r="P353" i="13"/>
  <c r="K353" i="13"/>
  <c r="E353" i="13"/>
  <c r="D353" i="13"/>
  <c r="C353" i="13"/>
  <c r="B353" i="13"/>
  <c r="Z352" i="13"/>
  <c r="AB352" i="13" s="1"/>
  <c r="T352" i="13"/>
  <c r="P352" i="13"/>
  <c r="K352" i="13"/>
  <c r="E352" i="13"/>
  <c r="D352" i="13"/>
  <c r="C352" i="13"/>
  <c r="B352" i="13"/>
  <c r="Z351" i="13"/>
  <c r="AB351" i="13" s="1"/>
  <c r="T351" i="13"/>
  <c r="V351" i="13" s="1"/>
  <c r="P351" i="13"/>
  <c r="K351" i="13"/>
  <c r="E351" i="13"/>
  <c r="D351" i="13"/>
  <c r="C351" i="13"/>
  <c r="B351" i="13"/>
  <c r="Z350" i="13"/>
  <c r="AB350" i="13" s="1"/>
  <c r="T350" i="13"/>
  <c r="V350" i="13" s="1"/>
  <c r="P350" i="13"/>
  <c r="K350" i="13"/>
  <c r="E350" i="13"/>
  <c r="D350" i="13"/>
  <c r="C350" i="13"/>
  <c r="B350" i="13"/>
  <c r="Z349" i="13"/>
  <c r="AB349" i="13" s="1"/>
  <c r="T349" i="13"/>
  <c r="V349" i="13" s="1"/>
  <c r="P349" i="13"/>
  <c r="K349" i="13"/>
  <c r="E349" i="13"/>
  <c r="D349" i="13"/>
  <c r="C349" i="13"/>
  <c r="B349" i="13"/>
  <c r="Z348" i="13"/>
  <c r="AB348" i="13" s="1"/>
  <c r="T348" i="13"/>
  <c r="V348" i="13" s="1"/>
  <c r="P348" i="13"/>
  <c r="K348" i="13"/>
  <c r="E348" i="13"/>
  <c r="D348" i="13"/>
  <c r="C348" i="13"/>
  <c r="B348" i="13"/>
  <c r="Z347" i="13"/>
  <c r="AA347" i="13" s="1"/>
  <c r="T347" i="13"/>
  <c r="U347" i="13" s="1"/>
  <c r="W347" i="13" s="1"/>
  <c r="P347" i="13"/>
  <c r="K347" i="13"/>
  <c r="E347" i="13"/>
  <c r="D347" i="13"/>
  <c r="C347" i="13"/>
  <c r="B347" i="13"/>
  <c r="Z346" i="13"/>
  <c r="AB346" i="13" s="1"/>
  <c r="AC346" i="13" s="1"/>
  <c r="T346" i="13"/>
  <c r="U346" i="13" s="1"/>
  <c r="P346" i="13"/>
  <c r="K346" i="13"/>
  <c r="E346" i="13"/>
  <c r="D346" i="13"/>
  <c r="C346" i="13"/>
  <c r="B346" i="13"/>
  <c r="Z345" i="13"/>
  <c r="T345" i="13"/>
  <c r="V345" i="13" s="1"/>
  <c r="P345" i="13"/>
  <c r="K345" i="13"/>
  <c r="E345" i="13"/>
  <c r="D345" i="13"/>
  <c r="C345" i="13"/>
  <c r="B345" i="13"/>
  <c r="Z344" i="13"/>
  <c r="AB344" i="13" s="1"/>
  <c r="T344" i="13"/>
  <c r="P344" i="13"/>
  <c r="K344" i="13"/>
  <c r="E344" i="13"/>
  <c r="D344" i="13"/>
  <c r="C344" i="13"/>
  <c r="B344" i="13"/>
  <c r="Z343" i="13"/>
  <c r="AB343" i="13" s="1"/>
  <c r="T343" i="13"/>
  <c r="V343" i="13" s="1"/>
  <c r="P343" i="13"/>
  <c r="K343" i="13"/>
  <c r="E343" i="13"/>
  <c r="D343" i="13"/>
  <c r="C343" i="13"/>
  <c r="B343" i="13"/>
  <c r="Z342" i="13"/>
  <c r="AB342" i="13" s="1"/>
  <c r="T342" i="13"/>
  <c r="V342" i="13" s="1"/>
  <c r="P342" i="13"/>
  <c r="K342" i="13"/>
  <c r="E342" i="13"/>
  <c r="D342" i="13"/>
  <c r="C342" i="13"/>
  <c r="B342" i="13"/>
  <c r="Z341" i="13"/>
  <c r="AB341" i="13" s="1"/>
  <c r="AC341" i="13" s="1"/>
  <c r="T341" i="13"/>
  <c r="V341" i="13" s="1"/>
  <c r="P341" i="13"/>
  <c r="K341" i="13"/>
  <c r="E341" i="13"/>
  <c r="D341" i="13"/>
  <c r="C341" i="13"/>
  <c r="B341" i="13"/>
  <c r="Z340" i="13"/>
  <c r="AB340" i="13" s="1"/>
  <c r="T340" i="13"/>
  <c r="V340" i="13" s="1"/>
  <c r="P340" i="13"/>
  <c r="K340" i="13"/>
  <c r="E340" i="13"/>
  <c r="D340" i="13"/>
  <c r="C340" i="13"/>
  <c r="B340" i="13"/>
  <c r="Z339" i="13"/>
  <c r="AA339" i="13" s="1"/>
  <c r="T339" i="13"/>
  <c r="V339" i="13" s="1"/>
  <c r="P339" i="13"/>
  <c r="K339" i="13"/>
  <c r="E339" i="13"/>
  <c r="D339" i="13"/>
  <c r="C339" i="13"/>
  <c r="B339" i="13"/>
  <c r="Z338" i="13"/>
  <c r="AB338" i="13" s="1"/>
  <c r="AC338" i="13" s="1"/>
  <c r="T338" i="13"/>
  <c r="U338" i="13" s="1"/>
  <c r="P338" i="13"/>
  <c r="K338" i="13"/>
  <c r="E338" i="13"/>
  <c r="D338" i="13"/>
  <c r="C338" i="13"/>
  <c r="B338" i="13"/>
  <c r="Z337" i="13"/>
  <c r="T337" i="13"/>
  <c r="U337" i="13" s="1"/>
  <c r="P337" i="13"/>
  <c r="K337" i="13"/>
  <c r="E337" i="13"/>
  <c r="D337" i="13"/>
  <c r="C337" i="13"/>
  <c r="B337" i="13"/>
  <c r="Z336" i="13"/>
  <c r="AB336" i="13" s="1"/>
  <c r="AC336" i="13" s="1"/>
  <c r="T336" i="13"/>
  <c r="P336" i="13"/>
  <c r="K336" i="13"/>
  <c r="E336" i="13"/>
  <c r="D336" i="13"/>
  <c r="C336" i="13"/>
  <c r="B336" i="13"/>
  <c r="Z335" i="13"/>
  <c r="AB335" i="13" s="1"/>
  <c r="T335" i="13"/>
  <c r="V335" i="13" s="1"/>
  <c r="P335" i="13"/>
  <c r="K335" i="13"/>
  <c r="E335" i="13"/>
  <c r="D335" i="13"/>
  <c r="C335" i="13"/>
  <c r="B335" i="13"/>
  <c r="Z334" i="13"/>
  <c r="AB334" i="13" s="1"/>
  <c r="T334" i="13"/>
  <c r="V334" i="13" s="1"/>
  <c r="P334" i="13"/>
  <c r="K334" i="13"/>
  <c r="E334" i="13"/>
  <c r="D334" i="13"/>
  <c r="C334" i="13"/>
  <c r="B334" i="13"/>
  <c r="Z333" i="13"/>
  <c r="AA333" i="13" s="1"/>
  <c r="T333" i="13"/>
  <c r="V333" i="13" s="1"/>
  <c r="P333" i="13"/>
  <c r="K333" i="13"/>
  <c r="E333" i="13"/>
  <c r="D333" i="13"/>
  <c r="C333" i="13"/>
  <c r="B333" i="13"/>
  <c r="Z332" i="13"/>
  <c r="AB332" i="13" s="1"/>
  <c r="T332" i="13"/>
  <c r="V332" i="13" s="1"/>
  <c r="P332" i="13"/>
  <c r="K332" i="13"/>
  <c r="E332" i="13"/>
  <c r="D332" i="13"/>
  <c r="C332" i="13"/>
  <c r="B332" i="13"/>
  <c r="Z331" i="13"/>
  <c r="AA331" i="13" s="1"/>
  <c r="T331" i="13"/>
  <c r="V331" i="13" s="1"/>
  <c r="P331" i="13"/>
  <c r="K331" i="13"/>
  <c r="E331" i="13"/>
  <c r="D331" i="13"/>
  <c r="C331" i="13"/>
  <c r="B331" i="13"/>
  <c r="Z330" i="13"/>
  <c r="AB330" i="13" s="1"/>
  <c r="AC330" i="13" s="1"/>
  <c r="T330" i="13"/>
  <c r="U330" i="13" s="1"/>
  <c r="P330" i="13"/>
  <c r="K330" i="13"/>
  <c r="E330" i="13"/>
  <c r="D330" i="13"/>
  <c r="C330" i="13"/>
  <c r="B330" i="13"/>
  <c r="Z329" i="13"/>
  <c r="T329" i="13"/>
  <c r="V329" i="13" s="1"/>
  <c r="P329" i="13"/>
  <c r="K329" i="13"/>
  <c r="E329" i="13"/>
  <c r="D329" i="13"/>
  <c r="C329" i="13"/>
  <c r="B329" i="13"/>
  <c r="Z328" i="13"/>
  <c r="AB328" i="13" s="1"/>
  <c r="T328" i="13"/>
  <c r="P328" i="13"/>
  <c r="K328" i="13"/>
  <c r="E328" i="13"/>
  <c r="D328" i="13"/>
  <c r="C328" i="13"/>
  <c r="B328" i="13"/>
  <c r="Z327" i="13"/>
  <c r="AB327" i="13" s="1"/>
  <c r="T327" i="13"/>
  <c r="V327" i="13" s="1"/>
  <c r="P327" i="13"/>
  <c r="K327" i="13"/>
  <c r="E327" i="13"/>
  <c r="D327" i="13"/>
  <c r="C327" i="13"/>
  <c r="B327" i="13"/>
  <c r="Z326" i="13"/>
  <c r="AB326" i="13" s="1"/>
  <c r="T326" i="13"/>
  <c r="V326" i="13" s="1"/>
  <c r="P326" i="13"/>
  <c r="K326" i="13"/>
  <c r="E326" i="13"/>
  <c r="D326" i="13"/>
  <c r="C326" i="13"/>
  <c r="B326" i="13"/>
  <c r="Z325" i="13"/>
  <c r="AB325" i="13" s="1"/>
  <c r="AC325" i="13" s="1"/>
  <c r="T325" i="13"/>
  <c r="V325" i="13" s="1"/>
  <c r="P325" i="13"/>
  <c r="K325" i="13"/>
  <c r="E325" i="13"/>
  <c r="D325" i="13"/>
  <c r="C325" i="13"/>
  <c r="B325" i="13"/>
  <c r="Z324" i="13"/>
  <c r="AB324" i="13" s="1"/>
  <c r="T324" i="13"/>
  <c r="V324" i="13" s="1"/>
  <c r="P324" i="13"/>
  <c r="K324" i="13"/>
  <c r="E324" i="13"/>
  <c r="D324" i="13"/>
  <c r="C324" i="13"/>
  <c r="B324" i="13"/>
  <c r="Z323" i="13"/>
  <c r="AB323" i="13" s="1"/>
  <c r="T323" i="13"/>
  <c r="V323" i="13" s="1"/>
  <c r="P323" i="13"/>
  <c r="K323" i="13"/>
  <c r="E323" i="13"/>
  <c r="D323" i="13"/>
  <c r="C323" i="13"/>
  <c r="B323" i="13"/>
  <c r="Z322" i="13"/>
  <c r="AA322" i="13" s="1"/>
  <c r="T322" i="13"/>
  <c r="V322" i="13" s="1"/>
  <c r="P322" i="13"/>
  <c r="K322" i="13"/>
  <c r="E322" i="13"/>
  <c r="D322" i="13"/>
  <c r="C322" i="13"/>
  <c r="B322" i="13"/>
  <c r="Z321" i="13"/>
  <c r="AB321" i="13" s="1"/>
  <c r="T321" i="13"/>
  <c r="U321" i="13" s="1"/>
  <c r="P321" i="13"/>
  <c r="K321" i="13"/>
  <c r="E321" i="13"/>
  <c r="D321" i="13"/>
  <c r="C321" i="13"/>
  <c r="B321" i="13"/>
  <c r="Z320" i="13"/>
  <c r="AA320" i="13" s="1"/>
  <c r="T320" i="13"/>
  <c r="V320" i="13" s="1"/>
  <c r="P320" i="13"/>
  <c r="K320" i="13"/>
  <c r="E320" i="13"/>
  <c r="D320" i="13"/>
  <c r="C320" i="13"/>
  <c r="B320" i="13"/>
  <c r="Z319" i="13"/>
  <c r="AB319" i="13" s="1"/>
  <c r="T319" i="13"/>
  <c r="U319" i="13" s="1"/>
  <c r="P319" i="13"/>
  <c r="K319" i="13"/>
  <c r="E319" i="13"/>
  <c r="D319" i="13"/>
  <c r="C319" i="13"/>
  <c r="B319" i="13"/>
  <c r="Z318" i="13"/>
  <c r="AB318" i="13" s="1"/>
  <c r="T318" i="13"/>
  <c r="V318" i="13" s="1"/>
  <c r="P318" i="13"/>
  <c r="K318" i="13"/>
  <c r="E318" i="13"/>
  <c r="D318" i="13"/>
  <c r="C318" i="13"/>
  <c r="B318" i="13"/>
  <c r="Z317" i="13"/>
  <c r="AA317" i="13" s="1"/>
  <c r="T317" i="13"/>
  <c r="V317" i="13" s="1"/>
  <c r="P317" i="13"/>
  <c r="K317" i="13"/>
  <c r="E317" i="13"/>
  <c r="D317" i="13"/>
  <c r="C317" i="13"/>
  <c r="B317" i="13"/>
  <c r="Z316" i="13"/>
  <c r="AA316" i="13" s="1"/>
  <c r="T316" i="13"/>
  <c r="U316" i="13" s="1"/>
  <c r="P316" i="13"/>
  <c r="K316" i="13"/>
  <c r="E316" i="13"/>
  <c r="D316" i="13"/>
  <c r="C316" i="13"/>
  <c r="B316" i="13"/>
  <c r="Z315" i="13"/>
  <c r="AB315" i="13" s="1"/>
  <c r="T315" i="13"/>
  <c r="V315" i="13" s="1"/>
  <c r="P315" i="13"/>
  <c r="K315" i="13"/>
  <c r="E315" i="13"/>
  <c r="D315" i="13"/>
  <c r="C315" i="13"/>
  <c r="B315" i="13"/>
  <c r="Z314" i="13"/>
  <c r="AA314" i="13" s="1"/>
  <c r="T314" i="13"/>
  <c r="V314" i="13" s="1"/>
  <c r="P314" i="13"/>
  <c r="K314" i="13"/>
  <c r="E314" i="13"/>
  <c r="D314" i="13"/>
  <c r="C314" i="13"/>
  <c r="B314" i="13"/>
  <c r="Z313" i="13"/>
  <c r="AB313" i="13" s="1"/>
  <c r="T313" i="13"/>
  <c r="U313" i="13" s="1"/>
  <c r="P313" i="13"/>
  <c r="K313" i="13"/>
  <c r="E313" i="13"/>
  <c r="D313" i="13"/>
  <c r="C313" i="13"/>
  <c r="B313" i="13"/>
  <c r="Z312" i="13"/>
  <c r="AA312" i="13" s="1"/>
  <c r="T312" i="13"/>
  <c r="V312" i="13" s="1"/>
  <c r="P312" i="13"/>
  <c r="K312" i="13"/>
  <c r="E312" i="13"/>
  <c r="D312" i="13"/>
  <c r="C312" i="13"/>
  <c r="B312" i="13"/>
  <c r="Z311" i="13"/>
  <c r="AB311" i="13" s="1"/>
  <c r="AC311" i="13" s="1"/>
  <c r="T311" i="13"/>
  <c r="U311" i="13" s="1"/>
  <c r="P311" i="13"/>
  <c r="K311" i="13"/>
  <c r="E311" i="13"/>
  <c r="D311" i="13"/>
  <c r="C311" i="13"/>
  <c r="B311" i="13"/>
  <c r="Z310" i="13"/>
  <c r="AB310" i="13" s="1"/>
  <c r="T310" i="13"/>
  <c r="U310" i="13" s="1"/>
  <c r="W310" i="13" s="1"/>
  <c r="P310" i="13"/>
  <c r="K310" i="13"/>
  <c r="E310" i="13"/>
  <c r="D310" i="13"/>
  <c r="C310" i="13"/>
  <c r="B310" i="13"/>
  <c r="Z309" i="13"/>
  <c r="AB309" i="13" s="1"/>
  <c r="T309" i="13"/>
  <c r="V309" i="13" s="1"/>
  <c r="P309" i="13"/>
  <c r="K309" i="13"/>
  <c r="E309" i="13"/>
  <c r="D309" i="13"/>
  <c r="C309" i="13"/>
  <c r="B309" i="13"/>
  <c r="Z308" i="13"/>
  <c r="AB308" i="13" s="1"/>
  <c r="T308" i="13"/>
  <c r="U308" i="13" s="1"/>
  <c r="W308" i="13" s="1"/>
  <c r="P308" i="13"/>
  <c r="K308" i="13"/>
  <c r="E308" i="13"/>
  <c r="D308" i="13"/>
  <c r="C308" i="13"/>
  <c r="B308" i="13"/>
  <c r="Z307" i="13"/>
  <c r="AB307" i="13" s="1"/>
  <c r="T307" i="13"/>
  <c r="U307" i="13" s="1"/>
  <c r="W307" i="13" s="1"/>
  <c r="P307" i="13"/>
  <c r="K307" i="13"/>
  <c r="E307" i="13"/>
  <c r="D307" i="13"/>
  <c r="C307" i="13"/>
  <c r="B307" i="13"/>
  <c r="Z306" i="13"/>
  <c r="AB306" i="13" s="1"/>
  <c r="T306" i="13"/>
  <c r="V306" i="13" s="1"/>
  <c r="P306" i="13"/>
  <c r="K306" i="13"/>
  <c r="E306" i="13"/>
  <c r="D306" i="13"/>
  <c r="C306" i="13"/>
  <c r="B306" i="13"/>
  <c r="Z305" i="13"/>
  <c r="AB305" i="13" s="1"/>
  <c r="T305" i="13"/>
  <c r="V305" i="13" s="1"/>
  <c r="P305" i="13"/>
  <c r="K305" i="13"/>
  <c r="E305" i="13"/>
  <c r="D305" i="13"/>
  <c r="C305" i="13"/>
  <c r="B305" i="13"/>
  <c r="Z304" i="13"/>
  <c r="AA304" i="13" s="1"/>
  <c r="T304" i="13"/>
  <c r="U304" i="13" s="1"/>
  <c r="P304" i="13"/>
  <c r="K304" i="13"/>
  <c r="E304" i="13"/>
  <c r="D304" i="13"/>
  <c r="C304" i="13"/>
  <c r="B304" i="13"/>
  <c r="Z303" i="13"/>
  <c r="AB303" i="13" s="1"/>
  <c r="T303" i="13"/>
  <c r="U303" i="13" s="1"/>
  <c r="W303" i="13" s="1"/>
  <c r="P303" i="13"/>
  <c r="K303" i="13"/>
  <c r="E303" i="13"/>
  <c r="D303" i="13"/>
  <c r="C303" i="13"/>
  <c r="B303" i="13"/>
  <c r="Z302" i="13"/>
  <c r="AB302" i="13" s="1"/>
  <c r="T302" i="13"/>
  <c r="V302" i="13" s="1"/>
  <c r="P302" i="13"/>
  <c r="K302" i="13"/>
  <c r="E302" i="13"/>
  <c r="D302" i="13"/>
  <c r="C302" i="13"/>
  <c r="B302" i="13"/>
  <c r="Z301" i="13"/>
  <c r="AB301" i="13" s="1"/>
  <c r="T301" i="13"/>
  <c r="V301" i="13" s="1"/>
  <c r="P301" i="13"/>
  <c r="K301" i="13"/>
  <c r="E301" i="13"/>
  <c r="D301" i="13"/>
  <c r="C301" i="13"/>
  <c r="B301" i="13"/>
  <c r="Z300" i="13"/>
  <c r="AB300" i="13" s="1"/>
  <c r="T300" i="13"/>
  <c r="V300" i="13" s="1"/>
  <c r="P300" i="13"/>
  <c r="K300" i="13"/>
  <c r="E300" i="13"/>
  <c r="D300" i="13"/>
  <c r="C300" i="13"/>
  <c r="B300" i="13"/>
  <c r="Z299" i="13"/>
  <c r="AB299" i="13" s="1"/>
  <c r="T299" i="13"/>
  <c r="V299" i="13" s="1"/>
  <c r="P299" i="13"/>
  <c r="K299" i="13"/>
  <c r="E299" i="13"/>
  <c r="D299" i="13"/>
  <c r="C299" i="13"/>
  <c r="B299" i="13"/>
  <c r="Z298" i="13"/>
  <c r="AB298" i="13" s="1"/>
  <c r="T298" i="13"/>
  <c r="V298" i="13" s="1"/>
  <c r="P298" i="13"/>
  <c r="K298" i="13"/>
  <c r="E298" i="13"/>
  <c r="D298" i="13"/>
  <c r="C298" i="13"/>
  <c r="B298" i="13"/>
  <c r="Z297" i="13"/>
  <c r="AB297" i="13" s="1"/>
  <c r="T297" i="13"/>
  <c r="V297" i="13" s="1"/>
  <c r="P297" i="13"/>
  <c r="K297" i="13"/>
  <c r="E297" i="13"/>
  <c r="D297" i="13"/>
  <c r="C297" i="13"/>
  <c r="B297" i="13"/>
  <c r="Z296" i="13"/>
  <c r="AA296" i="13" s="1"/>
  <c r="T296" i="13"/>
  <c r="V296" i="13" s="1"/>
  <c r="P296" i="13"/>
  <c r="K296" i="13"/>
  <c r="E296" i="13"/>
  <c r="D296" i="13"/>
  <c r="C296" i="13"/>
  <c r="B296" i="13"/>
  <c r="Z295" i="13"/>
  <c r="AB295" i="13" s="1"/>
  <c r="T295" i="13"/>
  <c r="V295" i="13" s="1"/>
  <c r="P295" i="13"/>
  <c r="K295" i="13"/>
  <c r="E295" i="13"/>
  <c r="D295" i="13"/>
  <c r="C295" i="13"/>
  <c r="B295" i="13"/>
  <c r="Z294" i="13"/>
  <c r="AB294" i="13" s="1"/>
  <c r="T294" i="13"/>
  <c r="V294" i="13" s="1"/>
  <c r="P294" i="13"/>
  <c r="K294" i="13"/>
  <c r="E294" i="13"/>
  <c r="D294" i="13"/>
  <c r="C294" i="13"/>
  <c r="B294" i="13"/>
  <c r="Z293" i="13"/>
  <c r="AB293" i="13" s="1"/>
  <c r="T293" i="13"/>
  <c r="V293" i="13" s="1"/>
  <c r="P293" i="13"/>
  <c r="K293" i="13"/>
  <c r="E293" i="13"/>
  <c r="D293" i="13"/>
  <c r="C293" i="13"/>
  <c r="B293" i="13"/>
  <c r="Z292" i="13"/>
  <c r="AB292" i="13" s="1"/>
  <c r="T292" i="13"/>
  <c r="V292" i="13" s="1"/>
  <c r="P292" i="13"/>
  <c r="K292" i="13"/>
  <c r="E292" i="13"/>
  <c r="D292" i="13"/>
  <c r="C292" i="13"/>
  <c r="B292" i="13"/>
  <c r="Z291" i="13"/>
  <c r="AB291" i="13" s="1"/>
  <c r="T291" i="13"/>
  <c r="V291" i="13" s="1"/>
  <c r="P291" i="13"/>
  <c r="K291" i="13"/>
  <c r="E291" i="13"/>
  <c r="D291" i="13"/>
  <c r="C291" i="13"/>
  <c r="B291" i="13"/>
  <c r="Z290" i="13"/>
  <c r="AB290" i="13" s="1"/>
  <c r="T290" i="13"/>
  <c r="V290" i="13" s="1"/>
  <c r="P290" i="13"/>
  <c r="K290" i="13"/>
  <c r="E290" i="13"/>
  <c r="D290" i="13"/>
  <c r="C290" i="13"/>
  <c r="B290" i="13"/>
  <c r="Z289" i="13"/>
  <c r="AB289" i="13" s="1"/>
  <c r="T289" i="13"/>
  <c r="V289" i="13" s="1"/>
  <c r="P289" i="13"/>
  <c r="K289" i="13"/>
  <c r="E289" i="13"/>
  <c r="D289" i="13"/>
  <c r="C289" i="13"/>
  <c r="B289" i="13"/>
  <c r="Z288" i="13"/>
  <c r="AA288" i="13" s="1"/>
  <c r="T288" i="13"/>
  <c r="V288" i="13" s="1"/>
  <c r="P288" i="13"/>
  <c r="K288" i="13"/>
  <c r="E288" i="13"/>
  <c r="D288" i="13"/>
  <c r="C288" i="13"/>
  <c r="B288" i="13"/>
  <c r="Z287" i="13"/>
  <c r="AB287" i="13" s="1"/>
  <c r="T287" i="13"/>
  <c r="U287" i="13" s="1"/>
  <c r="P287" i="13"/>
  <c r="K287" i="13"/>
  <c r="E287" i="13"/>
  <c r="D287" i="13"/>
  <c r="C287" i="13"/>
  <c r="B287" i="13"/>
  <c r="Z286" i="13"/>
  <c r="AB286" i="13" s="1"/>
  <c r="T286" i="13"/>
  <c r="V286" i="13" s="1"/>
  <c r="P286" i="13"/>
  <c r="K286" i="13"/>
  <c r="E286" i="13"/>
  <c r="D286" i="13"/>
  <c r="C286" i="13"/>
  <c r="B286" i="13"/>
  <c r="Z285" i="13"/>
  <c r="AB285" i="13" s="1"/>
  <c r="T285" i="13"/>
  <c r="V285" i="13" s="1"/>
  <c r="P285" i="13"/>
  <c r="K285" i="13"/>
  <c r="E285" i="13"/>
  <c r="D285" i="13"/>
  <c r="C285" i="13"/>
  <c r="B285" i="13"/>
  <c r="Z284" i="13"/>
  <c r="AB284" i="13" s="1"/>
  <c r="T284" i="13"/>
  <c r="V284" i="13" s="1"/>
  <c r="P284" i="13"/>
  <c r="K284" i="13"/>
  <c r="E284" i="13"/>
  <c r="D284" i="13"/>
  <c r="C284" i="13"/>
  <c r="B284" i="13"/>
  <c r="Z283" i="13"/>
  <c r="AB283" i="13" s="1"/>
  <c r="T283" i="13"/>
  <c r="V283" i="13" s="1"/>
  <c r="P283" i="13"/>
  <c r="K283" i="13"/>
  <c r="E283" i="13"/>
  <c r="D283" i="13"/>
  <c r="C283" i="13"/>
  <c r="B283" i="13"/>
  <c r="Z282" i="13"/>
  <c r="AB282" i="13" s="1"/>
  <c r="T282" i="13"/>
  <c r="V282" i="13" s="1"/>
  <c r="P282" i="13"/>
  <c r="K282" i="13"/>
  <c r="E282" i="13"/>
  <c r="D282" i="13"/>
  <c r="C282" i="13"/>
  <c r="B282" i="13"/>
  <c r="Z281" i="13"/>
  <c r="AB281" i="13" s="1"/>
  <c r="T281" i="13"/>
  <c r="V281" i="13" s="1"/>
  <c r="P281" i="13"/>
  <c r="K281" i="13"/>
  <c r="E281" i="13"/>
  <c r="D281" i="13"/>
  <c r="C281" i="13"/>
  <c r="B281" i="13"/>
  <c r="Z280" i="13"/>
  <c r="AB280" i="13" s="1"/>
  <c r="T280" i="13"/>
  <c r="V280" i="13" s="1"/>
  <c r="P280" i="13"/>
  <c r="K280" i="13"/>
  <c r="E280" i="13"/>
  <c r="D280" i="13"/>
  <c r="C280" i="13"/>
  <c r="B280" i="13"/>
  <c r="Z279" i="13"/>
  <c r="AB279" i="13" s="1"/>
  <c r="T279" i="13"/>
  <c r="U279" i="13" s="1"/>
  <c r="P279" i="13"/>
  <c r="K279" i="13"/>
  <c r="E279" i="13"/>
  <c r="D279" i="13"/>
  <c r="C279" i="13"/>
  <c r="B279" i="13"/>
  <c r="Z278" i="13"/>
  <c r="AB278" i="13" s="1"/>
  <c r="T278" i="13"/>
  <c r="U278" i="13" s="1"/>
  <c r="P278" i="13"/>
  <c r="K278" i="13"/>
  <c r="E278" i="13"/>
  <c r="D278" i="13"/>
  <c r="C278" i="13"/>
  <c r="B278" i="13"/>
  <c r="Z277" i="13"/>
  <c r="AB277" i="13" s="1"/>
  <c r="T277" i="13"/>
  <c r="V277" i="13" s="1"/>
  <c r="P277" i="13"/>
  <c r="K277" i="13"/>
  <c r="E277" i="13"/>
  <c r="D277" i="13"/>
  <c r="C277" i="13"/>
  <c r="B277" i="13"/>
  <c r="Z276" i="13"/>
  <c r="AB276" i="13" s="1"/>
  <c r="T276" i="13"/>
  <c r="V276" i="13" s="1"/>
  <c r="P276" i="13"/>
  <c r="K276" i="13"/>
  <c r="E276" i="13"/>
  <c r="D276" i="13"/>
  <c r="C276" i="13"/>
  <c r="B276" i="13"/>
  <c r="Z275" i="13"/>
  <c r="AB275" i="13" s="1"/>
  <c r="T275" i="13"/>
  <c r="V275" i="13" s="1"/>
  <c r="P275" i="13"/>
  <c r="K275" i="13"/>
  <c r="E275" i="13"/>
  <c r="D275" i="13"/>
  <c r="C275" i="13"/>
  <c r="B275" i="13"/>
  <c r="Z274" i="13"/>
  <c r="AB274" i="13" s="1"/>
  <c r="T274" i="13"/>
  <c r="V274" i="13" s="1"/>
  <c r="P274" i="13"/>
  <c r="K274" i="13"/>
  <c r="E274" i="13"/>
  <c r="D274" i="13"/>
  <c r="C274" i="13"/>
  <c r="B274" i="13"/>
  <c r="Z273" i="13"/>
  <c r="AB273" i="13" s="1"/>
  <c r="T273" i="13"/>
  <c r="V273" i="13" s="1"/>
  <c r="P273" i="13"/>
  <c r="K273" i="13"/>
  <c r="E273" i="13"/>
  <c r="D273" i="13"/>
  <c r="C273" i="13"/>
  <c r="B273" i="13"/>
  <c r="Z272" i="13"/>
  <c r="AA272" i="13" s="1"/>
  <c r="T272" i="13"/>
  <c r="V272" i="13" s="1"/>
  <c r="P272" i="13"/>
  <c r="K272" i="13"/>
  <c r="E272" i="13"/>
  <c r="D272" i="13"/>
  <c r="C272" i="13"/>
  <c r="B272" i="13"/>
  <c r="Z271" i="13"/>
  <c r="AB271" i="13" s="1"/>
  <c r="T271" i="13"/>
  <c r="U271" i="13" s="1"/>
  <c r="P271" i="13"/>
  <c r="K271" i="13"/>
  <c r="E271" i="13"/>
  <c r="D271" i="13"/>
  <c r="C271" i="13"/>
  <c r="B271" i="13"/>
  <c r="Z270" i="13"/>
  <c r="AB270" i="13" s="1"/>
  <c r="T270" i="13"/>
  <c r="V270" i="13" s="1"/>
  <c r="P270" i="13"/>
  <c r="K270" i="13"/>
  <c r="E270" i="13"/>
  <c r="D270" i="13"/>
  <c r="C270" i="13"/>
  <c r="B270" i="13"/>
  <c r="Z269" i="13"/>
  <c r="AB269" i="13" s="1"/>
  <c r="T269" i="13"/>
  <c r="V269" i="13" s="1"/>
  <c r="P269" i="13"/>
  <c r="K269" i="13"/>
  <c r="E269" i="13"/>
  <c r="D269" i="13"/>
  <c r="C269" i="13"/>
  <c r="B269" i="13"/>
  <c r="Z268" i="13"/>
  <c r="AB268" i="13" s="1"/>
  <c r="T268" i="13"/>
  <c r="V268" i="13" s="1"/>
  <c r="P268" i="13"/>
  <c r="K268" i="13"/>
  <c r="E268" i="13"/>
  <c r="D268" i="13"/>
  <c r="C268" i="13"/>
  <c r="B268" i="13"/>
  <c r="Z267" i="13"/>
  <c r="AB267" i="13" s="1"/>
  <c r="T267" i="13"/>
  <c r="V267" i="13" s="1"/>
  <c r="P267" i="13"/>
  <c r="K267" i="13"/>
  <c r="E267" i="13"/>
  <c r="D267" i="13"/>
  <c r="C267" i="13"/>
  <c r="B267" i="13"/>
  <c r="Z266" i="13"/>
  <c r="AA266" i="13" s="1"/>
  <c r="T266" i="13"/>
  <c r="V266" i="13" s="1"/>
  <c r="P266" i="13"/>
  <c r="K266" i="13"/>
  <c r="E266" i="13"/>
  <c r="D266" i="13"/>
  <c r="C266" i="13"/>
  <c r="B266" i="13"/>
  <c r="Z265" i="13"/>
  <c r="AB265" i="13" s="1"/>
  <c r="T265" i="13"/>
  <c r="V265" i="13" s="1"/>
  <c r="P265" i="13"/>
  <c r="K265" i="13"/>
  <c r="E265" i="13"/>
  <c r="D265" i="13"/>
  <c r="C265" i="13"/>
  <c r="B265" i="13"/>
  <c r="Z264" i="13"/>
  <c r="AA264" i="13" s="1"/>
  <c r="T264" i="13"/>
  <c r="V264" i="13" s="1"/>
  <c r="P264" i="13"/>
  <c r="K264" i="13"/>
  <c r="E264" i="13"/>
  <c r="D264" i="13"/>
  <c r="C264" i="13"/>
  <c r="B264" i="13"/>
  <c r="Z263" i="13"/>
  <c r="AB263" i="13" s="1"/>
  <c r="T263" i="13"/>
  <c r="U263" i="13" s="1"/>
  <c r="W263" i="13" s="1"/>
  <c r="P263" i="13"/>
  <c r="K263" i="13"/>
  <c r="E263" i="13"/>
  <c r="D263" i="13"/>
  <c r="C263" i="13"/>
  <c r="B263" i="13"/>
  <c r="Z262" i="13"/>
  <c r="AB262" i="13" s="1"/>
  <c r="T262" i="13"/>
  <c r="U262" i="13" s="1"/>
  <c r="W262" i="13" s="1"/>
  <c r="P262" i="13"/>
  <c r="K262" i="13"/>
  <c r="E262" i="13"/>
  <c r="D262" i="13"/>
  <c r="C262" i="13"/>
  <c r="B262" i="13"/>
  <c r="Z261" i="13"/>
  <c r="AB261" i="13" s="1"/>
  <c r="T261" i="13"/>
  <c r="V261" i="13" s="1"/>
  <c r="P261" i="13"/>
  <c r="K261" i="13"/>
  <c r="E261" i="13"/>
  <c r="D261" i="13"/>
  <c r="C261" i="13"/>
  <c r="B261" i="13"/>
  <c r="Z260" i="13"/>
  <c r="AB260" i="13" s="1"/>
  <c r="T260" i="13"/>
  <c r="V260" i="13" s="1"/>
  <c r="P260" i="13"/>
  <c r="K260" i="13"/>
  <c r="E260" i="13"/>
  <c r="D260" i="13"/>
  <c r="C260" i="13"/>
  <c r="B260" i="13"/>
  <c r="Z259" i="13"/>
  <c r="AB259" i="13" s="1"/>
  <c r="T259" i="13"/>
  <c r="V259" i="13" s="1"/>
  <c r="P259" i="13"/>
  <c r="K259" i="13"/>
  <c r="E259" i="13"/>
  <c r="D259" i="13"/>
  <c r="C259" i="13"/>
  <c r="B259" i="13"/>
  <c r="Z258" i="13"/>
  <c r="AB258" i="13" s="1"/>
  <c r="T258" i="13"/>
  <c r="V258" i="13" s="1"/>
  <c r="P258" i="13"/>
  <c r="K258" i="13"/>
  <c r="E258" i="13"/>
  <c r="D258" i="13"/>
  <c r="C258" i="13"/>
  <c r="B258" i="13"/>
  <c r="Z257" i="13"/>
  <c r="AB257" i="13" s="1"/>
  <c r="T257" i="13"/>
  <c r="V257" i="13" s="1"/>
  <c r="P257" i="13"/>
  <c r="K257" i="13"/>
  <c r="E257" i="13"/>
  <c r="D257" i="13"/>
  <c r="C257" i="13"/>
  <c r="B257" i="13"/>
  <c r="Z256" i="13"/>
  <c r="AA256" i="13" s="1"/>
  <c r="T256" i="13"/>
  <c r="U256" i="13" s="1"/>
  <c r="P256" i="13"/>
  <c r="K256" i="13"/>
  <c r="E256" i="13"/>
  <c r="D256" i="13"/>
  <c r="C256" i="13"/>
  <c r="B256" i="13"/>
  <c r="Z255" i="13"/>
  <c r="AB255" i="13" s="1"/>
  <c r="T255" i="13"/>
  <c r="U255" i="13" s="1"/>
  <c r="P255" i="13"/>
  <c r="K255" i="13"/>
  <c r="E255" i="13"/>
  <c r="D255" i="13"/>
  <c r="C255" i="13"/>
  <c r="B255" i="13"/>
  <c r="Z254" i="13"/>
  <c r="AB254" i="13" s="1"/>
  <c r="T254" i="13"/>
  <c r="V254" i="13" s="1"/>
  <c r="P254" i="13"/>
  <c r="K254" i="13"/>
  <c r="E254" i="13"/>
  <c r="D254" i="13"/>
  <c r="C254" i="13"/>
  <c r="B254" i="13"/>
  <c r="Z253" i="13"/>
  <c r="AB253" i="13" s="1"/>
  <c r="T253" i="13"/>
  <c r="V253" i="13" s="1"/>
  <c r="P253" i="13"/>
  <c r="K253" i="13"/>
  <c r="E253" i="13"/>
  <c r="D253" i="13"/>
  <c r="C253" i="13"/>
  <c r="B253" i="13"/>
  <c r="Z252" i="13"/>
  <c r="AB252" i="13" s="1"/>
  <c r="T252" i="13"/>
  <c r="V252" i="13" s="1"/>
  <c r="P252" i="13"/>
  <c r="K252" i="13"/>
  <c r="E252" i="13"/>
  <c r="D252" i="13"/>
  <c r="C252" i="13"/>
  <c r="B252" i="13"/>
  <c r="Z251" i="13"/>
  <c r="AB251" i="13" s="1"/>
  <c r="T251" i="13"/>
  <c r="V251" i="13" s="1"/>
  <c r="P251" i="13"/>
  <c r="K251" i="13"/>
  <c r="E251" i="13"/>
  <c r="D251" i="13"/>
  <c r="C251" i="13"/>
  <c r="B251" i="13"/>
  <c r="Z250" i="13"/>
  <c r="AB250" i="13" s="1"/>
  <c r="T250" i="13"/>
  <c r="V250" i="13" s="1"/>
  <c r="P250" i="13"/>
  <c r="K250" i="13"/>
  <c r="E250" i="13"/>
  <c r="D250" i="13"/>
  <c r="C250" i="13"/>
  <c r="B250" i="13"/>
  <c r="Z249" i="13"/>
  <c r="AB249" i="13" s="1"/>
  <c r="T249" i="13"/>
  <c r="V249" i="13" s="1"/>
  <c r="P249" i="13"/>
  <c r="K249" i="13"/>
  <c r="E249" i="13"/>
  <c r="D249" i="13"/>
  <c r="C249" i="13"/>
  <c r="B249" i="13"/>
  <c r="Z248" i="13"/>
  <c r="AA248" i="13" s="1"/>
  <c r="T248" i="13"/>
  <c r="V248" i="13" s="1"/>
  <c r="P248" i="13"/>
  <c r="K248" i="13"/>
  <c r="E248" i="13"/>
  <c r="D248" i="13"/>
  <c r="C248" i="13"/>
  <c r="B248" i="13"/>
  <c r="Z247" i="13"/>
  <c r="AB247" i="13" s="1"/>
  <c r="T247" i="13"/>
  <c r="U247" i="13" s="1"/>
  <c r="P247" i="13"/>
  <c r="K247" i="13"/>
  <c r="E247" i="13"/>
  <c r="D247" i="13"/>
  <c r="C247" i="13"/>
  <c r="B247" i="13"/>
  <c r="Z246" i="13"/>
  <c r="AB246" i="13" s="1"/>
  <c r="T246" i="13"/>
  <c r="V246" i="13" s="1"/>
  <c r="P246" i="13"/>
  <c r="K246" i="13"/>
  <c r="E246" i="13"/>
  <c r="D246" i="13"/>
  <c r="C246" i="13"/>
  <c r="B246" i="13"/>
  <c r="Z245" i="13"/>
  <c r="AA245" i="13" s="1"/>
  <c r="T245" i="13"/>
  <c r="V245" i="13" s="1"/>
  <c r="P245" i="13"/>
  <c r="K245" i="13"/>
  <c r="E245" i="13"/>
  <c r="D245" i="13"/>
  <c r="C245" i="13"/>
  <c r="B245" i="13"/>
  <c r="Z244" i="13"/>
  <c r="AB244" i="13" s="1"/>
  <c r="T244" i="13"/>
  <c r="U244" i="13" s="1"/>
  <c r="P244" i="13"/>
  <c r="K244" i="13"/>
  <c r="E244" i="13"/>
  <c r="D244" i="13"/>
  <c r="C244" i="13"/>
  <c r="B244" i="13"/>
  <c r="Z243" i="13"/>
  <c r="AB243" i="13" s="1"/>
  <c r="T243" i="13"/>
  <c r="V243" i="13" s="1"/>
  <c r="P243" i="13"/>
  <c r="K243" i="13"/>
  <c r="E243" i="13"/>
  <c r="D243" i="13"/>
  <c r="C243" i="13"/>
  <c r="B243" i="13"/>
  <c r="Z242" i="13"/>
  <c r="AB242" i="13" s="1"/>
  <c r="T242" i="13"/>
  <c r="V242" i="13" s="1"/>
  <c r="P242" i="13"/>
  <c r="K242" i="13"/>
  <c r="E242" i="13"/>
  <c r="D242" i="13"/>
  <c r="C242" i="13"/>
  <c r="B242" i="13"/>
  <c r="Z241" i="13"/>
  <c r="AB241" i="13" s="1"/>
  <c r="T241" i="13"/>
  <c r="V241" i="13" s="1"/>
  <c r="P241" i="13"/>
  <c r="K241" i="13"/>
  <c r="E241" i="13"/>
  <c r="D241" i="13"/>
  <c r="C241" i="13"/>
  <c r="B241" i="13"/>
  <c r="Z240" i="13"/>
  <c r="AB240" i="13" s="1"/>
  <c r="T240" i="13"/>
  <c r="V240" i="13" s="1"/>
  <c r="P240" i="13"/>
  <c r="K240" i="13"/>
  <c r="E240" i="13"/>
  <c r="D240" i="13"/>
  <c r="C240" i="13"/>
  <c r="B240" i="13"/>
  <c r="Z239" i="13"/>
  <c r="AB239" i="13" s="1"/>
  <c r="T239" i="13"/>
  <c r="V239" i="13" s="1"/>
  <c r="P239" i="13"/>
  <c r="K239" i="13"/>
  <c r="E239" i="13"/>
  <c r="D239" i="13"/>
  <c r="C239" i="13"/>
  <c r="B239" i="13"/>
  <c r="Z238" i="13"/>
  <c r="AB238" i="13" s="1"/>
  <c r="T238" i="13"/>
  <c r="V238" i="13" s="1"/>
  <c r="P238" i="13"/>
  <c r="K238" i="13"/>
  <c r="E238" i="13"/>
  <c r="D238" i="13"/>
  <c r="C238" i="13"/>
  <c r="B238" i="13"/>
  <c r="Z237" i="13"/>
  <c r="AA237" i="13" s="1"/>
  <c r="T237" i="13"/>
  <c r="V237" i="13" s="1"/>
  <c r="P237" i="13"/>
  <c r="K237" i="13"/>
  <c r="E237" i="13"/>
  <c r="D237" i="13"/>
  <c r="C237" i="13"/>
  <c r="B237" i="13"/>
  <c r="Z236" i="13"/>
  <c r="AB236" i="13" s="1"/>
  <c r="T236" i="13"/>
  <c r="U236" i="13" s="1"/>
  <c r="W236" i="13" s="1"/>
  <c r="P236" i="13"/>
  <c r="K236" i="13"/>
  <c r="E236" i="13"/>
  <c r="D236" i="13"/>
  <c r="C236" i="13"/>
  <c r="B236" i="13"/>
  <c r="Z235" i="13"/>
  <c r="AB235" i="13" s="1"/>
  <c r="T235" i="13"/>
  <c r="V235" i="13" s="1"/>
  <c r="P235" i="13"/>
  <c r="K235" i="13"/>
  <c r="E235" i="13"/>
  <c r="D235" i="13"/>
  <c r="C235" i="13"/>
  <c r="B235" i="13"/>
  <c r="Z234" i="13"/>
  <c r="AB234" i="13" s="1"/>
  <c r="AC234" i="13" s="1"/>
  <c r="T234" i="13"/>
  <c r="V234" i="13" s="1"/>
  <c r="P234" i="13"/>
  <c r="K234" i="13"/>
  <c r="E234" i="13"/>
  <c r="D234" i="13"/>
  <c r="C234" i="13"/>
  <c r="B234" i="13"/>
  <c r="Z233" i="13"/>
  <c r="AB233" i="13" s="1"/>
  <c r="T233" i="13"/>
  <c r="V233" i="13" s="1"/>
  <c r="P233" i="13"/>
  <c r="K233" i="13"/>
  <c r="E233" i="13"/>
  <c r="D233" i="13"/>
  <c r="C233" i="13"/>
  <c r="B233" i="13"/>
  <c r="Z232" i="13"/>
  <c r="AB232" i="13" s="1"/>
  <c r="T232" i="13"/>
  <c r="V232" i="13" s="1"/>
  <c r="P232" i="13"/>
  <c r="K232" i="13"/>
  <c r="E232" i="13"/>
  <c r="D232" i="13"/>
  <c r="C232" i="13"/>
  <c r="B232" i="13"/>
  <c r="Z231" i="13"/>
  <c r="AB231" i="13" s="1"/>
  <c r="T231" i="13"/>
  <c r="U231" i="13" s="1"/>
  <c r="W231" i="13" s="1"/>
  <c r="P231" i="13"/>
  <c r="K231" i="13"/>
  <c r="E231" i="13"/>
  <c r="D231" i="13"/>
  <c r="C231" i="13"/>
  <c r="B231" i="13"/>
  <c r="W554" i="13" l="1"/>
  <c r="W792" i="13"/>
  <c r="W560" i="13"/>
  <c r="W591" i="13"/>
  <c r="W474" i="13"/>
  <c r="W683" i="13"/>
  <c r="AF683" i="13" s="1"/>
  <c r="W559" i="13"/>
  <c r="W567" i="13"/>
  <c r="W363" i="13"/>
  <c r="W623" i="13"/>
  <c r="W410" i="13"/>
  <c r="AF410" i="13" s="1"/>
  <c r="W805" i="13"/>
  <c r="W905" i="13"/>
  <c r="W928" i="13"/>
  <c r="W934" i="13"/>
  <c r="AF934" i="13" s="1"/>
  <c r="W989" i="13"/>
  <c r="W1014" i="13"/>
  <c r="W1046" i="13"/>
  <c r="W1078" i="13"/>
  <c r="W1134" i="13"/>
  <c r="W1140" i="13"/>
  <c r="W1185" i="13"/>
  <c r="AF1185" i="13" s="1"/>
  <c r="W1240" i="13"/>
  <c r="AF1240" i="13" s="1"/>
  <c r="W1282" i="13"/>
  <c r="W1295" i="13"/>
  <c r="W1345" i="13"/>
  <c r="W1398" i="13"/>
  <c r="W1407" i="13"/>
  <c r="AE611" i="13"/>
  <c r="AE280" i="13"/>
  <c r="V303" i="13"/>
  <c r="U1374" i="13"/>
  <c r="W1374" i="13" s="1"/>
  <c r="AB1381" i="13"/>
  <c r="AC1381" i="13" s="1"/>
  <c r="U1382" i="13"/>
  <c r="W1382" i="13" s="1"/>
  <c r="AB1150" i="13"/>
  <c r="AC1150" i="13" s="1"/>
  <c r="U1151" i="13"/>
  <c r="W1151" i="13" s="1"/>
  <c r="AB970" i="13"/>
  <c r="AE970" i="13" s="1"/>
  <c r="U971" i="13"/>
  <c r="W971" i="13" s="1"/>
  <c r="U1304" i="13"/>
  <c r="W1304" i="13" s="1"/>
  <c r="AA547" i="13"/>
  <c r="V830" i="13"/>
  <c r="AE830" i="13" s="1"/>
  <c r="U1385" i="13"/>
  <c r="W1385" i="13" s="1"/>
  <c r="AA350" i="13"/>
  <c r="V353" i="13"/>
  <c r="V792" i="13"/>
  <c r="AE792" i="13" s="1"/>
  <c r="AA372" i="13"/>
  <c r="V846" i="13"/>
  <c r="AE846" i="13" s="1"/>
  <c r="AB1073" i="13"/>
  <c r="AC1073" i="13" s="1"/>
  <c r="U1074" i="13"/>
  <c r="W1074" i="13" s="1"/>
  <c r="AA1321" i="13"/>
  <c r="V1330" i="13"/>
  <c r="AE1330" i="13" s="1"/>
  <c r="AA644" i="13"/>
  <c r="AA430" i="13"/>
  <c r="V433" i="13"/>
  <c r="W433" i="13" s="1"/>
  <c r="AE866" i="13"/>
  <c r="U867" i="13"/>
  <c r="W867" i="13" s="1"/>
  <c r="U1350" i="13"/>
  <c r="W1350" i="13" s="1"/>
  <c r="AA1396" i="13"/>
  <c r="U1401" i="13"/>
  <c r="W1401" i="13" s="1"/>
  <c r="V918" i="13"/>
  <c r="AE918" i="13" s="1"/>
  <c r="U1138" i="13"/>
  <c r="W1138" i="13" s="1"/>
  <c r="AB458" i="13"/>
  <c r="AC458" i="13" s="1"/>
  <c r="U459" i="13"/>
  <c r="W459" i="13" s="1"/>
  <c r="V939" i="13"/>
  <c r="U1369" i="13"/>
  <c r="W1369" i="13" s="1"/>
  <c r="AB1119" i="13"/>
  <c r="AC1119" i="13" s="1"/>
  <c r="AA1082" i="13"/>
  <c r="U1083" i="13"/>
  <c r="W1083" i="13" s="1"/>
  <c r="V1134" i="13"/>
  <c r="AA1153" i="13"/>
  <c r="U1154" i="13"/>
  <c r="W1154" i="13" s="1"/>
  <c r="V1321" i="13"/>
  <c r="AE1321" i="13" s="1"/>
  <c r="AA1374" i="13"/>
  <c r="U1381" i="13"/>
  <c r="W1381" i="13" s="1"/>
  <c r="U921" i="13"/>
  <c r="W921" i="13" s="1"/>
  <c r="U1120" i="13"/>
  <c r="W1120" i="13" s="1"/>
  <c r="U728" i="13"/>
  <c r="W728" i="13" s="1"/>
  <c r="AB863" i="13"/>
  <c r="U864" i="13"/>
  <c r="W864" i="13" s="1"/>
  <c r="V730" i="13"/>
  <c r="AE730" i="13" s="1"/>
  <c r="AA938" i="13"/>
  <c r="AA977" i="13"/>
  <c r="V989" i="13"/>
  <c r="V1136" i="13"/>
  <c r="AE1136" i="13" s="1"/>
  <c r="AA1267" i="13"/>
  <c r="V1282" i="13"/>
  <c r="AB1363" i="13"/>
  <c r="U1364" i="13"/>
  <c r="W1364" i="13" s="1"/>
  <c r="U435" i="13"/>
  <c r="W435" i="13" s="1"/>
  <c r="AB699" i="13"/>
  <c r="AC699" i="13" s="1"/>
  <c r="V1037" i="13"/>
  <c r="AB1086" i="13"/>
  <c r="AC1086" i="13" s="1"/>
  <c r="V1087" i="13"/>
  <c r="W1087" i="13" s="1"/>
  <c r="AA1161" i="13"/>
  <c r="U1162" i="13"/>
  <c r="W1162" i="13" s="1"/>
  <c r="V567" i="13"/>
  <c r="AB1249" i="13"/>
  <c r="AE1249" i="13" s="1"/>
  <c r="V338" i="13"/>
  <c r="AE338" i="13" s="1"/>
  <c r="U515" i="13"/>
  <c r="W515" i="13" s="1"/>
  <c r="AB673" i="13"/>
  <c r="AE673" i="13" s="1"/>
  <c r="U674" i="13"/>
  <c r="W674" i="13" s="1"/>
  <c r="U895" i="13"/>
  <c r="W895" i="13" s="1"/>
  <c r="V304" i="13"/>
  <c r="W304" i="13" s="1"/>
  <c r="AB564" i="13"/>
  <c r="U1250" i="13"/>
  <c r="W1250" i="13" s="1"/>
  <c r="AB1314" i="13"/>
  <c r="U1361" i="13"/>
  <c r="W1361" i="13" s="1"/>
  <c r="U1409" i="13"/>
  <c r="W1409" i="13" s="1"/>
  <c r="AB434" i="13"/>
  <c r="AC434" i="13" s="1"/>
  <c r="U619" i="13"/>
  <c r="W619" i="13" s="1"/>
  <c r="U373" i="13"/>
  <c r="W373" i="13" s="1"/>
  <c r="V521" i="13"/>
  <c r="W521" i="13" s="1"/>
  <c r="AB793" i="13"/>
  <c r="AC793" i="13" s="1"/>
  <c r="U809" i="13"/>
  <c r="W809" i="13" s="1"/>
  <c r="AB950" i="13"/>
  <c r="AC950" i="13" s="1"/>
  <c r="U967" i="13"/>
  <c r="W967" i="13" s="1"/>
  <c r="AA1042" i="13"/>
  <c r="U1043" i="13"/>
  <c r="W1043" i="13" s="1"/>
  <c r="AA1099" i="13"/>
  <c r="V1102" i="13"/>
  <c r="V1141" i="13"/>
  <c r="W1141" i="13" s="1"/>
  <c r="AA1166" i="13"/>
  <c r="U1180" i="13"/>
  <c r="W1180" i="13" s="1"/>
  <c r="V1356" i="13"/>
  <c r="AE1356" i="13" s="1"/>
  <c r="U1393" i="13"/>
  <c r="W1393" i="13" s="1"/>
  <c r="U1315" i="13"/>
  <c r="W1315" i="13" s="1"/>
  <c r="V688" i="13"/>
  <c r="W688" i="13" s="1"/>
  <c r="AB916" i="13"/>
  <c r="AC916" i="13" s="1"/>
  <c r="U1113" i="13"/>
  <c r="W1113" i="13" s="1"/>
  <c r="V1218" i="13"/>
  <c r="AE1218" i="13" s="1"/>
  <c r="AB1307" i="13"/>
  <c r="AC1307" i="13" s="1"/>
  <c r="V1309" i="13"/>
  <c r="AE1309" i="13" s="1"/>
  <c r="U1358" i="13"/>
  <c r="W1358" i="13" s="1"/>
  <c r="AB1371" i="13"/>
  <c r="U1372" i="13"/>
  <c r="W1372" i="13" s="1"/>
  <c r="V832" i="13"/>
  <c r="AA890" i="13"/>
  <c r="U894" i="13"/>
  <c r="W894" i="13" s="1"/>
  <c r="AA922" i="13"/>
  <c r="V925" i="13"/>
  <c r="W925" i="13" s="1"/>
  <c r="AA1065" i="13"/>
  <c r="AA1100" i="13"/>
  <c r="V1101" i="13"/>
  <c r="AB1172" i="13"/>
  <c r="V1173" i="13"/>
  <c r="W1173" i="13" s="1"/>
  <c r="AA1204" i="13"/>
  <c r="AA1236" i="13"/>
  <c r="V1239" i="13"/>
  <c r="W1239" i="13" s="1"/>
  <c r="AA1259" i="13"/>
  <c r="AB1289" i="13"/>
  <c r="AE1289" i="13" s="1"/>
  <c r="U1290" i="13"/>
  <c r="W1290" i="13" s="1"/>
  <c r="U1335" i="13"/>
  <c r="W1335" i="13" s="1"/>
  <c r="AF1335" i="13" s="1"/>
  <c r="V1351" i="13"/>
  <c r="V1362" i="13"/>
  <c r="AE1362" i="13" s="1"/>
  <c r="AA1366" i="13"/>
  <c r="V1411" i="13"/>
  <c r="AE1411" i="13" s="1"/>
  <c r="AA528" i="13"/>
  <c r="AA628" i="13"/>
  <c r="U387" i="13"/>
  <c r="W387" i="13" s="1"/>
  <c r="AB603" i="13"/>
  <c r="AC603" i="13" s="1"/>
  <c r="AB649" i="13"/>
  <c r="AE649" i="13" s="1"/>
  <c r="V739" i="13"/>
  <c r="W739" i="13" s="1"/>
  <c r="AE240" i="13"/>
  <c r="AB304" i="13"/>
  <c r="AC304" i="13" s="1"/>
  <c r="AA438" i="13"/>
  <c r="V442" i="13"/>
  <c r="W442" i="13" s="1"/>
  <c r="AB347" i="13"/>
  <c r="AC347" i="13" s="1"/>
  <c r="U405" i="13"/>
  <c r="W405" i="13" s="1"/>
  <c r="U546" i="13"/>
  <c r="W546" i="13" s="1"/>
  <c r="U578" i="13"/>
  <c r="W578" i="13" s="1"/>
  <c r="V651" i="13"/>
  <c r="AE651" i="13" s="1"/>
  <c r="V683" i="13"/>
  <c r="AE683" i="13" s="1"/>
  <c r="AB704" i="13"/>
  <c r="AC704" i="13" s="1"/>
  <c r="U722" i="13"/>
  <c r="W722" i="13" s="1"/>
  <c r="AB748" i="13"/>
  <c r="AE748" i="13" s="1"/>
  <c r="U749" i="13"/>
  <c r="W749" i="13" s="1"/>
  <c r="AA794" i="13"/>
  <c r="AB842" i="13"/>
  <c r="AE842" i="13" s="1"/>
  <c r="U843" i="13"/>
  <c r="W843" i="13" s="1"/>
  <c r="U913" i="13"/>
  <c r="W913" i="13" s="1"/>
  <c r="AA927" i="13"/>
  <c r="V928" i="13"/>
  <c r="AB959" i="13"/>
  <c r="U960" i="13"/>
  <c r="W960" i="13" s="1"/>
  <c r="V998" i="13"/>
  <c r="W998" i="13" s="1"/>
  <c r="AA1068" i="13"/>
  <c r="V1069" i="13"/>
  <c r="W1069" i="13" s="1"/>
  <c r="V1088" i="13"/>
  <c r="V1156" i="13"/>
  <c r="W1156" i="13" s="1"/>
  <c r="AA1205" i="13"/>
  <c r="V1209" i="13"/>
  <c r="W1209" i="13" s="1"/>
  <c r="AF1209" i="13" s="1"/>
  <c r="AB1241" i="13"/>
  <c r="AE1241" i="13" s="1"/>
  <c r="U1242" i="13"/>
  <c r="W1242" i="13" s="1"/>
  <c r="V1274" i="13"/>
  <c r="AE1274" i="13" s="1"/>
  <c r="AA1291" i="13"/>
  <c r="V1314" i="13"/>
  <c r="W1314" i="13" s="1"/>
  <c r="U1322" i="13"/>
  <c r="W1322" i="13" s="1"/>
  <c r="AA1339" i="13"/>
  <c r="AA1362" i="13"/>
  <c r="V1397" i="13"/>
  <c r="W1397" i="13" s="1"/>
  <c r="AA1412" i="13"/>
  <c r="AE232" i="13"/>
  <c r="U616" i="13"/>
  <c r="W616" i="13" s="1"/>
  <c r="AB248" i="13"/>
  <c r="AE248" i="13" s="1"/>
  <c r="V279" i="13"/>
  <c r="AE279" i="13" s="1"/>
  <c r="AA311" i="13"/>
  <c r="AE348" i="13"/>
  <c r="AB442" i="13"/>
  <c r="AC442" i="13" s="1"/>
  <c r="U443" i="13"/>
  <c r="W443" i="13" s="1"/>
  <c r="AB617" i="13"/>
  <c r="AE617" i="13" s="1"/>
  <c r="U618" i="13"/>
  <c r="W618" i="13" s="1"/>
  <c r="AB635" i="13"/>
  <c r="AC635" i="13" s="1"/>
  <c r="V805" i="13"/>
  <c r="V872" i="13"/>
  <c r="AE872" i="13" s="1"/>
  <c r="V933" i="13"/>
  <c r="W933" i="13" s="1"/>
  <c r="U1001" i="13"/>
  <c r="W1001" i="13" s="1"/>
  <c r="AB1049" i="13"/>
  <c r="AC1049" i="13" s="1"/>
  <c r="V1053" i="13"/>
  <c r="W1053" i="13" s="1"/>
  <c r="U1090" i="13"/>
  <c r="W1090" i="13" s="1"/>
  <c r="AA1106" i="13"/>
  <c r="U1107" i="13"/>
  <c r="W1107" i="13" s="1"/>
  <c r="AA1121" i="13"/>
  <c r="AA1139" i="13"/>
  <c r="V1140" i="13"/>
  <c r="AB1186" i="13"/>
  <c r="AE1186" i="13" s="1"/>
  <c r="U1187" i="13"/>
  <c r="W1187" i="13" s="1"/>
  <c r="V1216" i="13"/>
  <c r="AE1216" i="13" s="1"/>
  <c r="U1275" i="13"/>
  <c r="W1275" i="13" s="1"/>
  <c r="V1295" i="13"/>
  <c r="U1341" i="13"/>
  <c r="W1341" i="13" s="1"/>
  <c r="AA1357" i="13"/>
  <c r="AB1370" i="13"/>
  <c r="AC1370" i="13" s="1"/>
  <c r="AA1375" i="13"/>
  <c r="V1377" i="13"/>
  <c r="W1377" i="13" s="1"/>
  <c r="AB1383" i="13"/>
  <c r="AC1383" i="13" s="1"/>
  <c r="U1384" i="13"/>
  <c r="W1384" i="13" s="1"/>
  <c r="V1398" i="13"/>
  <c r="AE1398" i="13" s="1"/>
  <c r="U475" i="13"/>
  <c r="W475" i="13" s="1"/>
  <c r="V529" i="13"/>
  <c r="W529" i="13" s="1"/>
  <c r="V607" i="13"/>
  <c r="W607" i="13" s="1"/>
  <c r="V532" i="13"/>
  <c r="AE532" i="13" s="1"/>
  <c r="AA502" i="13"/>
  <c r="U503" i="13"/>
  <c r="W503" i="13" s="1"/>
  <c r="V554" i="13"/>
  <c r="AB641" i="13"/>
  <c r="AC641" i="13" s="1"/>
  <c r="U642" i="13"/>
  <c r="W642" i="13" s="1"/>
  <c r="AA659" i="13"/>
  <c r="AA684" i="13"/>
  <c r="AB726" i="13"/>
  <c r="AC726" i="13" s="1"/>
  <c r="AA762" i="13"/>
  <c r="V878" i="13"/>
  <c r="AE878" i="13" s="1"/>
  <c r="V934" i="13"/>
  <c r="AE934" i="13" s="1"/>
  <c r="AB966" i="13"/>
  <c r="AE966" i="13" s="1"/>
  <c r="V1005" i="13"/>
  <c r="W1005" i="13" s="1"/>
  <c r="V231" i="13"/>
  <c r="AE231" i="13" s="1"/>
  <c r="V347" i="13"/>
  <c r="AE389" i="13"/>
  <c r="U348" i="13"/>
  <c r="W348" i="13" s="1"/>
  <c r="U493" i="13"/>
  <c r="W493" i="13" s="1"/>
  <c r="AA280" i="13"/>
  <c r="AB316" i="13"/>
  <c r="AC316" i="13" s="1"/>
  <c r="U322" i="13"/>
  <c r="W322" i="13" s="1"/>
  <c r="V356" i="13"/>
  <c r="AE356" i="13" s="1"/>
  <c r="V434" i="13"/>
  <c r="W434" i="13" s="1"/>
  <c r="AB453" i="13"/>
  <c r="AC453" i="13" s="1"/>
  <c r="V458" i="13"/>
  <c r="W458" i="13" s="1"/>
  <c r="AB588" i="13"/>
  <c r="AC588" i="13" s="1"/>
  <c r="V591" i="13"/>
  <c r="U691" i="13"/>
  <c r="W691" i="13" s="1"/>
  <c r="U1027" i="13"/>
  <c r="W1027" i="13" s="1"/>
  <c r="AB1057" i="13"/>
  <c r="AC1057" i="13" s="1"/>
  <c r="V1080" i="13"/>
  <c r="W1080" i="13" s="1"/>
  <c r="AA1092" i="13"/>
  <c r="V1094" i="13"/>
  <c r="W1094" i="13" s="1"/>
  <c r="AA1107" i="13"/>
  <c r="AA1130" i="13"/>
  <c r="U1131" i="13"/>
  <c r="W1131" i="13" s="1"/>
  <c r="V1149" i="13"/>
  <c r="V1190" i="13"/>
  <c r="AE1190" i="13" s="1"/>
  <c r="V1224" i="13"/>
  <c r="AE1224" i="13" s="1"/>
  <c r="AE1251" i="13"/>
  <c r="AA1299" i="13"/>
  <c r="U1320" i="13"/>
  <c r="W1320" i="13" s="1"/>
  <c r="AA1322" i="13"/>
  <c r="AA1342" i="13"/>
  <c r="U1343" i="13"/>
  <c r="W1343" i="13" s="1"/>
  <c r="U1366" i="13"/>
  <c r="W1366" i="13" s="1"/>
  <c r="AB1379" i="13"/>
  <c r="U1380" i="13"/>
  <c r="W1380" i="13" s="1"/>
  <c r="AB569" i="13"/>
  <c r="AE569" i="13" s="1"/>
  <c r="U570" i="13"/>
  <c r="W570" i="13" s="1"/>
  <c r="U650" i="13"/>
  <c r="W650" i="13" s="1"/>
  <c r="V307" i="13"/>
  <c r="AE307" i="13" s="1"/>
  <c r="V631" i="13"/>
  <c r="W631" i="13" s="1"/>
  <c r="AB245" i="13"/>
  <c r="AC245" i="13" s="1"/>
  <c r="AA404" i="13"/>
  <c r="AA492" i="13"/>
  <c r="AB577" i="13"/>
  <c r="AE577" i="13" s="1"/>
  <c r="U327" i="13"/>
  <c r="W327" i="13" s="1"/>
  <c r="U595" i="13"/>
  <c r="W595" i="13" s="1"/>
  <c r="V626" i="13"/>
  <c r="AE626" i="13" s="1"/>
  <c r="AE627" i="13"/>
  <c r="AB667" i="13"/>
  <c r="AC667" i="13" s="1"/>
  <c r="AB777" i="13"/>
  <c r="AC777" i="13" s="1"/>
  <c r="U782" i="13"/>
  <c r="W782" i="13" s="1"/>
  <c r="V822" i="13"/>
  <c r="AE822" i="13" s="1"/>
  <c r="AB887" i="13"/>
  <c r="AC887" i="13" s="1"/>
  <c r="V888" i="13"/>
  <c r="W888" i="13" s="1"/>
  <c r="U1035" i="13"/>
  <c r="W1035" i="13" s="1"/>
  <c r="AA1060" i="13"/>
  <c r="V1061" i="13"/>
  <c r="AB1110" i="13"/>
  <c r="AC1110" i="13" s="1"/>
  <c r="U1111" i="13"/>
  <c r="W1111" i="13" s="1"/>
  <c r="AB1165" i="13"/>
  <c r="AC1165" i="13" s="1"/>
  <c r="U1196" i="13"/>
  <c r="W1196" i="13" s="1"/>
  <c r="U1228" i="13"/>
  <c r="W1228" i="13" s="1"/>
  <c r="AA1251" i="13"/>
  <c r="V1256" i="13"/>
  <c r="AE1256" i="13" s="1"/>
  <c r="AE1259" i="13"/>
  <c r="AB1283" i="13"/>
  <c r="AC1283" i="13" s="1"/>
  <c r="V1288" i="13"/>
  <c r="AB1323" i="13"/>
  <c r="AC1323" i="13" s="1"/>
  <c r="U1349" i="13"/>
  <c r="W1349" i="13" s="1"/>
  <c r="V1373" i="13"/>
  <c r="W1373" i="13" s="1"/>
  <c r="AA1388" i="13"/>
  <c r="V1389" i="13"/>
  <c r="W1389" i="13" s="1"/>
  <c r="AA1401" i="13"/>
  <c r="U1408" i="13"/>
  <c r="W1408" i="13" s="1"/>
  <c r="AF1408" i="13" s="1"/>
  <c r="AE1392" i="13"/>
  <c r="V1383" i="13"/>
  <c r="U1383" i="13"/>
  <c r="AB483" i="13"/>
  <c r="AE483" i="13" s="1"/>
  <c r="AB498" i="13"/>
  <c r="AC498" i="13" s="1"/>
  <c r="AA525" i="13"/>
  <c r="AB707" i="13"/>
  <c r="AC707" i="13" s="1"/>
  <c r="U712" i="13"/>
  <c r="W712" i="13" s="1"/>
  <c r="U723" i="13"/>
  <c r="W723" i="13" s="1"/>
  <c r="AB732" i="13"/>
  <c r="AC732" i="13" s="1"/>
  <c r="U733" i="13"/>
  <c r="W733" i="13" s="1"/>
  <c r="AA750" i="13"/>
  <c r="V814" i="13"/>
  <c r="W814" i="13" s="1"/>
  <c r="AF814" i="13" s="1"/>
  <c r="AA825" i="13"/>
  <c r="AA834" i="13"/>
  <c r="AB873" i="13"/>
  <c r="AC873" i="13" s="1"/>
  <c r="V875" i="13"/>
  <c r="AE875" i="13" s="1"/>
  <c r="AA906" i="13"/>
  <c r="V909" i="13"/>
  <c r="W909" i="13" s="1"/>
  <c r="U943" i="13"/>
  <c r="W943" i="13" s="1"/>
  <c r="AB1009" i="13"/>
  <c r="AC1009" i="13" s="1"/>
  <c r="V1046" i="13"/>
  <c r="AB1055" i="13"/>
  <c r="U1056" i="13"/>
  <c r="W1056" i="13" s="1"/>
  <c r="V1064" i="13"/>
  <c r="AE1064" i="13" s="1"/>
  <c r="AB1070" i="13"/>
  <c r="AC1070" i="13" s="1"/>
  <c r="V1071" i="13"/>
  <c r="W1071" i="13" s="1"/>
  <c r="AB1118" i="13"/>
  <c r="AC1118" i="13" s="1"/>
  <c r="AA1124" i="13"/>
  <c r="V1125" i="13"/>
  <c r="W1125" i="13" s="1"/>
  <c r="AB1158" i="13"/>
  <c r="U1175" i="13"/>
  <c r="W1175" i="13" s="1"/>
  <c r="AB1199" i="13"/>
  <c r="AC1199" i="13" s="1"/>
  <c r="AA1199" i="13"/>
  <c r="AB1225" i="13"/>
  <c r="AE1225" i="13" s="1"/>
  <c r="U1226" i="13"/>
  <c r="W1226" i="13" s="1"/>
  <c r="AB1296" i="13"/>
  <c r="AC1296" i="13" s="1"/>
  <c r="U1299" i="13"/>
  <c r="W1299" i="13" s="1"/>
  <c r="U1312" i="13"/>
  <c r="W1312" i="13" s="1"/>
  <c r="V1346" i="13"/>
  <c r="U1346" i="13"/>
  <c r="AB1378" i="13"/>
  <c r="AC1378" i="13" s="1"/>
  <c r="AA1378" i="13"/>
  <c r="U1392" i="13"/>
  <c r="W1392" i="13" s="1"/>
  <c r="AB1417" i="13"/>
  <c r="AC1417" i="13" s="1"/>
  <c r="V310" i="13"/>
  <c r="AE310" i="13" s="1"/>
  <c r="V391" i="13"/>
  <c r="AA414" i="13"/>
  <c r="V444" i="13"/>
  <c r="AE444" i="13" s="1"/>
  <c r="V460" i="13"/>
  <c r="AE460" i="13" s="1"/>
  <c r="AB961" i="13"/>
  <c r="AC961" i="13" s="1"/>
  <c r="AB990" i="13"/>
  <c r="AC990" i="13" s="1"/>
  <c r="AA1010" i="13"/>
  <c r="U1011" i="13"/>
  <c r="W1011" i="13" s="1"/>
  <c r="AA1028" i="13"/>
  <c r="V1029" i="13"/>
  <c r="W1029" i="13" s="1"/>
  <c r="U1049" i="13"/>
  <c r="W1049" i="13" s="1"/>
  <c r="U1065" i="13"/>
  <c r="W1065" i="13" s="1"/>
  <c r="V1152" i="13"/>
  <c r="U1152" i="13"/>
  <c r="AB1243" i="13"/>
  <c r="AC1243" i="13" s="1"/>
  <c r="AA1243" i="13"/>
  <c r="AB1344" i="13"/>
  <c r="AC1344" i="13" s="1"/>
  <c r="AA1344" i="13"/>
  <c r="AA1265" i="13"/>
  <c r="AB1265" i="13"/>
  <c r="AE1265" i="13" s="1"/>
  <c r="AB609" i="13"/>
  <c r="AE609" i="13" s="1"/>
  <c r="AA381" i="13"/>
  <c r="AB499" i="13"/>
  <c r="AE499" i="13" s="1"/>
  <c r="AA504" i="13"/>
  <c r="V559" i="13"/>
  <c r="V624" i="13"/>
  <c r="W624" i="13" s="1"/>
  <c r="AB632" i="13"/>
  <c r="AC632" i="13" s="1"/>
  <c r="U635" i="13"/>
  <c r="W635" i="13" s="1"/>
  <c r="AB660" i="13"/>
  <c r="AC660" i="13" s="1"/>
  <c r="V663" i="13"/>
  <c r="AA675" i="13"/>
  <c r="AB850" i="13"/>
  <c r="AE850" i="13" s="1"/>
  <c r="AB237" i="13"/>
  <c r="AE237" i="13" s="1"/>
  <c r="U239" i="13"/>
  <c r="W239" i="13" s="1"/>
  <c r="U275" i="13"/>
  <c r="W275" i="13" s="1"/>
  <c r="AB331" i="13"/>
  <c r="AC331" i="13" s="1"/>
  <c r="U332" i="13"/>
  <c r="W332" i="13" s="1"/>
  <c r="AA349" i="13"/>
  <c r="V370" i="13"/>
  <c r="AE370" i="13" s="1"/>
  <c r="AB397" i="13"/>
  <c r="AE397" i="13" s="1"/>
  <c r="AB427" i="13"/>
  <c r="AE427" i="13" s="1"/>
  <c r="U428" i="13"/>
  <c r="W428" i="13" s="1"/>
  <c r="AB445" i="13"/>
  <c r="AE445" i="13" s="1"/>
  <c r="AB461" i="13"/>
  <c r="AC461" i="13" s="1"/>
  <c r="V465" i="13"/>
  <c r="V500" i="13"/>
  <c r="AE500" i="13" s="1"/>
  <c r="AA517" i="13"/>
  <c r="AA526" i="13"/>
  <c r="U527" i="13"/>
  <c r="W527" i="13" s="1"/>
  <c r="V538" i="13"/>
  <c r="W538" i="13" s="1"/>
  <c r="V562" i="13"/>
  <c r="AE562" i="13" s="1"/>
  <c r="AA571" i="13"/>
  <c r="AA580" i="13"/>
  <c r="U603" i="13"/>
  <c r="W603" i="13" s="1"/>
  <c r="AB643" i="13"/>
  <c r="AC643" i="13" s="1"/>
  <c r="AB676" i="13"/>
  <c r="AE676" i="13" s="1"/>
  <c r="V679" i="13"/>
  <c r="W679" i="13" s="1"/>
  <c r="AB691" i="13"/>
  <c r="AC691" i="13" s="1"/>
  <c r="V695" i="13"/>
  <c r="AB734" i="13"/>
  <c r="AC734" i="13" s="1"/>
  <c r="U736" i="13"/>
  <c r="W736" i="13" s="1"/>
  <c r="AB742" i="13"/>
  <c r="AC742" i="13" s="1"/>
  <c r="V746" i="13"/>
  <c r="AE746" i="13" s="1"/>
  <c r="AB753" i="13"/>
  <c r="AE753" i="13" s="1"/>
  <c r="U756" i="13"/>
  <c r="W756" i="13" s="1"/>
  <c r="AA769" i="13"/>
  <c r="V785" i="13"/>
  <c r="W785" i="13" s="1"/>
  <c r="U801" i="13"/>
  <c r="W801" i="13" s="1"/>
  <c r="AB815" i="13"/>
  <c r="AE815" i="13" s="1"/>
  <c r="U816" i="13"/>
  <c r="W816" i="13" s="1"/>
  <c r="AA826" i="13"/>
  <c r="V841" i="13"/>
  <c r="U857" i="13"/>
  <c r="W857" i="13" s="1"/>
  <c r="AA866" i="13"/>
  <c r="U881" i="13"/>
  <c r="W881" i="13" s="1"/>
  <c r="U945" i="13"/>
  <c r="W945" i="13" s="1"/>
  <c r="AA964" i="13"/>
  <c r="AA973" i="13"/>
  <c r="V976" i="13"/>
  <c r="AE976" i="13" s="1"/>
  <c r="AA994" i="13"/>
  <c r="U995" i="13"/>
  <c r="W995" i="13" s="1"/>
  <c r="V1016" i="13"/>
  <c r="AE1016" i="13" s="1"/>
  <c r="AB1072" i="13"/>
  <c r="AC1072" i="13" s="1"/>
  <c r="U1073" i="13"/>
  <c r="W1073" i="13" s="1"/>
  <c r="AA1108" i="13"/>
  <c r="V1109" i="13"/>
  <c r="W1109" i="13" s="1"/>
  <c r="U1121" i="13"/>
  <c r="W1121" i="13" s="1"/>
  <c r="AA1129" i="13"/>
  <c r="AB1151" i="13"/>
  <c r="AE1151" i="13" s="1"/>
  <c r="AA1151" i="13"/>
  <c r="V1164" i="13"/>
  <c r="W1164" i="13" s="1"/>
  <c r="V1227" i="13"/>
  <c r="W1227" i="13" s="1"/>
  <c r="AA1268" i="13"/>
  <c r="V1271" i="13"/>
  <c r="W1271" i="13" s="1"/>
  <c r="AA1373" i="13"/>
  <c r="AB1373" i="13"/>
  <c r="AC1373" i="13" s="1"/>
  <c r="AB1404" i="13"/>
  <c r="AC1404" i="13" s="1"/>
  <c r="AA1404" i="13"/>
  <c r="V236" i="13"/>
  <c r="AE236" i="13" s="1"/>
  <c r="U282" i="13"/>
  <c r="W282" i="13" s="1"/>
  <c r="V418" i="13"/>
  <c r="AE418" i="13" s="1"/>
  <c r="U517" i="13"/>
  <c r="W517" i="13" s="1"/>
  <c r="U535" i="13"/>
  <c r="W535" i="13" s="1"/>
  <c r="V311" i="13"/>
  <c r="AE311" i="13" s="1"/>
  <c r="AB365" i="13"/>
  <c r="AC365" i="13" s="1"/>
  <c r="V505" i="13"/>
  <c r="V656" i="13"/>
  <c r="U800" i="13"/>
  <c r="W800" i="13" s="1"/>
  <c r="AA299" i="13"/>
  <c r="U300" i="13"/>
  <c r="W300" i="13" s="1"/>
  <c r="AA341" i="13"/>
  <c r="AA357" i="13"/>
  <c r="AA382" i="13"/>
  <c r="U383" i="13"/>
  <c r="W383" i="13" s="1"/>
  <c r="V402" i="13"/>
  <c r="AE402" i="13" s="1"/>
  <c r="AA437" i="13"/>
  <c r="V438" i="13"/>
  <c r="AE438" i="13" s="1"/>
  <c r="AA452" i="13"/>
  <c r="AB474" i="13"/>
  <c r="AC474" i="13" s="1"/>
  <c r="AA486" i="13"/>
  <c r="V489" i="13"/>
  <c r="W489" i="13" s="1"/>
  <c r="AA510" i="13"/>
  <c r="U511" i="13"/>
  <c r="W511" i="13" s="1"/>
  <c r="V544" i="13"/>
  <c r="W544" i="13" s="1"/>
  <c r="V563" i="13"/>
  <c r="AE563" i="13" s="1"/>
  <c r="U587" i="13"/>
  <c r="W587" i="13" s="1"/>
  <c r="AB612" i="13"/>
  <c r="V615" i="13"/>
  <c r="W615" i="13" s="1"/>
  <c r="AB625" i="13"/>
  <c r="AE625" i="13" s="1"/>
  <c r="AB657" i="13"/>
  <c r="AE657" i="13" s="1"/>
  <c r="U658" i="13"/>
  <c r="W658" i="13" s="1"/>
  <c r="AB712" i="13"/>
  <c r="AC712" i="13" s="1"/>
  <c r="U715" i="13"/>
  <c r="W715" i="13" s="1"/>
  <c r="AB828" i="13"/>
  <c r="AC828" i="13" s="1"/>
  <c r="AA930" i="13"/>
  <c r="U1017" i="13"/>
  <c r="W1017" i="13" s="1"/>
  <c r="AA1034" i="13"/>
  <c r="AB1336" i="13"/>
  <c r="AA1336" i="13"/>
  <c r="AA1393" i="13"/>
  <c r="AB1393" i="13"/>
  <c r="AC1393" i="13" s="1"/>
  <c r="V1159" i="13"/>
  <c r="AE1159" i="13" s="1"/>
  <c r="U1159" i="13"/>
  <c r="AA1326" i="13"/>
  <c r="AB1326" i="13"/>
  <c r="AA259" i="13"/>
  <c r="V262" i="13"/>
  <c r="AE262" i="13" s="1"/>
  <c r="AA379" i="13"/>
  <c r="V571" i="13"/>
  <c r="AE571" i="13" s="1"/>
  <c r="AB339" i="13"/>
  <c r="AC339" i="13" s="1"/>
  <c r="AA348" i="13"/>
  <c r="U357" i="13"/>
  <c r="W357" i="13" s="1"/>
  <c r="V610" i="13"/>
  <c r="AE826" i="13"/>
  <c r="U851" i="13"/>
  <c r="W851" i="13" s="1"/>
  <c r="AA240" i="13"/>
  <c r="U333" i="13"/>
  <c r="W333" i="13" s="1"/>
  <c r="V355" i="13"/>
  <c r="W355" i="13" s="1"/>
  <c r="V363" i="13"/>
  <c r="AB467" i="13"/>
  <c r="AE467" i="13" s="1"/>
  <c r="U468" i="13"/>
  <c r="W468" i="13" s="1"/>
  <c r="V476" i="13"/>
  <c r="AE476" i="13" s="1"/>
  <c r="AA500" i="13"/>
  <c r="U501" i="13"/>
  <c r="W501" i="13" s="1"/>
  <c r="V513" i="13"/>
  <c r="W513" i="13" s="1"/>
  <c r="AA572" i="13"/>
  <c r="V575" i="13"/>
  <c r="V647" i="13"/>
  <c r="W647" i="13" s="1"/>
  <c r="AE659" i="13"/>
  <c r="V672" i="13"/>
  <c r="W672" i="13" s="1"/>
  <c r="U738" i="13"/>
  <c r="W738" i="13" s="1"/>
  <c r="AA747" i="13"/>
  <c r="AA757" i="13"/>
  <c r="AB774" i="13"/>
  <c r="AC774" i="13" s="1"/>
  <c r="U777" i="13"/>
  <c r="W777" i="13" s="1"/>
  <c r="AB785" i="13"/>
  <c r="AC785" i="13" s="1"/>
  <c r="AA858" i="13"/>
  <c r="AE894" i="13"/>
  <c r="U958" i="13"/>
  <c r="W958" i="13" s="1"/>
  <c r="V968" i="13"/>
  <c r="AE968" i="13" s="1"/>
  <c r="V1000" i="13"/>
  <c r="AE1000" i="13" s="1"/>
  <c r="V1168" i="13"/>
  <c r="U1168" i="13"/>
  <c r="W1168" i="13" s="1"/>
  <c r="V1276" i="13"/>
  <c r="U1276" i="13"/>
  <c r="W1276" i="13" s="1"/>
  <c r="AA1358" i="13"/>
  <c r="U1370" i="13"/>
  <c r="V1370" i="13"/>
  <c r="AA1385" i="13"/>
  <c r="AB1385" i="13"/>
  <c r="AC1385" i="13" s="1"/>
  <c r="AA234" i="13"/>
  <c r="AA364" i="13"/>
  <c r="AA390" i="13"/>
  <c r="U484" i="13"/>
  <c r="W484" i="13" s="1"/>
  <c r="AA516" i="13"/>
  <c r="V263" i="13"/>
  <c r="AE263" i="13" s="1"/>
  <c r="U298" i="13"/>
  <c r="W298" i="13" s="1"/>
  <c r="U340" i="13"/>
  <c r="W340" i="13" s="1"/>
  <c r="U437" i="13"/>
  <c r="W437" i="13" s="1"/>
  <c r="AB469" i="13"/>
  <c r="AC469" i="13" s="1"/>
  <c r="V474" i="13"/>
  <c r="AB782" i="13"/>
  <c r="AC782" i="13" s="1"/>
  <c r="AB715" i="13"/>
  <c r="AC715" i="13" s="1"/>
  <c r="V717" i="13"/>
  <c r="AE717" i="13" s="1"/>
  <c r="AB758" i="13"/>
  <c r="AC758" i="13" s="1"/>
  <c r="V760" i="13"/>
  <c r="V806" i="13"/>
  <c r="W806" i="13" s="1"/>
  <c r="AA817" i="13"/>
  <c r="AB881" i="13"/>
  <c r="AC881" i="13" s="1"/>
  <c r="V887" i="13"/>
  <c r="U970" i="13"/>
  <c r="W970" i="13" s="1"/>
  <c r="U984" i="13"/>
  <c r="W984" i="13" s="1"/>
  <c r="AA1020" i="13"/>
  <c r="V1021" i="13"/>
  <c r="W1021" i="13" s="1"/>
  <c r="V1040" i="13"/>
  <c r="W1040" i="13" s="1"/>
  <c r="AA1052" i="13"/>
  <c r="AA1058" i="13"/>
  <c r="U1059" i="13"/>
  <c r="W1059" i="13" s="1"/>
  <c r="AB1167" i="13"/>
  <c r="AE1167" i="13" s="1"/>
  <c r="AA1167" i="13"/>
  <c r="AA1275" i="13"/>
  <c r="AB1275" i="13"/>
  <c r="AE1275" i="13" s="1"/>
  <c r="U1296" i="13"/>
  <c r="W1296" i="13" s="1"/>
  <c r="AB1315" i="13"/>
  <c r="AC1315" i="13" s="1"/>
  <c r="AB1351" i="13"/>
  <c r="AC1351" i="13" s="1"/>
  <c r="AF1351" i="13" s="1"/>
  <c r="V1354" i="13"/>
  <c r="U1365" i="13"/>
  <c r="W1365" i="13" s="1"/>
  <c r="AE349" i="13"/>
  <c r="AA356" i="13"/>
  <c r="AA436" i="13"/>
  <c r="AB556" i="13"/>
  <c r="AC556" i="13" s="1"/>
  <c r="AA579" i="13"/>
  <c r="AA595" i="13"/>
  <c r="V599" i="13"/>
  <c r="W599" i="13" s="1"/>
  <c r="AB766" i="13"/>
  <c r="AC766" i="13" s="1"/>
  <c r="AB799" i="13"/>
  <c r="AE799" i="13" s="1"/>
  <c r="U250" i="13"/>
  <c r="W250" i="13" s="1"/>
  <c r="U326" i="13"/>
  <c r="W326" i="13" s="1"/>
  <c r="AB333" i="13"/>
  <c r="AC333" i="13" s="1"/>
  <c r="AB355" i="13"/>
  <c r="AB363" i="13"/>
  <c r="AC363" i="13" s="1"/>
  <c r="U364" i="13"/>
  <c r="W364" i="13" s="1"/>
  <c r="AB373" i="13"/>
  <c r="AC373" i="13" s="1"/>
  <c r="V375" i="13"/>
  <c r="AE375" i="13" s="1"/>
  <c r="AB387" i="13"/>
  <c r="AE387" i="13" s="1"/>
  <c r="U388" i="13"/>
  <c r="W388" i="13" s="1"/>
  <c r="V410" i="13"/>
  <c r="AE410" i="13" s="1"/>
  <c r="AA468" i="13"/>
  <c r="U469" i="13"/>
  <c r="W469" i="13" s="1"/>
  <c r="AA478" i="13"/>
  <c r="V481" i="13"/>
  <c r="W481" i="13" s="1"/>
  <c r="V498" i="13"/>
  <c r="W498" i="13" s="1"/>
  <c r="AA501" i="13"/>
  <c r="AB522" i="13"/>
  <c r="AC522" i="13" s="1"/>
  <c r="U523" i="13"/>
  <c r="W523" i="13" s="1"/>
  <c r="AB531" i="13"/>
  <c r="AE531" i="13" s="1"/>
  <c r="AE595" i="13"/>
  <c r="V720" i="13"/>
  <c r="AE720" i="13" s="1"/>
  <c r="U833" i="13"/>
  <c r="W833" i="13" s="1"/>
  <c r="AB871" i="13"/>
  <c r="AE871" i="13" s="1"/>
  <c r="AB903" i="13"/>
  <c r="AC903" i="13" s="1"/>
  <c r="V905" i="13"/>
  <c r="AE905" i="13" s="1"/>
  <c r="U1025" i="13"/>
  <c r="W1025" i="13" s="1"/>
  <c r="V1054" i="13"/>
  <c r="W1054" i="13" s="1"/>
  <c r="V1070" i="13"/>
  <c r="W1070" i="13" s="1"/>
  <c r="AA1075" i="13"/>
  <c r="V1078" i="13"/>
  <c r="AB1089" i="13"/>
  <c r="AC1089" i="13" s="1"/>
  <c r="V1118" i="13"/>
  <c r="W1118" i="13" s="1"/>
  <c r="AA1122" i="13"/>
  <c r="U1123" i="13"/>
  <c r="W1123" i="13" s="1"/>
  <c r="AB1135" i="13"/>
  <c r="AA1144" i="13"/>
  <c r="U1146" i="13"/>
  <c r="W1146" i="13" s="1"/>
  <c r="AB1157" i="13"/>
  <c r="AC1157" i="13" s="1"/>
  <c r="U1158" i="13"/>
  <c r="W1158" i="13" s="1"/>
  <c r="AA1169" i="13"/>
  <c r="V1193" i="13"/>
  <c r="AE1193" i="13" s="1"/>
  <c r="V1266" i="13"/>
  <c r="U1266" i="13"/>
  <c r="V1327" i="13"/>
  <c r="AE1327" i="13" s="1"/>
  <c r="U1327" i="13"/>
  <c r="W1327" i="13" s="1"/>
  <c r="AE1382" i="13"/>
  <c r="AB1180" i="13"/>
  <c r="AC1180" i="13" s="1"/>
  <c r="V1201" i="13"/>
  <c r="AE1201" i="13" s="1"/>
  <c r="AB1220" i="13"/>
  <c r="AE1220" i="13" s="1"/>
  <c r="U1221" i="13"/>
  <c r="W1221" i="13" s="1"/>
  <c r="AA1228" i="13"/>
  <c r="U1235" i="13"/>
  <c r="W1235" i="13" s="1"/>
  <c r="AB1141" i="13"/>
  <c r="AC1141" i="13" s="1"/>
  <c r="V1143" i="13"/>
  <c r="AE1143" i="13" s="1"/>
  <c r="V1169" i="13"/>
  <c r="AE1169" i="13" s="1"/>
  <c r="AB1281" i="13"/>
  <c r="AE1281" i="13" s="1"/>
  <c r="AE1299" i="13"/>
  <c r="AC547" i="13"/>
  <c r="AE547" i="13"/>
  <c r="AE579" i="13"/>
  <c r="AA697" i="13"/>
  <c r="AB697" i="13"/>
  <c r="AC697" i="13" s="1"/>
  <c r="AA1030" i="13"/>
  <c r="AB1030" i="13"/>
  <c r="AC1030" i="13" s="1"/>
  <c r="U241" i="13"/>
  <c r="W241" i="13" s="1"/>
  <c r="V247" i="13"/>
  <c r="AE247" i="13" s="1"/>
  <c r="AB256" i="13"/>
  <c r="AC256" i="13" s="1"/>
  <c r="U258" i="13"/>
  <c r="W258" i="13" s="1"/>
  <c r="AB266" i="13"/>
  <c r="AC266" i="13" s="1"/>
  <c r="AB296" i="13"/>
  <c r="AE296" i="13" s="1"/>
  <c r="U297" i="13"/>
  <c r="W297" i="13" s="1"/>
  <c r="AA315" i="13"/>
  <c r="V316" i="13"/>
  <c r="W316" i="13" s="1"/>
  <c r="AB322" i="13"/>
  <c r="AC322" i="13" s="1"/>
  <c r="V330" i="13"/>
  <c r="AE330" i="13" s="1"/>
  <c r="AA366" i="13"/>
  <c r="V367" i="13"/>
  <c r="AE367" i="13" s="1"/>
  <c r="AB376" i="13"/>
  <c r="AC376" i="13" s="1"/>
  <c r="U378" i="13"/>
  <c r="W378" i="13" s="1"/>
  <c r="U403" i="13"/>
  <c r="W403" i="13" s="1"/>
  <c r="AA405" i="13"/>
  <c r="U429" i="13"/>
  <c r="W429" i="13" s="1"/>
  <c r="AB439" i="13"/>
  <c r="AC439" i="13" s="1"/>
  <c r="AB450" i="13"/>
  <c r="AC450" i="13" s="1"/>
  <c r="U451" i="13"/>
  <c r="W451" i="13" s="1"/>
  <c r="AB466" i="13"/>
  <c r="AC466" i="13" s="1"/>
  <c r="U467" i="13"/>
  <c r="W467" i="13" s="1"/>
  <c r="AB482" i="13"/>
  <c r="AC482" i="13" s="1"/>
  <c r="U483" i="13"/>
  <c r="W483" i="13" s="1"/>
  <c r="AA485" i="13"/>
  <c r="AB491" i="13"/>
  <c r="AE491" i="13" s="1"/>
  <c r="U492" i="13"/>
  <c r="W492" i="13" s="1"/>
  <c r="AA494" i="13"/>
  <c r="U495" i="13"/>
  <c r="W495" i="13" s="1"/>
  <c r="AB507" i="13"/>
  <c r="AE507" i="13" s="1"/>
  <c r="U508" i="13"/>
  <c r="W508" i="13" s="1"/>
  <c r="AA518" i="13"/>
  <c r="U519" i="13"/>
  <c r="W519" i="13" s="1"/>
  <c r="AB530" i="13"/>
  <c r="AC530" i="13" s="1"/>
  <c r="U531" i="13"/>
  <c r="W531" i="13" s="1"/>
  <c r="AA533" i="13"/>
  <c r="AA541" i="13"/>
  <c r="U542" i="13"/>
  <c r="W542" i="13" s="1"/>
  <c r="AA548" i="13"/>
  <c r="U555" i="13"/>
  <c r="W555" i="13" s="1"/>
  <c r="V560" i="13"/>
  <c r="AB568" i="13"/>
  <c r="V583" i="13"/>
  <c r="W583" i="13" s="1"/>
  <c r="AB592" i="13"/>
  <c r="AC592" i="13" s="1"/>
  <c r="AB600" i="13"/>
  <c r="AC600" i="13" s="1"/>
  <c r="AA601" i="13"/>
  <c r="AB601" i="13"/>
  <c r="AE601" i="13" s="1"/>
  <c r="U611" i="13"/>
  <c r="W611" i="13" s="1"/>
  <c r="AB619" i="13"/>
  <c r="AC619" i="13" s="1"/>
  <c r="AA619" i="13"/>
  <c r="AB775" i="13"/>
  <c r="AC775" i="13" s="1"/>
  <c r="AA775" i="13"/>
  <c r="U859" i="13"/>
  <c r="V859" i="13"/>
  <c r="AE859" i="13" s="1"/>
  <c r="V952" i="13"/>
  <c r="AE952" i="13" s="1"/>
  <c r="U952" i="13"/>
  <c r="W952" i="13" s="1"/>
  <c r="V1219" i="13"/>
  <c r="AE1219" i="13" s="1"/>
  <c r="U1219" i="13"/>
  <c r="W1219" i="13" s="1"/>
  <c r="AB1376" i="13"/>
  <c r="AC1376" i="13" s="1"/>
  <c r="AA1376" i="13"/>
  <c r="V1419" i="13"/>
  <c r="AE1419" i="13" s="1"/>
  <c r="U1419" i="13"/>
  <c r="W1419" i="13" s="1"/>
  <c r="AA232" i="13"/>
  <c r="AA267" i="13"/>
  <c r="V271" i="13"/>
  <c r="AE271" i="13" s="1"/>
  <c r="AA283" i="13"/>
  <c r="V287" i="13"/>
  <c r="AE287" i="13" s="1"/>
  <c r="U306" i="13"/>
  <c r="W306" i="13" s="1"/>
  <c r="AA323" i="13"/>
  <c r="U324" i="13"/>
  <c r="W324" i="13" s="1"/>
  <c r="U341" i="13"/>
  <c r="W341" i="13" s="1"/>
  <c r="AA380" i="13"/>
  <c r="U381" i="13"/>
  <c r="W381" i="13" s="1"/>
  <c r="AB392" i="13"/>
  <c r="AC392" i="13" s="1"/>
  <c r="U394" i="13"/>
  <c r="W394" i="13" s="1"/>
  <c r="AA396" i="13"/>
  <c r="U397" i="13"/>
  <c r="W397" i="13" s="1"/>
  <c r="AB419" i="13"/>
  <c r="AE419" i="13" s="1"/>
  <c r="V420" i="13"/>
  <c r="AE420" i="13" s="1"/>
  <c r="AB435" i="13"/>
  <c r="AE435" i="13" s="1"/>
  <c r="U436" i="13"/>
  <c r="W436" i="13" s="1"/>
  <c r="V441" i="13"/>
  <c r="W441" i="13" s="1"/>
  <c r="AA444" i="13"/>
  <c r="U445" i="13"/>
  <c r="W445" i="13" s="1"/>
  <c r="AA454" i="13"/>
  <c r="V457" i="13"/>
  <c r="W457" i="13" s="1"/>
  <c r="AA460" i="13"/>
  <c r="U461" i="13"/>
  <c r="W461" i="13" s="1"/>
  <c r="AA470" i="13"/>
  <c r="V473" i="13"/>
  <c r="W473" i="13" s="1"/>
  <c r="AA476" i="13"/>
  <c r="U477" i="13"/>
  <c r="W477" i="13" s="1"/>
  <c r="V497" i="13"/>
  <c r="AA512" i="13"/>
  <c r="AB515" i="13"/>
  <c r="AE515" i="13" s="1"/>
  <c r="U516" i="13"/>
  <c r="W516" i="13" s="1"/>
  <c r="AB523" i="13"/>
  <c r="AE523" i="13" s="1"/>
  <c r="U524" i="13"/>
  <c r="W524" i="13" s="1"/>
  <c r="AB538" i="13"/>
  <c r="AC538" i="13" s="1"/>
  <c r="U539" i="13"/>
  <c r="W539" i="13" s="1"/>
  <c r="V543" i="13"/>
  <c r="AE543" i="13" s="1"/>
  <c r="U547" i="13"/>
  <c r="W547" i="13" s="1"/>
  <c r="V551" i="13"/>
  <c r="AE551" i="13" s="1"/>
  <c r="AA563" i="13"/>
  <c r="U579" i="13"/>
  <c r="W579" i="13" s="1"/>
  <c r="V584" i="13"/>
  <c r="AA587" i="13"/>
  <c r="AB593" i="13"/>
  <c r="AC593" i="13" s="1"/>
  <c r="U594" i="13"/>
  <c r="W594" i="13" s="1"/>
  <c r="V643" i="13"/>
  <c r="U643" i="13"/>
  <c r="AC830" i="13"/>
  <c r="V897" i="13"/>
  <c r="AE897" i="13" s="1"/>
  <c r="U897" i="13"/>
  <c r="W897" i="13" s="1"/>
  <c r="V935" i="13"/>
  <c r="AE935" i="13" s="1"/>
  <c r="U935" i="13"/>
  <c r="W935" i="13" s="1"/>
  <c r="AA951" i="13"/>
  <c r="AB951" i="13"/>
  <c r="AE951" i="13" s="1"/>
  <c r="U233" i="13"/>
  <c r="W233" i="13" s="1"/>
  <c r="AA235" i="13"/>
  <c r="U272" i="13"/>
  <c r="W272" i="13" s="1"/>
  <c r="AA275" i="13"/>
  <c r="V278" i="13"/>
  <c r="AE278" i="13" s="1"/>
  <c r="U325" i="13"/>
  <c r="W325" i="13" s="1"/>
  <c r="AA334" i="13"/>
  <c r="V354" i="13"/>
  <c r="AE354" i="13" s="1"/>
  <c r="U379" i="13"/>
  <c r="W379" i="13" s="1"/>
  <c r="AB384" i="13"/>
  <c r="AC384" i="13" s="1"/>
  <c r="U386" i="13"/>
  <c r="W386" i="13" s="1"/>
  <c r="U421" i="13"/>
  <c r="W421" i="13" s="1"/>
  <c r="AA429" i="13"/>
  <c r="AB451" i="13"/>
  <c r="AE451" i="13" s="1"/>
  <c r="U452" i="13"/>
  <c r="W452" i="13" s="1"/>
  <c r="AA534" i="13"/>
  <c r="AB560" i="13"/>
  <c r="V634" i="13"/>
  <c r="AE634" i="13" s="1"/>
  <c r="U634" i="13"/>
  <c r="W634" i="13" s="1"/>
  <c r="V675" i="13"/>
  <c r="AE675" i="13" s="1"/>
  <c r="U675" i="13"/>
  <c r="W675" i="13" s="1"/>
  <c r="AA688" i="13"/>
  <c r="AB688" i="13"/>
  <c r="AC688" i="13" s="1"/>
  <c r="AC761" i="13"/>
  <c r="AE761" i="13"/>
  <c r="AE825" i="13"/>
  <c r="AB882" i="13"/>
  <c r="AE882" i="13" s="1"/>
  <c r="AA882" i="13"/>
  <c r="AA895" i="13"/>
  <c r="AB895" i="13"/>
  <c r="AE895" i="13" s="1"/>
  <c r="AB980" i="13"/>
  <c r="AC980" i="13" s="1"/>
  <c r="AA980" i="13"/>
  <c r="U1022" i="13"/>
  <c r="W1022" i="13" s="1"/>
  <c r="V1022" i="13"/>
  <c r="V1041" i="13"/>
  <c r="U1041" i="13"/>
  <c r="AB1276" i="13"/>
  <c r="AA1276" i="13"/>
  <c r="V1338" i="13"/>
  <c r="AE1338" i="13" s="1"/>
  <c r="U1338" i="13"/>
  <c r="W1338" i="13" s="1"/>
  <c r="V602" i="13"/>
  <c r="AE602" i="13" s="1"/>
  <c r="U602" i="13"/>
  <c r="AB668" i="13"/>
  <c r="AC668" i="13" s="1"/>
  <c r="AA668" i="13"/>
  <c r="V817" i="13"/>
  <c r="AE817" i="13" s="1"/>
  <c r="U817" i="13"/>
  <c r="W817" i="13" s="1"/>
  <c r="AB1173" i="13"/>
  <c r="AC1173" i="13" s="1"/>
  <c r="AA1173" i="13"/>
  <c r="U242" i="13"/>
  <c r="W242" i="13" s="1"/>
  <c r="AB288" i="13"/>
  <c r="AE288" i="13" s="1"/>
  <c r="U290" i="13"/>
  <c r="W290" i="13" s="1"/>
  <c r="AB312" i="13"/>
  <c r="AE312" i="13" s="1"/>
  <c r="V313" i="13"/>
  <c r="AE313" i="13" s="1"/>
  <c r="AB317" i="13"/>
  <c r="AE317" i="13" s="1"/>
  <c r="V319" i="13"/>
  <c r="AE319" i="13" s="1"/>
  <c r="V337" i="13"/>
  <c r="W337" i="13" s="1"/>
  <c r="U371" i="13"/>
  <c r="W371" i="13" s="1"/>
  <c r="AA388" i="13"/>
  <c r="U389" i="13"/>
  <c r="W389" i="13" s="1"/>
  <c r="U395" i="13"/>
  <c r="W395" i="13" s="1"/>
  <c r="AB403" i="13"/>
  <c r="AE403" i="13" s="1"/>
  <c r="U404" i="13"/>
  <c r="W404" i="13" s="1"/>
  <c r="AA406" i="13"/>
  <c r="AA477" i="13"/>
  <c r="V490" i="13"/>
  <c r="W490" i="13" s="1"/>
  <c r="V506" i="13"/>
  <c r="AA508" i="13"/>
  <c r="U509" i="13"/>
  <c r="W509" i="13" s="1"/>
  <c r="V514" i="13"/>
  <c r="W514" i="13" s="1"/>
  <c r="AA520" i="13"/>
  <c r="AB539" i="13"/>
  <c r="AC539" i="13" s="1"/>
  <c r="U540" i="13"/>
  <c r="W540" i="13" s="1"/>
  <c r="AA543" i="13"/>
  <c r="AA551" i="13"/>
  <c r="V552" i="13"/>
  <c r="W552" i="13" s="1"/>
  <c r="AA555" i="13"/>
  <c r="AB584" i="13"/>
  <c r="AC584" i="13" s="1"/>
  <c r="AA633" i="13"/>
  <c r="AB633" i="13"/>
  <c r="AE633" i="13" s="1"/>
  <c r="AB705" i="13"/>
  <c r="AE705" i="13" s="1"/>
  <c r="AA705" i="13"/>
  <c r="AB731" i="13"/>
  <c r="AC731" i="13" s="1"/>
  <c r="AA731" i="13"/>
  <c r="V764" i="13"/>
  <c r="AE764" i="13" s="1"/>
  <c r="U764" i="13"/>
  <c r="AB778" i="13"/>
  <c r="AE778" i="13" s="1"/>
  <c r="AA778" i="13"/>
  <c r="U797" i="13"/>
  <c r="W797" i="13" s="1"/>
  <c r="V797" i="13"/>
  <c r="AB833" i="13"/>
  <c r="AC833" i="13" s="1"/>
  <c r="AA833" i="13"/>
  <c r="V849" i="13"/>
  <c r="U849" i="13"/>
  <c r="W849" i="13" s="1"/>
  <c r="V985" i="13"/>
  <c r="AE985" i="13" s="1"/>
  <c r="U985" i="13"/>
  <c r="V1144" i="13"/>
  <c r="AE1144" i="13" s="1"/>
  <c r="U1144" i="13"/>
  <c r="W1144" i="13" s="1"/>
  <c r="AB636" i="13"/>
  <c r="AE636" i="13" s="1"/>
  <c r="AA636" i="13"/>
  <c r="AB1083" i="13"/>
  <c r="AE1083" i="13" s="1"/>
  <c r="AA1083" i="13"/>
  <c r="AA307" i="13"/>
  <c r="V308" i="13"/>
  <c r="AE308" i="13" s="1"/>
  <c r="U314" i="13"/>
  <c r="W314" i="13" s="1"/>
  <c r="AA325" i="13"/>
  <c r="U365" i="13"/>
  <c r="W365" i="13" s="1"/>
  <c r="AA422" i="13"/>
  <c r="V426" i="13"/>
  <c r="W426" i="13" s="1"/>
  <c r="AB561" i="13"/>
  <c r="AE561" i="13" s="1"/>
  <c r="V576" i="13"/>
  <c r="AB585" i="13"/>
  <c r="AE585" i="13" s="1"/>
  <c r="U586" i="13"/>
  <c r="W586" i="13" s="1"/>
  <c r="AB604" i="13"/>
  <c r="AC604" i="13" s="1"/>
  <c r="AA604" i="13"/>
  <c r="AA656" i="13"/>
  <c r="AB656" i="13"/>
  <c r="AC656" i="13" s="1"/>
  <c r="V666" i="13"/>
  <c r="AE666" i="13" s="1"/>
  <c r="U666" i="13"/>
  <c r="W666" i="13" s="1"/>
  <c r="AB708" i="13"/>
  <c r="AE708" i="13" s="1"/>
  <c r="AA708" i="13"/>
  <c r="V784" i="13"/>
  <c r="AE784" i="13" s="1"/>
  <c r="U784" i="13"/>
  <c r="W784" i="13" s="1"/>
  <c r="AB809" i="13"/>
  <c r="AC809" i="13" s="1"/>
  <c r="AA809" i="13"/>
  <c r="V840" i="13"/>
  <c r="AE840" i="13" s="1"/>
  <c r="U840" i="13"/>
  <c r="W840" i="13" s="1"/>
  <c r="V889" i="13"/>
  <c r="AE889" i="13" s="1"/>
  <c r="U889" i="13"/>
  <c r="W889" i="13" s="1"/>
  <c r="V926" i="13"/>
  <c r="AE926" i="13" s="1"/>
  <c r="U926" i="13"/>
  <c r="W926" i="13" s="1"/>
  <c r="AF926" i="13" s="1"/>
  <c r="AA1006" i="13"/>
  <c r="AB1006" i="13"/>
  <c r="AC1006" i="13" s="1"/>
  <c r="U1062" i="13"/>
  <c r="V1062" i="13"/>
  <c r="V1091" i="13"/>
  <c r="AE1091" i="13" s="1"/>
  <c r="U1091" i="13"/>
  <c r="W1091" i="13" s="1"/>
  <c r="V1188" i="13"/>
  <c r="AE1188" i="13" s="1"/>
  <c r="U1188" i="13"/>
  <c r="W1188" i="13" s="1"/>
  <c r="AF1188" i="13" s="1"/>
  <c r="V1205" i="13"/>
  <c r="AE1205" i="13" s="1"/>
  <c r="U1205" i="13"/>
  <c r="AC1327" i="13"/>
  <c r="AE1328" i="13"/>
  <c r="AC1328" i="13"/>
  <c r="AB713" i="13"/>
  <c r="AE713" i="13" s="1"/>
  <c r="AA713" i="13"/>
  <c r="V758" i="13"/>
  <c r="U758" i="13"/>
  <c r="W758" i="13" s="1"/>
  <c r="U234" i="13"/>
  <c r="W234" i="13" s="1"/>
  <c r="AA243" i="13"/>
  <c r="V244" i="13"/>
  <c r="AE244" i="13" s="1"/>
  <c r="AA251" i="13"/>
  <c r="V255" i="13"/>
  <c r="AE255" i="13" s="1"/>
  <c r="AB264" i="13"/>
  <c r="AE264" i="13" s="1"/>
  <c r="U266" i="13"/>
  <c r="W266" i="13" s="1"/>
  <c r="AB272" i="13"/>
  <c r="AE272" i="13" s="1"/>
  <c r="U274" i="13"/>
  <c r="W274" i="13" s="1"/>
  <c r="AA291" i="13"/>
  <c r="U295" i="13"/>
  <c r="W295" i="13" s="1"/>
  <c r="AB320" i="13"/>
  <c r="AE320" i="13" s="1"/>
  <c r="V321" i="13"/>
  <c r="AE321" i="13" s="1"/>
  <c r="AA342" i="13"/>
  <c r="V346" i="13"/>
  <c r="AE346" i="13" s="1"/>
  <c r="U349" i="13"/>
  <c r="W349" i="13" s="1"/>
  <c r="AA358" i="13"/>
  <c r="V362" i="13"/>
  <c r="AE362" i="13" s="1"/>
  <c r="AB371" i="13"/>
  <c r="AE371" i="13" s="1"/>
  <c r="U372" i="13"/>
  <c r="W372" i="13" s="1"/>
  <c r="U380" i="13"/>
  <c r="W380" i="13" s="1"/>
  <c r="AA389" i="13"/>
  <c r="AB395" i="13"/>
  <c r="AE395" i="13" s="1"/>
  <c r="U396" i="13"/>
  <c r="W396" i="13" s="1"/>
  <c r="AA398" i="13"/>
  <c r="V399" i="13"/>
  <c r="AE399" i="13" s="1"/>
  <c r="AB411" i="13"/>
  <c r="AC411" i="13" s="1"/>
  <c r="U413" i="13"/>
  <c r="W413" i="13" s="1"/>
  <c r="AA446" i="13"/>
  <c r="V449" i="13"/>
  <c r="U453" i="13"/>
  <c r="W453" i="13" s="1"/>
  <c r="AA462" i="13"/>
  <c r="AB490" i="13"/>
  <c r="AC490" i="13" s="1"/>
  <c r="AA493" i="13"/>
  <c r="U499" i="13"/>
  <c r="W499" i="13" s="1"/>
  <c r="AB506" i="13"/>
  <c r="AA509" i="13"/>
  <c r="AB514" i="13"/>
  <c r="AC514" i="13" s="1"/>
  <c r="V522" i="13"/>
  <c r="W522" i="13" s="1"/>
  <c r="AA524" i="13"/>
  <c r="U525" i="13"/>
  <c r="W525" i="13" s="1"/>
  <c r="AA536" i="13"/>
  <c r="AB544" i="13"/>
  <c r="AC544" i="13" s="1"/>
  <c r="AB552" i="13"/>
  <c r="AC552" i="13" s="1"/>
  <c r="AB664" i="13"/>
  <c r="AC664" i="13" s="1"/>
  <c r="AA665" i="13"/>
  <c r="AB665" i="13"/>
  <c r="AC665" i="13" s="1"/>
  <c r="V680" i="13"/>
  <c r="U680" i="13"/>
  <c r="W680" i="13" s="1"/>
  <c r="AE692" i="13"/>
  <c r="V754" i="13"/>
  <c r="U754" i="13"/>
  <c r="W754" i="13" s="1"/>
  <c r="AB767" i="13"/>
  <c r="AC767" i="13" s="1"/>
  <c r="AA767" i="13"/>
  <c r="AA783" i="13"/>
  <c r="AB783" i="13"/>
  <c r="AC783" i="13" s="1"/>
  <c r="AA839" i="13"/>
  <c r="AB839" i="13"/>
  <c r="AE839" i="13" s="1"/>
  <c r="AB888" i="13"/>
  <c r="AC888" i="13" s="1"/>
  <c r="AA888" i="13"/>
  <c r="U910" i="13"/>
  <c r="W910" i="13" s="1"/>
  <c r="V910" i="13"/>
  <c r="V992" i="13"/>
  <c r="AE992" i="13" s="1"/>
  <c r="U992" i="13"/>
  <c r="W992" i="13" s="1"/>
  <c r="AB1081" i="13"/>
  <c r="AC1081" i="13" s="1"/>
  <c r="AA1081" i="13"/>
  <c r="AB1090" i="13"/>
  <c r="AE1090" i="13" s="1"/>
  <c r="AA1090" i="13"/>
  <c r="AE587" i="13"/>
  <c r="V256" i="13"/>
  <c r="W256" i="13" s="1"/>
  <c r="AA308" i="13"/>
  <c r="AB314" i="13"/>
  <c r="AC314" i="13" s="1"/>
  <c r="U315" i="13"/>
  <c r="W315" i="13" s="1"/>
  <c r="AA374" i="13"/>
  <c r="AB426" i="13"/>
  <c r="AC426" i="13" s="1"/>
  <c r="AB443" i="13"/>
  <c r="AE443" i="13" s="1"/>
  <c r="V450" i="13"/>
  <c r="AB459" i="13"/>
  <c r="AE459" i="13" s="1"/>
  <c r="V466" i="13"/>
  <c r="W466" i="13" s="1"/>
  <c r="AB475" i="13"/>
  <c r="AE475" i="13" s="1"/>
  <c r="V482" i="13"/>
  <c r="W482" i="13" s="1"/>
  <c r="AA484" i="13"/>
  <c r="U485" i="13"/>
  <c r="W485" i="13" s="1"/>
  <c r="U491" i="13"/>
  <c r="W491" i="13" s="1"/>
  <c r="U507" i="13"/>
  <c r="W507" i="13" s="1"/>
  <c r="V530" i="13"/>
  <c r="AA532" i="13"/>
  <c r="U533" i="13"/>
  <c r="W533" i="13" s="1"/>
  <c r="V537" i="13"/>
  <c r="W537" i="13" s="1"/>
  <c r="AA540" i="13"/>
  <c r="U541" i="13"/>
  <c r="W541" i="13" s="1"/>
  <c r="AB545" i="13"/>
  <c r="AC545" i="13" s="1"/>
  <c r="AB553" i="13"/>
  <c r="AC553" i="13" s="1"/>
  <c r="V568" i="13"/>
  <c r="W568" i="13" s="1"/>
  <c r="AB576" i="13"/>
  <c r="AC576" i="13" s="1"/>
  <c r="AF576" i="13" s="1"/>
  <c r="V592" i="13"/>
  <c r="W592" i="13" s="1"/>
  <c r="AA627" i="13"/>
  <c r="U648" i="13"/>
  <c r="V648" i="13"/>
  <c r="V698" i="13"/>
  <c r="AE698" i="13" s="1"/>
  <c r="U698" i="13"/>
  <c r="W698" i="13" s="1"/>
  <c r="AE724" i="13"/>
  <c r="AB852" i="13"/>
  <c r="AC852" i="13" s="1"/>
  <c r="AA852" i="13"/>
  <c r="AB962" i="13"/>
  <c r="AE962" i="13" s="1"/>
  <c r="AA962" i="13"/>
  <c r="AA991" i="13"/>
  <c r="AB991" i="13"/>
  <c r="AE991" i="13" s="1"/>
  <c r="AE769" i="13"/>
  <c r="AE801" i="13"/>
  <c r="V1137" i="13"/>
  <c r="AE1137" i="13" s="1"/>
  <c r="U1137" i="13"/>
  <c r="W1137" i="13" s="1"/>
  <c r="AB1152" i="13"/>
  <c r="AC1152" i="13" s="1"/>
  <c r="AA1152" i="13"/>
  <c r="V1179" i="13"/>
  <c r="AE1179" i="13" s="1"/>
  <c r="U1179" i="13"/>
  <c r="AB1227" i="13"/>
  <c r="AC1227" i="13" s="1"/>
  <c r="AA1227" i="13"/>
  <c r="U1293" i="13"/>
  <c r="W1293" i="13" s="1"/>
  <c r="V1293" i="13"/>
  <c r="AE1293" i="13" s="1"/>
  <c r="AE1322" i="13"/>
  <c r="AB1418" i="13"/>
  <c r="AC1418" i="13" s="1"/>
  <c r="AA1418" i="13"/>
  <c r="AB689" i="13"/>
  <c r="AE689" i="13" s="1"/>
  <c r="U690" i="13"/>
  <c r="W690" i="13" s="1"/>
  <c r="AA692" i="13"/>
  <c r="AA700" i="13"/>
  <c r="U706" i="13"/>
  <c r="W706" i="13" s="1"/>
  <c r="V709" i="13"/>
  <c r="AE709" i="13" s="1"/>
  <c r="U714" i="13"/>
  <c r="W714" i="13" s="1"/>
  <c r="AA721" i="13"/>
  <c r="AA724" i="13"/>
  <c r="AA729" i="13"/>
  <c r="AB739" i="13"/>
  <c r="AC739" i="13" s="1"/>
  <c r="U744" i="13"/>
  <c r="W744" i="13" s="1"/>
  <c r="U747" i="13"/>
  <c r="W747" i="13" s="1"/>
  <c r="U755" i="13"/>
  <c r="W755" i="13" s="1"/>
  <c r="U761" i="13"/>
  <c r="W761" i="13" s="1"/>
  <c r="V765" i="13"/>
  <c r="AE765" i="13" s="1"/>
  <c r="AA770" i="13"/>
  <c r="U776" i="13"/>
  <c r="W776" i="13" s="1"/>
  <c r="U780" i="13"/>
  <c r="W780" i="13" s="1"/>
  <c r="AA786" i="13"/>
  <c r="U793" i="13"/>
  <c r="W793" i="13" s="1"/>
  <c r="V798" i="13"/>
  <c r="AB806" i="13"/>
  <c r="AC806" i="13" s="1"/>
  <c r="AB823" i="13"/>
  <c r="AC823" i="13" s="1"/>
  <c r="U824" i="13"/>
  <c r="W824" i="13" s="1"/>
  <c r="AA831" i="13"/>
  <c r="V854" i="13"/>
  <c r="AE854" i="13" s="1"/>
  <c r="U865" i="13"/>
  <c r="W865" i="13" s="1"/>
  <c r="AB868" i="13"/>
  <c r="AC868" i="13" s="1"/>
  <c r="V870" i="13"/>
  <c r="AE870" i="13" s="1"/>
  <c r="AA874" i="13"/>
  <c r="AB879" i="13"/>
  <c r="AE879" i="13" s="1"/>
  <c r="U880" i="13"/>
  <c r="W880" i="13" s="1"/>
  <c r="V886" i="13"/>
  <c r="AE886" i="13" s="1"/>
  <c r="V919" i="13"/>
  <c r="AE919" i="13" s="1"/>
  <c r="AB928" i="13"/>
  <c r="AE928" i="13" s="1"/>
  <c r="U929" i="13"/>
  <c r="W929" i="13" s="1"/>
  <c r="V941" i="13"/>
  <c r="W941" i="13" s="1"/>
  <c r="AA945" i="13"/>
  <c r="AB958" i="13"/>
  <c r="AC958" i="13" s="1"/>
  <c r="AA968" i="13"/>
  <c r="U969" i="13"/>
  <c r="W969" i="13" s="1"/>
  <c r="V981" i="13"/>
  <c r="AA996" i="13"/>
  <c r="AA1001" i="13"/>
  <c r="AB1007" i="13"/>
  <c r="AE1007" i="13" s="1"/>
  <c r="U1008" i="13"/>
  <c r="W1008" i="13" s="1"/>
  <c r="AA1012" i="13"/>
  <c r="V1013" i="13"/>
  <c r="W1013" i="13" s="1"/>
  <c r="AA1017" i="13"/>
  <c r="AA1025" i="13"/>
  <c r="AB1031" i="13"/>
  <c r="AC1031" i="13" s="1"/>
  <c r="U1032" i="13"/>
  <c r="W1032" i="13" s="1"/>
  <c r="AB1046" i="13"/>
  <c r="AC1046" i="13" s="1"/>
  <c r="U1047" i="13"/>
  <c r="W1047" i="13" s="1"/>
  <c r="AA1050" i="13"/>
  <c r="U1051" i="13"/>
  <c r="W1051" i="13" s="1"/>
  <c r="U1057" i="13"/>
  <c r="W1057" i="13" s="1"/>
  <c r="AA1066" i="13"/>
  <c r="U1067" i="13"/>
  <c r="W1067" i="13" s="1"/>
  <c r="AB1071" i="13"/>
  <c r="AC1071" i="13" s="1"/>
  <c r="U1072" i="13"/>
  <c r="W1072" i="13" s="1"/>
  <c r="AB1078" i="13"/>
  <c r="AC1078" i="13" s="1"/>
  <c r="V1079" i="13"/>
  <c r="W1079" i="13" s="1"/>
  <c r="U1082" i="13"/>
  <c r="W1082" i="13" s="1"/>
  <c r="AA1084" i="13"/>
  <c r="V1085" i="13"/>
  <c r="W1085" i="13" s="1"/>
  <c r="AB1088" i="13"/>
  <c r="AC1088" i="13" s="1"/>
  <c r="AF1088" i="13" s="1"/>
  <c r="U1089" i="13"/>
  <c r="W1089" i="13" s="1"/>
  <c r="U1103" i="13"/>
  <c r="V1103" i="13"/>
  <c r="V1104" i="13"/>
  <c r="U1104" i="13"/>
  <c r="V1110" i="13"/>
  <c r="W1110" i="13" s="1"/>
  <c r="AB1127" i="13"/>
  <c r="U1128" i="13"/>
  <c r="W1128" i="13" s="1"/>
  <c r="AA1160" i="13"/>
  <c r="AB1191" i="13"/>
  <c r="AC1191" i="13" s="1"/>
  <c r="AA1191" i="13"/>
  <c r="V1283" i="13"/>
  <c r="U1283" i="13"/>
  <c r="W1283" i="13" s="1"/>
  <c r="AB1292" i="13"/>
  <c r="AE1292" i="13" s="1"/>
  <c r="AA1292" i="13"/>
  <c r="AB624" i="13"/>
  <c r="AC624" i="13" s="1"/>
  <c r="V639" i="13"/>
  <c r="W639" i="13" s="1"/>
  <c r="AA651" i="13"/>
  <c r="V671" i="13"/>
  <c r="W671" i="13" s="1"/>
  <c r="AA683" i="13"/>
  <c r="U699" i="13"/>
  <c r="W699" i="13" s="1"/>
  <c r="V703" i="13"/>
  <c r="W703" i="13" s="1"/>
  <c r="AA716" i="13"/>
  <c r="V725" i="13"/>
  <c r="AE725" i="13" s="1"/>
  <c r="AA737" i="13"/>
  <c r="U768" i="13"/>
  <c r="W768" i="13" s="1"/>
  <c r="V773" i="13"/>
  <c r="AE773" i="13" s="1"/>
  <c r="V781" i="13"/>
  <c r="AE781" i="13" s="1"/>
  <c r="V789" i="13"/>
  <c r="W789" i="13" s="1"/>
  <c r="AA801" i="13"/>
  <c r="AB807" i="13"/>
  <c r="AC807" i="13" s="1"/>
  <c r="U808" i="13"/>
  <c r="W808" i="13" s="1"/>
  <c r="AB860" i="13"/>
  <c r="AC860" i="13" s="1"/>
  <c r="AA889" i="13"/>
  <c r="AA898" i="13"/>
  <c r="V902" i="13"/>
  <c r="AE902" i="13" s="1"/>
  <c r="AB910" i="13"/>
  <c r="AC910" i="13" s="1"/>
  <c r="V942" i="13"/>
  <c r="AE942" i="13" s="1"/>
  <c r="AA946" i="13"/>
  <c r="U949" i="13"/>
  <c r="W949" i="13" s="1"/>
  <c r="U953" i="13"/>
  <c r="W953" i="13" s="1"/>
  <c r="U977" i="13"/>
  <c r="W977" i="13" s="1"/>
  <c r="V982" i="13"/>
  <c r="W982" i="13" s="1"/>
  <c r="AA985" i="13"/>
  <c r="U993" i="13"/>
  <c r="W993" i="13" s="1"/>
  <c r="V997" i="13"/>
  <c r="W997" i="13" s="1"/>
  <c r="V1014" i="13"/>
  <c r="AB1022" i="13"/>
  <c r="AA1036" i="13"/>
  <c r="AA1041" i="13"/>
  <c r="AB1062" i="13"/>
  <c r="AC1062" i="13" s="1"/>
  <c r="AA1074" i="13"/>
  <c r="U1075" i="13"/>
  <c r="W1075" i="13" s="1"/>
  <c r="V1086" i="13"/>
  <c r="AA1102" i="13"/>
  <c r="AB1102" i="13"/>
  <c r="AC1102" i="13" s="1"/>
  <c r="AA1103" i="13"/>
  <c r="AB1103" i="13"/>
  <c r="AC1103" i="13" s="1"/>
  <c r="V1106" i="13"/>
  <c r="AE1106" i="13" s="1"/>
  <c r="U1106" i="13"/>
  <c r="W1106" i="13" s="1"/>
  <c r="V1234" i="13"/>
  <c r="AE1234" i="13" s="1"/>
  <c r="U1234" i="13"/>
  <c r="U1259" i="13"/>
  <c r="W1259" i="13" s="1"/>
  <c r="V1272" i="13"/>
  <c r="AE1272" i="13" s="1"/>
  <c r="AA1300" i="13"/>
  <c r="V1301" i="13"/>
  <c r="AE1301" i="13" s="1"/>
  <c r="U1303" i="13"/>
  <c r="W1303" i="13" s="1"/>
  <c r="V1303" i="13"/>
  <c r="AB1331" i="13"/>
  <c r="AC1331" i="13" s="1"/>
  <c r="AA1331" i="13"/>
  <c r="AA1352" i="13"/>
  <c r="V608" i="13"/>
  <c r="W608" i="13" s="1"/>
  <c r="AA611" i="13"/>
  <c r="AB616" i="13"/>
  <c r="AC616" i="13" s="1"/>
  <c r="V640" i="13"/>
  <c r="W640" i="13" s="1"/>
  <c r="AB648" i="13"/>
  <c r="U667" i="13"/>
  <c r="W667" i="13" s="1"/>
  <c r="V696" i="13"/>
  <c r="U704" i="13"/>
  <c r="W704" i="13" s="1"/>
  <c r="U707" i="13"/>
  <c r="W707" i="13" s="1"/>
  <c r="AB710" i="13"/>
  <c r="AC710" i="13" s="1"/>
  <c r="V711" i="13"/>
  <c r="AA740" i="13"/>
  <c r="U752" i="13"/>
  <c r="W752" i="13" s="1"/>
  <c r="AA765" i="13"/>
  <c r="U766" i="13"/>
  <c r="W766" i="13" s="1"/>
  <c r="V790" i="13"/>
  <c r="W790" i="13" s="1"/>
  <c r="AB798" i="13"/>
  <c r="AC798" i="13" s="1"/>
  <c r="AA810" i="13"/>
  <c r="U825" i="13"/>
  <c r="W825" i="13" s="1"/>
  <c r="V827" i="13"/>
  <c r="AE827" i="13" s="1"/>
  <c r="U835" i="13"/>
  <c r="W835" i="13" s="1"/>
  <c r="AA844" i="13"/>
  <c r="AB849" i="13"/>
  <c r="AC849" i="13" s="1"/>
  <c r="AB855" i="13"/>
  <c r="AE855" i="13" s="1"/>
  <c r="V856" i="13"/>
  <c r="AE856" i="13" s="1"/>
  <c r="U862" i="13"/>
  <c r="W862" i="13" s="1"/>
  <c r="AB911" i="13"/>
  <c r="AE911" i="13" s="1"/>
  <c r="V912" i="13"/>
  <c r="AE912" i="13" s="1"/>
  <c r="AA919" i="13"/>
  <c r="V927" i="13"/>
  <c r="AE927" i="13" s="1"/>
  <c r="AA935" i="13"/>
  <c r="U961" i="13"/>
  <c r="W961" i="13" s="1"/>
  <c r="U974" i="13"/>
  <c r="W974" i="13" s="1"/>
  <c r="AA1002" i="13"/>
  <c r="U1003" i="13"/>
  <c r="W1003" i="13" s="1"/>
  <c r="U1009" i="13"/>
  <c r="W1009" i="13" s="1"/>
  <c r="AA1026" i="13"/>
  <c r="U1033" i="13"/>
  <c r="W1033" i="13" s="1"/>
  <c r="V1038" i="13"/>
  <c r="W1038" i="13" s="1"/>
  <c r="AB1047" i="13"/>
  <c r="AE1047" i="13" s="1"/>
  <c r="U1048" i="13"/>
  <c r="W1048" i="13" s="1"/>
  <c r="AB1063" i="13"/>
  <c r="AE1063" i="13" s="1"/>
  <c r="AB1079" i="13"/>
  <c r="AA1091" i="13"/>
  <c r="AA1105" i="13"/>
  <c r="V1150" i="13"/>
  <c r="U1150" i="13"/>
  <c r="AB1196" i="13"/>
  <c r="AC1196" i="13" s="1"/>
  <c r="AA1196" i="13"/>
  <c r="AB1221" i="13"/>
  <c r="AE1221" i="13" s="1"/>
  <c r="AA1221" i="13"/>
  <c r="AB1232" i="13"/>
  <c r="AC1232" i="13" s="1"/>
  <c r="AA1233" i="13"/>
  <c r="AB1233" i="13"/>
  <c r="AE1233" i="13" s="1"/>
  <c r="U1245" i="13"/>
  <c r="W1245" i="13" s="1"/>
  <c r="V1245" i="13"/>
  <c r="AE1245" i="13" s="1"/>
  <c r="AA1341" i="13"/>
  <c r="AB1341" i="13"/>
  <c r="AC1341" i="13" s="1"/>
  <c r="AB1347" i="13"/>
  <c r="AE1347" i="13" s="1"/>
  <c r="AA1347" i="13"/>
  <c r="AB1354" i="13"/>
  <c r="AC1354" i="13" s="1"/>
  <c r="AA1354" i="13"/>
  <c r="AA596" i="13"/>
  <c r="AA620" i="13"/>
  <c r="U659" i="13"/>
  <c r="W659" i="13" s="1"/>
  <c r="AB680" i="13"/>
  <c r="AC680" i="13" s="1"/>
  <c r="U741" i="13"/>
  <c r="W741" i="13" s="1"/>
  <c r="AA761" i="13"/>
  <c r="U769" i="13"/>
  <c r="W769" i="13" s="1"/>
  <c r="AA773" i="13"/>
  <c r="U774" i="13"/>
  <c r="W774" i="13" s="1"/>
  <c r="AB865" i="13"/>
  <c r="AC865" i="13" s="1"/>
  <c r="U873" i="13"/>
  <c r="W873" i="13" s="1"/>
  <c r="U920" i="13"/>
  <c r="W920" i="13" s="1"/>
  <c r="AA929" i="13"/>
  <c r="U937" i="13"/>
  <c r="W937" i="13" s="1"/>
  <c r="U950" i="13"/>
  <c r="W950" i="13" s="1"/>
  <c r="AA953" i="13"/>
  <c r="AA969" i="13"/>
  <c r="AB982" i="13"/>
  <c r="AC982" i="13" s="1"/>
  <c r="AA986" i="13"/>
  <c r="U987" i="13"/>
  <c r="W987" i="13" s="1"/>
  <c r="AB1014" i="13"/>
  <c r="AC1014" i="13" s="1"/>
  <c r="AA1018" i="13"/>
  <c r="U1019" i="13"/>
  <c r="W1019" i="13" s="1"/>
  <c r="U1095" i="13"/>
  <c r="W1095" i="13" s="1"/>
  <c r="V1095" i="13"/>
  <c r="V1096" i="13"/>
  <c r="U1096" i="13"/>
  <c r="W1096" i="13" s="1"/>
  <c r="U1133" i="13"/>
  <c r="W1133" i="13" s="1"/>
  <c r="V1133" i="13"/>
  <c r="AA1149" i="13"/>
  <c r="AB1149" i="13"/>
  <c r="U1170" i="13"/>
  <c r="W1170" i="13" s="1"/>
  <c r="V1170" i="13"/>
  <c r="AA1181" i="13"/>
  <c r="U1182" i="13"/>
  <c r="W1182" i="13" s="1"/>
  <c r="AB1210" i="13"/>
  <c r="AE1210" i="13" s="1"/>
  <c r="U1211" i="13"/>
  <c r="W1211" i="13" s="1"/>
  <c r="AB1244" i="13"/>
  <c r="AE1244" i="13" s="1"/>
  <c r="AA1244" i="13"/>
  <c r="AA1288" i="13"/>
  <c r="AB1288" i="13"/>
  <c r="AC1288" i="13" s="1"/>
  <c r="V1400" i="13"/>
  <c r="AE1400" i="13" s="1"/>
  <c r="U1400" i="13"/>
  <c r="W1400" i="13" s="1"/>
  <c r="AB608" i="13"/>
  <c r="AC608" i="13" s="1"/>
  <c r="V623" i="13"/>
  <c r="U627" i="13"/>
  <c r="W627" i="13" s="1"/>
  <c r="V632" i="13"/>
  <c r="W632" i="13" s="1"/>
  <c r="AB640" i="13"/>
  <c r="AA652" i="13"/>
  <c r="U664" i="13"/>
  <c r="W664" i="13" s="1"/>
  <c r="AB672" i="13"/>
  <c r="AC672" i="13" s="1"/>
  <c r="AB681" i="13"/>
  <c r="AC681" i="13" s="1"/>
  <c r="U682" i="13"/>
  <c r="W682" i="13" s="1"/>
  <c r="V687" i="13"/>
  <c r="W687" i="13" s="1"/>
  <c r="AB696" i="13"/>
  <c r="AB718" i="13"/>
  <c r="AC718" i="13" s="1"/>
  <c r="V719" i="13"/>
  <c r="W719" i="13" s="1"/>
  <c r="V727" i="13"/>
  <c r="W727" i="13" s="1"/>
  <c r="U731" i="13"/>
  <c r="W731" i="13" s="1"/>
  <c r="AA745" i="13"/>
  <c r="V757" i="13"/>
  <c r="AE757" i="13" s="1"/>
  <c r="AA759" i="13"/>
  <c r="AB790" i="13"/>
  <c r="AC790" i="13" s="1"/>
  <c r="AA802" i="13"/>
  <c r="AA818" i="13"/>
  <c r="AB841" i="13"/>
  <c r="AC841" i="13" s="1"/>
  <c r="AA954" i="13"/>
  <c r="V957" i="13"/>
  <c r="W957" i="13" s="1"/>
  <c r="AE987" i="13"/>
  <c r="AA993" i="13"/>
  <c r="AB998" i="13"/>
  <c r="AA1004" i="13"/>
  <c r="AB1015" i="13"/>
  <c r="AE1015" i="13" s="1"/>
  <c r="AB1023" i="13"/>
  <c r="AE1023" i="13" s="1"/>
  <c r="U1024" i="13"/>
  <c r="W1024" i="13" s="1"/>
  <c r="AA1033" i="13"/>
  <c r="AB1038" i="13"/>
  <c r="AA1094" i="13"/>
  <c r="AB1094" i="13"/>
  <c r="AC1094" i="13" s="1"/>
  <c r="AA1095" i="13"/>
  <c r="AB1095" i="13"/>
  <c r="V1098" i="13"/>
  <c r="U1098" i="13"/>
  <c r="W1098" i="13" s="1"/>
  <c r="V1099" i="13"/>
  <c r="AE1099" i="13" s="1"/>
  <c r="U1099" i="13"/>
  <c r="W1099" i="13" s="1"/>
  <c r="AB1113" i="13"/>
  <c r="AC1113" i="13" s="1"/>
  <c r="AA1113" i="13"/>
  <c r="AB1132" i="13"/>
  <c r="AC1132" i="13" s="1"/>
  <c r="AA1132" i="13"/>
  <c r="V1298" i="13"/>
  <c r="AE1298" i="13" s="1"/>
  <c r="U1298" i="13"/>
  <c r="W1298" i="13" s="1"/>
  <c r="V1306" i="13"/>
  <c r="U1306" i="13"/>
  <c r="W1306" i="13" s="1"/>
  <c r="AB1359" i="13"/>
  <c r="AC1359" i="13" s="1"/>
  <c r="AA1359" i="13"/>
  <c r="V600" i="13"/>
  <c r="W600" i="13" s="1"/>
  <c r="V655" i="13"/>
  <c r="AB791" i="13"/>
  <c r="AE791" i="13" s="1"/>
  <c r="AB836" i="13"/>
  <c r="AC836" i="13" s="1"/>
  <c r="V838" i="13"/>
  <c r="AE838" i="13" s="1"/>
  <c r="AB847" i="13"/>
  <c r="AE847" i="13" s="1"/>
  <c r="V848" i="13"/>
  <c r="AE848" i="13" s="1"/>
  <c r="AB876" i="13"/>
  <c r="AC876" i="13" s="1"/>
  <c r="AA914" i="13"/>
  <c r="AB937" i="13"/>
  <c r="AC937" i="13" s="1"/>
  <c r="AB943" i="13"/>
  <c r="AE943" i="13" s="1"/>
  <c r="U944" i="13"/>
  <c r="W944" i="13" s="1"/>
  <c r="AB974" i="13"/>
  <c r="AC974" i="13" s="1"/>
  <c r="AA978" i="13"/>
  <c r="AE984" i="13"/>
  <c r="V1006" i="13"/>
  <c r="W1006" i="13" s="1"/>
  <c r="V1030" i="13"/>
  <c r="W1030" i="13" s="1"/>
  <c r="AB1039" i="13"/>
  <c r="AE1039" i="13" s="1"/>
  <c r="AA1044" i="13"/>
  <c r="V1045" i="13"/>
  <c r="W1045" i="13" s="1"/>
  <c r="AB1054" i="13"/>
  <c r="AC1054" i="13" s="1"/>
  <c r="AA1076" i="13"/>
  <c r="V1077" i="13"/>
  <c r="W1077" i="13" s="1"/>
  <c r="AB1080" i="13"/>
  <c r="AC1080" i="13" s="1"/>
  <c r="U1081" i="13"/>
  <c r="W1081" i="13" s="1"/>
  <c r="AB1087" i="13"/>
  <c r="AA1097" i="13"/>
  <c r="AB1098" i="13"/>
  <c r="AA1098" i="13"/>
  <c r="U1166" i="13"/>
  <c r="W1166" i="13" s="1"/>
  <c r="AA1213" i="13"/>
  <c r="V1240" i="13"/>
  <c r="AE1240" i="13" s="1"/>
  <c r="U1279" i="13"/>
  <c r="W1279" i="13" s="1"/>
  <c r="V1279" i="13"/>
  <c r="AA1297" i="13"/>
  <c r="AA1305" i="13"/>
  <c r="AB1367" i="13"/>
  <c r="AC1367" i="13" s="1"/>
  <c r="AA1367" i="13"/>
  <c r="AE1166" i="13"/>
  <c r="U1378" i="13"/>
  <c r="V1378" i="13"/>
  <c r="AA1399" i="13"/>
  <c r="AB1399" i="13"/>
  <c r="AC1399" i="13" s="1"/>
  <c r="AA1409" i="13"/>
  <c r="AB1409" i="13"/>
  <c r="AC1409" i="13" s="1"/>
  <c r="U1197" i="13"/>
  <c r="W1197" i="13" s="1"/>
  <c r="AB1202" i="13"/>
  <c r="AE1202" i="13" s="1"/>
  <c r="U1203" i="13"/>
  <c r="W1203" i="13" s="1"/>
  <c r="U1212" i="13"/>
  <c r="W1212" i="13" s="1"/>
  <c r="V1248" i="13"/>
  <c r="AE1248" i="13" s="1"/>
  <c r="AA1252" i="13"/>
  <c r="U1267" i="13"/>
  <c r="W1267" i="13" s="1"/>
  <c r="AB1273" i="13"/>
  <c r="AE1273" i="13" s="1"/>
  <c r="U1280" i="13"/>
  <c r="W1280" i="13" s="1"/>
  <c r="AB1312" i="13"/>
  <c r="AC1312" i="13" s="1"/>
  <c r="U1313" i="13"/>
  <c r="W1313" i="13" s="1"/>
  <c r="AA1316" i="13"/>
  <c r="V1317" i="13"/>
  <c r="AE1317" i="13" s="1"/>
  <c r="AB1320" i="13"/>
  <c r="V1325" i="13"/>
  <c r="AE1325" i="13" s="1"/>
  <c r="AA1328" i="13"/>
  <c r="V1332" i="13"/>
  <c r="AE1332" i="13" s="1"/>
  <c r="V1345" i="13"/>
  <c r="V1348" i="13"/>
  <c r="AE1348" i="13" s="1"/>
  <c r="U1353" i="13"/>
  <c r="W1353" i="13" s="1"/>
  <c r="U1357" i="13"/>
  <c r="W1357" i="13" s="1"/>
  <c r="AB1420" i="13"/>
  <c r="AC1420" i="13" s="1"/>
  <c r="AA1420" i="13"/>
  <c r="AA1114" i="13"/>
  <c r="U1115" i="13"/>
  <c r="W1115" i="13" s="1"/>
  <c r="V1126" i="13"/>
  <c r="W1126" i="13" s="1"/>
  <c r="AB1128" i="13"/>
  <c r="AC1128" i="13" s="1"/>
  <c r="U1129" i="13"/>
  <c r="W1129" i="13" s="1"/>
  <c r="AA1137" i="13"/>
  <c r="U1142" i="13"/>
  <c r="W1142" i="13" s="1"/>
  <c r="AC1166" i="13"/>
  <c r="AA1171" i="13"/>
  <c r="AA1183" i="13"/>
  <c r="U1206" i="13"/>
  <c r="W1206" i="13" s="1"/>
  <c r="AA1219" i="13"/>
  <c r="AB1294" i="13"/>
  <c r="AC1294" i="13" s="1"/>
  <c r="AA1308" i="13"/>
  <c r="U1333" i="13"/>
  <c r="W1333" i="13" s="1"/>
  <c r="AE1335" i="13"/>
  <c r="AA1350" i="13"/>
  <c r="V1387" i="13"/>
  <c r="AE1387" i="13" s="1"/>
  <c r="U1387" i="13"/>
  <c r="W1387" i="13" s="1"/>
  <c r="AB1134" i="13"/>
  <c r="AC1134" i="13" s="1"/>
  <c r="U1135" i="13"/>
  <c r="W1135" i="13" s="1"/>
  <c r="AA1145" i="13"/>
  <c r="AA1163" i="13"/>
  <c r="U1172" i="13"/>
  <c r="W1172" i="13" s="1"/>
  <c r="V1185" i="13"/>
  <c r="AE1185" i="13" s="1"/>
  <c r="AA1188" i="13"/>
  <c r="AA1197" i="13"/>
  <c r="U1198" i="13"/>
  <c r="W1198" i="13" s="1"/>
  <c r="U1204" i="13"/>
  <c r="W1204" i="13" s="1"/>
  <c r="AA1214" i="13"/>
  <c r="U1220" i="13"/>
  <c r="W1220" i="13" s="1"/>
  <c r="AB1386" i="13"/>
  <c r="AE1386" i="13" s="1"/>
  <c r="AA1386" i="13"/>
  <c r="V1395" i="13"/>
  <c r="AE1395" i="13" s="1"/>
  <c r="U1395" i="13"/>
  <c r="W1395" i="13" s="1"/>
  <c r="V1403" i="13"/>
  <c r="AE1403" i="13" s="1"/>
  <c r="U1403" i="13"/>
  <c r="W1403" i="13" s="1"/>
  <c r="AB1111" i="13"/>
  <c r="AE1111" i="13" s="1"/>
  <c r="U1112" i="13"/>
  <c r="W1112" i="13" s="1"/>
  <c r="AA1116" i="13"/>
  <c r="V1117" i="13"/>
  <c r="W1117" i="13" s="1"/>
  <c r="AB1126" i="13"/>
  <c r="AC1126" i="13" s="1"/>
  <c r="AA1155" i="13"/>
  <c r="V1165" i="13"/>
  <c r="W1165" i="13" s="1"/>
  <c r="AA1176" i="13"/>
  <c r="AB1194" i="13"/>
  <c r="AE1194" i="13" s="1"/>
  <c r="U1195" i="13"/>
  <c r="W1195" i="13" s="1"/>
  <c r="AA1206" i="13"/>
  <c r="AA1212" i="13"/>
  <c r="AA1229" i="13"/>
  <c r="AA1235" i="13"/>
  <c r="U1243" i="13"/>
  <c r="W1243" i="13" s="1"/>
  <c r="AB1257" i="13"/>
  <c r="AE1257" i="13" s="1"/>
  <c r="U1258" i="13"/>
  <c r="W1258" i="13" s="1"/>
  <c r="AA1260" i="13"/>
  <c r="V1263" i="13"/>
  <c r="W1263" i="13" s="1"/>
  <c r="AB1280" i="13"/>
  <c r="AC1280" i="13" s="1"/>
  <c r="AA1284" i="13"/>
  <c r="V1287" i="13"/>
  <c r="W1287" i="13" s="1"/>
  <c r="U1291" i="13"/>
  <c r="W1291" i="13" s="1"/>
  <c r="AB1304" i="13"/>
  <c r="AC1304" i="13" s="1"/>
  <c r="U1305" i="13"/>
  <c r="W1305" i="13" s="1"/>
  <c r="AB1306" i="13"/>
  <c r="AC1306" i="13" s="1"/>
  <c r="U1307" i="13"/>
  <c r="W1307" i="13" s="1"/>
  <c r="AB1310" i="13"/>
  <c r="AC1310" i="13" s="1"/>
  <c r="AA1313" i="13"/>
  <c r="AB1318" i="13"/>
  <c r="AC1318" i="13" s="1"/>
  <c r="U1323" i="13"/>
  <c r="W1323" i="13" s="1"/>
  <c r="AB1333" i="13"/>
  <c r="AC1333" i="13" s="1"/>
  <c r="U1337" i="13"/>
  <c r="W1337" i="13" s="1"/>
  <c r="V1340" i="13"/>
  <c r="AE1340" i="13" s="1"/>
  <c r="AA1355" i="13"/>
  <c r="AE1358" i="13"/>
  <c r="U1359" i="13"/>
  <c r="W1359" i="13" s="1"/>
  <c r="AA1360" i="13"/>
  <c r="AE1366" i="13"/>
  <c r="U1367" i="13"/>
  <c r="W1367" i="13" s="1"/>
  <c r="AA1368" i="13"/>
  <c r="V1375" i="13"/>
  <c r="AE1375" i="13" s="1"/>
  <c r="U1375" i="13"/>
  <c r="W1375" i="13" s="1"/>
  <c r="AB1394" i="13"/>
  <c r="AC1394" i="13" s="1"/>
  <c r="AA1394" i="13"/>
  <c r="AB1402" i="13"/>
  <c r="AE1402" i="13" s="1"/>
  <c r="AA1402" i="13"/>
  <c r="U1415" i="13"/>
  <c r="W1415" i="13" s="1"/>
  <c r="V1416" i="13"/>
  <c r="AE1416" i="13" s="1"/>
  <c r="U1416" i="13"/>
  <c r="W1416" i="13" s="1"/>
  <c r="V1093" i="13"/>
  <c r="W1093" i="13" s="1"/>
  <c r="AB1096" i="13"/>
  <c r="AC1096" i="13" s="1"/>
  <c r="U1097" i="13"/>
  <c r="W1097" i="13" s="1"/>
  <c r="AB1104" i="13"/>
  <c r="AC1104" i="13" s="1"/>
  <c r="U1105" i="13"/>
  <c r="W1105" i="13" s="1"/>
  <c r="V1127" i="13"/>
  <c r="W1127" i="13" s="1"/>
  <c r="AB1142" i="13"/>
  <c r="AE1142" i="13" s="1"/>
  <c r="AA1147" i="13"/>
  <c r="V1148" i="13"/>
  <c r="W1148" i="13" s="1"/>
  <c r="V1157" i="13"/>
  <c r="AA1159" i="13"/>
  <c r="U1160" i="13"/>
  <c r="W1160" i="13" s="1"/>
  <c r="V1178" i="13"/>
  <c r="AE1178" i="13" s="1"/>
  <c r="AA1189" i="13"/>
  <c r="AA1207" i="13"/>
  <c r="U1213" i="13"/>
  <c r="W1213" i="13" s="1"/>
  <c r="AB1217" i="13"/>
  <c r="AC1217" i="13" s="1"/>
  <c r="V1232" i="13"/>
  <c r="U1251" i="13"/>
  <c r="W1251" i="13" s="1"/>
  <c r="V1264" i="13"/>
  <c r="AE1264" i="13" s="1"/>
  <c r="V1311" i="13"/>
  <c r="W1311" i="13" s="1"/>
  <c r="V1319" i="13"/>
  <c r="W1319" i="13" s="1"/>
  <c r="U1334" i="13"/>
  <c r="W1334" i="13" s="1"/>
  <c r="AB1346" i="13"/>
  <c r="AC1346" i="13" s="1"/>
  <c r="AB1349" i="13"/>
  <c r="AC1349" i="13" s="1"/>
  <c r="AB1365" i="13"/>
  <c r="AC1365" i="13" s="1"/>
  <c r="AE1374" i="13"/>
  <c r="U1390" i="13"/>
  <c r="W1390" i="13" s="1"/>
  <c r="V1390" i="13"/>
  <c r="AE1390" i="13" s="1"/>
  <c r="AE1408" i="13"/>
  <c r="V1407" i="13"/>
  <c r="AA1410" i="13"/>
  <c r="AA1382" i="13"/>
  <c r="U1417" i="13"/>
  <c r="W1417" i="13" s="1"/>
  <c r="AC1251" i="13"/>
  <c r="AE1291" i="13"/>
  <c r="AC1299" i="13"/>
  <c r="AE1212" i="13"/>
  <c r="AE1267" i="13"/>
  <c r="AE975" i="13"/>
  <c r="AE969" i="13"/>
  <c r="AE755" i="13"/>
  <c r="AE777" i="13"/>
  <c r="AE736" i="13"/>
  <c r="AC769" i="13"/>
  <c r="AF563" i="13"/>
  <c r="AE728" i="13"/>
  <c r="AE747" i="13"/>
  <c r="AE752" i="13"/>
  <c r="AE555" i="13"/>
  <c r="AE541" i="13"/>
  <c r="AE326" i="13"/>
  <c r="AC326" i="13"/>
  <c r="AE381" i="13"/>
  <c r="AC349" i="13"/>
  <c r="AC389" i="13"/>
  <c r="AE394" i="13"/>
  <c r="AC287" i="13"/>
  <c r="AC274" i="13"/>
  <c r="AE274" i="13"/>
  <c r="AC295" i="13"/>
  <c r="AE295" i="13"/>
  <c r="AE246" i="13"/>
  <c r="AC246" i="13"/>
  <c r="AE257" i="13"/>
  <c r="AC257" i="13"/>
  <c r="AE267" i="13"/>
  <c r="AC267" i="13"/>
  <c r="AC282" i="13"/>
  <c r="AE282" i="13"/>
  <c r="AE283" i="13"/>
  <c r="AC283" i="13"/>
  <c r="AE233" i="13"/>
  <c r="AC233" i="13"/>
  <c r="AE276" i="13"/>
  <c r="AC276" i="13"/>
  <c r="AE297" i="13"/>
  <c r="AC297" i="13"/>
  <c r="AC236" i="13"/>
  <c r="AC247" i="13"/>
  <c r="AC258" i="13"/>
  <c r="AE258" i="13"/>
  <c r="AE259" i="13"/>
  <c r="AC259" i="13"/>
  <c r="AE268" i="13"/>
  <c r="AC268" i="13"/>
  <c r="AC269" i="13"/>
  <c r="AE269" i="13"/>
  <c r="AE270" i="13"/>
  <c r="AC270" i="13"/>
  <c r="AE275" i="13"/>
  <c r="AC275" i="13"/>
  <c r="AE284" i="13"/>
  <c r="AC284" i="13"/>
  <c r="AE285" i="13"/>
  <c r="AC285" i="13"/>
  <c r="AE286" i="13"/>
  <c r="AC286" i="13"/>
  <c r="AE305" i="13"/>
  <c r="AC305" i="13"/>
  <c r="AE323" i="13"/>
  <c r="AC323" i="13"/>
  <c r="AE249" i="13"/>
  <c r="AC249" i="13"/>
  <c r="AC261" i="13"/>
  <c r="AE261" i="13"/>
  <c r="AE238" i="13"/>
  <c r="AC238" i="13"/>
  <c r="AC278" i="13"/>
  <c r="AE289" i="13"/>
  <c r="AC289" i="13"/>
  <c r="AE299" i="13"/>
  <c r="AC299" i="13"/>
  <c r="AC307" i="13"/>
  <c r="AC271" i="13"/>
  <c r="AC306" i="13"/>
  <c r="AE306" i="13"/>
  <c r="AE241" i="13"/>
  <c r="AC241" i="13"/>
  <c r="AC262" i="13"/>
  <c r="AC298" i="13"/>
  <c r="AE298" i="13"/>
  <c r="AC231" i="13"/>
  <c r="AC242" i="13"/>
  <c r="AE242" i="13"/>
  <c r="AE243" i="13"/>
  <c r="AC243" i="13"/>
  <c r="AC250" i="13"/>
  <c r="AE250" i="13"/>
  <c r="AE251" i="13"/>
  <c r="AC251" i="13"/>
  <c r="AC263" i="13"/>
  <c r="AC290" i="13"/>
  <c r="AE290" i="13"/>
  <c r="AE291" i="13"/>
  <c r="AC291" i="13"/>
  <c r="AC313" i="13"/>
  <c r="AE318" i="13"/>
  <c r="AC318" i="13"/>
  <c r="AC324" i="13"/>
  <c r="AE324" i="13"/>
  <c r="AE252" i="13"/>
  <c r="AC252" i="13"/>
  <c r="AC253" i="13"/>
  <c r="AE253" i="13"/>
  <c r="AE254" i="13"/>
  <c r="AC254" i="13"/>
  <c r="AE265" i="13"/>
  <c r="AC265" i="13"/>
  <c r="AE273" i="13"/>
  <c r="AC273" i="13"/>
  <c r="AC279" i="13"/>
  <c r="AE292" i="13"/>
  <c r="AC292" i="13"/>
  <c r="AC293" i="13"/>
  <c r="AE293" i="13"/>
  <c r="AE294" i="13"/>
  <c r="AC294" i="13"/>
  <c r="AC308" i="13"/>
  <c r="AC319" i="13"/>
  <c r="AE277" i="13"/>
  <c r="AC277" i="13"/>
  <c r="AE234" i="13"/>
  <c r="AC244" i="13"/>
  <c r="AC255" i="13"/>
  <c r="AE300" i="13"/>
  <c r="AC300" i="13"/>
  <c r="AC301" i="13"/>
  <c r="AE301" i="13"/>
  <c r="AE302" i="13"/>
  <c r="AC302" i="13"/>
  <c r="AC309" i="13"/>
  <c r="AE309" i="13"/>
  <c r="AE260" i="13"/>
  <c r="AC260" i="13"/>
  <c r="AC239" i="13"/>
  <c r="AE239" i="13"/>
  <c r="AE235" i="13"/>
  <c r="AC235" i="13"/>
  <c r="AE281" i="13"/>
  <c r="AC281" i="13"/>
  <c r="AE303" i="13"/>
  <c r="AC303" i="13"/>
  <c r="AC310" i="13"/>
  <c r="AE315" i="13"/>
  <c r="AC315" i="13"/>
  <c r="AC321" i="13"/>
  <c r="AC532" i="13"/>
  <c r="AE685" i="13"/>
  <c r="AC685" i="13"/>
  <c r="AE787" i="13"/>
  <c r="AC787" i="13"/>
  <c r="AE803" i="13"/>
  <c r="AC803" i="13"/>
  <c r="AF362" i="13"/>
  <c r="AC232" i="13"/>
  <c r="U237" i="13"/>
  <c r="W237" i="13" s="1"/>
  <c r="AA238" i="13"/>
  <c r="AC240" i="13"/>
  <c r="U245" i="13"/>
  <c r="W245" i="13" s="1"/>
  <c r="AA246" i="13"/>
  <c r="U253" i="13"/>
  <c r="W253" i="13" s="1"/>
  <c r="AA254" i="13"/>
  <c r="U261" i="13"/>
  <c r="W261" i="13" s="1"/>
  <c r="AA262" i="13"/>
  <c r="U269" i="13"/>
  <c r="W269" i="13" s="1"/>
  <c r="AA270" i="13"/>
  <c r="U277" i="13"/>
  <c r="W277" i="13" s="1"/>
  <c r="AA278" i="13"/>
  <c r="AC280" i="13"/>
  <c r="U285" i="13"/>
  <c r="W285" i="13" s="1"/>
  <c r="AA286" i="13"/>
  <c r="U293" i="13"/>
  <c r="W293" i="13" s="1"/>
  <c r="AA294" i="13"/>
  <c r="U301" i="13"/>
  <c r="W301" i="13" s="1"/>
  <c r="AA302" i="13"/>
  <c r="U309" i="13"/>
  <c r="W309" i="13" s="1"/>
  <c r="AA310" i="13"/>
  <c r="U317" i="13"/>
  <c r="W317" i="13" s="1"/>
  <c r="AA318" i="13"/>
  <c r="AE325" i="13"/>
  <c r="AE334" i="13"/>
  <c r="AC334" i="13"/>
  <c r="AE341" i="13"/>
  <c r="AE351" i="13"/>
  <c r="AC351" i="13"/>
  <c r="V352" i="13"/>
  <c r="AE352" i="13" s="1"/>
  <c r="U352" i="13"/>
  <c r="W352" i="13" s="1"/>
  <c r="AE357" i="13"/>
  <c r="AC367" i="13"/>
  <c r="V368" i="13"/>
  <c r="AE368" i="13" s="1"/>
  <c r="U368" i="13"/>
  <c r="W368" i="13" s="1"/>
  <c r="AB377" i="13"/>
  <c r="AA377" i="13"/>
  <c r="AB385" i="13"/>
  <c r="AA385" i="13"/>
  <c r="AE396" i="13"/>
  <c r="AC396" i="13"/>
  <c r="AE415" i="13"/>
  <c r="AC415" i="13"/>
  <c r="V416" i="13"/>
  <c r="AE416" i="13" s="1"/>
  <c r="U416" i="13"/>
  <c r="W416" i="13" s="1"/>
  <c r="AE430" i="13"/>
  <c r="AC430" i="13"/>
  <c r="AC437" i="13"/>
  <c r="AE437" i="13"/>
  <c r="AC476" i="13"/>
  <c r="AE479" i="13"/>
  <c r="AC479" i="13"/>
  <c r="V480" i="13"/>
  <c r="AE480" i="13" s="1"/>
  <c r="U480" i="13"/>
  <c r="AE492" i="13"/>
  <c r="AC492" i="13"/>
  <c r="AB513" i="13"/>
  <c r="AA513" i="13"/>
  <c r="AE518" i="13"/>
  <c r="AC518" i="13"/>
  <c r="AE524" i="13"/>
  <c r="AC524" i="13"/>
  <c r="AE535" i="13"/>
  <c r="AC535" i="13"/>
  <c r="V536" i="13"/>
  <c r="AE536" i="13" s="1"/>
  <c r="U536" i="13"/>
  <c r="W536" i="13" s="1"/>
  <c r="V750" i="13"/>
  <c r="AE750" i="13" s="1"/>
  <c r="U750" i="13"/>
  <c r="U232" i="13"/>
  <c r="W232" i="13" s="1"/>
  <c r="AA233" i="13"/>
  <c r="U240" i="13"/>
  <c r="W240" i="13" s="1"/>
  <c r="AA241" i="13"/>
  <c r="U248" i="13"/>
  <c r="W248" i="13" s="1"/>
  <c r="AA249" i="13"/>
  <c r="AA257" i="13"/>
  <c r="U264" i="13"/>
  <c r="W264" i="13" s="1"/>
  <c r="AA265" i="13"/>
  <c r="AA273" i="13"/>
  <c r="U280" i="13"/>
  <c r="W280" i="13" s="1"/>
  <c r="AA281" i="13"/>
  <c r="U288" i="13"/>
  <c r="W288" i="13" s="1"/>
  <c r="AA289" i="13"/>
  <c r="U296" i="13"/>
  <c r="W296" i="13" s="1"/>
  <c r="AA297" i="13"/>
  <c r="AA305" i="13"/>
  <c r="U312" i="13"/>
  <c r="W312" i="13" s="1"/>
  <c r="AA313" i="13"/>
  <c r="U320" i="13"/>
  <c r="W320" i="13" s="1"/>
  <c r="AA321" i="13"/>
  <c r="AE382" i="13"/>
  <c r="AC382" i="13"/>
  <c r="AE390" i="13"/>
  <c r="AC390" i="13"/>
  <c r="AE405" i="13"/>
  <c r="AC421" i="13"/>
  <c r="AE421" i="13"/>
  <c r="AE446" i="13"/>
  <c r="AC446" i="13"/>
  <c r="AB457" i="13"/>
  <c r="AA457" i="13"/>
  <c r="AC460" i="13"/>
  <c r="AE463" i="13"/>
  <c r="AC463" i="13"/>
  <c r="V464" i="13"/>
  <c r="AE464" i="13" s="1"/>
  <c r="U464" i="13"/>
  <c r="W464" i="13" s="1"/>
  <c r="AC467" i="13"/>
  <c r="AE495" i="13"/>
  <c r="AC495" i="13"/>
  <c r="V496" i="13"/>
  <c r="AE496" i="13" s="1"/>
  <c r="U496" i="13"/>
  <c r="AC504" i="13"/>
  <c r="AE510" i="13"/>
  <c r="AC510" i="13"/>
  <c r="AE527" i="13"/>
  <c r="AC527" i="13"/>
  <c r="V528" i="13"/>
  <c r="AE528" i="13" s="1"/>
  <c r="U528" i="13"/>
  <c r="W528" i="13" s="1"/>
  <c r="AE558" i="13"/>
  <c r="AC558" i="13"/>
  <c r="V574" i="13"/>
  <c r="AE574" i="13" s="1"/>
  <c r="U574" i="13"/>
  <c r="W574" i="13" s="1"/>
  <c r="AE618" i="13"/>
  <c r="AC618" i="13"/>
  <c r="V630" i="13"/>
  <c r="AE630" i="13" s="1"/>
  <c r="U630" i="13"/>
  <c r="W630" i="13" s="1"/>
  <c r="AE749" i="13"/>
  <c r="AC749" i="13"/>
  <c r="AE946" i="13"/>
  <c r="AC946" i="13"/>
  <c r="AE398" i="13"/>
  <c r="AC398" i="13"/>
  <c r="AB521" i="13"/>
  <c r="AA521" i="13"/>
  <c r="U235" i="13"/>
  <c r="W235" i="13" s="1"/>
  <c r="AA236" i="13"/>
  <c r="U243" i="13"/>
  <c r="W243" i="13" s="1"/>
  <c r="AA244" i="13"/>
  <c r="U251" i="13"/>
  <c r="W251" i="13" s="1"/>
  <c r="AA252" i="13"/>
  <c r="U259" i="13"/>
  <c r="W259" i="13" s="1"/>
  <c r="AA260" i="13"/>
  <c r="U267" i="13"/>
  <c r="W267" i="13" s="1"/>
  <c r="AA268" i="13"/>
  <c r="AA276" i="13"/>
  <c r="U283" i="13"/>
  <c r="W283" i="13" s="1"/>
  <c r="AA284" i="13"/>
  <c r="U291" i="13"/>
  <c r="W291" i="13" s="1"/>
  <c r="AA292" i="13"/>
  <c r="U299" i="13"/>
  <c r="W299" i="13" s="1"/>
  <c r="AA300" i="13"/>
  <c r="U323" i="13"/>
  <c r="W323" i="13" s="1"/>
  <c r="AA324" i="13"/>
  <c r="AE327" i="13"/>
  <c r="AC327" i="13"/>
  <c r="V328" i="13"/>
  <c r="AE328" i="13" s="1"/>
  <c r="U328" i="13"/>
  <c r="W328" i="13" s="1"/>
  <c r="AE332" i="13"/>
  <c r="AC332" i="13"/>
  <c r="AE335" i="13"/>
  <c r="AC335" i="13"/>
  <c r="V336" i="13"/>
  <c r="AE336" i="13" s="1"/>
  <c r="U336" i="13"/>
  <c r="W336" i="13" s="1"/>
  <c r="AE342" i="13"/>
  <c r="AC342" i="13"/>
  <c r="AC352" i="13"/>
  <c r="AE358" i="13"/>
  <c r="AC358" i="13"/>
  <c r="AC368" i="13"/>
  <c r="AB369" i="13"/>
  <c r="AA369" i="13"/>
  <c r="AE374" i="13"/>
  <c r="AC374" i="13"/>
  <c r="AE380" i="13"/>
  <c r="AC380" i="13"/>
  <c r="AE388" i="13"/>
  <c r="AC388" i="13"/>
  <c r="AC399" i="13"/>
  <c r="V400" i="13"/>
  <c r="AE400" i="13" s="1"/>
  <c r="U400" i="13"/>
  <c r="AC416" i="13"/>
  <c r="AB417" i="13"/>
  <c r="AA417" i="13"/>
  <c r="AE422" i="13"/>
  <c r="AC422" i="13"/>
  <c r="AE431" i="13"/>
  <c r="AC431" i="13"/>
  <c r="V432" i="13"/>
  <c r="AE432" i="13" s="1"/>
  <c r="U432" i="13"/>
  <c r="W432" i="13" s="1"/>
  <c r="AB441" i="13"/>
  <c r="AA441" i="13"/>
  <c r="AC444" i="13"/>
  <c r="AE470" i="13"/>
  <c r="AC470" i="13"/>
  <c r="AE486" i="13"/>
  <c r="AC486" i="13"/>
  <c r="AB505" i="13"/>
  <c r="AA505" i="13"/>
  <c r="AE516" i="13"/>
  <c r="AC516" i="13"/>
  <c r="AE573" i="13"/>
  <c r="AC573" i="13"/>
  <c r="AE629" i="13"/>
  <c r="AC629" i="13"/>
  <c r="AE745" i="13"/>
  <c r="AC745" i="13"/>
  <c r="AA231" i="13"/>
  <c r="U238" i="13"/>
  <c r="W238" i="13" s="1"/>
  <c r="AA239" i="13"/>
  <c r="U246" i="13"/>
  <c r="W246" i="13" s="1"/>
  <c r="AA247" i="13"/>
  <c r="U254" i="13"/>
  <c r="W254" i="13" s="1"/>
  <c r="AA255" i="13"/>
  <c r="AA263" i="13"/>
  <c r="U270" i="13"/>
  <c r="W270" i="13" s="1"/>
  <c r="AA271" i="13"/>
  <c r="AA279" i="13"/>
  <c r="U286" i="13"/>
  <c r="W286" i="13" s="1"/>
  <c r="AA287" i="13"/>
  <c r="U294" i="13"/>
  <c r="W294" i="13" s="1"/>
  <c r="AA295" i="13"/>
  <c r="U302" i="13"/>
  <c r="W302" i="13" s="1"/>
  <c r="AA303" i="13"/>
  <c r="U318" i="13"/>
  <c r="W318" i="13" s="1"/>
  <c r="AA319" i="13"/>
  <c r="AB353" i="13"/>
  <c r="AA353" i="13"/>
  <c r="AC356" i="13"/>
  <c r="AE372" i="13"/>
  <c r="AC372" i="13"/>
  <c r="AE378" i="13"/>
  <c r="AE386" i="13"/>
  <c r="AE406" i="13"/>
  <c r="AC406" i="13"/>
  <c r="AE412" i="13"/>
  <c r="AC412" i="13"/>
  <c r="AF418" i="13"/>
  <c r="AC438" i="13"/>
  <c r="AE447" i="13"/>
  <c r="AC447" i="13"/>
  <c r="V448" i="13"/>
  <c r="AE448" i="13" s="1"/>
  <c r="U448" i="13"/>
  <c r="W448" i="13" s="1"/>
  <c r="AC464" i="13"/>
  <c r="AB481" i="13"/>
  <c r="AA481" i="13"/>
  <c r="AE502" i="13"/>
  <c r="AC502" i="13"/>
  <c r="AE508" i="13"/>
  <c r="AC508" i="13"/>
  <c r="AE519" i="13"/>
  <c r="AC519" i="13"/>
  <c r="V520" i="13"/>
  <c r="AE520" i="13" s="1"/>
  <c r="U520" i="13"/>
  <c r="V590" i="13"/>
  <c r="AE590" i="13" s="1"/>
  <c r="U590" i="13"/>
  <c r="W590" i="13" s="1"/>
  <c r="V646" i="13"/>
  <c r="AE646" i="13" s="1"/>
  <c r="U646" i="13"/>
  <c r="W646" i="13" s="1"/>
  <c r="V662" i="13"/>
  <c r="AE662" i="13" s="1"/>
  <c r="U662" i="13"/>
  <c r="W662" i="13" s="1"/>
  <c r="AB393" i="13"/>
  <c r="AA393" i="13"/>
  <c r="AB409" i="13"/>
  <c r="AA409" i="13"/>
  <c r="AE462" i="13"/>
  <c r="AC462" i="13"/>
  <c r="AA242" i="13"/>
  <c r="U249" i="13"/>
  <c r="W249" i="13" s="1"/>
  <c r="AA250" i="13"/>
  <c r="U257" i="13"/>
  <c r="W257" i="13" s="1"/>
  <c r="AA258" i="13"/>
  <c r="U265" i="13"/>
  <c r="W265" i="13" s="1"/>
  <c r="U273" i="13"/>
  <c r="W273" i="13" s="1"/>
  <c r="AA274" i="13"/>
  <c r="U281" i="13"/>
  <c r="W281" i="13" s="1"/>
  <c r="AA282" i="13"/>
  <c r="U289" i="13"/>
  <c r="W289" i="13" s="1"/>
  <c r="AA290" i="13"/>
  <c r="AA298" i="13"/>
  <c r="U305" i="13"/>
  <c r="W305" i="13" s="1"/>
  <c r="AA306" i="13"/>
  <c r="AC328" i="13"/>
  <c r="AB329" i="13"/>
  <c r="AA329" i="13"/>
  <c r="AE340" i="13"/>
  <c r="AC340" i="13"/>
  <c r="AE343" i="13"/>
  <c r="AC343" i="13"/>
  <c r="V344" i="13"/>
  <c r="AE344" i="13" s="1"/>
  <c r="U344" i="13"/>
  <c r="AE359" i="13"/>
  <c r="AC359" i="13"/>
  <c r="V360" i="13"/>
  <c r="AE360" i="13" s="1"/>
  <c r="U360" i="13"/>
  <c r="AE391" i="13"/>
  <c r="AC391" i="13"/>
  <c r="V392" i="13"/>
  <c r="U392" i="13"/>
  <c r="AB401" i="13"/>
  <c r="AA401" i="13"/>
  <c r="AE404" i="13"/>
  <c r="AC404" i="13"/>
  <c r="AE423" i="13"/>
  <c r="AC423" i="13"/>
  <c r="V424" i="13"/>
  <c r="AE424" i="13" s="1"/>
  <c r="U424" i="13"/>
  <c r="AE428" i="13"/>
  <c r="AC428" i="13"/>
  <c r="AE454" i="13"/>
  <c r="AC454" i="13"/>
  <c r="AB465" i="13"/>
  <c r="AA465" i="13"/>
  <c r="AE468" i="13"/>
  <c r="AC468" i="13"/>
  <c r="AE471" i="13"/>
  <c r="AC471" i="13"/>
  <c r="V472" i="13"/>
  <c r="AE472" i="13" s="1"/>
  <c r="U472" i="13"/>
  <c r="W472" i="13" s="1"/>
  <c r="AE484" i="13"/>
  <c r="AC484" i="13"/>
  <c r="AE487" i="13"/>
  <c r="AC487" i="13"/>
  <c r="V488" i="13"/>
  <c r="AE488" i="13" s="1"/>
  <c r="U488" i="13"/>
  <c r="W488" i="13" s="1"/>
  <c r="AB497" i="13"/>
  <c r="AA497" i="13"/>
  <c r="AE511" i="13"/>
  <c r="AC511" i="13"/>
  <c r="V512" i="13"/>
  <c r="AE512" i="13" s="1"/>
  <c r="U512" i="13"/>
  <c r="W512" i="13" s="1"/>
  <c r="AB537" i="13"/>
  <c r="AA537" i="13"/>
  <c r="AE589" i="13"/>
  <c r="AC589" i="13"/>
  <c r="AE645" i="13"/>
  <c r="AC645" i="13"/>
  <c r="AE661" i="13"/>
  <c r="AC661" i="13"/>
  <c r="V702" i="13"/>
  <c r="AE702" i="13" s="1"/>
  <c r="U702" i="13"/>
  <c r="W702" i="13" s="1"/>
  <c r="AE706" i="13"/>
  <c r="AC706" i="13"/>
  <c r="AC420" i="13"/>
  <c r="V440" i="13"/>
  <c r="AE440" i="13" s="1"/>
  <c r="U440" i="13"/>
  <c r="AB473" i="13"/>
  <c r="AA473" i="13"/>
  <c r="U252" i="13"/>
  <c r="W252" i="13" s="1"/>
  <c r="AA253" i="13"/>
  <c r="U260" i="13"/>
  <c r="W260" i="13" s="1"/>
  <c r="AA261" i="13"/>
  <c r="U268" i="13"/>
  <c r="W268" i="13" s="1"/>
  <c r="AA269" i="13"/>
  <c r="U276" i="13"/>
  <c r="W276" i="13" s="1"/>
  <c r="AA277" i="13"/>
  <c r="U284" i="13"/>
  <c r="W284" i="13" s="1"/>
  <c r="AA285" i="13"/>
  <c r="U292" i="13"/>
  <c r="W292" i="13" s="1"/>
  <c r="AA293" i="13"/>
  <c r="AA301" i="13"/>
  <c r="AA309" i="13"/>
  <c r="AB337" i="13"/>
  <c r="AA337" i="13"/>
  <c r="AE366" i="13"/>
  <c r="AC366" i="13"/>
  <c r="AC375" i="13"/>
  <c r="V376" i="13"/>
  <c r="U376" i="13"/>
  <c r="AE383" i="13"/>
  <c r="AC383" i="13"/>
  <c r="V384" i="13"/>
  <c r="U384" i="13"/>
  <c r="AF402" i="13"/>
  <c r="AE407" i="13"/>
  <c r="AC407" i="13"/>
  <c r="V408" i="13"/>
  <c r="AE408" i="13" s="1"/>
  <c r="U408" i="13"/>
  <c r="W408" i="13" s="1"/>
  <c r="AC413" i="13"/>
  <c r="AE413" i="13"/>
  <c r="AB433" i="13"/>
  <c r="AA433" i="13"/>
  <c r="AE436" i="13"/>
  <c r="AC436" i="13"/>
  <c r="AC500" i="13"/>
  <c r="AB529" i="13"/>
  <c r="AA529" i="13"/>
  <c r="AE534" i="13"/>
  <c r="AC534" i="13"/>
  <c r="AE540" i="13"/>
  <c r="AC540" i="13"/>
  <c r="V606" i="13"/>
  <c r="AE606" i="13" s="1"/>
  <c r="U606" i="13"/>
  <c r="AE701" i="13"/>
  <c r="AC701" i="13"/>
  <c r="AE880" i="13"/>
  <c r="AC880" i="13"/>
  <c r="AB489" i="13"/>
  <c r="AA489" i="13"/>
  <c r="AA326" i="13"/>
  <c r="AC344" i="13"/>
  <c r="AB345" i="13"/>
  <c r="AA345" i="13"/>
  <c r="AE350" i="13"/>
  <c r="AC350" i="13"/>
  <c r="AC360" i="13"/>
  <c r="AB361" i="13"/>
  <c r="AA361" i="13"/>
  <c r="AE364" i="13"/>
  <c r="AC364" i="13"/>
  <c r="AE379" i="13"/>
  <c r="AC379" i="13"/>
  <c r="AE414" i="13"/>
  <c r="AC414" i="13"/>
  <c r="AC424" i="13"/>
  <c r="AB425" i="13"/>
  <c r="AA425" i="13"/>
  <c r="AC429" i="13"/>
  <c r="AE429" i="13"/>
  <c r="AE439" i="13"/>
  <c r="AB449" i="13"/>
  <c r="AA449" i="13"/>
  <c r="AE452" i="13"/>
  <c r="AC452" i="13"/>
  <c r="AE455" i="13"/>
  <c r="AC455" i="13"/>
  <c r="V456" i="13"/>
  <c r="AE456" i="13" s="1"/>
  <c r="U456" i="13"/>
  <c r="W456" i="13" s="1"/>
  <c r="AC472" i="13"/>
  <c r="AE478" i="13"/>
  <c r="AC478" i="13"/>
  <c r="AC488" i="13"/>
  <c r="AE494" i="13"/>
  <c r="AC494" i="13"/>
  <c r="AE503" i="13"/>
  <c r="AC503" i="13"/>
  <c r="V504" i="13"/>
  <c r="AE504" i="13" s="1"/>
  <c r="U504" i="13"/>
  <c r="W504" i="13" s="1"/>
  <c r="AE526" i="13"/>
  <c r="AC526" i="13"/>
  <c r="AE605" i="13"/>
  <c r="AC605" i="13"/>
  <c r="AE674" i="13"/>
  <c r="AC674" i="13"/>
  <c r="V686" i="13"/>
  <c r="AE686" i="13" s="1"/>
  <c r="U686" i="13"/>
  <c r="W686" i="13" s="1"/>
  <c r="AE477" i="13"/>
  <c r="AE485" i="13"/>
  <c r="AE493" i="13"/>
  <c r="AE501" i="13"/>
  <c r="AE509" i="13"/>
  <c r="AE517" i="13"/>
  <c r="AE525" i="13"/>
  <c r="AE533" i="13"/>
  <c r="AE549" i="13"/>
  <c r="AC549" i="13"/>
  <c r="AE620" i="13"/>
  <c r="AB671" i="13"/>
  <c r="AA671" i="13"/>
  <c r="AB719" i="13"/>
  <c r="AA719" i="13"/>
  <c r="AC730" i="13"/>
  <c r="AB735" i="13"/>
  <c r="AA735" i="13"/>
  <c r="AE914" i="13"/>
  <c r="AC914" i="13"/>
  <c r="V1171" i="13"/>
  <c r="AE1171" i="13" s="1"/>
  <c r="U1171" i="13"/>
  <c r="W1171" i="13" s="1"/>
  <c r="U331" i="13"/>
  <c r="W331" i="13" s="1"/>
  <c r="AA332" i="13"/>
  <c r="U339" i="13"/>
  <c r="W339" i="13" s="1"/>
  <c r="AA340" i="13"/>
  <c r="U411" i="13"/>
  <c r="W411" i="13" s="1"/>
  <c r="AA412" i="13"/>
  <c r="U419" i="13"/>
  <c r="W419" i="13" s="1"/>
  <c r="AA420" i="13"/>
  <c r="U427" i="13"/>
  <c r="W427" i="13" s="1"/>
  <c r="AA428" i="13"/>
  <c r="AB554" i="13"/>
  <c r="AA554" i="13"/>
  <c r="AC562" i="13"/>
  <c r="AE578" i="13"/>
  <c r="AC578" i="13"/>
  <c r="AE594" i="13"/>
  <c r="AC594" i="13"/>
  <c r="AE610" i="13"/>
  <c r="AC610" i="13"/>
  <c r="AE621" i="13"/>
  <c r="AC621" i="13"/>
  <c r="V622" i="13"/>
  <c r="AE622" i="13" s="1"/>
  <c r="U622" i="13"/>
  <c r="W622" i="13" s="1"/>
  <c r="AC634" i="13"/>
  <c r="AE650" i="13"/>
  <c r="AC650" i="13"/>
  <c r="AC662" i="13"/>
  <c r="AE677" i="13"/>
  <c r="AC677" i="13"/>
  <c r="V678" i="13"/>
  <c r="AE678" i="13" s="1"/>
  <c r="U678" i="13"/>
  <c r="W678" i="13" s="1"/>
  <c r="AC686" i="13"/>
  <c r="AE690" i="13"/>
  <c r="AC690" i="13"/>
  <c r="AE714" i="13"/>
  <c r="AC714" i="13"/>
  <c r="AB743" i="13"/>
  <c r="AA743" i="13"/>
  <c r="AB776" i="13"/>
  <c r="AA776" i="13"/>
  <c r="AA327" i="13"/>
  <c r="U334" i="13"/>
  <c r="W334" i="13" s="1"/>
  <c r="AA335" i="13"/>
  <c r="U342" i="13"/>
  <c r="W342" i="13" s="1"/>
  <c r="AA343" i="13"/>
  <c r="U350" i="13"/>
  <c r="W350" i="13" s="1"/>
  <c r="AA351" i="13"/>
  <c r="U358" i="13"/>
  <c r="W358" i="13" s="1"/>
  <c r="AA359" i="13"/>
  <c r="U366" i="13"/>
  <c r="W366" i="13" s="1"/>
  <c r="AA367" i="13"/>
  <c r="U374" i="13"/>
  <c r="W374" i="13" s="1"/>
  <c r="AA375" i="13"/>
  <c r="U382" i="13"/>
  <c r="W382" i="13" s="1"/>
  <c r="AA383" i="13"/>
  <c r="U390" i="13"/>
  <c r="W390" i="13" s="1"/>
  <c r="AA391" i="13"/>
  <c r="U398" i="13"/>
  <c r="W398" i="13" s="1"/>
  <c r="AA399" i="13"/>
  <c r="U406" i="13"/>
  <c r="W406" i="13" s="1"/>
  <c r="AA407" i="13"/>
  <c r="U414" i="13"/>
  <c r="W414" i="13" s="1"/>
  <c r="AA415" i="13"/>
  <c r="U422" i="13"/>
  <c r="W422" i="13" s="1"/>
  <c r="AA423" i="13"/>
  <c r="U430" i="13"/>
  <c r="W430" i="13" s="1"/>
  <c r="AA431" i="13"/>
  <c r="U446" i="13"/>
  <c r="W446" i="13" s="1"/>
  <c r="AA447" i="13"/>
  <c r="U454" i="13"/>
  <c r="W454" i="13" s="1"/>
  <c r="AA455" i="13"/>
  <c r="U462" i="13"/>
  <c r="W462" i="13" s="1"/>
  <c r="AA463" i="13"/>
  <c r="U470" i="13"/>
  <c r="W470" i="13" s="1"/>
  <c r="AA471" i="13"/>
  <c r="U478" i="13"/>
  <c r="W478" i="13" s="1"/>
  <c r="AA479" i="13"/>
  <c r="U486" i="13"/>
  <c r="W486" i="13" s="1"/>
  <c r="AA487" i="13"/>
  <c r="U494" i="13"/>
  <c r="W494" i="13" s="1"/>
  <c r="AA495" i="13"/>
  <c r="U502" i="13"/>
  <c r="W502" i="13" s="1"/>
  <c r="AA503" i="13"/>
  <c r="U510" i="13"/>
  <c r="W510" i="13" s="1"/>
  <c r="AA511" i="13"/>
  <c r="U518" i="13"/>
  <c r="W518" i="13" s="1"/>
  <c r="AA519" i="13"/>
  <c r="U526" i="13"/>
  <c r="W526" i="13" s="1"/>
  <c r="AA527" i="13"/>
  <c r="U534" i="13"/>
  <c r="W534" i="13" s="1"/>
  <c r="AA535" i="13"/>
  <c r="U550" i="13"/>
  <c r="W550" i="13" s="1"/>
  <c r="AB559" i="13"/>
  <c r="AA559" i="13"/>
  <c r="AE564" i="13"/>
  <c r="AB575" i="13"/>
  <c r="AA575" i="13"/>
  <c r="AE580" i="13"/>
  <c r="AB591" i="13"/>
  <c r="AA591" i="13"/>
  <c r="AE596" i="13"/>
  <c r="AB607" i="13"/>
  <c r="AA607" i="13"/>
  <c r="AE612" i="13"/>
  <c r="AB631" i="13"/>
  <c r="AA631" i="13"/>
  <c r="AB647" i="13"/>
  <c r="AA647" i="13"/>
  <c r="AE652" i="13"/>
  <c r="AB663" i="13"/>
  <c r="AA663" i="13"/>
  <c r="AB687" i="13"/>
  <c r="AA687" i="13"/>
  <c r="AE693" i="13"/>
  <c r="AC693" i="13"/>
  <c r="V694" i="13"/>
  <c r="AE694" i="13" s="1"/>
  <c r="U694" i="13"/>
  <c r="AB703" i="13"/>
  <c r="AA703" i="13"/>
  <c r="AC709" i="13"/>
  <c r="V710" i="13"/>
  <c r="U710" i="13"/>
  <c r="W710" i="13" s="1"/>
  <c r="AE716" i="13"/>
  <c r="AE722" i="13"/>
  <c r="AC722" i="13"/>
  <c r="AC725" i="13"/>
  <c r="V726" i="13"/>
  <c r="U726" i="13"/>
  <c r="AE738" i="13"/>
  <c r="AC738" i="13"/>
  <c r="AE740" i="13"/>
  <c r="V783" i="13"/>
  <c r="U783" i="13"/>
  <c r="V900" i="13"/>
  <c r="AE900" i="13" s="1"/>
  <c r="U900" i="13"/>
  <c r="W900" i="13" s="1"/>
  <c r="AB971" i="13"/>
  <c r="AA971" i="13"/>
  <c r="U329" i="13"/>
  <c r="W329" i="13" s="1"/>
  <c r="AA330" i="13"/>
  <c r="AA338" i="13"/>
  <c r="U345" i="13"/>
  <c r="W345" i="13" s="1"/>
  <c r="AA346" i="13"/>
  <c r="AC348" i="13"/>
  <c r="AA354" i="13"/>
  <c r="U361" i="13"/>
  <c r="W361" i="13" s="1"/>
  <c r="AA362" i="13"/>
  <c r="U369" i="13"/>
  <c r="W369" i="13" s="1"/>
  <c r="AA370" i="13"/>
  <c r="U377" i="13"/>
  <c r="W377" i="13" s="1"/>
  <c r="AA378" i="13"/>
  <c r="U385" i="13"/>
  <c r="W385" i="13" s="1"/>
  <c r="AA386" i="13"/>
  <c r="U393" i="13"/>
  <c r="W393" i="13" s="1"/>
  <c r="AA394" i="13"/>
  <c r="U401" i="13"/>
  <c r="W401" i="13" s="1"/>
  <c r="AA402" i="13"/>
  <c r="U409" i="13"/>
  <c r="W409" i="13" s="1"/>
  <c r="AA410" i="13"/>
  <c r="U417" i="13"/>
  <c r="W417" i="13" s="1"/>
  <c r="AA418" i="13"/>
  <c r="U425" i="13"/>
  <c r="W425" i="13" s="1"/>
  <c r="AE550" i="13"/>
  <c r="V553" i="13"/>
  <c r="U553" i="13"/>
  <c r="W553" i="13" s="1"/>
  <c r="AE565" i="13"/>
  <c r="AC565" i="13"/>
  <c r="V566" i="13"/>
  <c r="AE566" i="13" s="1"/>
  <c r="U566" i="13"/>
  <c r="AE581" i="13"/>
  <c r="AC581" i="13"/>
  <c r="V582" i="13"/>
  <c r="AE582" i="13" s="1"/>
  <c r="U582" i="13"/>
  <c r="W582" i="13" s="1"/>
  <c r="AE597" i="13"/>
  <c r="AC597" i="13"/>
  <c r="V598" i="13"/>
  <c r="AE598" i="13" s="1"/>
  <c r="U598" i="13"/>
  <c r="AE613" i="13"/>
  <c r="AC613" i="13"/>
  <c r="V614" i="13"/>
  <c r="AE614" i="13" s="1"/>
  <c r="U614" i="13"/>
  <c r="W614" i="13" s="1"/>
  <c r="AC622" i="13"/>
  <c r="AE637" i="13"/>
  <c r="AC637" i="13"/>
  <c r="V638" i="13"/>
  <c r="AE638" i="13" s="1"/>
  <c r="U638" i="13"/>
  <c r="W638" i="13" s="1"/>
  <c r="AE653" i="13"/>
  <c r="AC653" i="13"/>
  <c r="V654" i="13"/>
  <c r="AE654" i="13" s="1"/>
  <c r="U654" i="13"/>
  <c r="AC666" i="13"/>
  <c r="AC678" i="13"/>
  <c r="AC746" i="13"/>
  <c r="AB751" i="13"/>
  <c r="AA751" i="13"/>
  <c r="AE899" i="13"/>
  <c r="AC899" i="13"/>
  <c r="V964" i="13"/>
  <c r="AE964" i="13" s="1"/>
  <c r="U964" i="13"/>
  <c r="W964" i="13" s="1"/>
  <c r="AB967" i="13"/>
  <c r="AA967" i="13"/>
  <c r="U412" i="13"/>
  <c r="W412" i="13" s="1"/>
  <c r="AA413" i="13"/>
  <c r="AA421" i="13"/>
  <c r="AB542" i="13"/>
  <c r="AA542" i="13"/>
  <c r="AB546" i="13"/>
  <c r="AA546" i="13"/>
  <c r="AE557" i="13"/>
  <c r="AC557" i="13"/>
  <c r="AB623" i="13"/>
  <c r="AA623" i="13"/>
  <c r="AB679" i="13"/>
  <c r="AA679" i="13"/>
  <c r="AC694" i="13"/>
  <c r="AC717" i="13"/>
  <c r="V718" i="13"/>
  <c r="U718" i="13"/>
  <c r="W718" i="13" s="1"/>
  <c r="AE729" i="13"/>
  <c r="AC729" i="13"/>
  <c r="AE733" i="13"/>
  <c r="AC733" i="13"/>
  <c r="V734" i="13"/>
  <c r="U734" i="13"/>
  <c r="AB754" i="13"/>
  <c r="AA754" i="13"/>
  <c r="AC854" i="13"/>
  <c r="AC870" i="13"/>
  <c r="AE922" i="13"/>
  <c r="AC922" i="13"/>
  <c r="AC953" i="13"/>
  <c r="AE953" i="13"/>
  <c r="AE963" i="13"/>
  <c r="AC963" i="13"/>
  <c r="AA328" i="13"/>
  <c r="U335" i="13"/>
  <c r="W335" i="13" s="1"/>
  <c r="AA336" i="13"/>
  <c r="U343" i="13"/>
  <c r="W343" i="13" s="1"/>
  <c r="AA344" i="13"/>
  <c r="U351" i="13"/>
  <c r="W351" i="13" s="1"/>
  <c r="AA352" i="13"/>
  <c r="U359" i="13"/>
  <c r="W359" i="13" s="1"/>
  <c r="AA360" i="13"/>
  <c r="AA368" i="13"/>
  <c r="AA400" i="13"/>
  <c r="U407" i="13"/>
  <c r="W407" i="13" s="1"/>
  <c r="AA408" i="13"/>
  <c r="U415" i="13"/>
  <c r="W415" i="13" s="1"/>
  <c r="AA416" i="13"/>
  <c r="U423" i="13"/>
  <c r="W423" i="13" s="1"/>
  <c r="AA424" i="13"/>
  <c r="U431" i="13"/>
  <c r="W431" i="13" s="1"/>
  <c r="AA432" i="13"/>
  <c r="U439" i="13"/>
  <c r="W439" i="13" s="1"/>
  <c r="AA440" i="13"/>
  <c r="U447" i="13"/>
  <c r="W447" i="13" s="1"/>
  <c r="AA448" i="13"/>
  <c r="U455" i="13"/>
  <c r="W455" i="13" s="1"/>
  <c r="AA456" i="13"/>
  <c r="U463" i="13"/>
  <c r="W463" i="13" s="1"/>
  <c r="AA464" i="13"/>
  <c r="U471" i="13"/>
  <c r="W471" i="13" s="1"/>
  <c r="AA472" i="13"/>
  <c r="U479" i="13"/>
  <c r="W479" i="13" s="1"/>
  <c r="AA480" i="13"/>
  <c r="U487" i="13"/>
  <c r="W487" i="13" s="1"/>
  <c r="AA488" i="13"/>
  <c r="AA496" i="13"/>
  <c r="AE570" i="13"/>
  <c r="AC570" i="13"/>
  <c r="AE586" i="13"/>
  <c r="AC586" i="13"/>
  <c r="AC602" i="13"/>
  <c r="AC626" i="13"/>
  <c r="AE642" i="13"/>
  <c r="AC642" i="13"/>
  <c r="AE658" i="13"/>
  <c r="AC658" i="13"/>
  <c r="AE669" i="13"/>
  <c r="AC669" i="13"/>
  <c r="V670" i="13"/>
  <c r="AE670" i="13" s="1"/>
  <c r="U670" i="13"/>
  <c r="W670" i="13" s="1"/>
  <c r="AE682" i="13"/>
  <c r="AC682" i="13"/>
  <c r="AB695" i="13"/>
  <c r="AA695" i="13"/>
  <c r="AC698" i="13"/>
  <c r="AC723" i="13"/>
  <c r="AE723" i="13"/>
  <c r="AE741" i="13"/>
  <c r="AC741" i="13"/>
  <c r="V742" i="13"/>
  <c r="U742" i="13"/>
  <c r="AE744" i="13"/>
  <c r="AE772" i="13"/>
  <c r="AC772" i="13"/>
  <c r="AC822" i="13"/>
  <c r="AC935" i="13"/>
  <c r="V1020" i="13"/>
  <c r="AE1020" i="13" s="1"/>
  <c r="U1020" i="13"/>
  <c r="W1020" i="13" s="1"/>
  <c r="AE1032" i="13"/>
  <c r="AC1032" i="13"/>
  <c r="AB1045" i="13"/>
  <c r="AA1045" i="13"/>
  <c r="V545" i="13"/>
  <c r="U545" i="13"/>
  <c r="W545" i="13" s="1"/>
  <c r="AE548" i="13"/>
  <c r="AC548" i="13"/>
  <c r="AC551" i="13"/>
  <c r="U558" i="13"/>
  <c r="W558" i="13" s="1"/>
  <c r="AB567" i="13"/>
  <c r="AA567" i="13"/>
  <c r="AE572" i="13"/>
  <c r="AB583" i="13"/>
  <c r="AA583" i="13"/>
  <c r="AB599" i="13"/>
  <c r="AA599" i="13"/>
  <c r="AB615" i="13"/>
  <c r="AA615" i="13"/>
  <c r="AE628" i="13"/>
  <c r="AB639" i="13"/>
  <c r="AA639" i="13"/>
  <c r="AE644" i="13"/>
  <c r="AB655" i="13"/>
  <c r="AA655" i="13"/>
  <c r="AE684" i="13"/>
  <c r="AE700" i="13"/>
  <c r="AB711" i="13"/>
  <c r="AA711" i="13"/>
  <c r="AE721" i="13"/>
  <c r="AC721" i="13"/>
  <c r="AB727" i="13"/>
  <c r="AA727" i="13"/>
  <c r="AE737" i="13"/>
  <c r="AC737" i="13"/>
  <c r="V788" i="13"/>
  <c r="AE788" i="13" s="1"/>
  <c r="U788" i="13"/>
  <c r="W788" i="13" s="1"/>
  <c r="V804" i="13"/>
  <c r="AE804" i="13" s="1"/>
  <c r="U804" i="13"/>
  <c r="W804" i="13" s="1"/>
  <c r="AC848" i="13"/>
  <c r="AB756" i="13"/>
  <c r="AA756" i="13"/>
  <c r="AB768" i="13"/>
  <c r="AA768" i="13"/>
  <c r="V775" i="13"/>
  <c r="U775" i="13"/>
  <c r="W775" i="13" s="1"/>
  <c r="AC827" i="13"/>
  <c r="V828" i="13"/>
  <c r="U828" i="13"/>
  <c r="AE864" i="13"/>
  <c r="AC864" i="13"/>
  <c r="AE890" i="13"/>
  <c r="AC890" i="13"/>
  <c r="AC905" i="13"/>
  <c r="AB933" i="13"/>
  <c r="AA933" i="13"/>
  <c r="AE936" i="13"/>
  <c r="AC936" i="13"/>
  <c r="AE972" i="13"/>
  <c r="AC972" i="13"/>
  <c r="AE986" i="13"/>
  <c r="AC986" i="13"/>
  <c r="AE1019" i="13"/>
  <c r="AC1019" i="13"/>
  <c r="AE1130" i="13"/>
  <c r="AC1130" i="13"/>
  <c r="AC1262" i="13"/>
  <c r="U561" i="13"/>
  <c r="W561" i="13" s="1"/>
  <c r="AA562" i="13"/>
  <c r="AC564" i="13"/>
  <c r="U569" i="13"/>
  <c r="W569" i="13" s="1"/>
  <c r="AA570" i="13"/>
  <c r="AC572" i="13"/>
  <c r="U577" i="13"/>
  <c r="W577" i="13" s="1"/>
  <c r="AA578" i="13"/>
  <c r="AC580" i="13"/>
  <c r="U585" i="13"/>
  <c r="W585" i="13" s="1"/>
  <c r="AA586" i="13"/>
  <c r="U593" i="13"/>
  <c r="W593" i="13" s="1"/>
  <c r="AA594" i="13"/>
  <c r="AC596" i="13"/>
  <c r="U601" i="13"/>
  <c r="W601" i="13" s="1"/>
  <c r="AA602" i="13"/>
  <c r="U609" i="13"/>
  <c r="W609" i="13" s="1"/>
  <c r="AA610" i="13"/>
  <c r="AC612" i="13"/>
  <c r="U617" i="13"/>
  <c r="W617" i="13" s="1"/>
  <c r="AA618" i="13"/>
  <c r="AC620" i="13"/>
  <c r="U625" i="13"/>
  <c r="W625" i="13" s="1"/>
  <c r="AA626" i="13"/>
  <c r="AC628" i="13"/>
  <c r="U633" i="13"/>
  <c r="W633" i="13" s="1"/>
  <c r="AA634" i="13"/>
  <c r="U641" i="13"/>
  <c r="W641" i="13" s="1"/>
  <c r="AA642" i="13"/>
  <c r="AC644" i="13"/>
  <c r="U649" i="13"/>
  <c r="W649" i="13" s="1"/>
  <c r="AA650" i="13"/>
  <c r="AC652" i="13"/>
  <c r="U657" i="13"/>
  <c r="W657" i="13" s="1"/>
  <c r="AA658" i="13"/>
  <c r="U665" i="13"/>
  <c r="W665" i="13" s="1"/>
  <c r="AA666" i="13"/>
  <c r="U673" i="13"/>
  <c r="W673" i="13" s="1"/>
  <c r="AA674" i="13"/>
  <c r="AC676" i="13"/>
  <c r="U681" i="13"/>
  <c r="W681" i="13" s="1"/>
  <c r="AA682" i="13"/>
  <c r="AC684" i="13"/>
  <c r="U689" i="13"/>
  <c r="W689" i="13" s="1"/>
  <c r="AA690" i="13"/>
  <c r="AC692" i="13"/>
  <c r="U697" i="13"/>
  <c r="W697" i="13" s="1"/>
  <c r="AA698" i="13"/>
  <c r="AC700" i="13"/>
  <c r="U705" i="13"/>
  <c r="W705" i="13" s="1"/>
  <c r="AA706" i="13"/>
  <c r="U713" i="13"/>
  <c r="W713" i="13" s="1"/>
  <c r="AA714" i="13"/>
  <c r="AC716" i="13"/>
  <c r="U721" i="13"/>
  <c r="W721" i="13" s="1"/>
  <c r="AA722" i="13"/>
  <c r="AC724" i="13"/>
  <c r="U729" i="13"/>
  <c r="W729" i="13" s="1"/>
  <c r="AA730" i="13"/>
  <c r="U737" i="13"/>
  <c r="W737" i="13" s="1"/>
  <c r="AA738" i="13"/>
  <c r="AC740" i="13"/>
  <c r="U745" i="13"/>
  <c r="W745" i="13" s="1"/>
  <c r="AA746" i="13"/>
  <c r="U753" i="13"/>
  <c r="W753" i="13" s="1"/>
  <c r="AB760" i="13"/>
  <c r="AA760" i="13"/>
  <c r="AC764" i="13"/>
  <c r="V767" i="13"/>
  <c r="U767" i="13"/>
  <c r="AC781" i="13"/>
  <c r="AC788" i="13"/>
  <c r="AC792" i="13"/>
  <c r="AC804" i="13"/>
  <c r="AE808" i="13"/>
  <c r="AC808" i="13"/>
  <c r="AE810" i="13"/>
  <c r="AE831" i="13"/>
  <c r="AC831" i="13"/>
  <c r="AE835" i="13"/>
  <c r="AC835" i="13"/>
  <c r="V836" i="13"/>
  <c r="U836" i="13"/>
  <c r="W836" i="13" s="1"/>
  <c r="AE858" i="13"/>
  <c r="AB877" i="13"/>
  <c r="AA877" i="13"/>
  <c r="AE883" i="13"/>
  <c r="AC883" i="13"/>
  <c r="V884" i="13"/>
  <c r="AE884" i="13" s="1"/>
  <c r="U884" i="13"/>
  <c r="W884" i="13" s="1"/>
  <c r="AC900" i="13"/>
  <c r="AB901" i="13"/>
  <c r="AA901" i="13"/>
  <c r="AE906" i="13"/>
  <c r="AC906" i="13"/>
  <c r="AE915" i="13"/>
  <c r="AC915" i="13"/>
  <c r="V916" i="13"/>
  <c r="AE916" i="13" s="1"/>
  <c r="U916" i="13"/>
  <c r="W916" i="13" s="1"/>
  <c r="AE923" i="13"/>
  <c r="AC923" i="13"/>
  <c r="V924" i="13"/>
  <c r="AE924" i="13" s="1"/>
  <c r="U924" i="13"/>
  <c r="W924" i="13" s="1"/>
  <c r="AC929" i="13"/>
  <c r="AE929" i="13"/>
  <c r="AE939" i="13"/>
  <c r="AC939" i="13"/>
  <c r="V940" i="13"/>
  <c r="AE940" i="13" s="1"/>
  <c r="U940" i="13"/>
  <c r="W940" i="13" s="1"/>
  <c r="AE947" i="13"/>
  <c r="AC947" i="13"/>
  <c r="V948" i="13"/>
  <c r="AE948" i="13" s="1"/>
  <c r="U948" i="13"/>
  <c r="W948" i="13" s="1"/>
  <c r="AE954" i="13"/>
  <c r="AC954" i="13"/>
  <c r="AC992" i="13"/>
  <c r="AA999" i="13"/>
  <c r="AB999" i="13"/>
  <c r="V1004" i="13"/>
  <c r="AE1004" i="13" s="1"/>
  <c r="U1004" i="13"/>
  <c r="AC1016" i="13"/>
  <c r="AB1029" i="13"/>
  <c r="AA1029" i="13"/>
  <c r="AC1092" i="13"/>
  <c r="AC1147" i="13"/>
  <c r="U548" i="13"/>
  <c r="W548" i="13" s="1"/>
  <c r="AA549" i="13"/>
  <c r="U556" i="13"/>
  <c r="W556" i="13" s="1"/>
  <c r="AA557" i="13"/>
  <c r="U564" i="13"/>
  <c r="W564" i="13" s="1"/>
  <c r="AA565" i="13"/>
  <c r="U572" i="13"/>
  <c r="W572" i="13" s="1"/>
  <c r="AA573" i="13"/>
  <c r="U580" i="13"/>
  <c r="W580" i="13" s="1"/>
  <c r="AA581" i="13"/>
  <c r="U588" i="13"/>
  <c r="W588" i="13" s="1"/>
  <c r="AA589" i="13"/>
  <c r="U596" i="13"/>
  <c r="W596" i="13" s="1"/>
  <c r="AA597" i="13"/>
  <c r="U604" i="13"/>
  <c r="W604" i="13" s="1"/>
  <c r="AA605" i="13"/>
  <c r="U612" i="13"/>
  <c r="W612" i="13" s="1"/>
  <c r="AA613" i="13"/>
  <c r="U620" i="13"/>
  <c r="W620" i="13" s="1"/>
  <c r="AA621" i="13"/>
  <c r="U628" i="13"/>
  <c r="W628" i="13" s="1"/>
  <c r="AA629" i="13"/>
  <c r="U636" i="13"/>
  <c r="W636" i="13" s="1"/>
  <c r="AA637" i="13"/>
  <c r="U644" i="13"/>
  <c r="W644" i="13" s="1"/>
  <c r="AA645" i="13"/>
  <c r="U652" i="13"/>
  <c r="W652" i="13" s="1"/>
  <c r="AA653" i="13"/>
  <c r="U660" i="13"/>
  <c r="W660" i="13" s="1"/>
  <c r="AA661" i="13"/>
  <c r="U668" i="13"/>
  <c r="W668" i="13" s="1"/>
  <c r="AA669" i="13"/>
  <c r="U676" i="13"/>
  <c r="W676" i="13" s="1"/>
  <c r="AA677" i="13"/>
  <c r="U684" i="13"/>
  <c r="W684" i="13" s="1"/>
  <c r="AA685" i="13"/>
  <c r="U692" i="13"/>
  <c r="W692" i="13" s="1"/>
  <c r="AA693" i="13"/>
  <c r="U700" i="13"/>
  <c r="W700" i="13" s="1"/>
  <c r="AA701" i="13"/>
  <c r="U708" i="13"/>
  <c r="W708" i="13" s="1"/>
  <c r="AA709" i="13"/>
  <c r="U716" i="13"/>
  <c r="W716" i="13" s="1"/>
  <c r="AA717" i="13"/>
  <c r="U724" i="13"/>
  <c r="W724" i="13" s="1"/>
  <c r="AA725" i="13"/>
  <c r="U732" i="13"/>
  <c r="W732" i="13" s="1"/>
  <c r="AA733" i="13"/>
  <c r="U740" i="13"/>
  <c r="W740" i="13" s="1"/>
  <c r="AA741" i="13"/>
  <c r="U748" i="13"/>
  <c r="W748" i="13" s="1"/>
  <c r="AA749" i="13"/>
  <c r="AA755" i="13"/>
  <c r="V759" i="13"/>
  <c r="AE759" i="13" s="1"/>
  <c r="U759" i="13"/>
  <c r="W759" i="13" s="1"/>
  <c r="AE770" i="13"/>
  <c r="AC770" i="13"/>
  <c r="AC773" i="13"/>
  <c r="AA781" i="13"/>
  <c r="AB789" i="13"/>
  <c r="AA789" i="13"/>
  <c r="AE794" i="13"/>
  <c r="AB805" i="13"/>
  <c r="AA805" i="13"/>
  <c r="AE811" i="13"/>
  <c r="AC811" i="13"/>
  <c r="V812" i="13"/>
  <c r="AE812" i="13" s="1"/>
  <c r="U812" i="13"/>
  <c r="W812" i="13" s="1"/>
  <c r="AE816" i="13"/>
  <c r="AC816" i="13"/>
  <c r="AB845" i="13"/>
  <c r="AA845" i="13"/>
  <c r="AE851" i="13"/>
  <c r="AC851" i="13"/>
  <c r="V852" i="13"/>
  <c r="U852" i="13"/>
  <c r="AE862" i="13"/>
  <c r="AF878" i="13"/>
  <c r="AE891" i="13"/>
  <c r="AC891" i="13"/>
  <c r="V892" i="13"/>
  <c r="AE892" i="13" s="1"/>
  <c r="U892" i="13"/>
  <c r="AE896" i="13"/>
  <c r="AC896" i="13"/>
  <c r="AC919" i="13"/>
  <c r="AC927" i="13"/>
  <c r="AC968" i="13"/>
  <c r="AC975" i="13"/>
  <c r="AA720" i="13"/>
  <c r="AA728" i="13"/>
  <c r="U735" i="13"/>
  <c r="W735" i="13" s="1"/>
  <c r="AA736" i="13"/>
  <c r="U743" i="13"/>
  <c r="W743" i="13" s="1"/>
  <c r="AA744" i="13"/>
  <c r="U751" i="13"/>
  <c r="W751" i="13" s="1"/>
  <c r="AA752" i="13"/>
  <c r="AE762" i="13"/>
  <c r="AC762" i="13"/>
  <c r="AC765" i="13"/>
  <c r="AE779" i="13"/>
  <c r="AC779" i="13"/>
  <c r="AE795" i="13"/>
  <c r="AC795" i="13"/>
  <c r="V796" i="13"/>
  <c r="AE796" i="13" s="1"/>
  <c r="U796" i="13"/>
  <c r="W796" i="13" s="1"/>
  <c r="AE818" i="13"/>
  <c r="AB829" i="13"/>
  <c r="AA829" i="13"/>
  <c r="AC840" i="13"/>
  <c r="AF846" i="13"/>
  <c r="AC856" i="13"/>
  <c r="AC859" i="13"/>
  <c r="V860" i="13"/>
  <c r="U860" i="13"/>
  <c r="W860" i="13" s="1"/>
  <c r="AE867" i="13"/>
  <c r="AC867" i="13"/>
  <c r="V868" i="13"/>
  <c r="U868" i="13"/>
  <c r="AC872" i="13"/>
  <c r="AE874" i="13"/>
  <c r="AB885" i="13"/>
  <c r="AA885" i="13"/>
  <c r="AE907" i="13"/>
  <c r="AC907" i="13"/>
  <c r="V908" i="13"/>
  <c r="AE908" i="13" s="1"/>
  <c r="U908" i="13"/>
  <c r="W908" i="13" s="1"/>
  <c r="AC924" i="13"/>
  <c r="AE930" i="13"/>
  <c r="AC930" i="13"/>
  <c r="AC940" i="13"/>
  <c r="AE944" i="13"/>
  <c r="AC944" i="13"/>
  <c r="AE955" i="13"/>
  <c r="AC955" i="13"/>
  <c r="V956" i="13"/>
  <c r="AE956" i="13" s="1"/>
  <c r="U956" i="13"/>
  <c r="AB1013" i="13"/>
  <c r="AA1013" i="13"/>
  <c r="AA723" i="13"/>
  <c r="AE771" i="13"/>
  <c r="AC771" i="13"/>
  <c r="AB813" i="13"/>
  <c r="AA813" i="13"/>
  <c r="AE819" i="13"/>
  <c r="AC819" i="13"/>
  <c r="V820" i="13"/>
  <c r="AE820" i="13" s="1"/>
  <c r="U820" i="13"/>
  <c r="AB837" i="13"/>
  <c r="AA837" i="13"/>
  <c r="AE863" i="13"/>
  <c r="AC863" i="13"/>
  <c r="AF886" i="13"/>
  <c r="AB893" i="13"/>
  <c r="AA893" i="13"/>
  <c r="AC897" i="13"/>
  <c r="AC912" i="13"/>
  <c r="AB917" i="13"/>
  <c r="AA917" i="13"/>
  <c r="AE920" i="13"/>
  <c r="AC920" i="13"/>
  <c r="AB925" i="13"/>
  <c r="AA925" i="13"/>
  <c r="AB941" i="13"/>
  <c r="AA941" i="13"/>
  <c r="AE959" i="13"/>
  <c r="AC959" i="13"/>
  <c r="AB988" i="13"/>
  <c r="AA988" i="13"/>
  <c r="U549" i="13"/>
  <c r="W549" i="13" s="1"/>
  <c r="AA550" i="13"/>
  <c r="U557" i="13"/>
  <c r="W557" i="13" s="1"/>
  <c r="AA558" i="13"/>
  <c r="U565" i="13"/>
  <c r="W565" i="13" s="1"/>
  <c r="AA566" i="13"/>
  <c r="U573" i="13"/>
  <c r="W573" i="13" s="1"/>
  <c r="AA574" i="13"/>
  <c r="U581" i="13"/>
  <c r="W581" i="13" s="1"/>
  <c r="AA582" i="13"/>
  <c r="U589" i="13"/>
  <c r="W589" i="13" s="1"/>
  <c r="AA590" i="13"/>
  <c r="U597" i="13"/>
  <c r="W597" i="13" s="1"/>
  <c r="AA598" i="13"/>
  <c r="U605" i="13"/>
  <c r="W605" i="13" s="1"/>
  <c r="AA606" i="13"/>
  <c r="U613" i="13"/>
  <c r="W613" i="13" s="1"/>
  <c r="AA614" i="13"/>
  <c r="U621" i="13"/>
  <c r="W621" i="13" s="1"/>
  <c r="AA622" i="13"/>
  <c r="U629" i="13"/>
  <c r="W629" i="13" s="1"/>
  <c r="AA630" i="13"/>
  <c r="U637" i="13"/>
  <c r="W637" i="13" s="1"/>
  <c r="AA638" i="13"/>
  <c r="U645" i="13"/>
  <c r="W645" i="13" s="1"/>
  <c r="AA646" i="13"/>
  <c r="U653" i="13"/>
  <c r="W653" i="13" s="1"/>
  <c r="AA654" i="13"/>
  <c r="U661" i="13"/>
  <c r="W661" i="13" s="1"/>
  <c r="AA662" i="13"/>
  <c r="U669" i="13"/>
  <c r="W669" i="13" s="1"/>
  <c r="AA670" i="13"/>
  <c r="U677" i="13"/>
  <c r="W677" i="13" s="1"/>
  <c r="AA678" i="13"/>
  <c r="U685" i="13"/>
  <c r="W685" i="13" s="1"/>
  <c r="AA686" i="13"/>
  <c r="U693" i="13"/>
  <c r="W693" i="13" s="1"/>
  <c r="AA694" i="13"/>
  <c r="U701" i="13"/>
  <c r="W701" i="13" s="1"/>
  <c r="AA702" i="13"/>
  <c r="AE763" i="13"/>
  <c r="AC763" i="13"/>
  <c r="AC784" i="13"/>
  <c r="AE800" i="13"/>
  <c r="AC800" i="13"/>
  <c r="AE824" i="13"/>
  <c r="AC824" i="13"/>
  <c r="AE832" i="13"/>
  <c r="AC832" i="13"/>
  <c r="AE898" i="13"/>
  <c r="AC898" i="13"/>
  <c r="AE904" i="13"/>
  <c r="AC904" i="13"/>
  <c r="AE931" i="13"/>
  <c r="AC931" i="13"/>
  <c r="V932" i="13"/>
  <c r="AE932" i="13" s="1"/>
  <c r="U932" i="13"/>
  <c r="W932" i="13" s="1"/>
  <c r="AE938" i="13"/>
  <c r="AC938" i="13"/>
  <c r="AC945" i="13"/>
  <c r="AE945" i="13"/>
  <c r="AB949" i="13"/>
  <c r="AA949" i="13"/>
  <c r="AC952" i="13"/>
  <c r="AC956" i="13"/>
  <c r="V1036" i="13"/>
  <c r="AE1036" i="13" s="1"/>
  <c r="U1036" i="13"/>
  <c r="W1036" i="13" s="1"/>
  <c r="AC1099" i="13"/>
  <c r="AC759" i="13"/>
  <c r="U772" i="13"/>
  <c r="W772" i="13" s="1"/>
  <c r="AE780" i="13"/>
  <c r="AE786" i="13"/>
  <c r="AB797" i="13"/>
  <c r="AA797" i="13"/>
  <c r="AE802" i="13"/>
  <c r="AE814" i="13"/>
  <c r="AB821" i="13"/>
  <c r="AA821" i="13"/>
  <c r="AE834" i="13"/>
  <c r="AE843" i="13"/>
  <c r="AC843" i="13"/>
  <c r="V844" i="13"/>
  <c r="AE844" i="13" s="1"/>
  <c r="U844" i="13"/>
  <c r="W844" i="13" s="1"/>
  <c r="AB853" i="13"/>
  <c r="AA853" i="13"/>
  <c r="AC857" i="13"/>
  <c r="AE857" i="13"/>
  <c r="AB861" i="13"/>
  <c r="AA861" i="13"/>
  <c r="AB869" i="13"/>
  <c r="AA869" i="13"/>
  <c r="AC875" i="13"/>
  <c r="V876" i="13"/>
  <c r="U876" i="13"/>
  <c r="W876" i="13" s="1"/>
  <c r="AC889" i="13"/>
  <c r="AB909" i="13"/>
  <c r="AA909" i="13"/>
  <c r="AC913" i="13"/>
  <c r="AE913" i="13"/>
  <c r="AC921" i="13"/>
  <c r="AE921" i="13"/>
  <c r="AB957" i="13"/>
  <c r="AA957" i="13"/>
  <c r="AE960" i="13"/>
  <c r="AC960" i="13"/>
  <c r="AE1035" i="13"/>
  <c r="AC1035" i="13"/>
  <c r="V1183" i="13"/>
  <c r="AE1183" i="13" s="1"/>
  <c r="U1183" i="13"/>
  <c r="W1183" i="13" s="1"/>
  <c r="AE994" i="13"/>
  <c r="AC994" i="13"/>
  <c r="AC1001" i="13"/>
  <c r="AE1001" i="13"/>
  <c r="AE1010" i="13"/>
  <c r="AC1010" i="13"/>
  <c r="AE1026" i="13"/>
  <c r="AC1026" i="13"/>
  <c r="AE1042" i="13"/>
  <c r="AC1042" i="13"/>
  <c r="AE1048" i="13"/>
  <c r="AC1048" i="13"/>
  <c r="AE1051" i="13"/>
  <c r="AC1051" i="13"/>
  <c r="V1052" i="13"/>
  <c r="AE1052" i="13" s="1"/>
  <c r="U1052" i="13"/>
  <c r="W1052" i="13" s="1"/>
  <c r="AB1061" i="13"/>
  <c r="AA1061" i="13"/>
  <c r="AC1064" i="13"/>
  <c r="AE1067" i="13"/>
  <c r="AC1067" i="13"/>
  <c r="V1068" i="13"/>
  <c r="AE1068" i="13" s="1"/>
  <c r="U1068" i="13"/>
  <c r="W1068" i="13" s="1"/>
  <c r="AE1082" i="13"/>
  <c r="AC1082" i="13"/>
  <c r="AB1085" i="13"/>
  <c r="AA1085" i="13"/>
  <c r="V1100" i="13"/>
  <c r="AE1100" i="13" s="1"/>
  <c r="U1100" i="13"/>
  <c r="W1100" i="13" s="1"/>
  <c r="AE1112" i="13"/>
  <c r="AC1112" i="13"/>
  <c r="AE1115" i="13"/>
  <c r="AC1115" i="13"/>
  <c r="V1116" i="13"/>
  <c r="AE1116" i="13" s="1"/>
  <c r="U1116" i="13"/>
  <c r="AB1125" i="13"/>
  <c r="AA1125" i="13"/>
  <c r="AC1136" i="13"/>
  <c r="AE1138" i="13"/>
  <c r="AC1138" i="13"/>
  <c r="V1139" i="13"/>
  <c r="AE1139" i="13" s="1"/>
  <c r="U1139" i="13"/>
  <c r="W1139" i="13" s="1"/>
  <c r="AE1158" i="13"/>
  <c r="AC1158" i="13"/>
  <c r="AB1164" i="13"/>
  <c r="AA1164" i="13"/>
  <c r="AE1182" i="13"/>
  <c r="AC1182" i="13"/>
  <c r="AC1216" i="13"/>
  <c r="V1368" i="13"/>
  <c r="AE1368" i="13" s="1"/>
  <c r="U1368" i="13"/>
  <c r="AA784" i="13"/>
  <c r="AC786" i="13"/>
  <c r="U791" i="13"/>
  <c r="W791" i="13" s="1"/>
  <c r="AA792" i="13"/>
  <c r="AC794" i="13"/>
  <c r="U799" i="13"/>
  <c r="W799" i="13" s="1"/>
  <c r="AA800" i="13"/>
  <c r="AC802" i="13"/>
  <c r="U807" i="13"/>
  <c r="W807" i="13" s="1"/>
  <c r="AA808" i="13"/>
  <c r="AC810" i="13"/>
  <c r="U815" i="13"/>
  <c r="W815" i="13" s="1"/>
  <c r="AA816" i="13"/>
  <c r="AC818" i="13"/>
  <c r="U823" i="13"/>
  <c r="W823" i="13" s="1"/>
  <c r="AA824" i="13"/>
  <c r="AC826" i="13"/>
  <c r="U831" i="13"/>
  <c r="W831" i="13" s="1"/>
  <c r="AA832" i="13"/>
  <c r="AC834" i="13"/>
  <c r="U839" i="13"/>
  <c r="W839" i="13" s="1"/>
  <c r="AA840" i="13"/>
  <c r="U847" i="13"/>
  <c r="W847" i="13" s="1"/>
  <c r="AA848" i="13"/>
  <c r="AC850" i="13"/>
  <c r="U855" i="13"/>
  <c r="W855" i="13" s="1"/>
  <c r="AA856" i="13"/>
  <c r="AC858" i="13"/>
  <c r="U863" i="13"/>
  <c r="W863" i="13" s="1"/>
  <c r="AA864" i="13"/>
  <c r="AC866" i="13"/>
  <c r="U871" i="13"/>
  <c r="W871" i="13" s="1"/>
  <c r="AA872" i="13"/>
  <c r="AC874" i="13"/>
  <c r="U879" i="13"/>
  <c r="W879" i="13" s="1"/>
  <c r="AA880" i="13"/>
  <c r="AA896" i="13"/>
  <c r="U903" i="13"/>
  <c r="W903" i="13" s="1"/>
  <c r="AA904" i="13"/>
  <c r="U911" i="13"/>
  <c r="W911" i="13" s="1"/>
  <c r="AA912" i="13"/>
  <c r="AA920" i="13"/>
  <c r="AA936" i="13"/>
  <c r="AA944" i="13"/>
  <c r="U951" i="13"/>
  <c r="W951" i="13" s="1"/>
  <c r="AA952" i="13"/>
  <c r="U959" i="13"/>
  <c r="W959" i="13" s="1"/>
  <c r="AA960" i="13"/>
  <c r="V965" i="13"/>
  <c r="AE965" i="13" s="1"/>
  <c r="AA972" i="13"/>
  <c r="U975" i="13"/>
  <c r="W975" i="13" s="1"/>
  <c r="U979" i="13"/>
  <c r="W979" i="13" s="1"/>
  <c r="AE1055" i="13"/>
  <c r="AC1055" i="13"/>
  <c r="AE1058" i="13"/>
  <c r="AC1058" i="13"/>
  <c r="AE1075" i="13"/>
  <c r="AC1075" i="13"/>
  <c r="AE1107" i="13"/>
  <c r="AC1107" i="13"/>
  <c r="AE1122" i="13"/>
  <c r="AC1122" i="13"/>
  <c r="AB1156" i="13"/>
  <c r="AA1156" i="13"/>
  <c r="AE1161" i="13"/>
  <c r="AC1161" i="13"/>
  <c r="AC1254" i="13"/>
  <c r="V1270" i="13"/>
  <c r="AE1270" i="13" s="1"/>
  <c r="U1270" i="13"/>
  <c r="W1270" i="13" s="1"/>
  <c r="U762" i="13"/>
  <c r="W762" i="13" s="1"/>
  <c r="AA763" i="13"/>
  <c r="U770" i="13"/>
  <c r="W770" i="13" s="1"/>
  <c r="AA771" i="13"/>
  <c r="U778" i="13"/>
  <c r="W778" i="13" s="1"/>
  <c r="AA779" i="13"/>
  <c r="U786" i="13"/>
  <c r="W786" i="13" s="1"/>
  <c r="AA787" i="13"/>
  <c r="U794" i="13"/>
  <c r="W794" i="13" s="1"/>
  <c r="AA795" i="13"/>
  <c r="U802" i="13"/>
  <c r="W802" i="13" s="1"/>
  <c r="AA803" i="13"/>
  <c r="U810" i="13"/>
  <c r="W810" i="13" s="1"/>
  <c r="AA811" i="13"/>
  <c r="U818" i="13"/>
  <c r="W818" i="13" s="1"/>
  <c r="AA819" i="13"/>
  <c r="U826" i="13"/>
  <c r="W826" i="13" s="1"/>
  <c r="AA827" i="13"/>
  <c r="U834" i="13"/>
  <c r="W834" i="13" s="1"/>
  <c r="AA835" i="13"/>
  <c r="U842" i="13"/>
  <c r="W842" i="13" s="1"/>
  <c r="AA843" i="13"/>
  <c r="U850" i="13"/>
  <c r="W850" i="13" s="1"/>
  <c r="AA851" i="13"/>
  <c r="U858" i="13"/>
  <c r="W858" i="13" s="1"/>
  <c r="AA859" i="13"/>
  <c r="U866" i="13"/>
  <c r="W866" i="13" s="1"/>
  <c r="AA867" i="13"/>
  <c r="U874" i="13"/>
  <c r="W874" i="13" s="1"/>
  <c r="AA875" i="13"/>
  <c r="U882" i="13"/>
  <c r="W882" i="13" s="1"/>
  <c r="AA883" i="13"/>
  <c r="U890" i="13"/>
  <c r="W890" i="13" s="1"/>
  <c r="AA891" i="13"/>
  <c r="U898" i="13"/>
  <c r="W898" i="13" s="1"/>
  <c r="AA899" i="13"/>
  <c r="U906" i="13"/>
  <c r="W906" i="13" s="1"/>
  <c r="AA907" i="13"/>
  <c r="U914" i="13"/>
  <c r="W914" i="13" s="1"/>
  <c r="AA915" i="13"/>
  <c r="U922" i="13"/>
  <c r="W922" i="13" s="1"/>
  <c r="AA923" i="13"/>
  <c r="U930" i="13"/>
  <c r="W930" i="13" s="1"/>
  <c r="AA931" i="13"/>
  <c r="U938" i="13"/>
  <c r="W938" i="13" s="1"/>
  <c r="AA939" i="13"/>
  <c r="U946" i="13"/>
  <c r="W946" i="13" s="1"/>
  <c r="AA947" i="13"/>
  <c r="U954" i="13"/>
  <c r="W954" i="13" s="1"/>
  <c r="AA955" i="13"/>
  <c r="U962" i="13"/>
  <c r="W962" i="13" s="1"/>
  <c r="AA963" i="13"/>
  <c r="U966" i="13"/>
  <c r="W966" i="13" s="1"/>
  <c r="AB981" i="13"/>
  <c r="AA981" i="13"/>
  <c r="AB983" i="13"/>
  <c r="AB997" i="13"/>
  <c r="AA997" i="13"/>
  <c r="AE1002" i="13"/>
  <c r="AC1002" i="13"/>
  <c r="AC1004" i="13"/>
  <c r="AC1020" i="13"/>
  <c r="AC1036" i="13"/>
  <c r="V1076" i="13"/>
  <c r="AE1076" i="13" s="1"/>
  <c r="U1076" i="13"/>
  <c r="AB1093" i="13"/>
  <c r="AA1093" i="13"/>
  <c r="V1108" i="13"/>
  <c r="AE1108" i="13" s="1"/>
  <c r="U1108" i="13"/>
  <c r="W1108" i="13" s="1"/>
  <c r="AE1131" i="13"/>
  <c r="AC1131" i="13"/>
  <c r="V1132" i="13"/>
  <c r="U1132" i="13"/>
  <c r="AB1148" i="13"/>
  <c r="AA1148" i="13"/>
  <c r="AE1153" i="13"/>
  <c r="AC1153" i="13"/>
  <c r="AB1168" i="13"/>
  <c r="AA1168" i="13"/>
  <c r="AE1174" i="13"/>
  <c r="AC1174" i="13"/>
  <c r="AE1269" i="13"/>
  <c r="AC1269" i="13"/>
  <c r="U813" i="13"/>
  <c r="W813" i="13" s="1"/>
  <c r="AA814" i="13"/>
  <c r="U821" i="13"/>
  <c r="W821" i="13" s="1"/>
  <c r="AA822" i="13"/>
  <c r="U829" i="13"/>
  <c r="W829" i="13" s="1"/>
  <c r="AA830" i="13"/>
  <c r="U837" i="13"/>
  <c r="W837" i="13" s="1"/>
  <c r="AA838" i="13"/>
  <c r="U845" i="13"/>
  <c r="W845" i="13" s="1"/>
  <c r="AA846" i="13"/>
  <c r="U853" i="13"/>
  <c r="W853" i="13" s="1"/>
  <c r="AA854" i="13"/>
  <c r="U861" i="13"/>
  <c r="W861" i="13" s="1"/>
  <c r="AA862" i="13"/>
  <c r="U869" i="13"/>
  <c r="W869" i="13" s="1"/>
  <c r="AA870" i="13"/>
  <c r="U877" i="13"/>
  <c r="W877" i="13" s="1"/>
  <c r="AA878" i="13"/>
  <c r="U885" i="13"/>
  <c r="W885" i="13" s="1"/>
  <c r="AA886" i="13"/>
  <c r="U893" i="13"/>
  <c r="W893" i="13" s="1"/>
  <c r="AA894" i="13"/>
  <c r="U901" i="13"/>
  <c r="W901" i="13" s="1"/>
  <c r="AA902" i="13"/>
  <c r="U917" i="13"/>
  <c r="W917" i="13" s="1"/>
  <c r="AA918" i="13"/>
  <c r="AA926" i="13"/>
  <c r="AA934" i="13"/>
  <c r="AA942" i="13"/>
  <c r="AC977" i="13"/>
  <c r="AE977" i="13"/>
  <c r="AE979" i="13"/>
  <c r="AB989" i="13"/>
  <c r="AA989" i="13"/>
  <c r="AB1005" i="13"/>
  <c r="AA1005" i="13"/>
  <c r="AE1008" i="13"/>
  <c r="AC1008" i="13"/>
  <c r="AE1011" i="13"/>
  <c r="AC1011" i="13"/>
  <c r="V1012" i="13"/>
  <c r="AE1012" i="13" s="1"/>
  <c r="U1012" i="13"/>
  <c r="AB1021" i="13"/>
  <c r="AA1021" i="13"/>
  <c r="AE1024" i="13"/>
  <c r="AC1024" i="13"/>
  <c r="AE1027" i="13"/>
  <c r="AC1027" i="13"/>
  <c r="V1028" i="13"/>
  <c r="AE1028" i="13" s="1"/>
  <c r="U1028" i="13"/>
  <c r="AB1037" i="13"/>
  <c r="AA1037" i="13"/>
  <c r="AE1040" i="13"/>
  <c r="AC1040" i="13"/>
  <c r="AE1043" i="13"/>
  <c r="AC1043" i="13"/>
  <c r="V1044" i="13"/>
  <c r="AE1044" i="13" s="1"/>
  <c r="U1044" i="13"/>
  <c r="AC1052" i="13"/>
  <c r="AC1068" i="13"/>
  <c r="AC1100" i="13"/>
  <c r="AE1145" i="13"/>
  <c r="AC1145" i="13"/>
  <c r="AC1159" i="13"/>
  <c r="AE1211" i="13"/>
  <c r="AC1211" i="13"/>
  <c r="AC1246" i="13"/>
  <c r="AA857" i="13"/>
  <c r="U896" i="13"/>
  <c r="W896" i="13" s="1"/>
  <c r="AA897" i="13"/>
  <c r="U904" i="13"/>
  <c r="W904" i="13" s="1"/>
  <c r="AA905" i="13"/>
  <c r="AA913" i="13"/>
  <c r="AA921" i="13"/>
  <c r="U936" i="13"/>
  <c r="W936" i="13" s="1"/>
  <c r="AC985" i="13"/>
  <c r="AE995" i="13"/>
  <c r="AC995" i="13"/>
  <c r="AE1018" i="13"/>
  <c r="AC1018" i="13"/>
  <c r="AE1034" i="13"/>
  <c r="AC1034" i="13"/>
  <c r="AB1053" i="13"/>
  <c r="AA1053" i="13"/>
  <c r="AE1056" i="13"/>
  <c r="AC1056" i="13"/>
  <c r="AE1059" i="13"/>
  <c r="AC1059" i="13"/>
  <c r="V1060" i="13"/>
  <c r="AE1060" i="13" s="1"/>
  <c r="U1060" i="13"/>
  <c r="AB1069" i="13"/>
  <c r="AA1069" i="13"/>
  <c r="V1084" i="13"/>
  <c r="AE1084" i="13" s="1"/>
  <c r="U1084" i="13"/>
  <c r="W1084" i="13" s="1"/>
  <c r="AB1101" i="13"/>
  <c r="AA1101" i="13"/>
  <c r="AB1117" i="13"/>
  <c r="AA1117" i="13"/>
  <c r="AE1120" i="13"/>
  <c r="AC1120" i="13"/>
  <c r="AE1123" i="13"/>
  <c r="AC1123" i="13"/>
  <c r="V1124" i="13"/>
  <c r="AE1124" i="13" s="1"/>
  <c r="U1124" i="13"/>
  <c r="W1124" i="13" s="1"/>
  <c r="AB1140" i="13"/>
  <c r="AA1140" i="13"/>
  <c r="AE1162" i="13"/>
  <c r="AC1162" i="13"/>
  <c r="V1163" i="13"/>
  <c r="AE1163" i="13" s="1"/>
  <c r="U1163" i="13"/>
  <c r="W1163" i="13" s="1"/>
  <c r="AE1195" i="13"/>
  <c r="AC1195" i="13"/>
  <c r="AE1266" i="13"/>
  <c r="AC1266" i="13"/>
  <c r="U763" i="13"/>
  <c r="W763" i="13" s="1"/>
  <c r="AA764" i="13"/>
  <c r="U771" i="13"/>
  <c r="W771" i="13" s="1"/>
  <c r="AA772" i="13"/>
  <c r="U779" i="13"/>
  <c r="W779" i="13" s="1"/>
  <c r="AA780" i="13"/>
  <c r="U787" i="13"/>
  <c r="W787" i="13" s="1"/>
  <c r="AA788" i="13"/>
  <c r="U795" i="13"/>
  <c r="W795" i="13" s="1"/>
  <c r="AA796" i="13"/>
  <c r="U803" i="13"/>
  <c r="W803" i="13" s="1"/>
  <c r="AA804" i="13"/>
  <c r="U811" i="13"/>
  <c r="W811" i="13" s="1"/>
  <c r="AA812" i="13"/>
  <c r="U819" i="13"/>
  <c r="W819" i="13" s="1"/>
  <c r="AA820" i="13"/>
  <c r="U883" i="13"/>
  <c r="W883" i="13" s="1"/>
  <c r="AA884" i="13"/>
  <c r="U891" i="13"/>
  <c r="W891" i="13" s="1"/>
  <c r="AA892" i="13"/>
  <c r="U899" i="13"/>
  <c r="W899" i="13" s="1"/>
  <c r="AA900" i="13"/>
  <c r="U907" i="13"/>
  <c r="W907" i="13" s="1"/>
  <c r="AA908" i="13"/>
  <c r="U915" i="13"/>
  <c r="W915" i="13" s="1"/>
  <c r="U923" i="13"/>
  <c r="W923" i="13" s="1"/>
  <c r="AA924" i="13"/>
  <c r="U931" i="13"/>
  <c r="W931" i="13" s="1"/>
  <c r="AA932" i="13"/>
  <c r="AA940" i="13"/>
  <c r="U947" i="13"/>
  <c r="W947" i="13" s="1"/>
  <c r="AA948" i="13"/>
  <c r="U955" i="13"/>
  <c r="W955" i="13" s="1"/>
  <c r="AA956" i="13"/>
  <c r="U963" i="13"/>
  <c r="W963" i="13" s="1"/>
  <c r="AA965" i="13"/>
  <c r="U972" i="13"/>
  <c r="W972" i="13" s="1"/>
  <c r="AA975" i="13"/>
  <c r="V980" i="13"/>
  <c r="U980" i="13"/>
  <c r="W980" i="13" s="1"/>
  <c r="AC987" i="13"/>
  <c r="V990" i="13"/>
  <c r="W990" i="13" s="1"/>
  <c r="V996" i="13"/>
  <c r="AE996" i="13" s="1"/>
  <c r="U996" i="13"/>
  <c r="W996" i="13" s="1"/>
  <c r="AE1050" i="13"/>
  <c r="AC1050" i="13"/>
  <c r="AE1066" i="13"/>
  <c r="AC1066" i="13"/>
  <c r="AC1091" i="13"/>
  <c r="AE1114" i="13"/>
  <c r="AC1114" i="13"/>
  <c r="AE1135" i="13"/>
  <c r="AC1135" i="13"/>
  <c r="AE1154" i="13"/>
  <c r="AC1154" i="13"/>
  <c r="V1155" i="13"/>
  <c r="AE1155" i="13" s="1"/>
  <c r="U1155" i="13"/>
  <c r="W1155" i="13" s="1"/>
  <c r="V973" i="13"/>
  <c r="AE973" i="13" s="1"/>
  <c r="AE978" i="13"/>
  <c r="AC978" i="13"/>
  <c r="V988" i="13"/>
  <c r="U988" i="13"/>
  <c r="AC993" i="13"/>
  <c r="AE993" i="13"/>
  <c r="AE1003" i="13"/>
  <c r="AC1003" i="13"/>
  <c r="AC1012" i="13"/>
  <c r="AC1028" i="13"/>
  <c r="AC1044" i="13"/>
  <c r="AE1074" i="13"/>
  <c r="AC1074" i="13"/>
  <c r="AB1077" i="13"/>
  <c r="AA1077" i="13"/>
  <c r="V1092" i="13"/>
  <c r="AE1092" i="13" s="1"/>
  <c r="U1092" i="13"/>
  <c r="W1092" i="13" s="1"/>
  <c r="AC1106" i="13"/>
  <c r="AB1109" i="13"/>
  <c r="AA1109" i="13"/>
  <c r="AB1133" i="13"/>
  <c r="AA1133" i="13"/>
  <c r="AC1143" i="13"/>
  <c r="AE1146" i="13"/>
  <c r="AC1146" i="13"/>
  <c r="V1147" i="13"/>
  <c r="AE1147" i="13" s="1"/>
  <c r="U1147" i="13"/>
  <c r="W1147" i="13" s="1"/>
  <c r="AC1172" i="13"/>
  <c r="AE1172" i="13"/>
  <c r="AC1207" i="13"/>
  <c r="AE1308" i="13"/>
  <c r="AC1308" i="13"/>
  <c r="AE1009" i="13"/>
  <c r="AE1017" i="13"/>
  <c r="AE1025" i="13"/>
  <c r="AE1033" i="13"/>
  <c r="AE1041" i="13"/>
  <c r="AE1065" i="13"/>
  <c r="AE1073" i="13"/>
  <c r="AE1097" i="13"/>
  <c r="AE1105" i="13"/>
  <c r="AE1121" i="13"/>
  <c r="AE1129" i="13"/>
  <c r="AE1160" i="13"/>
  <c r="AE1189" i="13"/>
  <c r="AC1189" i="13"/>
  <c r="AB1192" i="13"/>
  <c r="AA1192" i="13"/>
  <c r="AE1213" i="13"/>
  <c r="V1222" i="13"/>
  <c r="AE1222" i="13" s="1"/>
  <c r="U1222" i="13"/>
  <c r="W1222" i="13" s="1"/>
  <c r="AE1226" i="13"/>
  <c r="AC1226" i="13"/>
  <c r="AE1228" i="13"/>
  <c r="AC1228" i="13"/>
  <c r="AB1239" i="13"/>
  <c r="AA1239" i="13"/>
  <c r="AB1247" i="13"/>
  <c r="AA1247" i="13"/>
  <c r="AB1255" i="13"/>
  <c r="AA1255" i="13"/>
  <c r="AC1274" i="13"/>
  <c r="AB1287" i="13"/>
  <c r="AA1287" i="13"/>
  <c r="AC1298" i="13"/>
  <c r="AA976" i="13"/>
  <c r="U983" i="13"/>
  <c r="W983" i="13" s="1"/>
  <c r="AA984" i="13"/>
  <c r="U991" i="13"/>
  <c r="W991" i="13" s="1"/>
  <c r="AA992" i="13"/>
  <c r="U999" i="13"/>
  <c r="W999" i="13" s="1"/>
  <c r="AA1000" i="13"/>
  <c r="U1007" i="13"/>
  <c r="W1007" i="13" s="1"/>
  <c r="AA1008" i="13"/>
  <c r="U1015" i="13"/>
  <c r="W1015" i="13" s="1"/>
  <c r="AA1016" i="13"/>
  <c r="U1023" i="13"/>
  <c r="W1023" i="13" s="1"/>
  <c r="AA1024" i="13"/>
  <c r="U1031" i="13"/>
  <c r="W1031" i="13" s="1"/>
  <c r="AA1032" i="13"/>
  <c r="U1039" i="13"/>
  <c r="W1039" i="13" s="1"/>
  <c r="AA1040" i="13"/>
  <c r="AA1048" i="13"/>
  <c r="U1055" i="13"/>
  <c r="W1055" i="13" s="1"/>
  <c r="AA1056" i="13"/>
  <c r="U1063" i="13"/>
  <c r="W1063" i="13" s="1"/>
  <c r="AA1064" i="13"/>
  <c r="AA1112" i="13"/>
  <c r="U1119" i="13"/>
  <c r="W1119" i="13" s="1"/>
  <c r="AA1120" i="13"/>
  <c r="AA1136" i="13"/>
  <c r="AA1143" i="13"/>
  <c r="AE1175" i="13"/>
  <c r="AC1175" i="13"/>
  <c r="V1176" i="13"/>
  <c r="AE1176" i="13" s="1"/>
  <c r="U1176" i="13"/>
  <c r="AE1198" i="13"/>
  <c r="AC1198" i="13"/>
  <c r="V1199" i="13"/>
  <c r="U1199" i="13"/>
  <c r="AB1208" i="13"/>
  <c r="AA1208" i="13"/>
  <c r="AF1219" i="13"/>
  <c r="AE1235" i="13"/>
  <c r="AF1256" i="13"/>
  <c r="AB1263" i="13"/>
  <c r="AA1263" i="13"/>
  <c r="AE1277" i="13"/>
  <c r="AC1277" i="13"/>
  <c r="V1278" i="13"/>
  <c r="AE1278" i="13" s="1"/>
  <c r="U1278" i="13"/>
  <c r="AE1290" i="13"/>
  <c r="AC1290" i="13"/>
  <c r="AF1296" i="13"/>
  <c r="AC1301" i="13"/>
  <c r="V1302" i="13"/>
  <c r="AE1302" i="13" s="1"/>
  <c r="U1302" i="13"/>
  <c r="W1302" i="13" s="1"/>
  <c r="AB1319" i="13"/>
  <c r="AA1319" i="13"/>
  <c r="AC1321" i="13"/>
  <c r="U978" i="13"/>
  <c r="W978" i="13" s="1"/>
  <c r="AA979" i="13"/>
  <c r="U986" i="13"/>
  <c r="W986" i="13" s="1"/>
  <c r="AA987" i="13"/>
  <c r="U994" i="13"/>
  <c r="W994" i="13" s="1"/>
  <c r="AA995" i="13"/>
  <c r="U1002" i="13"/>
  <c r="W1002" i="13" s="1"/>
  <c r="AA1003" i="13"/>
  <c r="U1010" i="13"/>
  <c r="W1010" i="13" s="1"/>
  <c r="AA1011" i="13"/>
  <c r="U1018" i="13"/>
  <c r="W1018" i="13" s="1"/>
  <c r="AA1019" i="13"/>
  <c r="U1026" i="13"/>
  <c r="W1026" i="13" s="1"/>
  <c r="AA1027" i="13"/>
  <c r="U1034" i="13"/>
  <c r="W1034" i="13" s="1"/>
  <c r="AA1035" i="13"/>
  <c r="U1042" i="13"/>
  <c r="W1042" i="13" s="1"/>
  <c r="AA1043" i="13"/>
  <c r="U1050" i="13"/>
  <c r="W1050" i="13" s="1"/>
  <c r="AA1051" i="13"/>
  <c r="U1058" i="13"/>
  <c r="W1058" i="13" s="1"/>
  <c r="AA1059" i="13"/>
  <c r="U1066" i="13"/>
  <c r="W1066" i="13" s="1"/>
  <c r="AA1067" i="13"/>
  <c r="U1114" i="13"/>
  <c r="W1114" i="13" s="1"/>
  <c r="AA1115" i="13"/>
  <c r="U1122" i="13"/>
  <c r="W1122" i="13" s="1"/>
  <c r="AA1123" i="13"/>
  <c r="U1130" i="13"/>
  <c r="W1130" i="13" s="1"/>
  <c r="AA1131" i="13"/>
  <c r="AA1138" i="13"/>
  <c r="U1145" i="13"/>
  <c r="W1145" i="13" s="1"/>
  <c r="AA1146" i="13"/>
  <c r="U1153" i="13"/>
  <c r="W1153" i="13" s="1"/>
  <c r="AA1154" i="13"/>
  <c r="U1161" i="13"/>
  <c r="W1161" i="13" s="1"/>
  <c r="AA1162" i="13"/>
  <c r="U1167" i="13"/>
  <c r="W1167" i="13" s="1"/>
  <c r="AA1174" i="13"/>
  <c r="AE1187" i="13"/>
  <c r="AC1187" i="13"/>
  <c r="AE1203" i="13"/>
  <c r="AC1203" i="13"/>
  <c r="AB1223" i="13"/>
  <c r="AA1223" i="13"/>
  <c r="AE1229" i="13"/>
  <c r="AC1229" i="13"/>
  <c r="AB1271" i="13"/>
  <c r="AA1271" i="13"/>
  <c r="AC1293" i="13"/>
  <c r="V1294" i="13"/>
  <c r="U1294" i="13"/>
  <c r="W1294" i="13" s="1"/>
  <c r="AC1309" i="13"/>
  <c r="V1310" i="13"/>
  <c r="U1310" i="13"/>
  <c r="W1310" i="13" s="1"/>
  <c r="AE1316" i="13"/>
  <c r="AC1316" i="13"/>
  <c r="AB1170" i="13"/>
  <c r="AE1181" i="13"/>
  <c r="AC1181" i="13"/>
  <c r="AB1184" i="13"/>
  <c r="AA1184" i="13"/>
  <c r="AE1209" i="13"/>
  <c r="V1214" i="13"/>
  <c r="AE1214" i="13" s="1"/>
  <c r="U1214" i="13"/>
  <c r="W1214" i="13" s="1"/>
  <c r="AF1224" i="13"/>
  <c r="V1230" i="13"/>
  <c r="AE1230" i="13" s="1"/>
  <c r="U1230" i="13"/>
  <c r="W1230" i="13" s="1"/>
  <c r="AE1236" i="13"/>
  <c r="AC1236" i="13"/>
  <c r="AC1278" i="13"/>
  <c r="AE1284" i="13"/>
  <c r="AC1284" i="13"/>
  <c r="AC1302" i="13"/>
  <c r="AC1179" i="13"/>
  <c r="AC1190" i="13"/>
  <c r="V1191" i="13"/>
  <c r="U1191" i="13"/>
  <c r="W1191" i="13" s="1"/>
  <c r="AB1200" i="13"/>
  <c r="AA1200" i="13"/>
  <c r="AC1218" i="13"/>
  <c r="AE1252" i="13"/>
  <c r="AC1252" i="13"/>
  <c r="AE1260" i="13"/>
  <c r="AC1260" i="13"/>
  <c r="AB1279" i="13"/>
  <c r="AA1279" i="13"/>
  <c r="AE1297" i="13"/>
  <c r="AC1297" i="13"/>
  <c r="AB1303" i="13"/>
  <c r="AA1303" i="13"/>
  <c r="AE1305" i="13"/>
  <c r="AC1305" i="13"/>
  <c r="AB1177" i="13"/>
  <c r="AA1177" i="13"/>
  <c r="AE1197" i="13"/>
  <c r="AC1197" i="13"/>
  <c r="AE1206" i="13"/>
  <c r="AC1206" i="13"/>
  <c r="AB1231" i="13"/>
  <c r="AA1231" i="13"/>
  <c r="AC1234" i="13"/>
  <c r="AE1237" i="13"/>
  <c r="AC1237" i="13"/>
  <c r="V1238" i="13"/>
  <c r="AE1238" i="13" s="1"/>
  <c r="U1238" i="13"/>
  <c r="AE1268" i="13"/>
  <c r="AC1268" i="13"/>
  <c r="AE1282" i="13"/>
  <c r="AC1282" i="13"/>
  <c r="AE1285" i="13"/>
  <c r="AC1285" i="13"/>
  <c r="V1286" i="13"/>
  <c r="AE1286" i="13" s="1"/>
  <c r="U1286" i="13"/>
  <c r="AC1317" i="13"/>
  <c r="V1318" i="13"/>
  <c r="U1318" i="13"/>
  <c r="W1318" i="13" s="1"/>
  <c r="U1174" i="13"/>
  <c r="W1174" i="13" s="1"/>
  <c r="AF1178" i="13"/>
  <c r="V1207" i="13"/>
  <c r="AE1207" i="13" s="1"/>
  <c r="U1207" i="13"/>
  <c r="AC1214" i="13"/>
  <c r="AB1215" i="13"/>
  <c r="AA1215" i="13"/>
  <c r="AE1242" i="13"/>
  <c r="AC1242" i="13"/>
  <c r="AC1245" i="13"/>
  <c r="V1246" i="13"/>
  <c r="AE1246" i="13" s="1"/>
  <c r="U1246" i="13"/>
  <c r="W1246" i="13" s="1"/>
  <c r="AE1250" i="13"/>
  <c r="AC1250" i="13"/>
  <c r="AE1253" i="13"/>
  <c r="AC1253" i="13"/>
  <c r="V1254" i="13"/>
  <c r="AE1254" i="13" s="1"/>
  <c r="U1254" i="13"/>
  <c r="W1254" i="13" s="1"/>
  <c r="AE1258" i="13"/>
  <c r="AC1258" i="13"/>
  <c r="AE1261" i="13"/>
  <c r="AC1261" i="13"/>
  <c r="V1262" i="13"/>
  <c r="AE1262" i="13" s="1"/>
  <c r="U1262" i="13"/>
  <c r="W1262" i="13" s="1"/>
  <c r="AB1295" i="13"/>
  <c r="AA1295" i="13"/>
  <c r="AE1300" i="13"/>
  <c r="AC1300" i="13"/>
  <c r="AB1311" i="13"/>
  <c r="AA1311" i="13"/>
  <c r="AE1313" i="13"/>
  <c r="AC1313" i="13"/>
  <c r="AC1325" i="13"/>
  <c r="AE1350" i="13"/>
  <c r="AC1350" i="13"/>
  <c r="AE1204" i="13"/>
  <c r="AE1243" i="13"/>
  <c r="AC1340" i="13"/>
  <c r="AC1348" i="13"/>
  <c r="AE1372" i="13"/>
  <c r="AC1372" i="13"/>
  <c r="AE1379" i="13"/>
  <c r="AC1379" i="13"/>
  <c r="V1388" i="13"/>
  <c r="AE1388" i="13" s="1"/>
  <c r="U1388" i="13"/>
  <c r="AA1179" i="13"/>
  <c r="U1186" i="13"/>
  <c r="W1186" i="13" s="1"/>
  <c r="AA1187" i="13"/>
  <c r="U1194" i="13"/>
  <c r="W1194" i="13" s="1"/>
  <c r="AA1195" i="13"/>
  <c r="U1202" i="13"/>
  <c r="W1202" i="13" s="1"/>
  <c r="AA1203" i="13"/>
  <c r="AC1205" i="13"/>
  <c r="U1210" i="13"/>
  <c r="W1210" i="13" s="1"/>
  <c r="AA1211" i="13"/>
  <c r="AC1213" i="13"/>
  <c r="U1217" i="13"/>
  <c r="W1217" i="13" s="1"/>
  <c r="AA1218" i="13"/>
  <c r="U1225" i="13"/>
  <c r="W1225" i="13" s="1"/>
  <c r="AA1226" i="13"/>
  <c r="U1233" i="13"/>
  <c r="W1233" i="13" s="1"/>
  <c r="AA1234" i="13"/>
  <c r="U1241" i="13"/>
  <c r="W1241" i="13" s="1"/>
  <c r="AA1242" i="13"/>
  <c r="U1249" i="13"/>
  <c r="W1249" i="13" s="1"/>
  <c r="AA1250" i="13"/>
  <c r="U1257" i="13"/>
  <c r="W1257" i="13" s="1"/>
  <c r="AA1258" i="13"/>
  <c r="U1265" i="13"/>
  <c r="W1265" i="13" s="1"/>
  <c r="AA1266" i="13"/>
  <c r="U1273" i="13"/>
  <c r="W1273" i="13" s="1"/>
  <c r="AA1274" i="13"/>
  <c r="U1281" i="13"/>
  <c r="W1281" i="13" s="1"/>
  <c r="AA1282" i="13"/>
  <c r="U1289" i="13"/>
  <c r="W1289" i="13" s="1"/>
  <c r="AA1290" i="13"/>
  <c r="U1297" i="13"/>
  <c r="W1297" i="13" s="1"/>
  <c r="AA1298" i="13"/>
  <c r="AE1329" i="13"/>
  <c r="AC1329" i="13"/>
  <c r="V1336" i="13"/>
  <c r="U1336" i="13"/>
  <c r="W1336" i="13" s="1"/>
  <c r="AB1337" i="13"/>
  <c r="AA1337" i="13"/>
  <c r="AE1343" i="13"/>
  <c r="AC1343" i="13"/>
  <c r="V1344" i="13"/>
  <c r="AE1344" i="13" s="1"/>
  <c r="U1344" i="13"/>
  <c r="W1344" i="13" s="1"/>
  <c r="AC1356" i="13"/>
  <c r="AE1363" i="13"/>
  <c r="AC1363" i="13"/>
  <c r="AA1175" i="13"/>
  <c r="U1181" i="13"/>
  <c r="W1181" i="13" s="1"/>
  <c r="AA1182" i="13"/>
  <c r="U1189" i="13"/>
  <c r="W1189" i="13" s="1"/>
  <c r="AA1190" i="13"/>
  <c r="AA1198" i="13"/>
  <c r="U1236" i="13"/>
  <c r="W1236" i="13" s="1"/>
  <c r="AA1237" i="13"/>
  <c r="U1244" i="13"/>
  <c r="W1244" i="13" s="1"/>
  <c r="AA1245" i="13"/>
  <c r="U1252" i="13"/>
  <c r="W1252" i="13" s="1"/>
  <c r="AA1253" i="13"/>
  <c r="U1260" i="13"/>
  <c r="W1260" i="13" s="1"/>
  <c r="AA1261" i="13"/>
  <c r="U1268" i="13"/>
  <c r="W1268" i="13" s="1"/>
  <c r="AA1269" i="13"/>
  <c r="AA1277" i="13"/>
  <c r="U1284" i="13"/>
  <c r="W1284" i="13" s="1"/>
  <c r="AA1285" i="13"/>
  <c r="U1292" i="13"/>
  <c r="W1292" i="13" s="1"/>
  <c r="AA1293" i="13"/>
  <c r="U1300" i="13"/>
  <c r="W1300" i="13" s="1"/>
  <c r="AA1301" i="13"/>
  <c r="U1308" i="13"/>
  <c r="W1308" i="13" s="1"/>
  <c r="AA1309" i="13"/>
  <c r="U1316" i="13"/>
  <c r="W1316" i="13" s="1"/>
  <c r="AA1317" i="13"/>
  <c r="AA1329" i="13"/>
  <c r="AB1377" i="13"/>
  <c r="AA1377" i="13"/>
  <c r="U1177" i="13"/>
  <c r="W1177" i="13" s="1"/>
  <c r="AA1178" i="13"/>
  <c r="U1184" i="13"/>
  <c r="W1184" i="13" s="1"/>
  <c r="AA1185" i="13"/>
  <c r="U1192" i="13"/>
  <c r="W1192" i="13" s="1"/>
  <c r="AA1193" i="13"/>
  <c r="U1200" i="13"/>
  <c r="W1200" i="13" s="1"/>
  <c r="AA1201" i="13"/>
  <c r="U1208" i="13"/>
  <c r="W1208" i="13" s="1"/>
  <c r="AA1209" i="13"/>
  <c r="U1215" i="13"/>
  <c r="W1215" i="13" s="1"/>
  <c r="AA1216" i="13"/>
  <c r="U1223" i="13"/>
  <c r="W1223" i="13" s="1"/>
  <c r="AA1224" i="13"/>
  <c r="U1231" i="13"/>
  <c r="W1231" i="13" s="1"/>
  <c r="AA1240" i="13"/>
  <c r="U1247" i="13"/>
  <c r="W1247" i="13" s="1"/>
  <c r="AA1248" i="13"/>
  <c r="U1255" i="13"/>
  <c r="W1255" i="13" s="1"/>
  <c r="AA1256" i="13"/>
  <c r="AA1264" i="13"/>
  <c r="AA1272" i="13"/>
  <c r="AC1322" i="13"/>
  <c r="AB1324" i="13"/>
  <c r="AA1324" i="13"/>
  <c r="U1328" i="13"/>
  <c r="W1328" i="13" s="1"/>
  <c r="AB1361" i="13"/>
  <c r="AA1361" i="13"/>
  <c r="V1376" i="13"/>
  <c r="U1376" i="13"/>
  <c r="W1376" i="13" s="1"/>
  <c r="AE1326" i="13"/>
  <c r="AC1326" i="13"/>
  <c r="AE1334" i="13"/>
  <c r="AC1334" i="13"/>
  <c r="V1352" i="13"/>
  <c r="AE1352" i="13" s="1"/>
  <c r="U1352" i="13"/>
  <c r="W1352" i="13" s="1"/>
  <c r="AB1353" i="13"/>
  <c r="AA1353" i="13"/>
  <c r="V1360" i="13"/>
  <c r="AE1360" i="13" s="1"/>
  <c r="U1360" i="13"/>
  <c r="W1360" i="13" s="1"/>
  <c r="AE1371" i="13"/>
  <c r="AC1371" i="13"/>
  <c r="AE1380" i="13"/>
  <c r="AC1380" i="13"/>
  <c r="AA1222" i="13"/>
  <c r="U1229" i="13"/>
  <c r="W1229" i="13" s="1"/>
  <c r="AA1230" i="13"/>
  <c r="U1237" i="13"/>
  <c r="W1237" i="13" s="1"/>
  <c r="AA1238" i="13"/>
  <c r="AA1246" i="13"/>
  <c r="U1253" i="13"/>
  <c r="W1253" i="13" s="1"/>
  <c r="AA1254" i="13"/>
  <c r="U1261" i="13"/>
  <c r="W1261" i="13" s="1"/>
  <c r="AA1262" i="13"/>
  <c r="U1269" i="13"/>
  <c r="W1269" i="13" s="1"/>
  <c r="AA1270" i="13"/>
  <c r="U1277" i="13"/>
  <c r="W1277" i="13" s="1"/>
  <c r="AA1278" i="13"/>
  <c r="U1285" i="13"/>
  <c r="W1285" i="13" s="1"/>
  <c r="AA1286" i="13"/>
  <c r="AA1302" i="13"/>
  <c r="AC1332" i="13"/>
  <c r="AA1334" i="13"/>
  <c r="AE1342" i="13"/>
  <c r="AC1342" i="13"/>
  <c r="AE1355" i="13"/>
  <c r="AC1355" i="13"/>
  <c r="AE1357" i="13"/>
  <c r="AE1364" i="13"/>
  <c r="AC1364" i="13"/>
  <c r="AE1339" i="13"/>
  <c r="AC1339" i="13"/>
  <c r="AB1345" i="13"/>
  <c r="AA1345" i="13"/>
  <c r="AB1369" i="13"/>
  <c r="AA1369" i="13"/>
  <c r="AC1395" i="13"/>
  <c r="AB1405" i="13"/>
  <c r="AA1405" i="13"/>
  <c r="AE1410" i="13"/>
  <c r="AC1410" i="13"/>
  <c r="AC1419" i="13"/>
  <c r="U1331" i="13"/>
  <c r="W1331" i="13" s="1"/>
  <c r="AA1332" i="13"/>
  <c r="U1339" i="13"/>
  <c r="W1339" i="13" s="1"/>
  <c r="AA1340" i="13"/>
  <c r="U1347" i="13"/>
  <c r="W1347" i="13" s="1"/>
  <c r="AA1348" i="13"/>
  <c r="U1355" i="13"/>
  <c r="W1355" i="13" s="1"/>
  <c r="AA1356" i="13"/>
  <c r="AC1358" i="13"/>
  <c r="U1363" i="13"/>
  <c r="W1363" i="13" s="1"/>
  <c r="AA1364" i="13"/>
  <c r="AC1366" i="13"/>
  <c r="U1371" i="13"/>
  <c r="W1371" i="13" s="1"/>
  <c r="AA1372" i="13"/>
  <c r="AC1374" i="13"/>
  <c r="U1379" i="13"/>
  <c r="W1379" i="13" s="1"/>
  <c r="AA1380" i="13"/>
  <c r="AC1382" i="13"/>
  <c r="AB1391" i="13"/>
  <c r="V1396" i="13"/>
  <c r="AE1396" i="13" s="1"/>
  <c r="U1396" i="13"/>
  <c r="W1396" i="13" s="1"/>
  <c r="AC1398" i="13"/>
  <c r="V1406" i="13"/>
  <c r="AE1406" i="13" s="1"/>
  <c r="AB1415" i="13"/>
  <c r="V1420" i="13"/>
  <c r="AE1420" i="13" s="1"/>
  <c r="U1420" i="13"/>
  <c r="W1420" i="13" s="1"/>
  <c r="U1326" i="13"/>
  <c r="W1326" i="13" s="1"/>
  <c r="AA1327" i="13"/>
  <c r="AA1335" i="13"/>
  <c r="U1342" i="13"/>
  <c r="W1342" i="13" s="1"/>
  <c r="AA1343" i="13"/>
  <c r="AB1384" i="13"/>
  <c r="AA1384" i="13"/>
  <c r="AC1388" i="13"/>
  <c r="AC1403" i="13"/>
  <c r="U1329" i="13"/>
  <c r="W1329" i="13" s="1"/>
  <c r="AA1330" i="13"/>
  <c r="AA1338" i="13"/>
  <c r="AC1401" i="13"/>
  <c r="AE1401" i="13"/>
  <c r="V1404" i="13"/>
  <c r="U1404" i="13"/>
  <c r="AB1413" i="13"/>
  <c r="AA1413" i="13"/>
  <c r="U1324" i="13"/>
  <c r="W1324" i="13" s="1"/>
  <c r="AA1325" i="13"/>
  <c r="AB1389" i="13"/>
  <c r="AA1389" i="13"/>
  <c r="V1414" i="13"/>
  <c r="AE1414" i="13" s="1"/>
  <c r="AC1411" i="13"/>
  <c r="AC1387" i="13"/>
  <c r="AB1397" i="13"/>
  <c r="AA1397" i="13"/>
  <c r="AB1407" i="13"/>
  <c r="V1412" i="13"/>
  <c r="AE1412" i="13" s="1"/>
  <c r="U1412" i="13"/>
  <c r="W1412" i="13" s="1"/>
  <c r="AB1421" i="13"/>
  <c r="AA1421" i="13"/>
  <c r="U1391" i="13"/>
  <c r="W1391" i="13" s="1"/>
  <c r="AA1392" i="13"/>
  <c r="U1399" i="13"/>
  <c r="W1399" i="13" s="1"/>
  <c r="AA1400" i="13"/>
  <c r="AA1408" i="13"/>
  <c r="AA1416" i="13"/>
  <c r="U1386" i="13"/>
  <c r="W1386" i="13" s="1"/>
  <c r="AA1387" i="13"/>
  <c r="U1394" i="13"/>
  <c r="W1394" i="13" s="1"/>
  <c r="AA1395" i="13"/>
  <c r="U1402" i="13"/>
  <c r="W1402" i="13" s="1"/>
  <c r="AA1403" i="13"/>
  <c r="U1410" i="13"/>
  <c r="W1410" i="13" s="1"/>
  <c r="AA1411" i="13"/>
  <c r="U1418" i="13"/>
  <c r="W1418" i="13" s="1"/>
  <c r="AA1419" i="13"/>
  <c r="AA1390" i="13"/>
  <c r="AA1398" i="13"/>
  <c r="U1405" i="13"/>
  <c r="W1405" i="13" s="1"/>
  <c r="AA1406" i="13"/>
  <c r="U1413" i="13"/>
  <c r="W1413" i="13" s="1"/>
  <c r="AA1414" i="13"/>
  <c r="U1421" i="13"/>
  <c r="W1421" i="13" s="1"/>
  <c r="G59" i="29"/>
  <c r="H59" i="29" s="1"/>
  <c r="G58" i="29"/>
  <c r="H58" i="29" s="1"/>
  <c r="G57" i="29"/>
  <c r="H57" i="29" s="1"/>
  <c r="G56" i="29"/>
  <c r="H56" i="29" s="1"/>
  <c r="G55" i="29"/>
  <c r="AF1110" i="13" l="1"/>
  <c r="AF442" i="13"/>
  <c r="AF785" i="13"/>
  <c r="W1404" i="13"/>
  <c r="AF1404" i="13" s="1"/>
  <c r="W1368" i="13"/>
  <c r="W1116" i="13"/>
  <c r="W767" i="13"/>
  <c r="AF767" i="13" s="1"/>
  <c r="W828" i="13"/>
  <c r="AF828" i="13" s="1"/>
  <c r="W742" i="13"/>
  <c r="W654" i="13"/>
  <c r="W783" i="13"/>
  <c r="AF783" i="13" s="1"/>
  <c r="W694" i="13"/>
  <c r="AF694" i="13" s="1"/>
  <c r="W520" i="13"/>
  <c r="W496" i="13"/>
  <c r="W480" i="13"/>
  <c r="AF480" i="13" s="1"/>
  <c r="W1150" i="13"/>
  <c r="AF1150" i="13" s="1"/>
  <c r="W1234" i="13"/>
  <c r="AF1234" i="13" s="1"/>
  <c r="AF739" i="13"/>
  <c r="W643" i="13"/>
  <c r="AF643" i="13" s="1"/>
  <c r="W1383" i="13"/>
  <c r="AF1383" i="13" s="1"/>
  <c r="W1411" i="13"/>
  <c r="W1362" i="13"/>
  <c r="AF1362" i="13" s="1"/>
  <c r="W1301" i="13"/>
  <c r="AF1301" i="13" s="1"/>
  <c r="W1248" i="13"/>
  <c r="AF1248" i="13" s="1"/>
  <c r="W1193" i="13"/>
  <c r="AF1193" i="13" s="1"/>
  <c r="W1016" i="13"/>
  <c r="W460" i="13"/>
  <c r="AF460" i="13" s="1"/>
  <c r="W651" i="13"/>
  <c r="AF651" i="13" s="1"/>
  <c r="W255" i="13"/>
  <c r="W822" i="13"/>
  <c r="W1199" i="13"/>
  <c r="AF1199" i="13" s="1"/>
  <c r="W1132" i="13"/>
  <c r="AF1132" i="13" s="1"/>
  <c r="W1076" i="13"/>
  <c r="AF1076" i="13" s="1"/>
  <c r="W820" i="13"/>
  <c r="AF820" i="13" s="1"/>
  <c r="W606" i="13"/>
  <c r="AF606" i="13" s="1"/>
  <c r="W376" i="13"/>
  <c r="W440" i="13"/>
  <c r="W424" i="13"/>
  <c r="W392" i="13"/>
  <c r="AF392" i="13" s="1"/>
  <c r="W400" i="13"/>
  <c r="AF400" i="13" s="1"/>
  <c r="W750" i="13"/>
  <c r="AF750" i="13" s="1"/>
  <c r="W1378" i="13"/>
  <c r="AF1378" i="13" s="1"/>
  <c r="AF1080" i="13"/>
  <c r="W1104" i="13"/>
  <c r="AF1104" i="13" s="1"/>
  <c r="W1179" i="13"/>
  <c r="W985" i="13"/>
  <c r="AF1173" i="13"/>
  <c r="W859" i="13"/>
  <c r="AF859" i="13" s="1"/>
  <c r="W1370" i="13"/>
  <c r="AF1370" i="13" s="1"/>
  <c r="W1346" i="13"/>
  <c r="AF1346" i="13" s="1"/>
  <c r="W1406" i="13"/>
  <c r="AF1406" i="13" s="1"/>
  <c r="W1330" i="13"/>
  <c r="AF1330" i="13" s="1"/>
  <c r="W1136" i="13"/>
  <c r="W902" i="13"/>
  <c r="AF902" i="13" s="1"/>
  <c r="W757" i="13"/>
  <c r="AF757" i="13" s="1"/>
  <c r="W346" i="13"/>
  <c r="AF346" i="13" s="1"/>
  <c r="W311" i="13"/>
  <c r="AF311" i="13" s="1"/>
  <c r="W543" i="13"/>
  <c r="AF543" i="13" s="1"/>
  <c r="AF426" i="13"/>
  <c r="W1321" i="13"/>
  <c r="W1169" i="13"/>
  <c r="AF1169" i="13" s="1"/>
  <c r="W976" i="13"/>
  <c r="AF976" i="13" s="1"/>
  <c r="W321" i="13"/>
  <c r="AF321" i="13" s="1"/>
  <c r="W271" i="13"/>
  <c r="AF271" i="13" s="1"/>
  <c r="W476" i="13"/>
  <c r="AF476" i="13" s="1"/>
  <c r="W746" i="13"/>
  <c r="W354" i="13"/>
  <c r="AF354" i="13" s="1"/>
  <c r="W717" i="13"/>
  <c r="W1388" i="13"/>
  <c r="W344" i="13"/>
  <c r="W648" i="13"/>
  <c r="W1062" i="13"/>
  <c r="AF1062" i="13" s="1"/>
  <c r="W764" i="13"/>
  <c r="AF764" i="13" s="1"/>
  <c r="W1272" i="13"/>
  <c r="AF1272" i="13" s="1"/>
  <c r="W1218" i="13"/>
  <c r="AF1218" i="13" s="1"/>
  <c r="W973" i="13"/>
  <c r="AF973" i="13" s="1"/>
  <c r="W927" i="13"/>
  <c r="W838" i="13"/>
  <c r="AF838" i="13" s="1"/>
  <c r="W562" i="13"/>
  <c r="AF562" i="13" s="1"/>
  <c r="W720" i="13"/>
  <c r="AF720" i="13" s="1"/>
  <c r="W571" i="13"/>
  <c r="AF571" i="13" s="1"/>
  <c r="W1207" i="13"/>
  <c r="W1286" i="13"/>
  <c r="AF1286" i="13" s="1"/>
  <c r="W1238" i="13"/>
  <c r="W1278" i="13"/>
  <c r="W988" i="13"/>
  <c r="W1060" i="13"/>
  <c r="AF1060" i="13" s="1"/>
  <c r="W1044" i="13"/>
  <c r="AF1044" i="13" s="1"/>
  <c r="W1028" i="13"/>
  <c r="AF1028" i="13" s="1"/>
  <c r="W1012" i="13"/>
  <c r="W956" i="13"/>
  <c r="AF956" i="13" s="1"/>
  <c r="W852" i="13"/>
  <c r="AF852" i="13" s="1"/>
  <c r="W734" i="13"/>
  <c r="W598" i="13"/>
  <c r="AF598" i="13" s="1"/>
  <c r="W566" i="13"/>
  <c r="AF566" i="13" s="1"/>
  <c r="W726" i="13"/>
  <c r="AF726" i="13" s="1"/>
  <c r="W1103" i="13"/>
  <c r="AF1103" i="13" s="1"/>
  <c r="W1205" i="13"/>
  <c r="W1041" i="13"/>
  <c r="AF1041" i="13" s="1"/>
  <c r="W1266" i="13"/>
  <c r="AF458" i="13"/>
  <c r="W1317" i="13"/>
  <c r="W1216" i="13"/>
  <c r="AF1216" i="13" s="1"/>
  <c r="W1000" i="13"/>
  <c r="AF1000" i="13" s="1"/>
  <c r="W965" i="13"/>
  <c r="AF965" i="13" s="1"/>
  <c r="W830" i="13"/>
  <c r="AF830" i="13" s="1"/>
  <c r="W279" i="13"/>
  <c r="AF279" i="13" s="1"/>
  <c r="W773" i="13"/>
  <c r="W370" i="13"/>
  <c r="AF370" i="13" s="1"/>
  <c r="W375" i="13"/>
  <c r="W551" i="13"/>
  <c r="AF551" i="13" s="1"/>
  <c r="W278" i="13"/>
  <c r="AF278" i="13" s="1"/>
  <c r="W438" i="13"/>
  <c r="AF438" i="13" s="1"/>
  <c r="W1004" i="13"/>
  <c r="W384" i="13"/>
  <c r="AF384" i="13" s="1"/>
  <c r="AF624" i="13"/>
  <c r="W1159" i="13"/>
  <c r="W1264" i="13"/>
  <c r="AF1264" i="13" s="1"/>
  <c r="W1064" i="13"/>
  <c r="AF1064" i="13" s="1"/>
  <c r="W918" i="13"/>
  <c r="AF918" i="13" s="1"/>
  <c r="W827" i="13"/>
  <c r="AF827" i="13" s="1"/>
  <c r="W247" i="13"/>
  <c r="AF247" i="13" s="1"/>
  <c r="W725" i="13"/>
  <c r="W319" i="13"/>
  <c r="W330" i="13"/>
  <c r="AF330" i="13" s="1"/>
  <c r="W244" i="13"/>
  <c r="W399" i="13"/>
  <c r="AF399" i="13" s="1"/>
  <c r="W338" i="13"/>
  <c r="AF338" i="13" s="1"/>
  <c r="W1176" i="13"/>
  <c r="AF1176" i="13" s="1"/>
  <c r="W868" i="13"/>
  <c r="W892" i="13"/>
  <c r="AF892" i="13" s="1"/>
  <c r="W360" i="13"/>
  <c r="W602" i="13"/>
  <c r="W1152" i="13"/>
  <c r="W1414" i="13"/>
  <c r="AF1414" i="13" s="1"/>
  <c r="W1201" i="13"/>
  <c r="AF1201" i="13" s="1"/>
  <c r="W942" i="13"/>
  <c r="AF942" i="13" s="1"/>
  <c r="W912" i="13"/>
  <c r="W500" i="13"/>
  <c r="AF500" i="13" s="1"/>
  <c r="W709" i="13"/>
  <c r="W287" i="13"/>
  <c r="W626" i="13"/>
  <c r="W356" i="13"/>
  <c r="AF356" i="13" s="1"/>
  <c r="W313" i="13"/>
  <c r="AF313" i="13" s="1"/>
  <c r="G60" i="29"/>
  <c r="AC748" i="13"/>
  <c r="AE1381" i="13"/>
  <c r="AE1283" i="13"/>
  <c r="AC491" i="13"/>
  <c r="AE245" i="13"/>
  <c r="AF530" i="13"/>
  <c r="AC753" i="13"/>
  <c r="AF753" i="13" s="1"/>
  <c r="AE1110" i="13"/>
  <c r="AE1031" i="13"/>
  <c r="AE1296" i="13"/>
  <c r="AE668" i="13"/>
  <c r="AC1015" i="13"/>
  <c r="AF1015" i="13" s="1"/>
  <c r="AF498" i="13"/>
  <c r="AE1191" i="13"/>
  <c r="AE1217" i="13"/>
  <c r="AC657" i="13"/>
  <c r="AF657" i="13" s="1"/>
  <c r="AE556" i="13"/>
  <c r="AC636" i="13"/>
  <c r="AF636" i="13" s="1"/>
  <c r="AE1149" i="13"/>
  <c r="AC523" i="13"/>
  <c r="AF523" i="13" s="1"/>
  <c r="AC499" i="13"/>
  <c r="AF499" i="13" s="1"/>
  <c r="AE731" i="13"/>
  <c r="AE322" i="13"/>
  <c r="AF322" i="13"/>
  <c r="AF579" i="13"/>
  <c r="AF381" i="13"/>
  <c r="AE469" i="13"/>
  <c r="AF357" i="13"/>
  <c r="AE881" i="13"/>
  <c r="AF373" i="13"/>
  <c r="AC1347" i="13"/>
  <c r="AF1347" i="13" s="1"/>
  <c r="AF728" i="13"/>
  <c r="AF522" i="13"/>
  <c r="AE980" i="13"/>
  <c r="AE828" i="13"/>
  <c r="AC1220" i="13"/>
  <c r="AF1118" i="13"/>
  <c r="AE604" i="13"/>
  <c r="AE1385" i="13"/>
  <c r="AF434" i="13"/>
  <c r="AF969" i="13"/>
  <c r="AF555" i="13"/>
  <c r="AC713" i="13"/>
  <c r="AF713" i="13" s="1"/>
  <c r="AE339" i="13"/>
  <c r="AE641" i="13"/>
  <c r="AC483" i="13"/>
  <c r="AF483" i="13" s="1"/>
  <c r="AE1087" i="13"/>
  <c r="AC966" i="13"/>
  <c r="AF966" i="13" s="1"/>
  <c r="AF1392" i="13"/>
  <c r="AE742" i="13"/>
  <c r="AC708" i="13"/>
  <c r="AF708" i="13" s="1"/>
  <c r="AE774" i="13"/>
  <c r="AF587" i="13"/>
  <c r="AE704" i="13"/>
  <c r="AE1351" i="13"/>
  <c r="AE767" i="13"/>
  <c r="AC435" i="13"/>
  <c r="AF435" i="13" s="1"/>
  <c r="AF517" i="13"/>
  <c r="AC649" i="13"/>
  <c r="AF649" i="13" s="1"/>
  <c r="AE998" i="13"/>
  <c r="AF1157" i="13"/>
  <c r="AE1119" i="13"/>
  <c r="AE1196" i="13"/>
  <c r="AC1186" i="13"/>
  <c r="AF1186" i="13" s="1"/>
  <c r="AE1049" i="13"/>
  <c r="AF1025" i="13"/>
  <c r="AC1087" i="13"/>
  <c r="AF1087" i="13" s="1"/>
  <c r="AC1023" i="13"/>
  <c r="AF1023" i="13" s="1"/>
  <c r="AC879" i="13"/>
  <c r="AF879" i="13" s="1"/>
  <c r="AC1090" i="13"/>
  <c r="AF1090" i="13" s="1"/>
  <c r="AE823" i="13"/>
  <c r="AC633" i="13"/>
  <c r="AF633" i="13" s="1"/>
  <c r="AF982" i="13"/>
  <c r="AE588" i="13"/>
  <c r="AC601" i="13"/>
  <c r="AE903" i="13"/>
  <c r="AE553" i="13"/>
  <c r="AC1039" i="13"/>
  <c r="AE937" i="13"/>
  <c r="AC1281" i="13"/>
  <c r="AC705" i="13"/>
  <c r="AF705" i="13" s="1"/>
  <c r="AE710" i="13"/>
  <c r="AF659" i="13"/>
  <c r="AF1288" i="13"/>
  <c r="AF485" i="13"/>
  <c r="AF862" i="13"/>
  <c r="AF552" i="13"/>
  <c r="AF1030" i="13"/>
  <c r="AF1338" i="13"/>
  <c r="AF1227" i="13"/>
  <c r="AF1128" i="13"/>
  <c r="AE873" i="13"/>
  <c r="AE1370" i="13"/>
  <c r="AE530" i="13"/>
  <c r="AE256" i="13"/>
  <c r="AE316" i="13"/>
  <c r="AE1103" i="13"/>
  <c r="AE887" i="13"/>
  <c r="AE1098" i="13"/>
  <c r="AE712" i="13"/>
  <c r="AF984" i="13"/>
  <c r="AE732" i="13"/>
  <c r="AF817" i="13"/>
  <c r="AE1394" i="13"/>
  <c r="AF632" i="13"/>
  <c r="AC778" i="13"/>
  <c r="AF778" i="13" s="1"/>
  <c r="AC569" i="13"/>
  <c r="AF569" i="13" s="1"/>
  <c r="AE1409" i="13"/>
  <c r="AE865" i="13"/>
  <c r="AE1365" i="13"/>
  <c r="AE1310" i="13"/>
  <c r="AF712" i="13"/>
  <c r="AC1386" i="13"/>
  <c r="AF1386" i="13" s="1"/>
  <c r="AC1167" i="13"/>
  <c r="AE1132" i="13"/>
  <c r="AF1180" i="13"/>
  <c r="AF1033" i="13"/>
  <c r="AC847" i="13"/>
  <c r="AF873" i="13"/>
  <c r="AE1418" i="13"/>
  <c r="AF1280" i="13"/>
  <c r="AF806" i="13"/>
  <c r="AC839" i="13"/>
  <c r="AE1165" i="13"/>
  <c r="AE522" i="13"/>
  <c r="AF1259" i="13"/>
  <c r="AF790" i="13"/>
  <c r="AE355" i="13"/>
  <c r="AF1416" i="13"/>
  <c r="AF761" i="13"/>
  <c r="AE664" i="13"/>
  <c r="AF1078" i="13"/>
  <c r="AE807" i="13"/>
  <c r="AC451" i="13"/>
  <c r="AF451" i="13" s="1"/>
  <c r="AC1098" i="13"/>
  <c r="AF1098" i="13" s="1"/>
  <c r="AE411" i="13"/>
  <c r="AE1079" i="13"/>
  <c r="AC1257" i="13"/>
  <c r="AF1257" i="13" s="1"/>
  <c r="AC1111" i="13"/>
  <c r="AF1111" i="13" s="1"/>
  <c r="AC585" i="13"/>
  <c r="AF585" i="13" s="1"/>
  <c r="AC288" i="13"/>
  <c r="AC264" i="13"/>
  <c r="AF264" i="13" s="1"/>
  <c r="AF1359" i="13"/>
  <c r="AF1333" i="13"/>
  <c r="AE384" i="13"/>
  <c r="AC1273" i="13"/>
  <c r="AF1273" i="13" s="1"/>
  <c r="AF514" i="13"/>
  <c r="AE333" i="13"/>
  <c r="AE833" i="13"/>
  <c r="AC1194" i="13"/>
  <c r="AF1194" i="13" s="1"/>
  <c r="AE1113" i="13"/>
  <c r="AE766" i="13"/>
  <c r="AE1331" i="13"/>
  <c r="AE1199" i="13"/>
  <c r="AE593" i="13"/>
  <c r="AF755" i="13"/>
  <c r="AF493" i="13"/>
  <c r="AF1381" i="13"/>
  <c r="AE1376" i="13"/>
  <c r="AE1089" i="13"/>
  <c r="AC1079" i="13"/>
  <c r="AF1079" i="13" s="1"/>
  <c r="AE331" i="13"/>
  <c r="AE1128" i="13"/>
  <c r="AC1244" i="13"/>
  <c r="AF1244" i="13" s="1"/>
  <c r="AF1267" i="13"/>
  <c r="AF1354" i="13"/>
  <c r="AF1235" i="13"/>
  <c r="AF1126" i="13"/>
  <c r="AC791" i="13"/>
  <c r="AF791" i="13" s="1"/>
  <c r="AF881" i="13"/>
  <c r="AC617" i="13"/>
  <c r="AF617" i="13" s="1"/>
  <c r="AF1105" i="13"/>
  <c r="AC882" i="13"/>
  <c r="AF882" i="13" s="1"/>
  <c r="AF894" i="13"/>
  <c r="AC445" i="13"/>
  <c r="AC577" i="13"/>
  <c r="AF577" i="13" s="1"/>
  <c r="AE697" i="13"/>
  <c r="AE373" i="13"/>
  <c r="AE1150" i="13"/>
  <c r="AF1232" i="13"/>
  <c r="AF1072" i="13"/>
  <c r="AF490" i="13"/>
  <c r="AC387" i="13"/>
  <c r="AF387" i="13" s="1"/>
  <c r="AC371" i="13"/>
  <c r="AF371" i="13" s="1"/>
  <c r="AF525" i="13"/>
  <c r="AE466" i="13"/>
  <c r="AE758" i="13"/>
  <c r="AE1152" i="13"/>
  <c r="AE1081" i="13"/>
  <c r="AF1171" i="13"/>
  <c r="AF544" i="13"/>
  <c r="AF234" i="13"/>
  <c r="AC962" i="13"/>
  <c r="AF962" i="13" s="1"/>
  <c r="AF1009" i="13"/>
  <c r="AE539" i="13"/>
  <c r="AF1097" i="13"/>
  <c r="AF1166" i="13"/>
  <c r="AC1007" i="13"/>
  <c r="AF1007" i="13" s="1"/>
  <c r="AC561" i="13"/>
  <c r="AF561" i="13" s="1"/>
  <c r="AF1046" i="13"/>
  <c r="AE1399" i="13"/>
  <c r="AF752" i="13"/>
  <c r="AE681" i="13"/>
  <c r="AF541" i="13"/>
  <c r="AE643" i="13"/>
  <c r="AF1086" i="13"/>
  <c r="AE852" i="13"/>
  <c r="AC609" i="13"/>
  <c r="AC673" i="13"/>
  <c r="AF736" i="13"/>
  <c r="AE961" i="13"/>
  <c r="AE1062" i="13"/>
  <c r="AE600" i="13"/>
  <c r="AE304" i="13"/>
  <c r="AE1349" i="13"/>
  <c r="AE660" i="13"/>
  <c r="AF509" i="13"/>
  <c r="AE1280" i="13"/>
  <c r="AC928" i="13"/>
  <c r="AF928" i="13" s="1"/>
  <c r="AC970" i="13"/>
  <c r="AF970" i="13" s="1"/>
  <c r="AF937" i="13"/>
  <c r="AE347" i="13"/>
  <c r="AE1393" i="13"/>
  <c r="AC815" i="13"/>
  <c r="AF815" i="13" s="1"/>
  <c r="AF600" i="13"/>
  <c r="AC296" i="13"/>
  <c r="AF296" i="13" s="1"/>
  <c r="AF1081" i="13"/>
  <c r="AE1086" i="13"/>
  <c r="AF466" i="13"/>
  <c r="AE809" i="13"/>
  <c r="AE376" i="13"/>
  <c r="AC312" i="13"/>
  <c r="AF312" i="13" s="1"/>
  <c r="AE782" i="13"/>
  <c r="AF1160" i="13"/>
  <c r="AF1129" i="13"/>
  <c r="AE1104" i="13"/>
  <c r="AE860" i="13"/>
  <c r="AF916" i="13"/>
  <c r="AF667" i="13"/>
  <c r="AE1232" i="13"/>
  <c r="AE1095" i="13"/>
  <c r="AE1276" i="13"/>
  <c r="AE442" i="13"/>
  <c r="AF910" i="13"/>
  <c r="AE793" i="13"/>
  <c r="AE363" i="13"/>
  <c r="AE1227" i="13"/>
  <c r="AE888" i="13"/>
  <c r="AF616" i="13"/>
  <c r="AF747" i="13"/>
  <c r="AF680" i="13"/>
  <c r="AE616" i="13"/>
  <c r="AE680" i="13"/>
  <c r="AF1307" i="13"/>
  <c r="AF1312" i="13"/>
  <c r="AC1095" i="13"/>
  <c r="AF1095" i="13" s="1"/>
  <c r="AF964" i="13"/>
  <c r="AC911" i="13"/>
  <c r="AF911" i="13" s="1"/>
  <c r="AF326" i="13"/>
  <c r="AF715" i="13"/>
  <c r="AE1094" i="13"/>
  <c r="AE434" i="13"/>
  <c r="AE667" i="13"/>
  <c r="AE1314" i="13"/>
  <c r="AC1265" i="13"/>
  <c r="AF1265" i="13" s="1"/>
  <c r="AF1096" i="13"/>
  <c r="AF825" i="13"/>
  <c r="AE726" i="13"/>
  <c r="AC515" i="13"/>
  <c r="AF515" i="13" s="1"/>
  <c r="AF809" i="13"/>
  <c r="AE1307" i="13"/>
  <c r="AE790" i="13"/>
  <c r="AE1078" i="13"/>
  <c r="AC1249" i="13"/>
  <c r="AF1249" i="13" s="1"/>
  <c r="AC1221" i="13"/>
  <c r="AE868" i="13"/>
  <c r="AC951" i="13"/>
  <c r="AF951" i="13" s="1"/>
  <c r="AE734" i="13"/>
  <c r="AF611" i="13"/>
  <c r="AC475" i="13"/>
  <c r="AE458" i="13"/>
  <c r="AF1367" i="13"/>
  <c r="AF1141" i="13"/>
  <c r="AE990" i="13"/>
  <c r="AC1202" i="13"/>
  <c r="AF1202" i="13" s="1"/>
  <c r="AF801" i="13"/>
  <c r="AF974" i="13"/>
  <c r="AE783" i="13"/>
  <c r="AF595" i="13"/>
  <c r="AF1054" i="13"/>
  <c r="AC1063" i="13"/>
  <c r="AF1063" i="13" s="1"/>
  <c r="AC1142" i="13"/>
  <c r="AF1142" i="13" s="1"/>
  <c r="AF1073" i="13"/>
  <c r="AF1152" i="13"/>
  <c r="AF777" i="13"/>
  <c r="AE974" i="13"/>
  <c r="AF1137" i="13"/>
  <c r="AE707" i="13"/>
  <c r="AE461" i="13"/>
  <c r="AC403" i="13"/>
  <c r="AF403" i="13" s="1"/>
  <c r="AF341" i="13"/>
  <c r="AE314" i="13"/>
  <c r="AF793" i="13"/>
  <c r="AE715" i="13"/>
  <c r="AF1089" i="13"/>
  <c r="AE1341" i="13"/>
  <c r="AC1314" i="13"/>
  <c r="AF1314" i="13" s="1"/>
  <c r="AC1225" i="13"/>
  <c r="AF1225" i="13" s="1"/>
  <c r="AC1233" i="13"/>
  <c r="AF1233" i="13" s="1"/>
  <c r="AF1017" i="13"/>
  <c r="AC320" i="13"/>
  <c r="AF320" i="13" s="1"/>
  <c r="AE498" i="13"/>
  <c r="AC1241" i="13"/>
  <c r="AF766" i="13"/>
  <c r="AF501" i="13"/>
  <c r="AC443" i="13"/>
  <c r="AF443" i="13" s="1"/>
  <c r="AF394" i="13"/>
  <c r="AE699" i="13"/>
  <c r="AE1315" i="13"/>
  <c r="AF592" i="13"/>
  <c r="AF635" i="13"/>
  <c r="AC427" i="13"/>
  <c r="AF427" i="13" s="1"/>
  <c r="AE1054" i="13"/>
  <c r="AE1404" i="13"/>
  <c r="AE1057" i="13"/>
  <c r="AC991" i="13"/>
  <c r="AF731" i="13"/>
  <c r="AC689" i="13"/>
  <c r="AF689" i="13" s="1"/>
  <c r="AE545" i="13"/>
  <c r="AF574" i="13"/>
  <c r="AF405" i="13"/>
  <c r="AE1306" i="13"/>
  <c r="AE1102" i="13"/>
  <c r="AE426" i="13"/>
  <c r="AC1151" i="13"/>
  <c r="AF1151" i="13" s="1"/>
  <c r="AF1144" i="13"/>
  <c r="AF860" i="13"/>
  <c r="AF603" i="13"/>
  <c r="AF672" i="13"/>
  <c r="AC248" i="13"/>
  <c r="AF248" i="13" s="1"/>
  <c r="AF1113" i="13"/>
  <c r="AE635" i="13"/>
  <c r="AC871" i="13"/>
  <c r="AF871" i="13" s="1"/>
  <c r="AE266" i="13"/>
  <c r="AE1157" i="13"/>
  <c r="AE1127" i="13"/>
  <c r="AE910" i="13"/>
  <c r="AE552" i="13"/>
  <c r="AF314" i="13"/>
  <c r="AF365" i="13"/>
  <c r="AE624" i="13"/>
  <c r="AE608" i="13"/>
  <c r="AF1196" i="13"/>
  <c r="AF833" i="13"/>
  <c r="AF950" i="13"/>
  <c r="AF774" i="13"/>
  <c r="AF547" i="13"/>
  <c r="AF841" i="13"/>
  <c r="AE849" i="13"/>
  <c r="AE603" i="13"/>
  <c r="AE1071" i="13"/>
  <c r="AE1288" i="13"/>
  <c r="AF1057" i="13"/>
  <c r="AE1118" i="13"/>
  <c r="AE1323" i="13"/>
  <c r="AF1070" i="13"/>
  <c r="AF664" i="13"/>
  <c r="AF608" i="13"/>
  <c r="AE691" i="13"/>
  <c r="AE950" i="13"/>
  <c r="AC1275" i="13"/>
  <c r="AF1275" i="13" s="1"/>
  <c r="AE1383" i="13"/>
  <c r="AF1243" i="13"/>
  <c r="AF1315" i="13"/>
  <c r="AC799" i="13"/>
  <c r="AF780" i="13"/>
  <c r="AE365" i="13"/>
  <c r="AE619" i="13"/>
  <c r="AC1276" i="13"/>
  <c r="AF1276" i="13" s="1"/>
  <c r="AC625" i="13"/>
  <c r="AF625" i="13" s="1"/>
  <c r="AF619" i="13"/>
  <c r="AC419" i="13"/>
  <c r="AF419" i="13" s="1"/>
  <c r="AF333" i="13"/>
  <c r="AF1165" i="13"/>
  <c r="AC1047" i="13"/>
  <c r="AF1047" i="13" s="1"/>
  <c r="AE876" i="13"/>
  <c r="AF691" i="13"/>
  <c r="AE453" i="13"/>
  <c r="AF325" i="13"/>
  <c r="AF699" i="13"/>
  <c r="AE656" i="13"/>
  <c r="AF675" i="13"/>
  <c r="AF646" i="13"/>
  <c r="AF453" i="13"/>
  <c r="AC1149" i="13"/>
  <c r="AE1030" i="13"/>
  <c r="AF1065" i="13"/>
  <c r="AE785" i="13"/>
  <c r="AC1402" i="13"/>
  <c r="AF1402" i="13" s="1"/>
  <c r="AF1283" i="13"/>
  <c r="AF1014" i="13"/>
  <c r="AF849" i="13"/>
  <c r="AF782" i="13"/>
  <c r="AF450" i="13"/>
  <c r="AF1390" i="13"/>
  <c r="AC1289" i="13"/>
  <c r="AF1289" i="13" s="1"/>
  <c r="AF908" i="13"/>
  <c r="AF961" i="13"/>
  <c r="AF758" i="13"/>
  <c r="AE836" i="13"/>
  <c r="AF798" i="13"/>
  <c r="AF704" i="13"/>
  <c r="AF707" i="13"/>
  <c r="AF688" i="13"/>
  <c r="AE665" i="13"/>
  <c r="AC531" i="13"/>
  <c r="AF531" i="13" s="1"/>
  <c r="AC395" i="13"/>
  <c r="AF395" i="13" s="1"/>
  <c r="AF266" i="13"/>
  <c r="AC237" i="13"/>
  <c r="AC998" i="13"/>
  <c r="AE1038" i="13"/>
  <c r="AF1327" i="13"/>
  <c r="AF1121" i="13"/>
  <c r="AE1180" i="13"/>
  <c r="AE1373" i="13"/>
  <c r="AF1006" i="13"/>
  <c r="AF1108" i="13"/>
  <c r="AC842" i="13"/>
  <c r="AF842" i="13" s="1"/>
  <c r="AF1204" i="13"/>
  <c r="AC895" i="13"/>
  <c r="AF656" i="13"/>
  <c r="AF474" i="13"/>
  <c r="AC355" i="13"/>
  <c r="AF355" i="13" s="1"/>
  <c r="AE450" i="13"/>
  <c r="AE1304" i="13"/>
  <c r="AE1006" i="13"/>
  <c r="AF1373" i="13"/>
  <c r="AF1291" i="13"/>
  <c r="AF1420" i="13"/>
  <c r="AC1210" i="13"/>
  <c r="AF1210" i="13" s="1"/>
  <c r="AC1083" i="13"/>
  <c r="AF1083" i="13" s="1"/>
  <c r="AE718" i="13"/>
  <c r="AF389" i="13"/>
  <c r="AC397" i="13"/>
  <c r="AF397" i="13" s="1"/>
  <c r="AF1049" i="13"/>
  <c r="AE1173" i="13"/>
  <c r="AE544" i="13"/>
  <c r="AE1141" i="13"/>
  <c r="AE1318" i="13"/>
  <c r="AF1134" i="13"/>
  <c r="AF1102" i="13"/>
  <c r="AC1127" i="13"/>
  <c r="AF1127" i="13" s="1"/>
  <c r="AF1304" i="13"/>
  <c r="AE775" i="13"/>
  <c r="AC1292" i="13"/>
  <c r="AF538" i="13"/>
  <c r="AE392" i="13"/>
  <c r="AE474" i="13"/>
  <c r="AE1336" i="13"/>
  <c r="AF1400" i="13"/>
  <c r="AE1294" i="13"/>
  <c r="AF958" i="13"/>
  <c r="AC943" i="13"/>
  <c r="AF943" i="13" s="1"/>
  <c r="AF584" i="13"/>
  <c r="AC459" i="13"/>
  <c r="AF459" i="13" s="1"/>
  <c r="AF469" i="13"/>
  <c r="AC317" i="13"/>
  <c r="AE538" i="13"/>
  <c r="AE688" i="13"/>
  <c r="AE1014" i="13"/>
  <c r="AE1378" i="13"/>
  <c r="AE592" i="13"/>
  <c r="AF1094" i="13"/>
  <c r="AF1375" i="13"/>
  <c r="AF1365" i="13"/>
  <c r="AC1336" i="13"/>
  <c r="AF1368" i="13"/>
  <c r="AE1354" i="13"/>
  <c r="AE1417" i="13"/>
  <c r="AF1310" i="13"/>
  <c r="AF627" i="13"/>
  <c r="AF336" i="13"/>
  <c r="AF378" i="13"/>
  <c r="AC272" i="13"/>
  <c r="AF272" i="13" s="1"/>
  <c r="AC1038" i="13"/>
  <c r="AE1333" i="13"/>
  <c r="AF461" i="13"/>
  <c r="AF775" i="13"/>
  <c r="AC855" i="13"/>
  <c r="AF744" i="13"/>
  <c r="AE1072" i="13"/>
  <c r="AF1412" i="13"/>
  <c r="AF448" i="13"/>
  <c r="AC507" i="13"/>
  <c r="AF507" i="13" s="1"/>
  <c r="AE1080" i="13"/>
  <c r="AF796" i="13"/>
  <c r="AF630" i="13"/>
  <c r="AF528" i="13"/>
  <c r="AF386" i="13"/>
  <c r="AF590" i="13"/>
  <c r="AF769" i="13"/>
  <c r="AF865" i="13"/>
  <c r="AE632" i="13"/>
  <c r="AE1070" i="13"/>
  <c r="AE576" i="13"/>
  <c r="AF1349" i="13"/>
  <c r="AF1212" i="13"/>
  <c r="AE584" i="13"/>
  <c r="AF533" i="13"/>
  <c r="AE1022" i="13"/>
  <c r="AC1022" i="13"/>
  <c r="AE1088" i="13"/>
  <c r="AC568" i="13"/>
  <c r="AE568" i="13"/>
  <c r="AF1396" i="13"/>
  <c r="AE798" i="13"/>
  <c r="AE490" i="13"/>
  <c r="AE806" i="13"/>
  <c r="AF1344" i="13"/>
  <c r="AC640" i="13"/>
  <c r="AE640" i="13"/>
  <c r="AF1341" i="13"/>
  <c r="AE841" i="13"/>
  <c r="AE672" i="13"/>
  <c r="AE506" i="13"/>
  <c r="AC506" i="13"/>
  <c r="AF638" i="13"/>
  <c r="AE1346" i="13"/>
  <c r="AE1134" i="13"/>
  <c r="AC696" i="13"/>
  <c r="AE696" i="13"/>
  <c r="AE1312" i="13"/>
  <c r="AE1046" i="13"/>
  <c r="AF1357" i="13"/>
  <c r="AC560" i="13"/>
  <c r="AE560" i="13"/>
  <c r="AE482" i="13"/>
  <c r="AF702" i="13"/>
  <c r="AC1320" i="13"/>
  <c r="AE1320" i="13"/>
  <c r="AE1367" i="13"/>
  <c r="AC648" i="13"/>
  <c r="AE648" i="13"/>
  <c r="AE739" i="13"/>
  <c r="AE958" i="13"/>
  <c r="AF1352" i="13"/>
  <c r="AE1126" i="13"/>
  <c r="AE1096" i="13"/>
  <c r="AE1359" i="13"/>
  <c r="AF1323" i="13"/>
  <c r="AE982" i="13"/>
  <c r="AE514" i="13"/>
  <c r="AF477" i="13"/>
  <c r="AF1139" i="13"/>
  <c r="AF1222" i="13"/>
  <c r="AF1116" i="13"/>
  <c r="AF1270" i="13"/>
  <c r="AF1251" i="13"/>
  <c r="AF1183" i="13"/>
  <c r="AF1299" i="13"/>
  <c r="AF1230" i="13"/>
  <c r="AF884" i="13"/>
  <c r="AF710" i="13"/>
  <c r="AF654" i="13"/>
  <c r="AF836" i="13"/>
  <c r="AF614" i="13"/>
  <c r="AF582" i="13"/>
  <c r="AF536" i="13"/>
  <c r="AF520" i="13"/>
  <c r="AF496" i="13"/>
  <c r="AF408" i="13"/>
  <c r="AF349" i="13"/>
  <c r="AF482" i="13"/>
  <c r="AF432" i="13"/>
  <c r="AF1411" i="13"/>
  <c r="AE1413" i="13"/>
  <c r="AC1413" i="13"/>
  <c r="AF1358" i="13"/>
  <c r="AF1410" i="13"/>
  <c r="AF1322" i="13"/>
  <c r="AF1213" i="13"/>
  <c r="AF1360" i="13"/>
  <c r="AF1325" i="13"/>
  <c r="AF1268" i="13"/>
  <c r="AE1303" i="13"/>
  <c r="AC1303" i="13"/>
  <c r="AF1260" i="13"/>
  <c r="AE1184" i="13"/>
  <c r="AC1184" i="13"/>
  <c r="AF1316" i="13"/>
  <c r="AF1229" i="13"/>
  <c r="AF1175" i="13"/>
  <c r="AF1318" i="13"/>
  <c r="AF1228" i="13"/>
  <c r="AE1192" i="13"/>
  <c r="AC1192" i="13"/>
  <c r="AE1109" i="13"/>
  <c r="AC1109" i="13"/>
  <c r="AF978" i="13"/>
  <c r="AF1195" i="13"/>
  <c r="AF1034" i="13"/>
  <c r="AF1027" i="13"/>
  <c r="AF1174" i="13"/>
  <c r="AF1254" i="13"/>
  <c r="AF1122" i="13"/>
  <c r="AF834" i="13"/>
  <c r="AF1138" i="13"/>
  <c r="AF1115" i="13"/>
  <c r="AF1067" i="13"/>
  <c r="AF1051" i="13"/>
  <c r="AF960" i="13"/>
  <c r="AF921" i="13"/>
  <c r="AF843" i="13"/>
  <c r="AF952" i="13"/>
  <c r="AF938" i="13"/>
  <c r="AF824" i="13"/>
  <c r="AF920" i="13"/>
  <c r="AF856" i="13"/>
  <c r="AF968" i="13"/>
  <c r="AE1029" i="13"/>
  <c r="AC1029" i="13"/>
  <c r="AF992" i="13"/>
  <c r="AF906" i="13"/>
  <c r="AF781" i="13"/>
  <c r="AE760" i="13"/>
  <c r="AC760" i="13"/>
  <c r="AF692" i="13"/>
  <c r="AF628" i="13"/>
  <c r="AF564" i="13"/>
  <c r="AE711" i="13"/>
  <c r="AC711" i="13"/>
  <c r="AE695" i="13"/>
  <c r="AC695" i="13"/>
  <c r="AF658" i="13"/>
  <c r="AF626" i="13"/>
  <c r="AF586" i="13"/>
  <c r="AF953" i="13"/>
  <c r="AE679" i="13"/>
  <c r="AC679" i="13"/>
  <c r="AF597" i="13"/>
  <c r="AF565" i="13"/>
  <c r="AF348" i="13"/>
  <c r="AE776" i="13"/>
  <c r="AC776" i="13"/>
  <c r="AE735" i="13"/>
  <c r="AC735" i="13"/>
  <c r="AE671" i="13"/>
  <c r="AC671" i="13"/>
  <c r="AF344" i="13"/>
  <c r="AE529" i="13"/>
  <c r="AC529" i="13"/>
  <c r="AF420" i="13"/>
  <c r="AF454" i="13"/>
  <c r="AE401" i="13"/>
  <c r="AC401" i="13"/>
  <c r="AE505" i="13"/>
  <c r="AC505" i="13"/>
  <c r="AE441" i="13"/>
  <c r="AC441" i="13"/>
  <c r="AF368" i="13"/>
  <c r="AF327" i="13"/>
  <c r="AF749" i="13"/>
  <c r="AF558" i="13"/>
  <c r="AF463" i="13"/>
  <c r="AE377" i="13"/>
  <c r="AC377" i="13"/>
  <c r="AF304" i="13"/>
  <c r="AF310" i="13"/>
  <c r="AF255" i="13"/>
  <c r="AF265" i="13"/>
  <c r="AF250" i="13"/>
  <c r="AF298" i="13"/>
  <c r="AF323" i="13"/>
  <c r="AF285" i="13"/>
  <c r="AF233" i="13"/>
  <c r="AE1407" i="13"/>
  <c r="AC1407" i="13"/>
  <c r="AE1415" i="13"/>
  <c r="AC1415" i="13"/>
  <c r="AF1385" i="13"/>
  <c r="AF1393" i="13"/>
  <c r="AF1334" i="13"/>
  <c r="AF1343" i="13"/>
  <c r="AF1261" i="13"/>
  <c r="AF1250" i="13"/>
  <c r="AE1231" i="13"/>
  <c r="AC1231" i="13"/>
  <c r="AF1376" i="13"/>
  <c r="AF1297" i="13"/>
  <c r="AF1236" i="13"/>
  <c r="AE1271" i="13"/>
  <c r="AC1271" i="13"/>
  <c r="AF1290" i="13"/>
  <c r="AF1172" i="13"/>
  <c r="AF1143" i="13"/>
  <c r="AF1106" i="13"/>
  <c r="AF1154" i="13"/>
  <c r="AF1066" i="13"/>
  <c r="AF1059" i="13"/>
  <c r="AF1211" i="13"/>
  <c r="AF1040" i="13"/>
  <c r="AF1011" i="13"/>
  <c r="AE1148" i="13"/>
  <c r="AC1148" i="13"/>
  <c r="AF874" i="13"/>
  <c r="AF810" i="13"/>
  <c r="AE1164" i="13"/>
  <c r="AC1164" i="13"/>
  <c r="AE1085" i="13"/>
  <c r="AC1085" i="13"/>
  <c r="AF1026" i="13"/>
  <c r="AF1035" i="13"/>
  <c r="AE869" i="13"/>
  <c r="AC869" i="13"/>
  <c r="AF857" i="13"/>
  <c r="AF904" i="13"/>
  <c r="AF784" i="13"/>
  <c r="AF959" i="13"/>
  <c r="AF903" i="13"/>
  <c r="AE837" i="13"/>
  <c r="AC837" i="13"/>
  <c r="AF940" i="13"/>
  <c r="AE885" i="13"/>
  <c r="AC885" i="13"/>
  <c r="AF765" i="13"/>
  <c r="AF1124" i="13"/>
  <c r="AF1016" i="13"/>
  <c r="AF883" i="13"/>
  <c r="AF835" i="13"/>
  <c r="AF808" i="13"/>
  <c r="AF732" i="13"/>
  <c r="AF668" i="13"/>
  <c r="AF604" i="13"/>
  <c r="AF1130" i="13"/>
  <c r="AF972" i="13"/>
  <c r="AE933" i="13"/>
  <c r="AC933" i="13"/>
  <c r="AF887" i="13"/>
  <c r="AE768" i="13"/>
  <c r="AC768" i="13"/>
  <c r="AF935" i="13"/>
  <c r="AF682" i="13"/>
  <c r="AF439" i="13"/>
  <c r="AF922" i="13"/>
  <c r="AF729" i="13"/>
  <c r="AF550" i="13"/>
  <c r="AF622" i="13"/>
  <c r="AF686" i="13"/>
  <c r="AF621" i="13"/>
  <c r="AF914" i="13"/>
  <c r="AF665" i="13"/>
  <c r="AF605" i="13"/>
  <c r="AF503" i="13"/>
  <c r="AF455" i="13"/>
  <c r="AF429" i="13"/>
  <c r="AE361" i="13"/>
  <c r="AC361" i="13"/>
  <c r="AF880" i="13"/>
  <c r="AE433" i="13"/>
  <c r="AC433" i="13"/>
  <c r="AF407" i="13"/>
  <c r="AF645" i="13"/>
  <c r="AE497" i="13"/>
  <c r="AC497" i="13"/>
  <c r="AF745" i="13"/>
  <c r="AF539" i="13"/>
  <c r="AF358" i="13"/>
  <c r="AF398" i="13"/>
  <c r="AF440" i="13"/>
  <c r="AF535" i="13"/>
  <c r="AF479" i="13"/>
  <c r="AF280" i="13"/>
  <c r="AF685" i="13"/>
  <c r="AF309" i="13"/>
  <c r="AF456" i="13"/>
  <c r="AF293" i="13"/>
  <c r="AF324" i="13"/>
  <c r="AF243" i="13"/>
  <c r="AF262" i="13"/>
  <c r="AF307" i="13"/>
  <c r="AF238" i="13"/>
  <c r="AF269" i="13"/>
  <c r="AF295" i="13"/>
  <c r="AF1332" i="13"/>
  <c r="AF1306" i="13"/>
  <c r="AF1363" i="13"/>
  <c r="AF1379" i="13"/>
  <c r="AF1313" i="13"/>
  <c r="AE1295" i="13"/>
  <c r="AC1295" i="13"/>
  <c r="AF1317" i="13"/>
  <c r="AF1285" i="13"/>
  <c r="AF1197" i="13"/>
  <c r="AF1293" i="13"/>
  <c r="AE1263" i="13"/>
  <c r="AC1263" i="13"/>
  <c r="AF1198" i="13"/>
  <c r="AF1298" i="13"/>
  <c r="AE1255" i="13"/>
  <c r="AC1255" i="13"/>
  <c r="AF1226" i="13"/>
  <c r="AF1191" i="13"/>
  <c r="AF1308" i="13"/>
  <c r="AE1077" i="13"/>
  <c r="AC1077" i="13"/>
  <c r="AF1266" i="13"/>
  <c r="AE1140" i="13"/>
  <c r="AC1140" i="13"/>
  <c r="AE1117" i="13"/>
  <c r="AC1117" i="13"/>
  <c r="AF1068" i="13"/>
  <c r="AF1024" i="13"/>
  <c r="AF1036" i="13"/>
  <c r="AE997" i="13"/>
  <c r="AC997" i="13"/>
  <c r="AE1156" i="13"/>
  <c r="AC1156" i="13"/>
  <c r="AF1055" i="13"/>
  <c r="AF850" i="13"/>
  <c r="AF786" i="13"/>
  <c r="AF1158" i="13"/>
  <c r="AF1136" i="13"/>
  <c r="AF1112" i="13"/>
  <c r="AF1082" i="13"/>
  <c r="AF1048" i="13"/>
  <c r="AF980" i="13"/>
  <c r="AF889" i="13"/>
  <c r="AF807" i="13"/>
  <c r="AE813" i="13"/>
  <c r="AC813" i="13"/>
  <c r="AF1084" i="13"/>
  <c r="AF907" i="13"/>
  <c r="AF867" i="13"/>
  <c r="AE829" i="13"/>
  <c r="AC829" i="13"/>
  <c r="AF927" i="13"/>
  <c r="AE845" i="13"/>
  <c r="AC845" i="13"/>
  <c r="AF811" i="13"/>
  <c r="AE789" i="13"/>
  <c r="AC789" i="13"/>
  <c r="AF1163" i="13"/>
  <c r="AF954" i="13"/>
  <c r="AF923" i="13"/>
  <c r="AF644" i="13"/>
  <c r="AF580" i="13"/>
  <c r="AE583" i="13"/>
  <c r="AC583" i="13"/>
  <c r="AF741" i="13"/>
  <c r="AE754" i="13"/>
  <c r="AC754" i="13"/>
  <c r="AE967" i="13"/>
  <c r="AC967" i="13"/>
  <c r="AE751" i="13"/>
  <c r="AC751" i="13"/>
  <c r="AF725" i="13"/>
  <c r="AE591" i="13"/>
  <c r="AC591" i="13"/>
  <c r="AE554" i="13"/>
  <c r="AC554" i="13"/>
  <c r="AF734" i="13"/>
  <c r="AF472" i="13"/>
  <c r="AF360" i="13"/>
  <c r="AF540" i="13"/>
  <c r="AF471" i="13"/>
  <c r="AE329" i="13"/>
  <c r="AC329" i="13"/>
  <c r="AE409" i="13"/>
  <c r="AC409" i="13"/>
  <c r="AF508" i="13"/>
  <c r="AE481" i="13"/>
  <c r="AC481" i="13"/>
  <c r="AF470" i="13"/>
  <c r="AE417" i="13"/>
  <c r="AC417" i="13"/>
  <c r="AF335" i="13"/>
  <c r="AF504" i="13"/>
  <c r="AF390" i="13"/>
  <c r="AE513" i="13"/>
  <c r="AC513" i="13"/>
  <c r="AF437" i="13"/>
  <c r="AF376" i="13"/>
  <c r="AF240" i="13"/>
  <c r="AF303" i="13"/>
  <c r="AF302" i="13"/>
  <c r="AF244" i="13"/>
  <c r="AF292" i="13"/>
  <c r="AF254" i="13"/>
  <c r="AF318" i="13"/>
  <c r="AF290" i="13"/>
  <c r="AF284" i="13"/>
  <c r="AF268" i="13"/>
  <c r="AF236" i="13"/>
  <c r="AF1388" i="13"/>
  <c r="AF1278" i="13"/>
  <c r="AF1398" i="13"/>
  <c r="AE1405" i="13"/>
  <c r="AC1405" i="13"/>
  <c r="AE1345" i="13"/>
  <c r="AC1345" i="13"/>
  <c r="AF1380" i="13"/>
  <c r="AF1326" i="13"/>
  <c r="AF1205" i="13"/>
  <c r="AF1348" i="13"/>
  <c r="AF1258" i="13"/>
  <c r="AE1215" i="13"/>
  <c r="AC1215" i="13"/>
  <c r="AF1252" i="13"/>
  <c r="AF1181" i="13"/>
  <c r="AE1223" i="13"/>
  <c r="AC1223" i="13"/>
  <c r="AF1203" i="13"/>
  <c r="AF1189" i="13"/>
  <c r="AF1074" i="13"/>
  <c r="AF1012" i="13"/>
  <c r="AF993" i="13"/>
  <c r="AF1091" i="13"/>
  <c r="AF1056" i="13"/>
  <c r="AF1031" i="13"/>
  <c r="AF995" i="13"/>
  <c r="AF1008" i="13"/>
  <c r="AE983" i="13"/>
  <c r="AC983" i="13"/>
  <c r="AF1119" i="13"/>
  <c r="AF826" i="13"/>
  <c r="AE957" i="13"/>
  <c r="AC957" i="13"/>
  <c r="AF868" i="13"/>
  <c r="AE853" i="13"/>
  <c r="AC853" i="13"/>
  <c r="AE949" i="13"/>
  <c r="AC949" i="13"/>
  <c r="AF898" i="13"/>
  <c r="AE917" i="13"/>
  <c r="AC917" i="13"/>
  <c r="AF955" i="13"/>
  <c r="AF795" i="13"/>
  <c r="AF762" i="13"/>
  <c r="AF896" i="13"/>
  <c r="AF1147" i="13"/>
  <c r="AE901" i="13"/>
  <c r="AC901" i="13"/>
  <c r="AF831" i="13"/>
  <c r="AF804" i="13"/>
  <c r="AF748" i="13"/>
  <c r="AF684" i="13"/>
  <c r="AF620" i="13"/>
  <c r="AF1019" i="13"/>
  <c r="AE756" i="13"/>
  <c r="AC756" i="13"/>
  <c r="AE727" i="13"/>
  <c r="AC727" i="13"/>
  <c r="AE546" i="13"/>
  <c r="AC546" i="13"/>
  <c r="AF653" i="13"/>
  <c r="AF709" i="13"/>
  <c r="AF693" i="13"/>
  <c r="AE631" i="13"/>
  <c r="AC631" i="13"/>
  <c r="AF714" i="13"/>
  <c r="AF634" i="13"/>
  <c r="AF610" i="13"/>
  <c r="AF578" i="13"/>
  <c r="AF730" i="13"/>
  <c r="AF549" i="13"/>
  <c r="AF526" i="13"/>
  <c r="AF494" i="13"/>
  <c r="AF452" i="13"/>
  <c r="AE425" i="13"/>
  <c r="AC425" i="13"/>
  <c r="AF350" i="13"/>
  <c r="AF375" i="13"/>
  <c r="AE337" i="13"/>
  <c r="AC337" i="13"/>
  <c r="AF706" i="13"/>
  <c r="AF589" i="13"/>
  <c r="AF423" i="13"/>
  <c r="AF343" i="13"/>
  <c r="AF328" i="13"/>
  <c r="AF464" i="13"/>
  <c r="AF447" i="13"/>
  <c r="AF372" i="13"/>
  <c r="AE353" i="13"/>
  <c r="AC353" i="13"/>
  <c r="AF629" i="13"/>
  <c r="AF431" i="13"/>
  <c r="AF416" i="13"/>
  <c r="AF388" i="13"/>
  <c r="AF374" i="13"/>
  <c r="AF421" i="13"/>
  <c r="AF415" i="13"/>
  <c r="AE385" i="13"/>
  <c r="AC385" i="13"/>
  <c r="AF334" i="13"/>
  <c r="AF256" i="13"/>
  <c r="AF239" i="13"/>
  <c r="AF319" i="13"/>
  <c r="AF263" i="13"/>
  <c r="AF241" i="13"/>
  <c r="AF299" i="13"/>
  <c r="AF283" i="13"/>
  <c r="AF257" i="13"/>
  <c r="AF274" i="13"/>
  <c r="AE1421" i="13"/>
  <c r="AC1421" i="13"/>
  <c r="AF1374" i="13"/>
  <c r="AF1395" i="13"/>
  <c r="AF1339" i="13"/>
  <c r="AF1364" i="13"/>
  <c r="AE1353" i="13"/>
  <c r="AC1353" i="13"/>
  <c r="AF1356" i="13"/>
  <c r="AE1337" i="13"/>
  <c r="AC1337" i="13"/>
  <c r="AF1372" i="13"/>
  <c r="AF1214" i="13"/>
  <c r="AF1282" i="13"/>
  <c r="AF1237" i="13"/>
  <c r="AF1302" i="13"/>
  <c r="AF1321" i="13"/>
  <c r="AF1217" i="13"/>
  <c r="AE1247" i="13"/>
  <c r="AC1247" i="13"/>
  <c r="AF1207" i="13"/>
  <c r="AE1133" i="13"/>
  <c r="AC1133" i="13"/>
  <c r="AF1114" i="13"/>
  <c r="AF1162" i="13"/>
  <c r="AE1101" i="13"/>
  <c r="AC1101" i="13"/>
  <c r="AF1100" i="13"/>
  <c r="AF1052" i="13"/>
  <c r="AE1037" i="13"/>
  <c r="AC1037" i="13"/>
  <c r="AC989" i="13"/>
  <c r="AE989" i="13"/>
  <c r="AE1168" i="13"/>
  <c r="AC1168" i="13"/>
  <c r="AF1020" i="13"/>
  <c r="AF1075" i="13"/>
  <c r="AF866" i="13"/>
  <c r="AF802" i="13"/>
  <c r="AF1042" i="13"/>
  <c r="AF1001" i="13"/>
  <c r="AF913" i="13"/>
  <c r="AE988" i="13"/>
  <c r="AC988" i="13"/>
  <c r="AF897" i="13"/>
  <c r="AF812" i="13"/>
  <c r="AE1013" i="13"/>
  <c r="AC1013" i="13"/>
  <c r="AF930" i="13"/>
  <c r="AF844" i="13"/>
  <c r="AF939" i="13"/>
  <c r="AF900" i="13"/>
  <c r="AE877" i="13"/>
  <c r="AC877" i="13"/>
  <c r="AF792" i="13"/>
  <c r="AF724" i="13"/>
  <c r="AF660" i="13"/>
  <c r="AF596" i="13"/>
  <c r="AF864" i="13"/>
  <c r="AF721" i="13"/>
  <c r="AF553" i="13"/>
  <c r="AE1045" i="13"/>
  <c r="AC1045" i="13"/>
  <c r="AF822" i="13"/>
  <c r="AF642" i="13"/>
  <c r="AF602" i="13"/>
  <c r="AF570" i="13"/>
  <c r="AF870" i="13"/>
  <c r="AF613" i="13"/>
  <c r="AF581" i="13"/>
  <c r="AF722" i="13"/>
  <c r="AE647" i="13"/>
  <c r="AC647" i="13"/>
  <c r="AE559" i="13"/>
  <c r="AC559" i="13"/>
  <c r="AF677" i="13"/>
  <c r="AF545" i="13"/>
  <c r="AF424" i="13"/>
  <c r="AF379" i="13"/>
  <c r="AF534" i="13"/>
  <c r="AF487" i="13"/>
  <c r="AF468" i="13"/>
  <c r="AF316" i="13"/>
  <c r="AE393" i="13"/>
  <c r="AC393" i="13"/>
  <c r="AF502" i="13"/>
  <c r="AF412" i="13"/>
  <c r="AF347" i="13"/>
  <c r="AF411" i="13"/>
  <c r="AF352" i="13"/>
  <c r="AF332" i="13"/>
  <c r="AF618" i="13"/>
  <c r="AF467" i="13"/>
  <c r="AF339" i="13"/>
  <c r="AF524" i="13"/>
  <c r="AF670" i="13"/>
  <c r="AF281" i="13"/>
  <c r="AF260" i="13"/>
  <c r="AF308" i="13"/>
  <c r="AF242" i="13"/>
  <c r="AF305" i="13"/>
  <c r="AF275" i="13"/>
  <c r="AF259" i="13"/>
  <c r="AF297" i="13"/>
  <c r="AE1397" i="13"/>
  <c r="AC1397" i="13"/>
  <c r="AF1394" i="13"/>
  <c r="AF1418" i="13"/>
  <c r="AF1403" i="13"/>
  <c r="AF1366" i="13"/>
  <c r="AF1342" i="13"/>
  <c r="AF1331" i="13"/>
  <c r="AF1340" i="13"/>
  <c r="AE1311" i="13"/>
  <c r="AC1311" i="13"/>
  <c r="AF1245" i="13"/>
  <c r="AE1177" i="13"/>
  <c r="AC1177" i="13"/>
  <c r="AF1305" i="13"/>
  <c r="AE1279" i="13"/>
  <c r="AC1279" i="13"/>
  <c r="AE1200" i="13"/>
  <c r="AC1200" i="13"/>
  <c r="AF1309" i="13"/>
  <c r="AF1277" i="13"/>
  <c r="AE1287" i="13"/>
  <c r="AC1287" i="13"/>
  <c r="AF1003" i="13"/>
  <c r="AF1238" i="13"/>
  <c r="AF1123" i="13"/>
  <c r="AF1159" i="13"/>
  <c r="AE1021" i="13"/>
  <c r="AC1021" i="13"/>
  <c r="AF1153" i="13"/>
  <c r="AF1131" i="13"/>
  <c r="AC981" i="13"/>
  <c r="AE981" i="13"/>
  <c r="AF1155" i="13"/>
  <c r="AE1125" i="13"/>
  <c r="AC1125" i="13"/>
  <c r="AE1061" i="13"/>
  <c r="AC1061" i="13"/>
  <c r="AF990" i="13"/>
  <c r="AE861" i="13"/>
  <c r="AC861" i="13"/>
  <c r="AF759" i="13"/>
  <c r="AF945" i="13"/>
  <c r="AF931" i="13"/>
  <c r="AF800" i="13"/>
  <c r="AF979" i="13"/>
  <c r="AE941" i="13"/>
  <c r="AC941" i="13"/>
  <c r="AF863" i="13"/>
  <c r="AF771" i="13"/>
  <c r="AF840" i="13"/>
  <c r="AF919" i="13"/>
  <c r="AE805" i="13"/>
  <c r="AC805" i="13"/>
  <c r="AF773" i="13"/>
  <c r="AF1092" i="13"/>
  <c r="AE999" i="13"/>
  <c r="AC999" i="13"/>
  <c r="AF823" i="13"/>
  <c r="AF700" i="13"/>
  <c r="AF572" i="13"/>
  <c r="AF1262" i="13"/>
  <c r="AF986" i="13"/>
  <c r="AF905" i="13"/>
  <c r="AE599" i="13"/>
  <c r="AC599" i="13"/>
  <c r="AF1032" i="13"/>
  <c r="AF772" i="13"/>
  <c r="AF698" i="13"/>
  <c r="AF963" i="13"/>
  <c r="AC542" i="13"/>
  <c r="AE542" i="13"/>
  <c r="AF899" i="13"/>
  <c r="AF746" i="13"/>
  <c r="AE663" i="13"/>
  <c r="AC663" i="13"/>
  <c r="AF641" i="13"/>
  <c r="AE607" i="13"/>
  <c r="AC607" i="13"/>
  <c r="AF556" i="13"/>
  <c r="AE743" i="13"/>
  <c r="AC743" i="13"/>
  <c r="AF488" i="13"/>
  <c r="AF414" i="13"/>
  <c r="AE489" i="13"/>
  <c r="AC489" i="13"/>
  <c r="AF718" i="13"/>
  <c r="AE473" i="13"/>
  <c r="AC473" i="13"/>
  <c r="AF404" i="13"/>
  <c r="AF359" i="13"/>
  <c r="AF340" i="13"/>
  <c r="AF512" i="13"/>
  <c r="AF573" i="13"/>
  <c r="AF516" i="13"/>
  <c r="AF444" i="13"/>
  <c r="AF342" i="13"/>
  <c r="AF527" i="13"/>
  <c r="AF495" i="13"/>
  <c r="AE457" i="13"/>
  <c r="AC457" i="13"/>
  <c r="AF382" i="13"/>
  <c r="AF492" i="13"/>
  <c r="AF430" i="13"/>
  <c r="AF803" i="13"/>
  <c r="AF532" i="13"/>
  <c r="AF301" i="13"/>
  <c r="AF253" i="13"/>
  <c r="AF251" i="13"/>
  <c r="AF231" i="13"/>
  <c r="AF289" i="13"/>
  <c r="AF261" i="13"/>
  <c r="AF246" i="13"/>
  <c r="AF1387" i="13"/>
  <c r="AF1401" i="13"/>
  <c r="AC1384" i="13"/>
  <c r="AE1384" i="13"/>
  <c r="AE1391" i="13"/>
  <c r="AC1391" i="13"/>
  <c r="AF1419" i="13"/>
  <c r="AF1371" i="13"/>
  <c r="AE1377" i="13"/>
  <c r="AC1377" i="13"/>
  <c r="AF1350" i="13"/>
  <c r="AF1206" i="13"/>
  <c r="AF1179" i="13"/>
  <c r="AE1170" i="13"/>
  <c r="AC1170" i="13"/>
  <c r="AF1187" i="13"/>
  <c r="AF1274" i="13"/>
  <c r="AE1239" i="13"/>
  <c r="AC1239" i="13"/>
  <c r="AE1069" i="13"/>
  <c r="AC1069" i="13"/>
  <c r="AE1053" i="13"/>
  <c r="AC1053" i="13"/>
  <c r="AF1018" i="13"/>
  <c r="AF985" i="13"/>
  <c r="AE1005" i="13"/>
  <c r="AC1005" i="13"/>
  <c r="AF1269" i="13"/>
  <c r="AF1004" i="13"/>
  <c r="AF1161" i="13"/>
  <c r="AF818" i="13"/>
  <c r="AF1182" i="13"/>
  <c r="AF1010" i="13"/>
  <c r="AF996" i="13"/>
  <c r="AE909" i="13"/>
  <c r="AC909" i="13"/>
  <c r="AF875" i="13"/>
  <c r="AE821" i="13"/>
  <c r="AC821" i="13"/>
  <c r="AE797" i="13"/>
  <c r="AC797" i="13"/>
  <c r="AF1099" i="13"/>
  <c r="AF832" i="13"/>
  <c r="AF763" i="13"/>
  <c r="AF912" i="13"/>
  <c r="AE893" i="13"/>
  <c r="AC893" i="13"/>
  <c r="AF948" i="13"/>
  <c r="AF924" i="13"/>
  <c r="AF888" i="13"/>
  <c r="AF872" i="13"/>
  <c r="AF779" i="13"/>
  <c r="AF975" i="13"/>
  <c r="AF816" i="13"/>
  <c r="AF947" i="13"/>
  <c r="AF915" i="13"/>
  <c r="AF876" i="13"/>
  <c r="AF788" i="13"/>
  <c r="AF740" i="13"/>
  <c r="AF676" i="13"/>
  <c r="AF612" i="13"/>
  <c r="AF936" i="13"/>
  <c r="AF932" i="13"/>
  <c r="AE639" i="13"/>
  <c r="AC639" i="13"/>
  <c r="AE615" i="13"/>
  <c r="AC615" i="13"/>
  <c r="AF593" i="13"/>
  <c r="AF669" i="13"/>
  <c r="AF854" i="13"/>
  <c r="AF717" i="13"/>
  <c r="AE623" i="13"/>
  <c r="AC623" i="13"/>
  <c r="AF557" i="13"/>
  <c r="AF678" i="13"/>
  <c r="AF738" i="13"/>
  <c r="AE703" i="13"/>
  <c r="AC703" i="13"/>
  <c r="AE687" i="13"/>
  <c r="AC687" i="13"/>
  <c r="AF662" i="13"/>
  <c r="AE719" i="13"/>
  <c r="AC719" i="13"/>
  <c r="AE449" i="13"/>
  <c r="AC449" i="13"/>
  <c r="AF364" i="13"/>
  <c r="AF701" i="13"/>
  <c r="AF491" i="13"/>
  <c r="AF436" i="13"/>
  <c r="AF413" i="13"/>
  <c r="AF366" i="13"/>
  <c r="AE537" i="13"/>
  <c r="AC537" i="13"/>
  <c r="AF511" i="13"/>
  <c r="AF484" i="13"/>
  <c r="AF462" i="13"/>
  <c r="AF406" i="13"/>
  <c r="AF363" i="13"/>
  <c r="AF486" i="13"/>
  <c r="AE521" i="13"/>
  <c r="AC521" i="13"/>
  <c r="AF946" i="13"/>
  <c r="AF446" i="13"/>
  <c r="AF518" i="13"/>
  <c r="AF367" i="13"/>
  <c r="AF351" i="13"/>
  <c r="AF232" i="13"/>
  <c r="AF315" i="13"/>
  <c r="AF300" i="13"/>
  <c r="AF277" i="13"/>
  <c r="AF294" i="13"/>
  <c r="AF273" i="13"/>
  <c r="AF252" i="13"/>
  <c r="AF306" i="13"/>
  <c r="AF249" i="13"/>
  <c r="AF286" i="13"/>
  <c r="AF270" i="13"/>
  <c r="AF276" i="13"/>
  <c r="AF282" i="13"/>
  <c r="AE1389" i="13"/>
  <c r="AC1389" i="13"/>
  <c r="AF1190" i="13"/>
  <c r="AF1409" i="13"/>
  <c r="AF1399" i="13"/>
  <c r="AF1417" i="13"/>
  <c r="AF1382" i="13"/>
  <c r="AE1369" i="13"/>
  <c r="AC1369" i="13"/>
  <c r="AF1355" i="13"/>
  <c r="AE1361" i="13"/>
  <c r="AC1361" i="13"/>
  <c r="AE1324" i="13"/>
  <c r="AC1324" i="13"/>
  <c r="AF1329" i="13"/>
  <c r="AF1300" i="13"/>
  <c r="AF1253" i="13"/>
  <c r="AF1242" i="13"/>
  <c r="AF1294" i="13"/>
  <c r="AF1284" i="13"/>
  <c r="AE1319" i="13"/>
  <c r="AC1319" i="13"/>
  <c r="AE1208" i="13"/>
  <c r="AC1208" i="13"/>
  <c r="AF1146" i="13"/>
  <c r="AF1135" i="13"/>
  <c r="AF1050" i="13"/>
  <c r="AF987" i="13"/>
  <c r="AF1120" i="13"/>
  <c r="AF1246" i="13"/>
  <c r="AF1145" i="13"/>
  <c r="AF1043" i="13"/>
  <c r="AF977" i="13"/>
  <c r="AE1093" i="13"/>
  <c r="AC1093" i="13"/>
  <c r="AF1071" i="13"/>
  <c r="AF1002" i="13"/>
  <c r="AF1107" i="13"/>
  <c r="AF1058" i="13"/>
  <c r="AF858" i="13"/>
  <c r="AF794" i="13"/>
  <c r="AF1328" i="13"/>
  <c r="AF994" i="13"/>
  <c r="AE925" i="13"/>
  <c r="AC925" i="13"/>
  <c r="AF819" i="13"/>
  <c r="AF944" i="13"/>
  <c r="AF891" i="13"/>
  <c r="AF851" i="13"/>
  <c r="AF770" i="13"/>
  <c r="AF929" i="13"/>
  <c r="AF716" i="13"/>
  <c r="AF652" i="13"/>
  <c r="AF588" i="13"/>
  <c r="AF890" i="13"/>
  <c r="AF848" i="13"/>
  <c r="AF737" i="13"/>
  <c r="AE655" i="13"/>
  <c r="AC655" i="13"/>
  <c r="AE567" i="13"/>
  <c r="AC567" i="13"/>
  <c r="AF548" i="13"/>
  <c r="AF723" i="13"/>
  <c r="AF733" i="13"/>
  <c r="AF666" i="13"/>
  <c r="AF637" i="13"/>
  <c r="AE971" i="13"/>
  <c r="AC971" i="13"/>
  <c r="AF697" i="13"/>
  <c r="AF681" i="13"/>
  <c r="AE575" i="13"/>
  <c r="AC575" i="13"/>
  <c r="AF742" i="13"/>
  <c r="AF690" i="13"/>
  <c r="AF650" i="13"/>
  <c r="AF594" i="13"/>
  <c r="AF674" i="13"/>
  <c r="AF478" i="13"/>
  <c r="AE345" i="13"/>
  <c r="AC345" i="13"/>
  <c r="AF383" i="13"/>
  <c r="AF661" i="13"/>
  <c r="AE465" i="13"/>
  <c r="AC465" i="13"/>
  <c r="AF428" i="13"/>
  <c r="AF391" i="13"/>
  <c r="AF519" i="13"/>
  <c r="AF331" i="13"/>
  <c r="AF422" i="13"/>
  <c r="AF380" i="13"/>
  <c r="AE369" i="13"/>
  <c r="AC369" i="13"/>
  <c r="AF510" i="13"/>
  <c r="AF396" i="13"/>
  <c r="AF787" i="13"/>
  <c r="AF235" i="13"/>
  <c r="AF291" i="13"/>
  <c r="AF258" i="13"/>
  <c r="AF267" i="13"/>
  <c r="AF245" i="13"/>
  <c r="AF287" i="13"/>
  <c r="H55" i="29"/>
  <c r="H60" i="29" s="1"/>
  <c r="D13" i="19" l="1"/>
  <c r="AF1167" i="13"/>
  <c r="AF1220" i="13"/>
  <c r="AF601" i="13"/>
  <c r="AF1039" i="13"/>
  <c r="AF799" i="13"/>
  <c r="AF1292" i="13"/>
  <c r="AF673" i="13"/>
  <c r="AF288" i="13"/>
  <c r="AF895" i="13"/>
  <c r="AF475" i="13"/>
  <c r="AF1281" i="13"/>
  <c r="AF855" i="13"/>
  <c r="AF991" i="13"/>
  <c r="AF847" i="13"/>
  <c r="AF609" i="13"/>
  <c r="AF1241" i="13"/>
  <c r="AF839" i="13"/>
  <c r="AF445" i="13"/>
  <c r="AF317" i="13"/>
  <c r="D11" i="19"/>
  <c r="D9" i="19"/>
  <c r="D10" i="19"/>
  <c r="D8" i="19"/>
  <c r="AF1336" i="13"/>
  <c r="D7" i="19"/>
  <c r="AF1221" i="13"/>
  <c r="AF1038" i="13"/>
  <c r="AF1149" i="13"/>
  <c r="AF237" i="13"/>
  <c r="AF998" i="13"/>
  <c r="AF506" i="13"/>
  <c r="AF648" i="13"/>
  <c r="AF568" i="13"/>
  <c r="AF696" i="13"/>
  <c r="AF1022" i="13"/>
  <c r="AF1320" i="13"/>
  <c r="AF560" i="13"/>
  <c r="AF640" i="13"/>
  <c r="AF1021" i="13"/>
  <c r="AF513" i="13"/>
  <c r="AF1148" i="13"/>
  <c r="AF1407" i="13"/>
  <c r="AF401" i="13"/>
  <c r="AF679" i="13"/>
  <c r="AF575" i="13"/>
  <c r="AF925" i="13"/>
  <c r="AF703" i="13"/>
  <c r="AF623" i="13"/>
  <c r="AF473" i="13"/>
  <c r="AF1177" i="13"/>
  <c r="AF647" i="13"/>
  <c r="AF989" i="13"/>
  <c r="AF917" i="13"/>
  <c r="AF853" i="13"/>
  <c r="AF751" i="13"/>
  <c r="AF583" i="13"/>
  <c r="AF997" i="13"/>
  <c r="AF1101" i="13"/>
  <c r="AF353" i="13"/>
  <c r="AF789" i="13"/>
  <c r="AF829" i="13"/>
  <c r="AF497" i="13"/>
  <c r="AF1164" i="13"/>
  <c r="AF1109" i="13"/>
  <c r="AF1413" i="13"/>
  <c r="AF465" i="13"/>
  <c r="AF345" i="13"/>
  <c r="AF1005" i="13"/>
  <c r="AF1053" i="13"/>
  <c r="AF1170" i="13"/>
  <c r="AF1377" i="13"/>
  <c r="AF1391" i="13"/>
  <c r="AF599" i="13"/>
  <c r="AF1125" i="13"/>
  <c r="AF1037" i="13"/>
  <c r="AF1421" i="13"/>
  <c r="AF1345" i="13"/>
  <c r="AF417" i="13"/>
  <c r="AF1263" i="13"/>
  <c r="AF768" i="13"/>
  <c r="AF1231" i="13"/>
  <c r="AF1415" i="13"/>
  <c r="AF441" i="13"/>
  <c r="AF671" i="13"/>
  <c r="AF695" i="13"/>
  <c r="AF711" i="13"/>
  <c r="AF481" i="13"/>
  <c r="AF655" i="13"/>
  <c r="AF449" i="13"/>
  <c r="AF893" i="13"/>
  <c r="AF607" i="13"/>
  <c r="AF861" i="13"/>
  <c r="AF981" i="13"/>
  <c r="AF1200" i="13"/>
  <c r="AF1013" i="13"/>
  <c r="AF1133" i="13"/>
  <c r="AF1353" i="13"/>
  <c r="AF385" i="13"/>
  <c r="AF554" i="13"/>
  <c r="AF967" i="13"/>
  <c r="AF837" i="13"/>
  <c r="AF1271" i="13"/>
  <c r="AF1303" i="13"/>
  <c r="AF393" i="13"/>
  <c r="AF877" i="13"/>
  <c r="AF615" i="13"/>
  <c r="AF909" i="13"/>
  <c r="AF1069" i="13"/>
  <c r="AF489" i="13"/>
  <c r="AF805" i="13"/>
  <c r="AF1045" i="13"/>
  <c r="AF337" i="13"/>
  <c r="AF425" i="13"/>
  <c r="AF957" i="13"/>
  <c r="AF983" i="13"/>
  <c r="AF1215" i="13"/>
  <c r="AF1405" i="13"/>
  <c r="AF409" i="13"/>
  <c r="AF845" i="13"/>
  <c r="AF1255" i="13"/>
  <c r="AF377" i="13"/>
  <c r="AF505" i="13"/>
  <c r="AF735" i="13"/>
  <c r="AF760" i="13"/>
  <c r="AF1192" i="13"/>
  <c r="AF1239" i="13"/>
  <c r="AF457" i="13"/>
  <c r="AF1208" i="13"/>
  <c r="AF1389" i="13"/>
  <c r="AF537" i="13"/>
  <c r="AF719" i="13"/>
  <c r="AF797" i="13"/>
  <c r="AF743" i="13"/>
  <c r="AF1279" i="13"/>
  <c r="AF1311" i="13"/>
  <c r="AF1397" i="13"/>
  <c r="AF559" i="13"/>
  <c r="AF1337" i="13"/>
  <c r="AF631" i="13"/>
  <c r="AF727" i="13"/>
  <c r="AF949" i="13"/>
  <c r="AF591" i="13"/>
  <c r="AF754" i="13"/>
  <c r="AF1156" i="13"/>
  <c r="AF1117" i="13"/>
  <c r="AF1077" i="13"/>
  <c r="AF1361" i="13"/>
  <c r="AF1061" i="13"/>
  <c r="AF988" i="13"/>
  <c r="AF1324" i="13"/>
  <c r="AF639" i="13"/>
  <c r="AF542" i="13"/>
  <c r="AF999" i="13"/>
  <c r="AF941" i="13"/>
  <c r="AF1168" i="13"/>
  <c r="AF1223" i="13"/>
  <c r="AF329" i="13"/>
  <c r="AF1295" i="13"/>
  <c r="AF433" i="13"/>
  <c r="AF361" i="13"/>
  <c r="AF933" i="13"/>
  <c r="AF885" i="13"/>
  <c r="AF1085" i="13"/>
  <c r="AF529" i="13"/>
  <c r="AF776" i="13"/>
  <c r="AF1029" i="13"/>
  <c r="AF1093" i="13"/>
  <c r="AF567" i="13"/>
  <c r="AF1369" i="13"/>
  <c r="AF369" i="13"/>
  <c r="AF971" i="13"/>
  <c r="AF1319" i="13"/>
  <c r="AF521" i="13"/>
  <c r="AF687" i="13"/>
  <c r="AF821" i="13"/>
  <c r="AF1384" i="13"/>
  <c r="AF663" i="13"/>
  <c r="AF1287" i="13"/>
  <c r="AF1247" i="13"/>
  <c r="AF546" i="13"/>
  <c r="AF756" i="13"/>
  <c r="AF901" i="13"/>
  <c r="AF813" i="13"/>
  <c r="AF1140" i="13"/>
  <c r="AF869" i="13"/>
  <c r="AF1184" i="13"/>
  <c r="I32" i="2"/>
  <c r="K32" i="2" s="1"/>
  <c r="M32" i="2" s="1"/>
  <c r="O32" i="2" s="1"/>
  <c r="Q32" i="2" s="1"/>
  <c r="I31" i="2"/>
  <c r="K31" i="2" s="1"/>
  <c r="M31" i="2" s="1"/>
  <c r="O31" i="2" s="1"/>
  <c r="Q31" i="2" s="1"/>
  <c r="I30" i="2"/>
  <c r="K30" i="2" s="1"/>
  <c r="M30" i="2" s="1"/>
  <c r="O30" i="2" s="1"/>
  <c r="Q30" i="2" s="1"/>
  <c r="I25" i="2"/>
  <c r="K25" i="2" s="1"/>
  <c r="M25" i="2" s="1"/>
  <c r="O25" i="2" s="1"/>
  <c r="Q25" i="2" s="1"/>
  <c r="I23" i="2"/>
  <c r="K23" i="2" s="1"/>
  <c r="M23" i="2" s="1"/>
  <c r="O23" i="2" s="1"/>
  <c r="Q23" i="2" s="1"/>
  <c r="I22" i="2"/>
  <c r="K22" i="2" s="1"/>
  <c r="M22" i="2" s="1"/>
  <c r="O22" i="2" s="1"/>
  <c r="Q22" i="2" s="1"/>
  <c r="I21" i="2"/>
  <c r="K21" i="2" s="1"/>
  <c r="D9" i="2"/>
  <c r="E8" i="2"/>
  <c r="E7" i="2"/>
  <c r="E6" i="2"/>
  <c r="E5" i="2"/>
  <c r="E9" i="2" s="1"/>
  <c r="E10" i="2" s="1"/>
  <c r="I10" i="2" s="1"/>
  <c r="K10" i="2" s="1"/>
  <c r="M10" i="2" s="1"/>
  <c r="O10" i="2" s="1"/>
  <c r="Q10" i="2" s="1"/>
  <c r="E13" i="19" l="1"/>
  <c r="F13" i="19" s="1"/>
  <c r="E7" i="19"/>
  <c r="F7" i="19" s="1"/>
  <c r="E11" i="19"/>
  <c r="F11" i="19" s="1"/>
  <c r="E9" i="19"/>
  <c r="F9" i="19" s="1"/>
  <c r="E8" i="19"/>
  <c r="F8" i="19" s="1"/>
  <c r="E10" i="19"/>
  <c r="F10" i="19" s="1"/>
  <c r="M21" i="2"/>
  <c r="E13" i="2"/>
  <c r="E15" i="2"/>
  <c r="I15" i="2" s="1"/>
  <c r="K15" i="2" s="1"/>
  <c r="M15" i="2" s="1"/>
  <c r="O15" i="2" s="1"/>
  <c r="Q15" i="2" s="1"/>
  <c r="E24" i="2"/>
  <c r="E14" i="2"/>
  <c r="I14" i="2" s="1"/>
  <c r="K14" i="2" s="1"/>
  <c r="M14" i="2" s="1"/>
  <c r="O14" i="2" s="1"/>
  <c r="Q14" i="2" s="1"/>
  <c r="E16" i="2"/>
  <c r="I16" i="2" s="1"/>
  <c r="K16" i="2" s="1"/>
  <c r="M16" i="2" s="1"/>
  <c r="O16" i="2" s="1"/>
  <c r="Q16" i="2" s="1"/>
  <c r="E17" i="2"/>
  <c r="I17" i="2" s="1"/>
  <c r="K17" i="2" s="1"/>
  <c r="M17" i="2" s="1"/>
  <c r="O17" i="2" s="1"/>
  <c r="Q17" i="2" s="1"/>
  <c r="I24" i="2" l="1"/>
  <c r="E26" i="2"/>
  <c r="I13" i="2"/>
  <c r="E18" i="2"/>
  <c r="O21" i="2"/>
  <c r="K24" i="2" l="1"/>
  <c r="I26" i="2"/>
  <c r="Q21" i="2"/>
  <c r="E29" i="2"/>
  <c r="K13" i="2"/>
  <c r="I18" i="2"/>
  <c r="K18" i="2" l="1"/>
  <c r="M13" i="2"/>
  <c r="I29" i="2"/>
  <c r="E33" i="2"/>
  <c r="M24" i="2"/>
  <c r="K26" i="2"/>
  <c r="O13" i="2" l="1"/>
  <c r="M18" i="2"/>
  <c r="O24" i="2"/>
  <c r="M26" i="2"/>
  <c r="K29" i="2"/>
  <c r="I33" i="2"/>
  <c r="I35" i="2" s="1"/>
  <c r="E35" i="2"/>
  <c r="D41" i="2"/>
  <c r="D40" i="2"/>
  <c r="D39" i="2"/>
  <c r="AD501" i="13" l="1"/>
  <c r="AD651" i="13"/>
  <c r="AD969" i="13"/>
  <c r="AD1171" i="13"/>
  <c r="AD525" i="13"/>
  <c r="AD659" i="13"/>
  <c r="AD973" i="13"/>
  <c r="AD1235" i="13"/>
  <c r="AD541" i="13"/>
  <c r="AD675" i="13"/>
  <c r="AD976" i="13"/>
  <c r="AD1259" i="13"/>
  <c r="AD234" i="13"/>
  <c r="AD550" i="13"/>
  <c r="AD747" i="13"/>
  <c r="AD984" i="13"/>
  <c r="AD1291" i="13"/>
  <c r="AD341" i="13"/>
  <c r="AD381" i="13"/>
  <c r="AD555" i="13"/>
  <c r="AD801" i="13"/>
  <c r="AD1017" i="13"/>
  <c r="AD1335" i="13"/>
  <c r="AD357" i="13"/>
  <c r="AD405" i="13"/>
  <c r="AD595" i="13"/>
  <c r="AD817" i="13"/>
  <c r="AD1033" i="13"/>
  <c r="AD1362" i="13"/>
  <c r="AD493" i="13"/>
  <c r="AD627" i="13"/>
  <c r="AD964" i="13"/>
  <c r="AD1144" i="13"/>
  <c r="AD1375" i="13"/>
  <c r="AD563" i="13"/>
  <c r="AD311" i="13"/>
  <c r="AD456" i="13"/>
  <c r="AD755" i="13"/>
  <c r="AD590" i="13"/>
  <c r="AD720" i="13"/>
  <c r="AD780" i="13"/>
  <c r="AD654" i="13"/>
  <c r="AD579" i="13"/>
  <c r="AD410" i="13"/>
  <c r="AD394" i="13"/>
  <c r="AD346" i="13"/>
  <c r="AD402" i="13"/>
  <c r="AD533" i="13"/>
  <c r="AD630" i="13"/>
  <c r="AD728" i="13"/>
  <c r="AD736" i="13"/>
  <c r="AD932" i="13"/>
  <c r="AD862" i="13"/>
  <c r="AD1025" i="13"/>
  <c r="AD587" i="13"/>
  <c r="AD418" i="13"/>
  <c r="AD512" i="13"/>
  <c r="AD370" i="13"/>
  <c r="AD606" i="13"/>
  <c r="AD566" i="13"/>
  <c r="AD614" i="13"/>
  <c r="AD485" i="13"/>
  <c r="AD1212" i="13"/>
  <c r="AD325" i="13"/>
  <c r="AD408" i="13"/>
  <c r="AD432" i="13"/>
  <c r="AD646" i="13"/>
  <c r="AD750" i="13"/>
  <c r="AD752" i="13"/>
  <c r="AD611" i="13"/>
  <c r="AD1357" i="13"/>
  <c r="AD825" i="13"/>
  <c r="AD1105" i="13"/>
  <c r="AD520" i="13"/>
  <c r="AD702" i="13"/>
  <c r="AD400" i="13"/>
  <c r="AD574" i="13"/>
  <c r="AD934" i="13"/>
  <c r="AD918" i="13"/>
  <c r="AD1204" i="13"/>
  <c r="AD1097" i="13"/>
  <c r="AD1193" i="13"/>
  <c r="AD1224" i="13"/>
  <c r="AD1352" i="13"/>
  <c r="AD1338" i="13"/>
  <c r="AD1178" i="13"/>
  <c r="AD1360" i="13"/>
  <c r="AD1344" i="13"/>
  <c r="AD480" i="13"/>
  <c r="AD477" i="13"/>
  <c r="AD814" i="13"/>
  <c r="AD1160" i="13"/>
  <c r="AD979" i="13"/>
  <c r="AD440" i="13"/>
  <c r="AD509" i="13"/>
  <c r="AD378" i="13"/>
  <c r="AD638" i="13"/>
  <c r="AD884" i="13"/>
  <c r="AD812" i="13"/>
  <c r="AD1009" i="13"/>
  <c r="AD1116" i="13"/>
  <c r="AD1065" i="13"/>
  <c r="AD1240" i="13"/>
  <c r="AD1270" i="13"/>
  <c r="AD1183" i="13"/>
  <c r="AD1176" i="13"/>
  <c r="AD1408" i="13"/>
  <c r="AD1406" i="13"/>
  <c r="AD1400" i="13"/>
  <c r="AD902" i="13"/>
  <c r="AD916" i="13"/>
  <c r="AD926" i="13"/>
  <c r="AD1155" i="13"/>
  <c r="AD1248" i="13"/>
  <c r="AD683" i="13"/>
  <c r="AD336" i="13"/>
  <c r="AD517" i="13"/>
  <c r="AD442" i="13"/>
  <c r="AD528" i="13"/>
  <c r="AD330" i="13"/>
  <c r="AD448" i="13"/>
  <c r="AD894" i="13"/>
  <c r="AD996" i="13"/>
  <c r="AD1139" i="13"/>
  <c r="AD1188" i="13"/>
  <c r="AD1209" i="13"/>
  <c r="AD1264" i="13"/>
  <c r="AD1230" i="13"/>
  <c r="AD1368" i="13"/>
  <c r="AD1412" i="13"/>
  <c r="AD1392" i="13"/>
  <c r="AD582" i="13"/>
  <c r="AD844" i="13"/>
  <c r="AD1041" i="13"/>
  <c r="AD942" i="13"/>
  <c r="AD1267" i="13"/>
  <c r="AD362" i="13"/>
  <c r="AD543" i="13"/>
  <c r="AD878" i="13"/>
  <c r="AD1121" i="13"/>
  <c r="AD1137" i="13"/>
  <c r="AD1396" i="13"/>
  <c r="AD496" i="13"/>
  <c r="AD1330" i="13"/>
  <c r="AD571" i="13"/>
  <c r="AD670" i="13"/>
  <c r="AD338" i="13"/>
  <c r="AD386" i="13"/>
  <c r="AD354" i="13"/>
  <c r="AD744" i="13"/>
  <c r="AD1163" i="13"/>
  <c r="AD1124" i="13"/>
  <c r="AD886" i="13"/>
  <c r="AD908" i="13"/>
  <c r="AD1060" i="13"/>
  <c r="AD1076" i="13"/>
  <c r="AD1219" i="13"/>
  <c r="AD536" i="13"/>
  <c r="AD965" i="13"/>
  <c r="AD1000" i="13"/>
  <c r="AD1243" i="13"/>
  <c r="AD1185" i="13"/>
  <c r="AD1201" i="13"/>
  <c r="AD1390" i="13"/>
  <c r="AD796" i="13"/>
  <c r="AD892" i="13"/>
  <c r="AD1286" i="13"/>
  <c r="AD1272" i="13"/>
  <c r="AD1169" i="13"/>
  <c r="AD1414" i="13"/>
  <c r="AD1084" i="13"/>
  <c r="AD1416" i="13"/>
  <c r="AD846" i="13"/>
  <c r="AD948" i="13"/>
  <c r="AD1222" i="13"/>
  <c r="AD820" i="13"/>
  <c r="AD838" i="13"/>
  <c r="AD598" i="13"/>
  <c r="AD757" i="13"/>
  <c r="AD1108" i="13"/>
  <c r="AD1256" i="13"/>
  <c r="AD1238" i="13"/>
  <c r="AD1129" i="13"/>
  <c r="AD876" i="13"/>
  <c r="AD1227" i="13"/>
  <c r="AD1104" i="13"/>
  <c r="AD761" i="13"/>
  <c r="AD1094" i="13"/>
  <c r="AD1318" i="13"/>
  <c r="AD982" i="13"/>
  <c r="AD1333" i="13"/>
  <c r="AD833" i="13"/>
  <c r="AD774" i="13"/>
  <c r="AD1126" i="13"/>
  <c r="AD958" i="13"/>
  <c r="AD980" i="13"/>
  <c r="AD1280" i="13"/>
  <c r="AD680" i="13"/>
  <c r="AD806" i="13"/>
  <c r="AD790" i="13"/>
  <c r="AD1232" i="13"/>
  <c r="AD545" i="13"/>
  <c r="AD769" i="13"/>
  <c r="AD865" i="13"/>
  <c r="AD1304" i="13"/>
  <c r="AD731" i="13"/>
  <c r="AD828" i="13"/>
  <c r="AD1196" i="13"/>
  <c r="AD1054" i="13"/>
  <c r="AD710" i="13"/>
  <c r="AD672" i="13"/>
  <c r="AD1134" i="13"/>
  <c r="AD1312" i="13"/>
  <c r="AD552" i="13"/>
  <c r="AD1251" i="13"/>
  <c r="AD718" i="13"/>
  <c r="AD830" i="13"/>
  <c r="AD522" i="13"/>
  <c r="AD1113" i="13"/>
  <c r="AD841" i="13"/>
  <c r="AD1102" i="13"/>
  <c r="AD384" i="13"/>
  <c r="AD742" i="13"/>
  <c r="AD326" i="13"/>
  <c r="AD1152" i="13"/>
  <c r="AD1327" i="13"/>
  <c r="AD937" i="13"/>
  <c r="AD809" i="13"/>
  <c r="AD322" i="13"/>
  <c r="AD498" i="13"/>
  <c r="AD1086" i="13"/>
  <c r="AD712" i="13"/>
  <c r="AD715" i="13"/>
  <c r="AD1165" i="13"/>
  <c r="AD726" i="13"/>
  <c r="AD1110" i="13"/>
  <c r="AD1006" i="13"/>
  <c r="AD392" i="13"/>
  <c r="AD1057" i="13"/>
  <c r="AD868" i="13"/>
  <c r="AD1328" i="13"/>
  <c r="AD1288" i="13"/>
  <c r="AD547" i="13"/>
  <c r="AD950" i="13"/>
  <c r="AD466" i="13"/>
  <c r="AD1049" i="13"/>
  <c r="AD538" i="13"/>
  <c r="AD777" i="13"/>
  <c r="AD656" i="13"/>
  <c r="AD389" i="13"/>
  <c r="AD1294" i="13"/>
  <c r="AD1118" i="13"/>
  <c r="AD616" i="13"/>
  <c r="AD1365" i="13"/>
  <c r="AD860" i="13"/>
  <c r="AD1081" i="13"/>
  <c r="AD482" i="13"/>
  <c r="AD1070" i="13"/>
  <c r="AD1383" i="13"/>
  <c r="AD376" i="13"/>
  <c r="AD632" i="13"/>
  <c r="AD592" i="13"/>
  <c r="AD782" i="13"/>
  <c r="AD873" i="13"/>
  <c r="AD1370" i="13"/>
  <c r="AD1073" i="13"/>
  <c r="AD530" i="13"/>
  <c r="AD1373" i="13"/>
  <c r="AD426" i="13"/>
  <c r="AD333" i="13"/>
  <c r="AD1359" i="13"/>
  <c r="AD1346" i="13"/>
  <c r="AD1062" i="13"/>
  <c r="AD1310" i="13"/>
  <c r="AD836" i="13"/>
  <c r="AD314" i="13"/>
  <c r="AD1030" i="13"/>
  <c r="AD961" i="13"/>
  <c r="AD635" i="13"/>
  <c r="AD266" i="13"/>
  <c r="AD1381" i="13"/>
  <c r="AD775" i="13"/>
  <c r="AD881" i="13"/>
  <c r="AD373" i="13"/>
  <c r="AD1128" i="13"/>
  <c r="AD576" i="13"/>
  <c r="AD1354" i="13"/>
  <c r="AD1420" i="13"/>
  <c r="AD544" i="13"/>
  <c r="AD974" i="13"/>
  <c r="AD1078" i="13"/>
  <c r="AD1046" i="13"/>
  <c r="AD434" i="13"/>
  <c r="AD643" i="13"/>
  <c r="AD767" i="13"/>
  <c r="AD758" i="13"/>
  <c r="AD734" i="13"/>
  <c r="AD699" i="13"/>
  <c r="AD793" i="13"/>
  <c r="AD469" i="13"/>
  <c r="AD245" i="13"/>
  <c r="AD1072" i="13"/>
  <c r="AD584" i="13"/>
  <c r="AD707" i="13"/>
  <c r="AD458" i="13"/>
  <c r="AD1088" i="13"/>
  <c r="AD798" i="13"/>
  <c r="AD461" i="13"/>
  <c r="AD1376" i="13"/>
  <c r="AD1283" i="13"/>
  <c r="AD365" i="13"/>
  <c r="AD1260" i="13"/>
  <c r="AD978" i="13"/>
  <c r="AD834" i="13"/>
  <c r="AD952" i="13"/>
  <c r="AD856" i="13"/>
  <c r="AD906" i="13"/>
  <c r="AD628" i="13"/>
  <c r="AD953" i="13"/>
  <c r="AD348" i="13"/>
  <c r="AD344" i="13"/>
  <c r="AD368" i="13"/>
  <c r="AD1236" i="13"/>
  <c r="AD1011" i="13"/>
  <c r="AD784" i="13"/>
  <c r="AD503" i="13"/>
  <c r="AD262" i="13"/>
  <c r="AD1363" i="13"/>
  <c r="AD1226" i="13"/>
  <c r="AD927" i="13"/>
  <c r="AD504" i="13"/>
  <c r="AD437" i="13"/>
  <c r="AD684" i="13"/>
  <c r="AD634" i="13"/>
  <c r="AD549" i="13"/>
  <c r="AD416" i="13"/>
  <c r="AD476" i="13"/>
  <c r="AD256" i="13"/>
  <c r="AD274" i="13"/>
  <c r="AD1237" i="13"/>
  <c r="AD1052" i="13"/>
  <c r="AD1103" i="13"/>
  <c r="AD1001" i="13"/>
  <c r="AD900" i="13"/>
  <c r="AD660" i="13"/>
  <c r="AD553" i="13"/>
  <c r="AD1132" i="13"/>
  <c r="AD1191" i="13"/>
  <c r="AD600" i="13"/>
  <c r="AD1199" i="13"/>
  <c r="AD453" i="13"/>
  <c r="AD1358" i="13"/>
  <c r="AD1138" i="13"/>
  <c r="AD327" i="13"/>
  <c r="AD1250" i="13"/>
  <c r="AD1143" i="13"/>
  <c r="AD1066" i="13"/>
  <c r="AD940" i="13"/>
  <c r="AD1016" i="13"/>
  <c r="AD732" i="13"/>
  <c r="AD972" i="13"/>
  <c r="AD935" i="13"/>
  <c r="AD729" i="13"/>
  <c r="AD880" i="13"/>
  <c r="AD358" i="13"/>
  <c r="AD295" i="13"/>
  <c r="AD1285" i="13"/>
  <c r="AD1198" i="13"/>
  <c r="AD1036" i="13"/>
  <c r="AD850" i="13"/>
  <c r="AD1112" i="13"/>
  <c r="AD907" i="13"/>
  <c r="AD954" i="13"/>
  <c r="AD244" i="13"/>
  <c r="AD290" i="13"/>
  <c r="AD1388" i="13"/>
  <c r="AD1348" i="13"/>
  <c r="AD1181" i="13"/>
  <c r="AD1074" i="13"/>
  <c r="AD1056" i="13"/>
  <c r="AD896" i="13"/>
  <c r="AD693" i="13"/>
  <c r="AD514" i="13"/>
  <c r="AD1014" i="13"/>
  <c r="AD849" i="13"/>
  <c r="AD704" i="13"/>
  <c r="AD1157" i="13"/>
  <c r="AD1323" i="13"/>
  <c r="AD1141" i="13"/>
  <c r="AD450" i="13"/>
  <c r="AD439" i="13"/>
  <c r="AD1325" i="13"/>
  <c r="AD1174" i="13"/>
  <c r="AD960" i="13"/>
  <c r="AD938" i="13"/>
  <c r="AD968" i="13"/>
  <c r="AD781" i="13"/>
  <c r="AD564" i="13"/>
  <c r="AD658" i="13"/>
  <c r="AD356" i="13"/>
  <c r="AD265" i="13"/>
  <c r="AD323" i="13"/>
  <c r="AD1334" i="13"/>
  <c r="AD1059" i="13"/>
  <c r="AD959" i="13"/>
  <c r="AD883" i="13"/>
  <c r="AD914" i="13"/>
  <c r="AD455" i="13"/>
  <c r="AD293" i="13"/>
  <c r="AD307" i="13"/>
  <c r="AD1379" i="13"/>
  <c r="AD889" i="13"/>
  <c r="AD923" i="13"/>
  <c r="AD741" i="13"/>
  <c r="AD725" i="13"/>
  <c r="AD472" i="13"/>
  <c r="AD470" i="13"/>
  <c r="AD460" i="13"/>
  <c r="AD292" i="13"/>
  <c r="AD284" i="13"/>
  <c r="AD955" i="13"/>
  <c r="AD831" i="13"/>
  <c r="AD620" i="13"/>
  <c r="AD694" i="13"/>
  <c r="AD610" i="13"/>
  <c r="AD589" i="13"/>
  <c r="AD388" i="13"/>
  <c r="AD239" i="13"/>
  <c r="AD1020" i="13"/>
  <c r="AD913" i="13"/>
  <c r="AD596" i="13"/>
  <c r="AD474" i="13"/>
  <c r="AD664" i="13"/>
  <c r="AD1180" i="13"/>
  <c r="AD766" i="13"/>
  <c r="AD1351" i="13"/>
  <c r="AD603" i="13"/>
  <c r="AD1315" i="13"/>
  <c r="AD1173" i="13"/>
  <c r="AD1096" i="13"/>
  <c r="AD1089" i="13"/>
  <c r="AD785" i="13"/>
  <c r="AD1166" i="13"/>
  <c r="AD1341" i="13"/>
  <c r="AD1411" i="13"/>
  <c r="AD1268" i="13"/>
  <c r="AD1316" i="13"/>
  <c r="AD1254" i="13"/>
  <c r="AD921" i="13"/>
  <c r="AD824" i="13"/>
  <c r="AD626" i="13"/>
  <c r="AD420" i="13"/>
  <c r="AD304" i="13"/>
  <c r="AD285" i="13"/>
  <c r="AD1385" i="13"/>
  <c r="AD1290" i="13"/>
  <c r="AD857" i="13"/>
  <c r="AD903" i="13"/>
  <c r="AD835" i="13"/>
  <c r="AD622" i="13"/>
  <c r="AD407" i="13"/>
  <c r="AD685" i="13"/>
  <c r="AD324" i="13"/>
  <c r="AD238" i="13"/>
  <c r="AD1313" i="13"/>
  <c r="AD1197" i="13"/>
  <c r="AD1298" i="13"/>
  <c r="AD360" i="13"/>
  <c r="AD390" i="13"/>
  <c r="AD303" i="13"/>
  <c r="AD268" i="13"/>
  <c r="AD1398" i="13"/>
  <c r="AD795" i="13"/>
  <c r="AD783" i="13"/>
  <c r="AD804" i="13"/>
  <c r="AD578" i="13"/>
  <c r="AD375" i="13"/>
  <c r="AD423" i="13"/>
  <c r="AD447" i="13"/>
  <c r="AD374" i="13"/>
  <c r="AD319" i="13"/>
  <c r="AD792" i="13"/>
  <c r="AD864" i="13"/>
  <c r="AD870" i="13"/>
  <c r="AD424" i="13"/>
  <c r="AD487" i="13"/>
  <c r="AD411" i="13"/>
  <c r="AD467" i="13"/>
  <c r="AD321" i="13"/>
  <c r="AD297" i="13"/>
  <c r="AD1403" i="13"/>
  <c r="AD1367" i="13"/>
  <c r="AD490" i="13"/>
  <c r="AD852" i="13"/>
  <c r="AD1296" i="13"/>
  <c r="AD691" i="13"/>
  <c r="AD1404" i="13"/>
  <c r="AD624" i="13"/>
  <c r="AD1080" i="13"/>
  <c r="AD1322" i="13"/>
  <c r="AD1229" i="13"/>
  <c r="AD1034" i="13"/>
  <c r="AD1067" i="13"/>
  <c r="AD843" i="13"/>
  <c r="AD565" i="13"/>
  <c r="AD298" i="13"/>
  <c r="AD1028" i="13"/>
  <c r="AD1211" i="13"/>
  <c r="AD874" i="13"/>
  <c r="AD1026" i="13"/>
  <c r="AD765" i="13"/>
  <c r="AD604" i="13"/>
  <c r="AD887" i="13"/>
  <c r="AD665" i="13"/>
  <c r="AD429" i="13"/>
  <c r="AD539" i="13"/>
  <c r="AD535" i="13"/>
  <c r="AD1293" i="13"/>
  <c r="AD1068" i="13"/>
  <c r="AD1158" i="13"/>
  <c r="AD1064" i="13"/>
  <c r="AD807" i="13"/>
  <c r="AD644" i="13"/>
  <c r="AD335" i="13"/>
  <c r="AD254" i="13"/>
  <c r="AD1326" i="13"/>
  <c r="AD1203" i="13"/>
  <c r="AD993" i="13"/>
  <c r="AD995" i="13"/>
  <c r="AD826" i="13"/>
  <c r="AD653" i="13"/>
  <c r="AD494" i="13"/>
  <c r="AD431" i="13"/>
  <c r="AD283" i="13"/>
  <c r="AD1374" i="13"/>
  <c r="AD1214" i="13"/>
  <c r="AD1321" i="13"/>
  <c r="AD1150" i="13"/>
  <c r="AD939" i="13"/>
  <c r="AD1277" i="13"/>
  <c r="AD840" i="13"/>
  <c r="AD1378" i="13"/>
  <c r="AD1299" i="13"/>
  <c r="AD1213" i="13"/>
  <c r="AD233" i="13"/>
  <c r="AD243" i="13"/>
  <c r="AD452" i="13"/>
  <c r="AD1395" i="13"/>
  <c r="AD308" i="13"/>
  <c r="AD1301" i="13"/>
  <c r="AD800" i="13"/>
  <c r="AD772" i="13"/>
  <c r="AD488" i="13"/>
  <c r="AD342" i="13"/>
  <c r="AD832" i="13"/>
  <c r="AD915" i="13"/>
  <c r="AD363" i="13"/>
  <c r="AD232" i="13"/>
  <c r="AD1399" i="13"/>
  <c r="AD1218" i="13"/>
  <c r="AD1050" i="13"/>
  <c r="AD1071" i="13"/>
  <c r="AD956" i="13"/>
  <c r="AD594" i="13"/>
  <c r="AD859" i="13"/>
  <c r="AD1135" i="13"/>
  <c r="AD667" i="13"/>
  <c r="AD1027" i="13"/>
  <c r="AD1115" i="13"/>
  <c r="AD692" i="13"/>
  <c r="AD597" i="13"/>
  <c r="AD1343" i="13"/>
  <c r="AD810" i="13"/>
  <c r="AD922" i="13"/>
  <c r="AD1332" i="13"/>
  <c r="AD240" i="13"/>
  <c r="AD318" i="13"/>
  <c r="AD1278" i="13"/>
  <c r="AD1031" i="13"/>
  <c r="AD706" i="13"/>
  <c r="AD464" i="13"/>
  <c r="AD1207" i="13"/>
  <c r="AD930" i="13"/>
  <c r="AD724" i="13"/>
  <c r="AD570" i="13"/>
  <c r="AD332" i="13"/>
  <c r="AD259" i="13"/>
  <c r="AD1340" i="13"/>
  <c r="AD1305" i="13"/>
  <c r="AD572" i="13"/>
  <c r="AD404" i="13"/>
  <c r="AD573" i="13"/>
  <c r="AD527" i="13"/>
  <c r="AD532" i="13"/>
  <c r="AD313" i="13"/>
  <c r="AD261" i="13"/>
  <c r="AD1274" i="13"/>
  <c r="AD1018" i="13"/>
  <c r="AD1004" i="13"/>
  <c r="AD763" i="13"/>
  <c r="AD924" i="13"/>
  <c r="AD854" i="13"/>
  <c r="AD1300" i="13"/>
  <c r="AD1146" i="13"/>
  <c r="AD987" i="13"/>
  <c r="AD1043" i="13"/>
  <c r="AD716" i="13"/>
  <c r="AD848" i="13"/>
  <c r="AD548" i="13"/>
  <c r="AD383" i="13"/>
  <c r="AD391" i="13"/>
  <c r="AD422" i="13"/>
  <c r="AD396" i="13"/>
  <c r="AD278" i="13"/>
  <c r="AD1008" i="13"/>
  <c r="AD986" i="13"/>
  <c r="AD516" i="13"/>
  <c r="AD912" i="13"/>
  <c r="AD788" i="13"/>
  <c r="AD270" i="13"/>
  <c r="AD1120" i="13"/>
  <c r="AD733" i="13"/>
  <c r="AD519" i="13"/>
  <c r="AD1309" i="13"/>
  <c r="AD1032" i="13"/>
  <c r="AD444" i="13"/>
  <c r="AD1269" i="13"/>
  <c r="AD764" i="13"/>
  <c r="AD406" i="13"/>
  <c r="AD1058" i="13"/>
  <c r="AD1307" i="13"/>
  <c r="AD739" i="13"/>
  <c r="AD749" i="13"/>
  <c r="AD1297" i="13"/>
  <c r="AD668" i="13"/>
  <c r="AD398" i="13"/>
  <c r="AD1317" i="13"/>
  <c r="AD1055" i="13"/>
  <c r="AD540" i="13"/>
  <c r="AD508" i="13"/>
  <c r="AD1252" i="13"/>
  <c r="AD898" i="13"/>
  <c r="AD748" i="13"/>
  <c r="AD730" i="13"/>
  <c r="AD263" i="13"/>
  <c r="AD257" i="13"/>
  <c r="AD1339" i="13"/>
  <c r="AD1302" i="13"/>
  <c r="AD866" i="13"/>
  <c r="AD822" i="13"/>
  <c r="AD379" i="13"/>
  <c r="AD468" i="13"/>
  <c r="AD412" i="13"/>
  <c r="AD242" i="13"/>
  <c r="AD759" i="13"/>
  <c r="AD919" i="13"/>
  <c r="AD414" i="13"/>
  <c r="AD359" i="13"/>
  <c r="AD492" i="13"/>
  <c r="AD1010" i="13"/>
  <c r="AD676" i="13"/>
  <c r="AD678" i="13"/>
  <c r="AD364" i="13"/>
  <c r="AD413" i="13"/>
  <c r="AD484" i="13"/>
  <c r="AD486" i="13"/>
  <c r="AD518" i="13"/>
  <c r="AD315" i="13"/>
  <c r="AD273" i="13"/>
  <c r="AD286" i="13"/>
  <c r="AD1417" i="13"/>
  <c r="AD1253" i="13"/>
  <c r="AD1002" i="13"/>
  <c r="AD794" i="13"/>
  <c r="AD851" i="13"/>
  <c r="AD562" i="13"/>
  <c r="AD787" i="13"/>
  <c r="AD343" i="13"/>
  <c r="AD1372" i="13"/>
  <c r="AD897" i="13"/>
  <c r="AD945" i="13"/>
  <c r="AD963" i="13"/>
  <c r="AD430" i="13"/>
  <c r="AD738" i="13"/>
  <c r="AD366" i="13"/>
  <c r="AD1044" i="13"/>
  <c r="AD819" i="13"/>
  <c r="AD690" i="13"/>
  <c r="AD803" i="13"/>
  <c r="AD875" i="13"/>
  <c r="AD910" i="13"/>
  <c r="AD1175" i="13"/>
  <c r="AD992" i="13"/>
  <c r="AD271" i="13"/>
  <c r="AD1261" i="13"/>
  <c r="AD1106" i="13"/>
  <c r="AD1040" i="13"/>
  <c r="AD309" i="13"/>
  <c r="AD1024" i="13"/>
  <c r="AD1082" i="13"/>
  <c r="AD471" i="13"/>
  <c r="AD1205" i="13"/>
  <c r="AD1012" i="13"/>
  <c r="AD1100" i="13"/>
  <c r="AD613" i="13"/>
  <c r="AD316" i="13"/>
  <c r="AD618" i="13"/>
  <c r="AD1366" i="13"/>
  <c r="AD1159" i="13"/>
  <c r="AD1262" i="13"/>
  <c r="AD698" i="13"/>
  <c r="AD746" i="13"/>
  <c r="AD556" i="13"/>
  <c r="AD495" i="13"/>
  <c r="AD301" i="13"/>
  <c r="AD251" i="13"/>
  <c r="AD246" i="13"/>
  <c r="AD1350" i="13"/>
  <c r="AD1179" i="13"/>
  <c r="AD985" i="13"/>
  <c r="AD1161" i="13"/>
  <c r="AD888" i="13"/>
  <c r="AD975" i="13"/>
  <c r="AD717" i="13"/>
  <c r="AD662" i="13"/>
  <c r="AD701" i="13"/>
  <c r="AD367" i="13"/>
  <c r="AD300" i="13"/>
  <c r="AD252" i="13"/>
  <c r="AD1190" i="13"/>
  <c r="AD1284" i="13"/>
  <c r="AD1107" i="13"/>
  <c r="AD652" i="13"/>
  <c r="AD737" i="13"/>
  <c r="AD723" i="13"/>
  <c r="AD661" i="13"/>
  <c r="AD380" i="13"/>
  <c r="AD258" i="13"/>
  <c r="AD827" i="13"/>
  <c r="AD310" i="13"/>
  <c r="AD745" i="13"/>
  <c r="AD1306" i="13"/>
  <c r="AD1266" i="13"/>
  <c r="AD302" i="13"/>
  <c r="AD1147" i="13"/>
  <c r="AD350" i="13"/>
  <c r="AD372" i="13"/>
  <c r="AD1364" i="13"/>
  <c r="AD802" i="13"/>
  <c r="AD347" i="13"/>
  <c r="AD1245" i="13"/>
  <c r="AD551" i="13"/>
  <c r="AD279" i="13"/>
  <c r="AD612" i="13"/>
  <c r="AD462" i="13"/>
  <c r="AD1382" i="13"/>
  <c r="AD977" i="13"/>
  <c r="AD674" i="13"/>
  <c r="AD260" i="13"/>
  <c r="AD773" i="13"/>
  <c r="AD669" i="13"/>
  <c r="AD1329" i="13"/>
  <c r="AD1349" i="13"/>
  <c r="AD1051" i="13"/>
  <c r="AD605" i="13"/>
  <c r="AD231" i="13"/>
  <c r="AD947" i="13"/>
  <c r="AD491" i="13"/>
  <c r="AD1409" i="13"/>
  <c r="AD650" i="13"/>
  <c r="AD688" i="13"/>
  <c r="AD619" i="13"/>
  <c r="AD349" i="13"/>
  <c r="AD1410" i="13"/>
  <c r="AD920" i="13"/>
  <c r="AD586" i="13"/>
  <c r="AD558" i="13"/>
  <c r="AD255" i="13"/>
  <c r="AD1154" i="13"/>
  <c r="AD1130" i="13"/>
  <c r="AD479" i="13"/>
  <c r="AD269" i="13"/>
  <c r="AD786" i="13"/>
  <c r="AD236" i="13"/>
  <c r="AD1091" i="13"/>
  <c r="AD1019" i="13"/>
  <c r="AD714" i="13"/>
  <c r="AD526" i="13"/>
  <c r="AD334" i="13"/>
  <c r="AD241" i="13"/>
  <c r="AD1217" i="13"/>
  <c r="AD1114" i="13"/>
  <c r="AD642" i="13"/>
  <c r="AD581" i="13"/>
  <c r="AD677" i="13"/>
  <c r="AD534" i="13"/>
  <c r="AD281" i="13"/>
  <c r="AD305" i="13"/>
  <c r="AD1342" i="13"/>
  <c r="AD1216" i="13"/>
  <c r="AD990" i="13"/>
  <c r="AD931" i="13"/>
  <c r="AD863" i="13"/>
  <c r="AD823" i="13"/>
  <c r="AD340" i="13"/>
  <c r="AD1387" i="13"/>
  <c r="AD1419" i="13"/>
  <c r="AD818" i="13"/>
  <c r="AD1099" i="13"/>
  <c r="AD872" i="13"/>
  <c r="AD816" i="13"/>
  <c r="AD593" i="13"/>
  <c r="AD351" i="13"/>
  <c r="AD306" i="13"/>
  <c r="AD276" i="13"/>
  <c r="AD1242" i="13"/>
  <c r="AD994" i="13"/>
  <c r="AD770" i="13"/>
  <c r="AD588" i="13"/>
  <c r="AD697" i="13"/>
  <c r="AD235" i="13"/>
  <c r="AD267" i="13"/>
  <c r="AD608" i="13"/>
  <c r="AD1195" i="13"/>
  <c r="AD1122" i="13"/>
  <c r="AD463" i="13"/>
  <c r="AD904" i="13"/>
  <c r="AD682" i="13"/>
  <c r="AD686" i="13"/>
  <c r="AD399" i="13"/>
  <c r="AD247" i="13"/>
  <c r="AD1048" i="13"/>
  <c r="AD811" i="13"/>
  <c r="AD1258" i="13"/>
  <c r="AD421" i="13"/>
  <c r="AD1162" i="13"/>
  <c r="AD1042" i="13"/>
  <c r="AD721" i="13"/>
  <c r="AD339" i="13"/>
  <c r="AD1394" i="13"/>
  <c r="AD1003" i="13"/>
  <c r="AD771" i="13"/>
  <c r="AD1234" i="13"/>
  <c r="AD936" i="13"/>
  <c r="AD277" i="13"/>
  <c r="AD1228" i="13"/>
  <c r="AD1393" i="13"/>
  <c r="AD808" i="13"/>
  <c r="AD621" i="13"/>
  <c r="AD645" i="13"/>
  <c r="AD867" i="13"/>
  <c r="AD580" i="13"/>
  <c r="AD709" i="13"/>
  <c r="AD328" i="13"/>
  <c r="AD629" i="13"/>
  <c r="AD299" i="13"/>
  <c r="AD1282" i="13"/>
  <c r="AD1075" i="13"/>
  <c r="AD602" i="13"/>
  <c r="AD500" i="13"/>
  <c r="AD352" i="13"/>
  <c r="AD275" i="13"/>
  <c r="AD1331" i="13"/>
  <c r="AD1153" i="13"/>
  <c r="AD700" i="13"/>
  <c r="AD905" i="13"/>
  <c r="AD641" i="13"/>
  <c r="AD253" i="13"/>
  <c r="AD289" i="13"/>
  <c r="AD1401" i="13"/>
  <c r="AD1371" i="13"/>
  <c r="AD1206" i="13"/>
  <c r="AD1187" i="13"/>
  <c r="AD1182" i="13"/>
  <c r="AD557" i="13"/>
  <c r="AD511" i="13"/>
  <c r="AD282" i="13"/>
  <c r="AD944" i="13"/>
  <c r="AD929" i="13"/>
  <c r="AD890" i="13"/>
  <c r="AD666" i="13"/>
  <c r="AD681" i="13"/>
  <c r="AD331" i="13"/>
  <c r="AD510" i="13"/>
  <c r="AD291" i="13"/>
  <c r="AD287" i="13"/>
  <c r="AD454" i="13"/>
  <c r="AD250" i="13"/>
  <c r="AD1172" i="13"/>
  <c r="AD1035" i="13"/>
  <c r="AD280" i="13"/>
  <c r="AD1308" i="13"/>
  <c r="AD1136" i="13"/>
  <c r="AD1380" i="13"/>
  <c r="AD1189" i="13"/>
  <c r="AD1119" i="13"/>
  <c r="AD762" i="13"/>
  <c r="AD415" i="13"/>
  <c r="AD1356" i="13"/>
  <c r="AD722" i="13"/>
  <c r="AD502" i="13"/>
  <c r="AD524" i="13"/>
  <c r="AD1418" i="13"/>
  <c r="AD1123" i="13"/>
  <c r="AD1131" i="13"/>
  <c r="AD1092" i="13"/>
  <c r="AD899" i="13"/>
  <c r="AD438" i="13"/>
  <c r="AD382" i="13"/>
  <c r="AD779" i="13"/>
  <c r="AD740" i="13"/>
  <c r="AD436" i="13"/>
  <c r="AD446" i="13"/>
  <c r="AD294" i="13"/>
  <c r="AD249" i="13"/>
  <c r="AD1355" i="13"/>
  <c r="AD1145" i="13"/>
  <c r="AD858" i="13"/>
  <c r="AD891" i="13"/>
  <c r="AD637" i="13"/>
  <c r="AD428" i="13"/>
  <c r="AD946" i="13"/>
  <c r="AD1246" i="13"/>
  <c r="AD478" i="13"/>
  <c r="AD1038" i="13"/>
  <c r="AD1336" i="13"/>
  <c r="AD895" i="13"/>
  <c r="AD708" i="13"/>
  <c r="AD966" i="13"/>
  <c r="AD1210" i="13"/>
  <c r="AD778" i="13"/>
  <c r="AD1386" i="13"/>
  <c r="AD1142" i="13"/>
  <c r="AD296" i="13"/>
  <c r="AD248" i="13"/>
  <c r="AD791" i="13"/>
  <c r="AD403" i="13"/>
  <c r="AD625" i="13"/>
  <c r="AD1149" i="13"/>
  <c r="AD513" i="13"/>
  <c r="AD679" i="13"/>
  <c r="AD623" i="13"/>
  <c r="AD583" i="13"/>
  <c r="AD789" i="13"/>
  <c r="AD1109" i="13"/>
  <c r="AD1005" i="13"/>
  <c r="AD1391" i="13"/>
  <c r="AD768" i="13"/>
  <c r="AD671" i="13"/>
  <c r="AD655" i="13"/>
  <c r="AD861" i="13"/>
  <c r="AD1133" i="13"/>
  <c r="AD967" i="13"/>
  <c r="AD393" i="13"/>
  <c r="AD1069" i="13"/>
  <c r="AD337" i="13"/>
  <c r="AD1215" i="13"/>
  <c r="AD1255" i="13"/>
  <c r="AD760" i="13"/>
  <c r="AD1208" i="13"/>
  <c r="AD797" i="13"/>
  <c r="AD727" i="13"/>
  <c r="AD1156" i="13"/>
  <c r="AD1061" i="13"/>
  <c r="AD542" i="13"/>
  <c r="AD1223" i="13"/>
  <c r="AD361" i="13"/>
  <c r="AD529" i="13"/>
  <c r="AD567" i="13"/>
  <c r="AD1319" i="13"/>
  <c r="AD1384" i="13"/>
  <c r="AD546" i="13"/>
  <c r="AD1140" i="13"/>
  <c r="AD531" i="13"/>
  <c r="AD1241" i="13"/>
  <c r="AD237" i="13"/>
  <c r="AD475" i="13"/>
  <c r="AD753" i="13"/>
  <c r="AD1347" i="13"/>
  <c r="AD633" i="13"/>
  <c r="AD1090" i="13"/>
  <c r="AD962" i="13"/>
  <c r="AD1314" i="13"/>
  <c r="AD371" i="13"/>
  <c r="AD312" i="13"/>
  <c r="AD951" i="13"/>
  <c r="AD882" i="13"/>
  <c r="AD397" i="13"/>
  <c r="AD568" i="13"/>
  <c r="AD560" i="13"/>
  <c r="AD997" i="13"/>
  <c r="AD1413" i="13"/>
  <c r="AD981" i="13"/>
  <c r="AD1405" i="13"/>
  <c r="AD1389" i="13"/>
  <c r="AD1292" i="13"/>
  <c r="AD1273" i="13"/>
  <c r="AD272" i="13"/>
  <c r="AD1083" i="13"/>
  <c r="AD1275" i="13"/>
  <c r="AD696" i="13"/>
  <c r="AD1170" i="13"/>
  <c r="AD1167" i="13"/>
  <c r="AD847" i="13"/>
  <c r="AD673" i="13"/>
  <c r="AD657" i="13"/>
  <c r="AD483" i="13"/>
  <c r="AD649" i="13"/>
  <c r="AD443" i="13"/>
  <c r="AD617" i="13"/>
  <c r="AD1202" i="13"/>
  <c r="AD1194" i="13"/>
  <c r="AD1289" i="13"/>
  <c r="AD419" i="13"/>
  <c r="AD1007" i="13"/>
  <c r="AD871" i="13"/>
  <c r="AD1148" i="13"/>
  <c r="AD575" i="13"/>
  <c r="AD473" i="13"/>
  <c r="AD917" i="13"/>
  <c r="AD829" i="13"/>
  <c r="AD1053" i="13"/>
  <c r="AD599" i="13"/>
  <c r="AD1345" i="13"/>
  <c r="AD1231" i="13"/>
  <c r="AD695" i="13"/>
  <c r="AD449" i="13"/>
  <c r="AD1353" i="13"/>
  <c r="AD837" i="13"/>
  <c r="AD877" i="13"/>
  <c r="AD489" i="13"/>
  <c r="AD425" i="13"/>
  <c r="AD377" i="13"/>
  <c r="AD1192" i="13"/>
  <c r="AD743" i="13"/>
  <c r="AD559" i="13"/>
  <c r="AD949" i="13"/>
  <c r="AD1117" i="13"/>
  <c r="AD988" i="13"/>
  <c r="AD999" i="13"/>
  <c r="AD329" i="13"/>
  <c r="AD933" i="13"/>
  <c r="AD776" i="13"/>
  <c r="AD1369" i="13"/>
  <c r="AD521" i="13"/>
  <c r="AD663" i="13"/>
  <c r="AD756" i="13"/>
  <c r="AD869" i="13"/>
  <c r="AD1220" i="13"/>
  <c r="AD288" i="13"/>
  <c r="AD435" i="13"/>
  <c r="AD585" i="13"/>
  <c r="AD577" i="13"/>
  <c r="AD1233" i="13"/>
  <c r="AD943" i="13"/>
  <c r="AD640" i="13"/>
  <c r="AD1324" i="13"/>
  <c r="AD1063" i="13"/>
  <c r="AD855" i="13"/>
  <c r="AD609" i="13"/>
  <c r="AD1281" i="13"/>
  <c r="AD879" i="13"/>
  <c r="AD713" i="13"/>
  <c r="AD1023" i="13"/>
  <c r="AD1111" i="13"/>
  <c r="AD569" i="13"/>
  <c r="AD1244" i="13"/>
  <c r="AD387" i="13"/>
  <c r="AD970" i="13"/>
  <c r="AD815" i="13"/>
  <c r="AD1249" i="13"/>
  <c r="AD1407" i="13"/>
  <c r="AD925" i="13"/>
  <c r="AD1177" i="13"/>
  <c r="AD853" i="13"/>
  <c r="AD1101" i="13"/>
  <c r="AD497" i="13"/>
  <c r="AD465" i="13"/>
  <c r="AD1125" i="13"/>
  <c r="AD417" i="13"/>
  <c r="AD1415" i="13"/>
  <c r="AD711" i="13"/>
  <c r="AD893" i="13"/>
  <c r="AD1200" i="13"/>
  <c r="AD385" i="13"/>
  <c r="AD1271" i="13"/>
  <c r="AD615" i="13"/>
  <c r="AD805" i="13"/>
  <c r="AD957" i="13"/>
  <c r="AD409" i="13"/>
  <c r="AD505" i="13"/>
  <c r="AD1239" i="13"/>
  <c r="AD537" i="13"/>
  <c r="AD1279" i="13"/>
  <c r="AD1337" i="13"/>
  <c r="AD591" i="13"/>
  <c r="AD1077" i="13"/>
  <c r="AD941" i="13"/>
  <c r="AD1295" i="13"/>
  <c r="AD885" i="13"/>
  <c r="AD1029" i="13"/>
  <c r="AD369" i="13"/>
  <c r="AD687" i="13"/>
  <c r="AD1287" i="13"/>
  <c r="AD901" i="13"/>
  <c r="AD1184" i="13"/>
  <c r="AD998" i="13"/>
  <c r="AD839" i="13"/>
  <c r="AD445" i="13"/>
  <c r="AD636" i="13"/>
  <c r="AD1087" i="13"/>
  <c r="AD1186" i="13"/>
  <c r="AD451" i="13"/>
  <c r="AD705" i="13"/>
  <c r="AD1127" i="13"/>
  <c r="AD1265" i="13"/>
  <c r="AD515" i="13"/>
  <c r="AD264" i="13"/>
  <c r="AD561" i="13"/>
  <c r="AD506" i="13"/>
  <c r="AD1022" i="13"/>
  <c r="AD1221" i="13"/>
  <c r="AD317" i="13"/>
  <c r="AD1039" i="13"/>
  <c r="AD523" i="13"/>
  <c r="AD1079" i="13"/>
  <c r="AD911" i="13"/>
  <c r="AD1047" i="13"/>
  <c r="AD1402" i="13"/>
  <c r="AD320" i="13"/>
  <c r="AD689" i="13"/>
  <c r="AD427" i="13"/>
  <c r="AD1151" i="13"/>
  <c r="AD355" i="13"/>
  <c r="AD1021" i="13"/>
  <c r="AD401" i="13"/>
  <c r="AD703" i="13"/>
  <c r="AD647" i="13"/>
  <c r="AD751" i="13"/>
  <c r="AD353" i="13"/>
  <c r="AD1164" i="13"/>
  <c r="AD345" i="13"/>
  <c r="AD1377" i="13"/>
  <c r="AD1037" i="13"/>
  <c r="AD1263" i="13"/>
  <c r="AD441" i="13"/>
  <c r="AD481" i="13"/>
  <c r="AD607" i="13"/>
  <c r="AD1013" i="13"/>
  <c r="AD554" i="13"/>
  <c r="AD1303" i="13"/>
  <c r="AD909" i="13"/>
  <c r="AD1045" i="13"/>
  <c r="AD983" i="13"/>
  <c r="AD845" i="13"/>
  <c r="AD735" i="13"/>
  <c r="AD457" i="13"/>
  <c r="AD719" i="13"/>
  <c r="AD1311" i="13"/>
  <c r="AD631" i="13"/>
  <c r="AD754" i="13"/>
  <c r="AD1361" i="13"/>
  <c r="AD639" i="13"/>
  <c r="AD1168" i="13"/>
  <c r="AD433" i="13"/>
  <c r="AD1085" i="13"/>
  <c r="AD1093" i="13"/>
  <c r="AD971" i="13"/>
  <c r="AD821" i="13"/>
  <c r="AD1247" i="13"/>
  <c r="AD813" i="13"/>
  <c r="AD799" i="13"/>
  <c r="AD601" i="13"/>
  <c r="AD991" i="13"/>
  <c r="AD1015" i="13"/>
  <c r="AD499" i="13"/>
  <c r="AD395" i="13"/>
  <c r="AD459" i="13"/>
  <c r="AD507" i="13"/>
  <c r="AD1257" i="13"/>
  <c r="AD1098" i="13"/>
  <c r="AD842" i="13"/>
  <c r="AD928" i="13"/>
  <c r="AD1225" i="13"/>
  <c r="AD1095" i="13"/>
  <c r="AD1276" i="13"/>
  <c r="AD648" i="13"/>
  <c r="AD1320" i="13"/>
  <c r="AD989" i="13"/>
  <c r="AD1421" i="13"/>
  <c r="AD1397" i="13"/>
  <c r="X279" i="13"/>
  <c r="X321" i="13"/>
  <c r="X304" i="13"/>
  <c r="X271" i="13"/>
  <c r="X355" i="13"/>
  <c r="X370" i="13"/>
  <c r="X426" i="13"/>
  <c r="X450" i="13"/>
  <c r="X476" i="13"/>
  <c r="X505" i="13"/>
  <c r="X532" i="13"/>
  <c r="X559" i="13"/>
  <c r="X576" i="13"/>
  <c r="X608" i="13"/>
  <c r="X639" i="13"/>
  <c r="X679" i="13"/>
  <c r="X717" i="13"/>
  <c r="X757" i="13"/>
  <c r="X792" i="13"/>
  <c r="X832" i="13"/>
  <c r="X872" i="13"/>
  <c r="X909" i="13"/>
  <c r="X934" i="13"/>
  <c r="X976" i="13"/>
  <c r="X1005" i="13"/>
  <c r="X1037" i="13"/>
  <c r="X1064" i="13"/>
  <c r="X1085" i="13"/>
  <c r="X1109" i="13"/>
  <c r="X1136" i="13"/>
  <c r="X1164" i="13"/>
  <c r="X1201" i="13"/>
  <c r="X1240" i="13"/>
  <c r="X1282" i="13"/>
  <c r="X1317" i="13"/>
  <c r="X1348" i="13"/>
  <c r="X1397" i="13"/>
  <c r="X307" i="13"/>
  <c r="X244" i="13"/>
  <c r="X313" i="13"/>
  <c r="X308" i="13"/>
  <c r="X356" i="13"/>
  <c r="X375" i="13"/>
  <c r="X433" i="13"/>
  <c r="X457" i="13"/>
  <c r="X481" i="13"/>
  <c r="X506" i="13"/>
  <c r="X537" i="13"/>
  <c r="X560" i="13"/>
  <c r="X583" i="13"/>
  <c r="X610" i="13"/>
  <c r="X640" i="13"/>
  <c r="X683" i="13"/>
  <c r="X719" i="13"/>
  <c r="X760" i="13"/>
  <c r="X798" i="13"/>
  <c r="X838" i="13"/>
  <c r="X875" i="13"/>
  <c r="X912" i="13"/>
  <c r="X939" i="13"/>
  <c r="X981" i="13"/>
  <c r="X1006" i="13"/>
  <c r="X1038" i="13"/>
  <c r="X1069" i="13"/>
  <c r="X1086" i="13"/>
  <c r="X1110" i="13"/>
  <c r="X1140" i="13"/>
  <c r="X1165" i="13"/>
  <c r="X1209" i="13"/>
  <c r="X1248" i="13"/>
  <c r="X1287" i="13"/>
  <c r="X1319" i="13"/>
  <c r="X1351" i="13"/>
  <c r="X1398" i="13"/>
  <c r="X311" i="13"/>
  <c r="X256" i="13"/>
  <c r="X346" i="13"/>
  <c r="X310" i="13"/>
  <c r="X362" i="13"/>
  <c r="X391" i="13"/>
  <c r="X434" i="13"/>
  <c r="X458" i="13"/>
  <c r="X482" i="13"/>
  <c r="X513" i="13"/>
  <c r="X538" i="13"/>
  <c r="X562" i="13"/>
  <c r="X584" i="13"/>
  <c r="X615" i="13"/>
  <c r="X647" i="13"/>
  <c r="X687" i="13"/>
  <c r="X720" i="13"/>
  <c r="X765" i="13"/>
  <c r="X805" i="13"/>
  <c r="X841" i="13"/>
  <c r="X878" i="13"/>
  <c r="X918" i="13"/>
  <c r="X941" i="13"/>
  <c r="X982" i="13"/>
  <c r="X1013" i="13"/>
  <c r="X1040" i="13"/>
  <c r="X1070" i="13"/>
  <c r="X1087" i="13"/>
  <c r="X1117" i="13"/>
  <c r="X1141" i="13"/>
  <c r="X1169" i="13"/>
  <c r="X1216" i="13"/>
  <c r="X1256" i="13"/>
  <c r="X1288" i="13"/>
  <c r="X1321" i="13"/>
  <c r="X1354" i="13"/>
  <c r="X1406" i="13"/>
  <c r="X347" i="13"/>
  <c r="X263" i="13"/>
  <c r="X316" i="13"/>
  <c r="X363" i="13"/>
  <c r="X399" i="13"/>
  <c r="X438" i="13"/>
  <c r="X460" i="13"/>
  <c r="X489" i="13"/>
  <c r="X514" i="13"/>
  <c r="X543" i="13"/>
  <c r="X563" i="13"/>
  <c r="X591" i="13"/>
  <c r="X623" i="13"/>
  <c r="X655" i="13"/>
  <c r="X688" i="13"/>
  <c r="X725" i="13"/>
  <c r="X773" i="13"/>
  <c r="X806" i="13"/>
  <c r="X846" i="13"/>
  <c r="X886" i="13"/>
  <c r="X919" i="13"/>
  <c r="X942" i="13"/>
  <c r="X989" i="13"/>
  <c r="X1014" i="13"/>
  <c r="X1045" i="13"/>
  <c r="X1071" i="13"/>
  <c r="X1088" i="13"/>
  <c r="X1118" i="13"/>
  <c r="X1143" i="13"/>
  <c r="X1173" i="13"/>
  <c r="X1218" i="13"/>
  <c r="X1263" i="13"/>
  <c r="X1295" i="13"/>
  <c r="X1325" i="13"/>
  <c r="X1356" i="13"/>
  <c r="X1407" i="13"/>
  <c r="X231" i="13"/>
  <c r="X287" i="13"/>
  <c r="X330" i="13"/>
  <c r="X402" i="13"/>
  <c r="X441" i="13"/>
  <c r="X465" i="13"/>
  <c r="X490" i="13"/>
  <c r="X521" i="13"/>
  <c r="X544" i="13"/>
  <c r="X567" i="13"/>
  <c r="X592" i="13"/>
  <c r="X624" i="13"/>
  <c r="X656" i="13"/>
  <c r="X695" i="13"/>
  <c r="X727" i="13"/>
  <c r="X781" i="13"/>
  <c r="X814" i="13"/>
  <c r="X848" i="13"/>
  <c r="X887" i="13"/>
  <c r="X925" i="13"/>
  <c r="X957" i="13"/>
  <c r="X990" i="13"/>
  <c r="X1016" i="13"/>
  <c r="X1046" i="13"/>
  <c r="X1077" i="13"/>
  <c r="X1093" i="13"/>
  <c r="X1125" i="13"/>
  <c r="X1148" i="13"/>
  <c r="X1178" i="13"/>
  <c r="X1224" i="13"/>
  <c r="X1264" i="13"/>
  <c r="X1301" i="13"/>
  <c r="X1330" i="13"/>
  <c r="X1362" i="13"/>
  <c r="X1411" i="13"/>
  <c r="X255" i="13"/>
  <c r="X303" i="13"/>
  <c r="X338" i="13"/>
  <c r="X410" i="13"/>
  <c r="X442" i="13"/>
  <c r="X466" i="13"/>
  <c r="X497" i="13"/>
  <c r="X522" i="13"/>
  <c r="X551" i="13"/>
  <c r="X568" i="13"/>
  <c r="X599" i="13"/>
  <c r="X626" i="13"/>
  <c r="X663" i="13"/>
  <c r="X703" i="13"/>
  <c r="X730" i="13"/>
  <c r="X785" i="13"/>
  <c r="X822" i="13"/>
  <c r="X854" i="13"/>
  <c r="X888" i="13"/>
  <c r="X927" i="13"/>
  <c r="X965" i="13"/>
  <c r="X997" i="13"/>
  <c r="X1021" i="13"/>
  <c r="X1053" i="13"/>
  <c r="X1078" i="13"/>
  <c r="X1094" i="13"/>
  <c r="X1126" i="13"/>
  <c r="X1149" i="13"/>
  <c r="X1185" i="13"/>
  <c r="X1227" i="13"/>
  <c r="X1271" i="13"/>
  <c r="X1309" i="13"/>
  <c r="X1332" i="13"/>
  <c r="X1373" i="13"/>
  <c r="X1414" i="13"/>
  <c r="X262" i="13"/>
  <c r="X278" i="13"/>
  <c r="X236" i="13"/>
  <c r="X354" i="13"/>
  <c r="X367" i="13"/>
  <c r="X420" i="13"/>
  <c r="X449" i="13"/>
  <c r="X474" i="13"/>
  <c r="X500" i="13"/>
  <c r="X530" i="13"/>
  <c r="X554" i="13"/>
  <c r="X575" i="13"/>
  <c r="X607" i="13"/>
  <c r="X632" i="13"/>
  <c r="X672" i="13"/>
  <c r="X711" i="13"/>
  <c r="X746" i="13"/>
  <c r="X790" i="13"/>
  <c r="X830" i="13"/>
  <c r="X870" i="13"/>
  <c r="X905" i="13"/>
  <c r="X933" i="13"/>
  <c r="X973" i="13"/>
  <c r="X1000" i="13"/>
  <c r="X1030" i="13"/>
  <c r="X1061" i="13"/>
  <c r="X1080" i="13"/>
  <c r="X1102" i="13"/>
  <c r="X1134" i="13"/>
  <c r="X1157" i="13"/>
  <c r="X1193" i="13"/>
  <c r="X1239" i="13"/>
  <c r="X1274" i="13"/>
  <c r="X1314" i="13"/>
  <c r="X1345" i="13"/>
  <c r="X1389" i="13"/>
  <c r="X247" i="13"/>
  <c r="X600" i="13"/>
  <c r="X902" i="13"/>
  <c r="X1127" i="13"/>
  <c r="X337" i="13"/>
  <c r="X418" i="13"/>
  <c r="X631" i="13"/>
  <c r="X928" i="13"/>
  <c r="X1156" i="13"/>
  <c r="X319" i="13"/>
  <c r="X444" i="13"/>
  <c r="X671" i="13"/>
  <c r="X968" i="13"/>
  <c r="X1190" i="13"/>
  <c r="X353" i="13"/>
  <c r="X473" i="13"/>
  <c r="X709" i="13"/>
  <c r="X998" i="13"/>
  <c r="X1232" i="13"/>
  <c r="X651" i="13"/>
  <c r="AG651" i="13" s="1"/>
  <c r="X696" i="13"/>
  <c r="X498" i="13"/>
  <c r="X739" i="13"/>
  <c r="X1029" i="13"/>
  <c r="X1272" i="13"/>
  <c r="X529" i="13"/>
  <c r="X789" i="13"/>
  <c r="X1054" i="13"/>
  <c r="X1311" i="13"/>
  <c r="X552" i="13"/>
  <c r="X827" i="13"/>
  <c r="X1079" i="13"/>
  <c r="X1340" i="13"/>
  <c r="X571" i="13"/>
  <c r="X856" i="13"/>
  <c r="X1101" i="13"/>
  <c r="X1377" i="13"/>
  <c r="X1335" i="13"/>
  <c r="X779" i="13"/>
  <c r="X899" i="13"/>
  <c r="X1236" i="13"/>
  <c r="X831" i="13"/>
  <c r="X1418" i="13"/>
  <c r="X988" i="13"/>
  <c r="X829" i="13"/>
  <c r="X946" i="13"/>
  <c r="X693" i="13"/>
  <c r="X1229" i="13"/>
  <c r="X1167" i="13"/>
  <c r="X821" i="13"/>
  <c r="X589" i="13"/>
  <c r="X425" i="13"/>
  <c r="X1323" i="13"/>
  <c r="X752" i="13"/>
  <c r="X991" i="13"/>
  <c r="X751" i="13"/>
  <c r="X627" i="13"/>
  <c r="X824" i="13"/>
  <c r="X580" i="13"/>
  <c r="X994" i="13"/>
  <c r="X1283" i="13"/>
  <c r="X1194" i="13"/>
  <c r="X917" i="13"/>
  <c r="X645" i="13"/>
  <c r="X641" i="13"/>
  <c r="X390" i="13"/>
  <c r="X721" i="13"/>
  <c r="X1084" i="13"/>
  <c r="X1104" i="13"/>
  <c r="X1285" i="13"/>
  <c r="X1238" i="13"/>
  <c r="X1222" i="13"/>
  <c r="X898" i="13"/>
  <c r="X743" i="13"/>
  <c r="X916" i="13"/>
  <c r="X288" i="13"/>
  <c r="X815" i="13"/>
  <c r="X573" i="13"/>
  <c r="X694" i="13"/>
  <c r="X520" i="13"/>
  <c r="X1284" i="13"/>
  <c r="X1339" i="13"/>
  <c r="X1174" i="13"/>
  <c r="X1155" i="13"/>
  <c r="X954" i="13"/>
  <c r="X879" i="13"/>
  <c r="X684" i="13"/>
  <c r="X609" i="13"/>
  <c r="X1416" i="13"/>
  <c r="X664" i="13"/>
  <c r="X808" i="13"/>
  <c r="X705" i="13"/>
  <c r="X686" i="13"/>
  <c r="X235" i="13"/>
  <c r="X1367" i="13"/>
  <c r="X1353" i="13"/>
  <c r="X1033" i="13"/>
  <c r="AG1033" i="13" s="1"/>
  <c r="X365" i="13"/>
  <c r="X952" i="13"/>
  <c r="X340" i="13"/>
  <c r="X603" i="13"/>
  <c r="X372" i="13"/>
  <c r="X734" i="13"/>
  <c r="X382" i="13"/>
  <c r="X302" i="13"/>
  <c r="X1097" i="13"/>
  <c r="X1278" i="13"/>
  <c r="X1066" i="13"/>
  <c r="X1004" i="13"/>
  <c r="X1328" i="13"/>
  <c r="X1208" i="13"/>
  <c r="X1420" i="13"/>
  <c r="X270" i="13"/>
  <c r="X914" i="13"/>
  <c r="X661" i="13"/>
  <c r="X1376" i="13"/>
  <c r="X1199" i="13"/>
  <c r="X911" i="13"/>
  <c r="X557" i="13"/>
  <c r="X393" i="13"/>
  <c r="X1291" i="13"/>
  <c r="AG1291" i="13" s="1"/>
  <c r="X1075" i="13"/>
  <c r="X740" i="13"/>
  <c r="X891" i="13"/>
  <c r="X759" i="13"/>
  <c r="X937" i="13"/>
  <c r="X1179" i="13"/>
  <c r="X924" i="13"/>
  <c r="X1023" i="13"/>
  <c r="X1402" i="13"/>
  <c r="X1230" i="13"/>
  <c r="X877" i="13"/>
  <c r="X613" i="13"/>
  <c r="X617" i="13"/>
  <c r="X358" i="13"/>
  <c r="X412" i="13"/>
  <c r="X966" i="13"/>
  <c r="X1405" i="13"/>
  <c r="X1253" i="13"/>
  <c r="X1191" i="13"/>
  <c r="X955" i="13"/>
  <c r="X866" i="13"/>
  <c r="X852" i="13"/>
  <c r="X545" i="13"/>
  <c r="X248" i="13"/>
  <c r="X1052" i="13"/>
  <c r="X729" i="13"/>
  <c r="X419" i="13"/>
  <c r="X232" i="13"/>
  <c r="X1181" i="13"/>
  <c r="X1277" i="13"/>
  <c r="X1114" i="13"/>
  <c r="X947" i="13"/>
  <c r="X922" i="13"/>
  <c r="X791" i="13"/>
  <c r="X652" i="13"/>
  <c r="X561" i="13"/>
  <c r="X1195" i="13"/>
  <c r="X1089" i="13"/>
  <c r="X657" i="13"/>
  <c r="X408" i="13"/>
  <c r="X464" i="13"/>
  <c r="X1212" i="13"/>
  <c r="X667" i="13"/>
  <c r="X611" i="13"/>
  <c r="X1152" i="13"/>
  <c r="X1091" i="13"/>
  <c r="X649" i="13"/>
  <c r="X614" i="13"/>
  <c r="X350" i="13"/>
  <c r="X291" i="13"/>
  <c r="X1211" i="13"/>
  <c r="X401" i="13"/>
  <c r="X240" i="13"/>
  <c r="X558" i="13"/>
  <c r="X510" i="13"/>
  <c r="X273" i="13"/>
  <c r="X1375" i="13"/>
  <c r="AG1375" i="13" s="1"/>
  <c r="X1024" i="13"/>
  <c r="X1100" i="13"/>
  <c r="X855" i="13"/>
  <c r="X292" i="13"/>
  <c r="X1297" i="13"/>
  <c r="X1268" i="13"/>
  <c r="X1363" i="13"/>
  <c r="X1145" i="13"/>
  <c r="X882" i="13"/>
  <c r="X629" i="13"/>
  <c r="X1300" i="13"/>
  <c r="X1063" i="13"/>
  <c r="X871" i="13"/>
  <c r="X742" i="13"/>
  <c r="X361" i="13"/>
  <c r="X1243" i="13"/>
  <c r="X993" i="13"/>
  <c r="X612" i="13"/>
  <c r="X1163" i="13"/>
  <c r="X668" i="13"/>
  <c r="X1395" i="13"/>
  <c r="X718" i="13"/>
  <c r="X771" i="13"/>
  <c r="X1352" i="13"/>
  <c r="X1161" i="13"/>
  <c r="X845" i="13"/>
  <c r="X581" i="13"/>
  <c r="X593" i="13"/>
  <c r="X376" i="13"/>
  <c r="X1355" i="13"/>
  <c r="X874" i="13"/>
  <c r="X1399" i="13"/>
  <c r="X1223" i="13"/>
  <c r="X1122" i="13"/>
  <c r="X915" i="13"/>
  <c r="X834" i="13"/>
  <c r="X724" i="13"/>
  <c r="X670" i="13"/>
  <c r="X876" i="13"/>
  <c r="X788" i="13"/>
  <c r="X305" i="13"/>
  <c r="X1261" i="13"/>
  <c r="X1273" i="13"/>
  <c r="X1255" i="13"/>
  <c r="X1042" i="13"/>
  <c r="X907" i="13"/>
  <c r="X890" i="13"/>
  <c r="X1068" i="13"/>
  <c r="X620" i="13"/>
  <c r="X424" i="13"/>
  <c r="X1112" i="13"/>
  <c r="X1032" i="13"/>
  <c r="X633" i="13"/>
  <c r="X284" i="13"/>
  <c r="X296" i="13"/>
  <c r="X1279" i="13"/>
  <c r="X1234" i="13"/>
  <c r="X555" i="13"/>
  <c r="AG555" i="13" s="1"/>
  <c r="X1233" i="13"/>
  <c r="X1308" i="13"/>
  <c r="X260" i="13"/>
  <c r="X1388" i="13"/>
  <c r="X1412" i="13"/>
  <c r="X1269" i="13"/>
  <c r="X1124" i="13"/>
  <c r="X850" i="13"/>
  <c r="X597" i="13"/>
  <c r="X1289" i="13"/>
  <c r="X1147" i="13"/>
  <c r="X1368" i="13"/>
  <c r="X479" i="13"/>
  <c r="X249" i="13"/>
  <c r="X1198" i="13"/>
  <c r="X1019" i="13"/>
  <c r="X699" i="13"/>
  <c r="X745" i="13"/>
  <c r="X1108" i="13"/>
  <c r="X604" i="13"/>
  <c r="X1387" i="13"/>
  <c r="X1009" i="13"/>
  <c r="X491" i="13"/>
  <c r="X289" i="13"/>
  <c r="X938" i="13"/>
  <c r="X1292" i="13"/>
  <c r="X1055" i="13"/>
  <c r="X813" i="13"/>
  <c r="X549" i="13"/>
  <c r="X569" i="13"/>
  <c r="X276" i="13"/>
  <c r="X1207" i="13"/>
  <c r="X778" i="13"/>
  <c r="X1342" i="13"/>
  <c r="X1192" i="13"/>
  <c r="X1050" i="13"/>
  <c r="X883" i="13"/>
  <c r="X802" i="13"/>
  <c r="X692" i="13"/>
  <c r="X622" i="13"/>
  <c r="X936" i="13"/>
  <c r="X932" i="13"/>
  <c r="X654" i="13"/>
  <c r="X265" i="13"/>
  <c r="X1260" i="13"/>
  <c r="X1241" i="13"/>
  <c r="X1215" i="13"/>
  <c r="X1010" i="13"/>
  <c r="X819" i="13"/>
  <c r="X858" i="13"/>
  <c r="X820" i="13"/>
  <c r="X588" i="13"/>
  <c r="X318" i="13"/>
  <c r="X1220" i="13"/>
  <c r="X929" i="13"/>
  <c r="X585" i="13"/>
  <c r="X252" i="13"/>
  <c r="X750" i="13"/>
  <c r="X1403" i="13"/>
  <c r="X1081" i="13"/>
  <c r="X780" i="13"/>
  <c r="X602" i="13"/>
  <c r="X483" i="13"/>
  <c r="X587" i="13"/>
  <c r="X1226" i="13"/>
  <c r="X586" i="13"/>
  <c r="X601" i="13"/>
  <c r="X553" i="13"/>
  <c r="X440" i="13"/>
  <c r="X528" i="13"/>
  <c r="X1280" i="13"/>
  <c r="X741" i="13"/>
  <c r="X485" i="13"/>
  <c r="X452" i="13"/>
  <c r="X678" i="13"/>
  <c r="X277" i="13"/>
  <c r="X714" i="13"/>
  <c r="X431" i="13"/>
  <c r="X446" i="13"/>
  <c r="X294" i="13"/>
  <c r="X1172" i="13"/>
  <c r="X807" i="13"/>
  <c r="X1265" i="13"/>
  <c r="X1324" i="13"/>
  <c r="X1386" i="13"/>
  <c r="X1237" i="13"/>
  <c r="X1031" i="13"/>
  <c r="X1331" i="13"/>
  <c r="X818" i="13"/>
  <c r="X565" i="13"/>
  <c r="X1257" i="13"/>
  <c r="X931" i="13"/>
  <c r="X1036" i="13"/>
  <c r="X447" i="13"/>
  <c r="X243" i="13"/>
  <c r="X950" i="13"/>
  <c r="X1057" i="13"/>
  <c r="X1231" i="13"/>
  <c r="X906" i="13"/>
  <c r="X488" i="13"/>
  <c r="X1206" i="13"/>
  <c r="X1106" i="13"/>
  <c r="X754" i="13"/>
  <c r="X1329" i="13"/>
  <c r="X842" i="13"/>
  <c r="X1189" i="13"/>
  <c r="X1092" i="13"/>
  <c r="X903" i="13"/>
  <c r="X737" i="13"/>
  <c r="X526" i="13"/>
  <c r="X536" i="13"/>
  <c r="X1130" i="13"/>
  <c r="X847" i="13"/>
  <c r="X1404" i="13"/>
  <c r="X1252" i="13"/>
  <c r="X1018" i="13"/>
  <c r="X795" i="13"/>
  <c r="X770" i="13"/>
  <c r="X660" i="13"/>
  <c r="X504" i="13"/>
  <c r="X901" i="13"/>
  <c r="X701" i="13"/>
  <c r="X409" i="13"/>
  <c r="X328" i="13"/>
  <c r="X844" i="13"/>
  <c r="X1421" i="13"/>
  <c r="X996" i="13"/>
  <c r="X384" i="13"/>
  <c r="X1360" i="13"/>
  <c r="X999" i="13"/>
  <c r="X1044" i="13"/>
  <c r="X786" i="13"/>
  <c r="X1413" i="13"/>
  <c r="X1225" i="13"/>
  <c r="X904" i="13"/>
  <c r="X685" i="13"/>
  <c r="X415" i="13"/>
  <c r="X317" i="13"/>
  <c r="X1313" i="13"/>
  <c r="X769" i="13"/>
  <c r="X969" i="13"/>
  <c r="AG969" i="13" s="1"/>
  <c r="X1246" i="13"/>
  <c r="X810" i="13"/>
  <c r="X253" i="13"/>
  <c r="X1082" i="13"/>
  <c r="X1200" i="13"/>
  <c r="X959" i="13"/>
  <c r="X1281" i="13"/>
  <c r="X980" i="13"/>
  <c r="X799" i="13"/>
  <c r="X713" i="13"/>
  <c r="X494" i="13"/>
  <c r="X1026" i="13"/>
  <c r="X732" i="13"/>
  <c r="X1396" i="13"/>
  <c r="X1344" i="13"/>
  <c r="X986" i="13"/>
  <c r="X763" i="13"/>
  <c r="X951" i="13"/>
  <c r="X628" i="13"/>
  <c r="X448" i="13"/>
  <c r="X869" i="13"/>
  <c r="X669" i="13"/>
  <c r="X377" i="13"/>
  <c r="X259" i="13"/>
  <c r="X1394" i="13"/>
  <c r="X1294" i="13"/>
  <c r="X1244" i="13"/>
  <c r="X1119" i="13"/>
  <c r="X1060" i="13"/>
  <c r="X794" i="13"/>
  <c r="X735" i="13"/>
  <c r="X948" i="13"/>
  <c r="X269" i="13"/>
  <c r="X1142" i="13"/>
  <c r="X704" i="13"/>
  <c r="X793" i="13"/>
  <c r="X385" i="13"/>
  <c r="X257" i="13"/>
  <c r="X352" i="13"/>
  <c r="X1135" i="13"/>
  <c r="X1188" i="13"/>
  <c r="X517" i="13"/>
  <c r="X943" i="13"/>
  <c r="X797" i="13"/>
  <c r="X471" i="13"/>
  <c r="X486" i="13"/>
  <c r="X344" i="13"/>
  <c r="X320" i="13"/>
  <c r="X972" i="13"/>
  <c r="X1177" i="13"/>
  <c r="X1002" i="13"/>
  <c r="X1034" i="13"/>
  <c r="X1176" i="13"/>
  <c r="X861" i="13"/>
  <c r="X1012" i="13"/>
  <c r="X1183" i="13"/>
  <c r="X1379" i="13"/>
  <c r="X1318" i="13"/>
  <c r="X853" i="13"/>
  <c r="X621" i="13"/>
  <c r="X638" i="13"/>
  <c r="X1105" i="13"/>
  <c r="AG1105" i="13" s="1"/>
  <c r="X1378" i="13"/>
  <c r="X835" i="13"/>
  <c r="X690" i="13"/>
  <c r="X1302" i="13"/>
  <c r="X1116" i="13"/>
  <c r="X1160" i="13"/>
  <c r="X880" i="13"/>
  <c r="X676" i="13"/>
  <c r="X1310" i="13"/>
  <c r="X572" i="13"/>
  <c r="X1217" i="13"/>
  <c r="X896" i="13"/>
  <c r="X677" i="13"/>
  <c r="X665" i="13"/>
  <c r="X422" i="13"/>
  <c r="X548" i="13"/>
  <c r="X803" i="13"/>
  <c r="X940" i="13"/>
  <c r="X1347" i="13"/>
  <c r="X1286" i="13"/>
  <c r="X983" i="13"/>
  <c r="X930" i="13"/>
  <c r="X839" i="13"/>
  <c r="X564" i="13"/>
  <c r="X299" i="13"/>
  <c r="X979" i="13"/>
  <c r="X605" i="13"/>
  <c r="X783" i="13"/>
  <c r="X697" i="13"/>
  <c r="X1316" i="13"/>
  <c r="X1326" i="13"/>
  <c r="X1262" i="13"/>
  <c r="X1007" i="13"/>
  <c r="X1076" i="13"/>
  <c r="X975" i="13"/>
  <c r="X716" i="13"/>
  <c r="X681" i="13"/>
  <c r="X1213" i="13"/>
  <c r="X949" i="13"/>
  <c r="X706" i="13"/>
  <c r="X1171" i="13"/>
  <c r="AG1171" i="13" s="1"/>
  <c r="X267" i="13"/>
  <c r="X1415" i="13"/>
  <c r="X1129" i="13"/>
  <c r="X1095" i="13"/>
  <c r="X868" i="13"/>
  <c r="X1410" i="13"/>
  <c r="X776" i="13"/>
  <c r="X700" i="13"/>
  <c r="X636" i="13"/>
  <c r="X1247" i="13"/>
  <c r="X1202" i="13"/>
  <c r="X1058" i="13"/>
  <c r="X1249" i="13"/>
  <c r="X1371" i="13"/>
  <c r="X637" i="13"/>
  <c r="X1210" i="13"/>
  <c r="X748" i="13"/>
  <c r="X261" i="13"/>
  <c r="X1338" i="13"/>
  <c r="X414" i="13"/>
  <c r="X1251" i="13"/>
  <c r="X1003" i="13"/>
  <c r="X295" i="13"/>
  <c r="X828" i="13"/>
  <c r="X245" i="13"/>
  <c r="X1133" i="13"/>
  <c r="X1008" i="13"/>
  <c r="X335" i="13"/>
  <c r="X342" i="13"/>
  <c r="X1400" i="13"/>
  <c r="X707" i="13"/>
  <c r="X892" i="13"/>
  <c r="X455" i="13"/>
  <c r="X470" i="13"/>
  <c r="X472" i="13"/>
  <c r="X480" i="13"/>
  <c r="X1128" i="13"/>
  <c r="X691" i="13"/>
  <c r="X728" i="13"/>
  <c r="X1168" i="13"/>
  <c r="X1315" i="13"/>
  <c r="X380" i="13"/>
  <c r="X341" i="13"/>
  <c r="AG341" i="13" s="1"/>
  <c r="X333" i="13"/>
  <c r="X595" i="13"/>
  <c r="AG595" i="13" s="1"/>
  <c r="X467" i="13"/>
  <c r="X635" i="13"/>
  <c r="X493" i="13"/>
  <c r="X1180" i="13"/>
  <c r="X495" i="13"/>
  <c r="X881" i="13"/>
  <c r="X1385" i="13"/>
  <c r="X445" i="13"/>
  <c r="X364" i="13"/>
  <c r="X1175" i="13"/>
  <c r="X435" i="13"/>
  <c r="X675" i="13"/>
  <c r="AG675" i="13" s="1"/>
  <c r="X258" i="13"/>
  <c r="X995" i="13"/>
  <c r="X1364" i="13"/>
  <c r="X357" i="13"/>
  <c r="X459" i="13"/>
  <c r="X811" i="13"/>
  <c r="X885" i="13"/>
  <c r="X823" i="13"/>
  <c r="X923" i="13"/>
  <c r="X1254" i="13"/>
  <c r="X345" i="13"/>
  <c r="X978" i="13"/>
  <c r="X556" i="13"/>
  <c r="X1204" i="13"/>
  <c r="X516" i="13"/>
  <c r="X1392" i="13"/>
  <c r="X625" i="13"/>
  <c r="X411" i="13"/>
  <c r="X1115" i="13"/>
  <c r="X825" i="13"/>
  <c r="X369" i="13"/>
  <c r="X1417" i="13"/>
  <c r="X987" i="13"/>
  <c r="X761" i="13"/>
  <c r="X964" i="13"/>
  <c r="X339" i="13"/>
  <c r="X1307" i="13"/>
  <c r="X1182" i="13"/>
  <c r="X953" i="13"/>
  <c r="X315" i="13"/>
  <c r="X1062" i="13"/>
  <c r="X812" i="13"/>
  <c r="X423" i="13"/>
  <c r="X430" i="13"/>
  <c r="X392" i="13"/>
  <c r="X293" i="13"/>
  <c r="X1067" i="13"/>
  <c r="X389" i="13"/>
  <c r="X1107" i="13"/>
  <c r="X1138" i="13"/>
  <c r="X777" i="13"/>
  <c r="X1343" i="13"/>
  <c r="X1043" i="13"/>
  <c r="X1144" i="13"/>
  <c r="AG1144" i="13" s="1"/>
  <c r="X508" i="13"/>
  <c r="X715" i="13"/>
  <c r="X650" i="13"/>
  <c r="X1120" i="13"/>
  <c r="X378" i="13"/>
  <c r="X800" i="13"/>
  <c r="X1065" i="13"/>
  <c r="X503" i="13"/>
  <c r="X1370" i="13"/>
  <c r="X275" i="13"/>
  <c r="X348" i="13"/>
  <c r="X1382" i="13"/>
  <c r="X306" i="13"/>
  <c r="X1059" i="13"/>
  <c r="X1056" i="13"/>
  <c r="X1369" i="13"/>
  <c r="X1235" i="13"/>
  <c r="X857" i="13"/>
  <c r="X867" i="13"/>
  <c r="X1219" i="13"/>
  <c r="X1017" i="13"/>
  <c r="AG1017" i="13" s="1"/>
  <c r="X387" i="13"/>
  <c r="X1304" i="13"/>
  <c r="X1359" i="13"/>
  <c r="X653" i="13"/>
  <c r="X1390" i="13"/>
  <c r="X1139" i="13"/>
  <c r="X1015" i="13"/>
  <c r="X644" i="13"/>
  <c r="X1039" i="13"/>
  <c r="X753" i="13"/>
  <c r="X747" i="13"/>
  <c r="X461" i="13"/>
  <c r="X577" i="13"/>
  <c r="X512" i="13"/>
  <c r="X1197" i="13"/>
  <c r="X985" i="13"/>
  <c r="X456" i="13"/>
  <c r="X920" i="13"/>
  <c r="X648" i="13"/>
  <c r="X329" i="13"/>
  <c r="X360" i="13"/>
  <c r="X1267" i="13"/>
  <c r="X1096" i="13"/>
  <c r="X1137" i="13"/>
  <c r="X884" i="13"/>
  <c r="X359" i="13"/>
  <c r="X398" i="13"/>
  <c r="X590" i="13"/>
  <c r="X237" i="13"/>
  <c r="X774" i="13"/>
  <c r="X865" i="13"/>
  <c r="X290" i="13"/>
  <c r="X1322" i="13"/>
  <c r="X579" i="13"/>
  <c r="X1221" i="13"/>
  <c r="X1159" i="13"/>
  <c r="X1027" i="13"/>
  <c r="X619" i="13"/>
  <c r="X371" i="13"/>
  <c r="X736" i="13"/>
  <c r="X1384" i="13"/>
  <c r="X1083" i="13"/>
  <c r="X297" i="13"/>
  <c r="X282" i="13"/>
  <c r="X1361" i="13"/>
  <c r="X958" i="13"/>
  <c r="X1187" i="13"/>
  <c r="X404" i="13"/>
  <c r="X443" i="13"/>
  <c r="X1350" i="13"/>
  <c r="X394" i="13"/>
  <c r="X469" i="13"/>
  <c r="X756" i="13"/>
  <c r="X509" i="13"/>
  <c r="X1290" i="13"/>
  <c r="X1214" i="13"/>
  <c r="X351" i="13"/>
  <c r="X689" i="13"/>
  <c r="X962" i="13"/>
  <c r="X893" i="13"/>
  <c r="X285" i="13"/>
  <c r="X1051" i="13"/>
  <c r="X462" i="13"/>
  <c r="X863" i="13"/>
  <c r="X1391" i="13"/>
  <c r="X1132" i="13"/>
  <c r="X900" i="13"/>
  <c r="X1170" i="13"/>
  <c r="X388" i="13"/>
  <c r="X507" i="13"/>
  <c r="X343" i="13"/>
  <c r="X662" i="13"/>
  <c r="X1306" i="13"/>
  <c r="X594" i="13"/>
  <c r="X336" i="13"/>
  <c r="X977" i="13"/>
  <c r="X666" i="13"/>
  <c r="X550" i="13"/>
  <c r="X254" i="13"/>
  <c r="X659" i="13"/>
  <c r="X1103" i="13"/>
  <c r="X525" i="13"/>
  <c r="AG525" i="13" s="1"/>
  <c r="X775" i="13"/>
  <c r="X566" i="13"/>
  <c r="X334" i="13"/>
  <c r="X246" i="13"/>
  <c r="X1337" i="13"/>
  <c r="X1150" i="13"/>
  <c r="X1293" i="13"/>
  <c r="X386" i="13"/>
  <c r="X1358" i="13"/>
  <c r="X381" i="13"/>
  <c r="AG381" i="13" s="1"/>
  <c r="X1025" i="13"/>
  <c r="X535" i="13"/>
  <c r="X642" i="13"/>
  <c r="X971" i="13"/>
  <c r="X1022" i="13"/>
  <c r="X547" i="13"/>
  <c r="X1158" i="13"/>
  <c r="X945" i="13"/>
  <c r="X1196" i="13"/>
  <c r="X618" i="13"/>
  <c r="X921" i="13"/>
  <c r="X833" i="13"/>
  <c r="X851" i="13"/>
  <c r="X1346" i="13"/>
  <c r="X894" i="13"/>
  <c r="X325" i="13"/>
  <c r="X383" i="13"/>
  <c r="X1111" i="13"/>
  <c r="X546" i="13"/>
  <c r="X1312" i="13"/>
  <c r="X960" i="13"/>
  <c r="X396" i="13"/>
  <c r="X1041" i="13"/>
  <c r="X1266" i="13"/>
  <c r="X1299" i="13"/>
  <c r="X373" i="13"/>
  <c r="X1270" i="13"/>
  <c r="X1336" i="13"/>
  <c r="X963" i="13"/>
  <c r="X400" i="13"/>
  <c r="X1153" i="13"/>
  <c r="X762" i="13"/>
  <c r="X432" i="13"/>
  <c r="X926" i="13"/>
  <c r="X300" i="13"/>
  <c r="X314" i="13"/>
  <c r="X518" i="13"/>
  <c r="X496" i="13"/>
  <c r="X682" i="13"/>
  <c r="X767" i="13"/>
  <c r="X280" i="13"/>
  <c r="X860" i="13"/>
  <c r="X406" i="13"/>
  <c r="X312" i="13"/>
  <c r="X1098" i="13"/>
  <c r="X974" i="13"/>
  <c r="X274" i="13"/>
  <c r="X772" i="13"/>
  <c r="X1020" i="13"/>
  <c r="X534" i="13"/>
  <c r="X331" i="13"/>
  <c r="X574" i="13"/>
  <c r="X1258" i="13"/>
  <c r="X766" i="13"/>
  <c r="X453" i="13"/>
  <c r="X1035" i="13"/>
  <c r="X519" i="13"/>
  <c r="X1296" i="13"/>
  <c r="X1341" i="13"/>
  <c r="X233" i="13"/>
  <c r="X1383" i="13"/>
  <c r="X967" i="13"/>
  <c r="X1419" i="13"/>
  <c r="X984" i="13"/>
  <c r="X570" i="13"/>
  <c r="X843" i="13"/>
  <c r="X859" i="13"/>
  <c r="X1365" i="13"/>
  <c r="X511" i="13"/>
  <c r="X723" i="13"/>
  <c r="X539" i="13"/>
  <c r="X1327" i="13"/>
  <c r="X428" i="13"/>
  <c r="X1380" i="13"/>
  <c r="X764" i="13"/>
  <c r="X492" i="13"/>
  <c r="X468" i="13"/>
  <c r="X1408" i="13"/>
  <c r="X405" i="13"/>
  <c r="AG405" i="13" s="1"/>
  <c r="X758" i="13"/>
  <c r="X897" i="13"/>
  <c r="X864" i="13"/>
  <c r="X1028" i="13"/>
  <c r="X1184" i="13"/>
  <c r="X702" i="13"/>
  <c r="X698" i="13"/>
  <c r="X309" i="13"/>
  <c r="X397" i="13"/>
  <c r="X862" i="13"/>
  <c r="X374" i="13"/>
  <c r="X1048" i="13"/>
  <c r="X533" i="13"/>
  <c r="X502" i="13"/>
  <c r="X1305" i="13"/>
  <c r="X634" i="13"/>
  <c r="X429" i="13"/>
  <c r="X475" i="13"/>
  <c r="X403" i="13"/>
  <c r="X1409" i="13"/>
  <c r="X801" i="13"/>
  <c r="X515" i="13"/>
  <c r="X935" i="13"/>
  <c r="X712" i="13"/>
  <c r="X395" i="13"/>
  <c r="X1366" i="13"/>
  <c r="X1203" i="13"/>
  <c r="X787" i="13"/>
  <c r="X416" i="13"/>
  <c r="X889" i="13"/>
  <c r="X1166" i="13"/>
  <c r="X673" i="13"/>
  <c r="X768" i="13"/>
  <c r="X646" i="13"/>
  <c r="X992" i="13"/>
  <c r="X366" i="13"/>
  <c r="X1357" i="13"/>
  <c r="X272" i="13"/>
  <c r="X1123" i="13"/>
  <c r="X722" i="13"/>
  <c r="X250" i="13"/>
  <c r="X1151" i="13"/>
  <c r="X1401" i="13"/>
  <c r="X1049" i="13"/>
  <c r="X477" i="13"/>
  <c r="X782" i="13"/>
  <c r="X421" i="13"/>
  <c r="X1372" i="13"/>
  <c r="X413" i="13"/>
  <c r="X826" i="13"/>
  <c r="X540" i="13"/>
  <c r="X1099" i="13"/>
  <c r="X268" i="13"/>
  <c r="X1047" i="13"/>
  <c r="X283" i="13"/>
  <c r="X796" i="13"/>
  <c r="X427" i="13"/>
  <c r="X1245" i="13"/>
  <c r="X1131" i="13"/>
  <c r="X523" i="13"/>
  <c r="X895" i="13"/>
  <c r="X298" i="13"/>
  <c r="X324" i="13"/>
  <c r="X1349" i="13"/>
  <c r="X451" i="13"/>
  <c r="X531" i="13"/>
  <c r="X1001" i="13"/>
  <c r="X524" i="13"/>
  <c r="X1162" i="13"/>
  <c r="X708" i="13"/>
  <c r="X908" i="13"/>
  <c r="X407" i="13"/>
  <c r="X251" i="13"/>
  <c r="X840" i="13"/>
  <c r="X301" i="13"/>
  <c r="X1072" i="13"/>
  <c r="X836" i="13"/>
  <c r="X606" i="13"/>
  <c r="X437" i="13"/>
  <c r="X910" i="13"/>
  <c r="X332" i="13"/>
  <c r="X542" i="13"/>
  <c r="X327" i="13"/>
  <c r="X1242" i="13"/>
  <c r="X749" i="13"/>
  <c r="X1154" i="13"/>
  <c r="X596" i="13"/>
  <c r="X238" i="13"/>
  <c r="X784" i="13"/>
  <c r="X582" i="13"/>
  <c r="X1303" i="13"/>
  <c r="X368" i="13"/>
  <c r="X956" i="13"/>
  <c r="X944" i="13"/>
  <c r="X755" i="13"/>
  <c r="X804" i="13"/>
  <c r="X286" i="13"/>
  <c r="X1259" i="13"/>
  <c r="AG1259" i="13" s="1"/>
  <c r="X1393" i="13"/>
  <c r="X733" i="13"/>
  <c r="X1320" i="13"/>
  <c r="X578" i="13"/>
  <c r="X1146" i="13"/>
  <c r="X1113" i="13"/>
  <c r="X837" i="13"/>
  <c r="X1333" i="13"/>
  <c r="X241" i="13"/>
  <c r="X454" i="13"/>
  <c r="X541" i="13"/>
  <c r="AG541" i="13" s="1"/>
  <c r="X463" i="13"/>
  <c r="X1298" i="13"/>
  <c r="X680" i="13"/>
  <c r="X487" i="13"/>
  <c r="X323" i="13"/>
  <c r="X744" i="13"/>
  <c r="X674" i="13"/>
  <c r="X1121" i="13"/>
  <c r="X242" i="13"/>
  <c r="X1228" i="13"/>
  <c r="X1090" i="13"/>
  <c r="X970" i="13"/>
  <c r="X809" i="13"/>
  <c r="X484" i="13"/>
  <c r="X1250" i="13"/>
  <c r="X1276" i="13"/>
  <c r="X1374" i="13"/>
  <c r="X439" i="13"/>
  <c r="X961" i="13"/>
  <c r="X326" i="13"/>
  <c r="X281" i="13"/>
  <c r="X499" i="13"/>
  <c r="X710" i="13"/>
  <c r="X731" i="13"/>
  <c r="X598" i="13"/>
  <c r="X264" i="13"/>
  <c r="X436" i="13"/>
  <c r="X379" i="13"/>
  <c r="X1275" i="13"/>
  <c r="X501" i="13"/>
  <c r="AG501" i="13" s="1"/>
  <c r="X616" i="13"/>
  <c r="X738" i="13"/>
  <c r="X1381" i="13"/>
  <c r="X1074" i="13"/>
  <c r="X349" i="13"/>
  <c r="X1011" i="13"/>
  <c r="X873" i="13"/>
  <c r="X1205" i="13"/>
  <c r="X1186" i="13"/>
  <c r="X234" i="13"/>
  <c r="X1073" i="13"/>
  <c r="X417" i="13"/>
  <c r="X726" i="13"/>
  <c r="X816" i="13"/>
  <c r="X1334" i="13"/>
  <c r="X658" i="13"/>
  <c r="X266" i="13"/>
  <c r="X630" i="13"/>
  <c r="X817" i="13"/>
  <c r="AG817" i="13" s="1"/>
  <c r="X239" i="13"/>
  <c r="X322" i="13"/>
  <c r="X849" i="13"/>
  <c r="X478" i="13"/>
  <c r="X643" i="13"/>
  <c r="X527" i="13"/>
  <c r="X913" i="13"/>
  <c r="E41" i="2"/>
  <c r="D21" i="2"/>
  <c r="D30" i="2"/>
  <c r="D38" i="2"/>
  <c r="D31" i="2"/>
  <c r="D25" i="2"/>
  <c r="D32" i="2"/>
  <c r="D23" i="2"/>
  <c r="D22" i="2"/>
  <c r="Q13" i="2"/>
  <c r="Q18" i="2" s="1"/>
  <c r="O18" i="2"/>
  <c r="I37" i="2"/>
  <c r="I39" i="2" s="1"/>
  <c r="K33" i="2"/>
  <c r="K35" i="2" s="1"/>
  <c r="K37" i="2" s="1"/>
  <c r="M29" i="2"/>
  <c r="E39" i="2"/>
  <c r="E40" i="2"/>
  <c r="Q24" i="2"/>
  <c r="Q26" i="2" s="1"/>
  <c r="O26" i="2"/>
  <c r="I40" i="2" l="1"/>
  <c r="AG234" i="13"/>
  <c r="AG801" i="13"/>
  <c r="AG659" i="13"/>
  <c r="AG493" i="13"/>
  <c r="AG550" i="13"/>
  <c r="AG485" i="13"/>
  <c r="AG611" i="13"/>
  <c r="AG1397" i="13"/>
  <c r="AG928" i="13"/>
  <c r="AG1015" i="13"/>
  <c r="AG1093" i="13"/>
  <c r="AG1311" i="13"/>
  <c r="AG1303" i="13"/>
  <c r="AG1377" i="13"/>
  <c r="AG1021" i="13"/>
  <c r="AG911" i="13"/>
  <c r="AG1087" i="13"/>
  <c r="AG687" i="13"/>
  <c r="AG1337" i="13"/>
  <c r="AG1125" i="13"/>
  <c r="AG756" i="13"/>
  <c r="AG489" i="13"/>
  <c r="AG1007" i="13"/>
  <c r="AG997" i="13"/>
  <c r="AG1314" i="13"/>
  <c r="AG1241" i="13"/>
  <c r="AG361" i="13"/>
  <c r="AG760" i="13"/>
  <c r="AG861" i="13"/>
  <c r="AG248" i="13"/>
  <c r="AG1189" i="13"/>
  <c r="AG1371" i="13"/>
  <c r="AG247" i="13"/>
  <c r="AG608" i="13"/>
  <c r="AG1342" i="13"/>
  <c r="AG260" i="13"/>
  <c r="AG367" i="13"/>
  <c r="AG1179" i="13"/>
  <c r="AG765" i="13"/>
  <c r="AG964" i="13"/>
  <c r="AG984" i="13"/>
  <c r="AG825" i="13"/>
  <c r="AG357" i="13"/>
  <c r="AG1263" i="13"/>
  <c r="AG433" i="13"/>
  <c r="AG821" i="13"/>
  <c r="AG703" i="13"/>
  <c r="AG1402" i="13"/>
  <c r="AG1077" i="13"/>
  <c r="AG925" i="13"/>
  <c r="AG1148" i="13"/>
  <c r="AG561" i="13"/>
  <c r="AG1249" i="13"/>
  <c r="AG943" i="13"/>
  <c r="AG988" i="13"/>
  <c r="AG599" i="13"/>
  <c r="K39" i="2"/>
  <c r="AG1083" i="13"/>
  <c r="AG1095" i="13"/>
  <c r="AG583" i="13"/>
  <c r="AG895" i="13"/>
  <c r="AG891" i="13"/>
  <c r="AG454" i="13"/>
  <c r="AG1331" i="13"/>
  <c r="AG629" i="13"/>
  <c r="AG1393" i="13"/>
  <c r="AG1419" i="13"/>
  <c r="AG1217" i="13"/>
  <c r="AG786" i="13"/>
  <c r="AG920" i="13"/>
  <c r="AG947" i="13"/>
  <c r="AG1245" i="13"/>
  <c r="AG1266" i="13"/>
  <c r="AG723" i="13"/>
  <c r="AG698" i="13"/>
  <c r="AG1012" i="13"/>
  <c r="AG1261" i="13"/>
  <c r="AG819" i="13"/>
  <c r="AG1372" i="13"/>
  <c r="AG1417" i="13"/>
  <c r="AG364" i="13"/>
  <c r="AG759" i="13"/>
  <c r="AG1339" i="13"/>
  <c r="AG540" i="13"/>
  <c r="AG1307" i="13"/>
  <c r="AG519" i="13"/>
  <c r="AG1004" i="13"/>
  <c r="AG404" i="13"/>
  <c r="AG930" i="13"/>
  <c r="AG1332" i="13"/>
  <c r="AG667" i="13"/>
  <c r="AG1399" i="13"/>
  <c r="AG1299" i="13"/>
  <c r="AG1203" i="13"/>
  <c r="AG1068" i="13"/>
  <c r="AG1067" i="13"/>
  <c r="AG1296" i="13"/>
  <c r="AG447" i="13"/>
  <c r="AG268" i="13"/>
  <c r="AG324" i="13"/>
  <c r="AG1385" i="13"/>
  <c r="AG1316" i="13"/>
  <c r="AG1173" i="13"/>
  <c r="AG596" i="13"/>
  <c r="AG725" i="13"/>
  <c r="AG914" i="13"/>
  <c r="AG658" i="13"/>
  <c r="AG290" i="13"/>
  <c r="AG1285" i="13"/>
  <c r="AG1016" i="13"/>
  <c r="AG453" i="13"/>
  <c r="AG1001" i="13"/>
  <c r="AG549" i="13"/>
  <c r="AG262" i="13"/>
  <c r="AG953" i="13"/>
  <c r="AG365" i="13"/>
  <c r="AG584" i="13"/>
  <c r="AG767" i="13"/>
  <c r="AG1354" i="13"/>
  <c r="AG635" i="13"/>
  <c r="AG860" i="13"/>
  <c r="AG538" i="13"/>
  <c r="AG1057" i="13"/>
  <c r="AG1086" i="13"/>
  <c r="AG742" i="13"/>
  <c r="AG1251" i="13"/>
  <c r="AG828" i="13"/>
  <c r="AG806" i="13"/>
  <c r="AG1333" i="13"/>
  <c r="AG1222" i="13"/>
  <c r="AG965" i="13"/>
  <c r="AG1163" i="13"/>
  <c r="AG496" i="13"/>
  <c r="AG942" i="13"/>
  <c r="AG1264" i="13"/>
  <c r="AG528" i="13"/>
  <c r="AG1240" i="13"/>
  <c r="AG509" i="13"/>
  <c r="AG1360" i="13"/>
  <c r="AG1357" i="13"/>
  <c r="AG587" i="13"/>
  <c r="AG402" i="13"/>
  <c r="AG590" i="13"/>
  <c r="AG973" i="13"/>
  <c r="AG457" i="13"/>
  <c r="AG1164" i="13"/>
  <c r="AG1029" i="13"/>
  <c r="AG497" i="13"/>
  <c r="AG707" i="13"/>
  <c r="AG1235" i="13"/>
  <c r="AG983" i="13"/>
  <c r="AG647" i="13"/>
  <c r="AG981" i="13"/>
  <c r="AG567" i="13"/>
  <c r="AG1109" i="13"/>
  <c r="AG740" i="13"/>
  <c r="AG339" i="13"/>
  <c r="AG716" i="13"/>
  <c r="AG1129" i="13"/>
  <c r="AG1359" i="13"/>
  <c r="AG439" i="13"/>
  <c r="AG1225" i="13"/>
  <c r="AG499" i="13"/>
  <c r="AG971" i="13"/>
  <c r="AG631" i="13"/>
  <c r="AG909" i="13"/>
  <c r="AG1037" i="13"/>
  <c r="AG401" i="13"/>
  <c r="AG1047" i="13"/>
  <c r="AG506" i="13"/>
  <c r="AG1186" i="13"/>
  <c r="AG1287" i="13"/>
  <c r="AG591" i="13"/>
  <c r="AG805" i="13"/>
  <c r="AG417" i="13"/>
  <c r="AG1407" i="13"/>
  <c r="AG1023" i="13"/>
  <c r="AG640" i="13"/>
  <c r="AG869" i="13"/>
  <c r="AG999" i="13"/>
  <c r="AG425" i="13"/>
  <c r="AG1345" i="13"/>
  <c r="AG871" i="13"/>
  <c r="AG649" i="13"/>
  <c r="AG1275" i="13"/>
  <c r="AG1413" i="13"/>
  <c r="AG371" i="13"/>
  <c r="AG237" i="13"/>
  <c r="AG529" i="13"/>
  <c r="AG1208" i="13"/>
  <c r="AG1133" i="13"/>
  <c r="AG789" i="13"/>
  <c r="AG791" i="13"/>
  <c r="AG708" i="13"/>
  <c r="AG637" i="13"/>
  <c r="AG436" i="13"/>
  <c r="AG1123" i="13"/>
  <c r="AG1119" i="13"/>
  <c r="AG250" i="13"/>
  <c r="AG890" i="13"/>
  <c r="AG1206" i="13"/>
  <c r="AG1153" i="13"/>
  <c r="AG299" i="13"/>
  <c r="AG808" i="13"/>
  <c r="AG1394" i="13"/>
  <c r="AG1048" i="13"/>
  <c r="AG1195" i="13"/>
  <c r="AG1242" i="13"/>
  <c r="AG818" i="13"/>
  <c r="AG1216" i="13"/>
  <c r="AG1114" i="13"/>
  <c r="AG236" i="13"/>
  <c r="AG586" i="13"/>
  <c r="AG491" i="13"/>
  <c r="AG773" i="13"/>
  <c r="AG551" i="13"/>
  <c r="AG302" i="13"/>
  <c r="AG661" i="13"/>
  <c r="AG300" i="13"/>
  <c r="AG985" i="13"/>
  <c r="AG746" i="13"/>
  <c r="H19" i="26"/>
  <c r="F12" i="26"/>
  <c r="G12" i="26" s="1"/>
  <c r="AG615" i="13"/>
  <c r="AG276" i="13"/>
  <c r="AG1008" i="13"/>
  <c r="AG514" i="13"/>
  <c r="AG782" i="13"/>
  <c r="AG916" i="13"/>
  <c r="AG918" i="13"/>
  <c r="AG1421" i="13"/>
  <c r="AG842" i="13"/>
  <c r="AG991" i="13"/>
  <c r="AG1085" i="13"/>
  <c r="AG719" i="13"/>
  <c r="AG554" i="13"/>
  <c r="AG345" i="13"/>
  <c r="AG355" i="13"/>
  <c r="AG1079" i="13"/>
  <c r="AG264" i="13"/>
  <c r="AG636" i="13"/>
  <c r="AG369" i="13"/>
  <c r="AG1279" i="13"/>
  <c r="AG1271" i="13"/>
  <c r="AG465" i="13"/>
  <c r="AG815" i="13"/>
  <c r="AG879" i="13"/>
  <c r="AG1233" i="13"/>
  <c r="AG663" i="13"/>
  <c r="AG1117" i="13"/>
  <c r="AG877" i="13"/>
  <c r="AG1053" i="13"/>
  <c r="AG419" i="13"/>
  <c r="AG657" i="13"/>
  <c r="AG272" i="13"/>
  <c r="AG560" i="13"/>
  <c r="AG962" i="13"/>
  <c r="AG531" i="13"/>
  <c r="AG1223" i="13"/>
  <c r="AG1255" i="13"/>
  <c r="AG655" i="13"/>
  <c r="AG623" i="13"/>
  <c r="AG296" i="13"/>
  <c r="AG1336" i="13"/>
  <c r="AG858" i="13"/>
  <c r="AG779" i="13"/>
  <c r="AG524" i="13"/>
  <c r="AG1380" i="13"/>
  <c r="AG287" i="13"/>
  <c r="AG944" i="13"/>
  <c r="AG1401" i="13"/>
  <c r="AG275" i="13"/>
  <c r="AG328" i="13"/>
  <c r="AG1228" i="13"/>
  <c r="AG721" i="13"/>
  <c r="AG399" i="13"/>
  <c r="AG267" i="13"/>
  <c r="AG306" i="13"/>
  <c r="AG1387" i="13"/>
  <c r="AG305" i="13"/>
  <c r="AG241" i="13"/>
  <c r="AG269" i="13"/>
  <c r="AG1410" i="13"/>
  <c r="AG231" i="13"/>
  <c r="AG674" i="13"/>
  <c r="AG347" i="13"/>
  <c r="AG1306" i="13"/>
  <c r="AG737" i="13"/>
  <c r="AG701" i="13"/>
  <c r="AG1350" i="13"/>
  <c r="AG1262" i="13"/>
  <c r="AG1205" i="13"/>
  <c r="AG1374" i="13"/>
  <c r="AG1286" i="13"/>
  <c r="AG627" i="13"/>
  <c r="AG989" i="13"/>
  <c r="AG1098" i="13"/>
  <c r="AG601" i="13"/>
  <c r="AG1013" i="13"/>
  <c r="AG1151" i="13"/>
  <c r="AG523" i="13"/>
  <c r="AG515" i="13"/>
  <c r="AG445" i="13"/>
  <c r="AG537" i="13"/>
  <c r="AG385" i="13"/>
  <c r="AG970" i="13"/>
  <c r="AG1281" i="13"/>
  <c r="AG577" i="13"/>
  <c r="AG521" i="13"/>
  <c r="AG949" i="13"/>
  <c r="AG837" i="13"/>
  <c r="AG829" i="13"/>
  <c r="AG1289" i="13"/>
  <c r="AG673" i="13"/>
  <c r="AG1273" i="13"/>
  <c r="AG568" i="13"/>
  <c r="AG1090" i="13"/>
  <c r="AG1140" i="13"/>
  <c r="AG542" i="13"/>
  <c r="AG1215" i="13"/>
  <c r="AG671" i="13"/>
  <c r="AG679" i="13"/>
  <c r="AG1142" i="13"/>
  <c r="AG1038" i="13"/>
  <c r="AG1145" i="13"/>
  <c r="AG382" i="13"/>
  <c r="AG502" i="13"/>
  <c r="AG1136" i="13"/>
  <c r="AG291" i="13"/>
  <c r="AG282" i="13"/>
  <c r="AG289" i="13"/>
  <c r="AG352" i="13"/>
  <c r="AG709" i="13"/>
  <c r="AG277" i="13"/>
  <c r="AG1042" i="13"/>
  <c r="AG686" i="13"/>
  <c r="AG235" i="13"/>
  <c r="AG351" i="13"/>
  <c r="AG340" i="13"/>
  <c r="AG281" i="13"/>
  <c r="AG334" i="13"/>
  <c r="AG479" i="13"/>
  <c r="AG349" i="13"/>
  <c r="AG605" i="13"/>
  <c r="AG977" i="13"/>
  <c r="AG802" i="13"/>
  <c r="AG745" i="13"/>
  <c r="AG652" i="13"/>
  <c r="AG662" i="13"/>
  <c r="AG246" i="13"/>
  <c r="AG1159" i="13"/>
  <c r="AG1320" i="13"/>
  <c r="AG1257" i="13"/>
  <c r="AG799" i="13"/>
  <c r="AG1168" i="13"/>
  <c r="AG735" i="13"/>
  <c r="AG607" i="13"/>
  <c r="AG353" i="13"/>
  <c r="AG427" i="13"/>
  <c r="AG1039" i="13"/>
  <c r="AG1265" i="13"/>
  <c r="AG839" i="13"/>
  <c r="AG885" i="13"/>
  <c r="AG1239" i="13"/>
  <c r="AG1200" i="13"/>
  <c r="AG1101" i="13"/>
  <c r="AG387" i="13"/>
  <c r="AG609" i="13"/>
  <c r="AG585" i="13"/>
  <c r="AG1369" i="13"/>
  <c r="AG559" i="13"/>
  <c r="AG1353" i="13"/>
  <c r="AG917" i="13"/>
  <c r="AG1194" i="13"/>
  <c r="AG847" i="13"/>
  <c r="AG1292" i="13"/>
  <c r="AG397" i="13"/>
  <c r="AG633" i="13"/>
  <c r="AG546" i="13"/>
  <c r="AG1061" i="13"/>
  <c r="AG337" i="13"/>
  <c r="AG768" i="13"/>
  <c r="AG513" i="13"/>
  <c r="AG1386" i="13"/>
  <c r="AG478" i="13"/>
  <c r="AG1355" i="13"/>
  <c r="AG438" i="13"/>
  <c r="AG722" i="13"/>
  <c r="AG1308" i="13"/>
  <c r="AG510" i="13"/>
  <c r="AG511" i="13"/>
  <c r="AG253" i="13"/>
  <c r="AG500" i="13"/>
  <c r="AG580" i="13"/>
  <c r="AG936" i="13"/>
  <c r="AG1162" i="13"/>
  <c r="AG682" i="13"/>
  <c r="AG697" i="13"/>
  <c r="AG593" i="13"/>
  <c r="AG823" i="13"/>
  <c r="AG534" i="13"/>
  <c r="AG526" i="13"/>
  <c r="AG1130" i="13"/>
  <c r="AG619" i="13"/>
  <c r="AG1051" i="13"/>
  <c r="AG1382" i="13"/>
  <c r="AG1364" i="13"/>
  <c r="AG310" i="13"/>
  <c r="AG1107" i="13"/>
  <c r="AG717" i="13"/>
  <c r="AG251" i="13"/>
  <c r="AG1366" i="13"/>
  <c r="AG1082" i="13"/>
  <c r="AG483" i="13"/>
  <c r="AG929" i="13"/>
  <c r="I41" i="2"/>
  <c r="F11" i="26"/>
  <c r="G11" i="26" s="1"/>
  <c r="E15" i="25"/>
  <c r="F15" i="25" s="1"/>
  <c r="E9" i="29"/>
  <c r="F9" i="29" s="1"/>
  <c r="E17" i="29"/>
  <c r="F17" i="29" s="1"/>
  <c r="E10" i="29"/>
  <c r="F10" i="29" s="1"/>
  <c r="E18" i="29"/>
  <c r="F18" i="29" s="1"/>
  <c r="E13" i="29"/>
  <c r="F13" i="29" s="1"/>
  <c r="E11" i="29"/>
  <c r="F11" i="29" s="1"/>
  <c r="E19" i="29"/>
  <c r="F19" i="29" s="1"/>
  <c r="E20" i="29"/>
  <c r="F20" i="29" s="1"/>
  <c r="E21" i="29"/>
  <c r="F21" i="29" s="1"/>
  <c r="E12" i="29"/>
  <c r="F12" i="29" s="1"/>
  <c r="E14" i="29"/>
  <c r="F14" i="29" s="1"/>
  <c r="E15" i="29"/>
  <c r="F15" i="29" s="1"/>
  <c r="E16" i="29"/>
  <c r="F16" i="29" s="1"/>
  <c r="E9" i="24"/>
  <c r="F9" i="24" s="1"/>
  <c r="E17" i="24"/>
  <c r="F17" i="24" s="1"/>
  <c r="E25" i="24"/>
  <c r="F25" i="24" s="1"/>
  <c r="E33" i="24"/>
  <c r="F33" i="24" s="1"/>
  <c r="F9" i="26"/>
  <c r="G9" i="26" s="1"/>
  <c r="E16" i="25"/>
  <c r="F16" i="25" s="1"/>
  <c r="E28" i="24"/>
  <c r="F28" i="24" s="1"/>
  <c r="E38" i="24"/>
  <c r="F38" i="24" s="1"/>
  <c r="E14" i="25"/>
  <c r="F14" i="25" s="1"/>
  <c r="E10" i="24"/>
  <c r="F10" i="24" s="1"/>
  <c r="E18" i="24"/>
  <c r="F18" i="24" s="1"/>
  <c r="E26" i="24"/>
  <c r="F26" i="24" s="1"/>
  <c r="E34" i="24"/>
  <c r="F34" i="24" s="1"/>
  <c r="F10" i="26"/>
  <c r="G10" i="26" s="1"/>
  <c r="E17" i="25"/>
  <c r="F17" i="25" s="1"/>
  <c r="E19" i="24"/>
  <c r="F19" i="24" s="1"/>
  <c r="E9" i="25"/>
  <c r="F9" i="25" s="1"/>
  <c r="E20" i="24"/>
  <c r="F20" i="24" s="1"/>
  <c r="E10" i="25"/>
  <c r="F10" i="25" s="1"/>
  <c r="E22" i="24"/>
  <c r="F22" i="24" s="1"/>
  <c r="E11" i="24"/>
  <c r="F11" i="24" s="1"/>
  <c r="E27" i="24"/>
  <c r="F27" i="24" s="1"/>
  <c r="E35" i="24"/>
  <c r="F35" i="24" s="1"/>
  <c r="E18" i="25"/>
  <c r="F18" i="25" s="1"/>
  <c r="E12" i="24"/>
  <c r="F12" i="24" s="1"/>
  <c r="E36" i="24"/>
  <c r="F36" i="24" s="1"/>
  <c r="E12" i="25"/>
  <c r="F12" i="25" s="1"/>
  <c r="E13" i="24"/>
  <c r="F13" i="24" s="1"/>
  <c r="E21" i="24"/>
  <c r="F21" i="24" s="1"/>
  <c r="E29" i="24"/>
  <c r="F29" i="24" s="1"/>
  <c r="E37" i="24"/>
  <c r="F37" i="24" s="1"/>
  <c r="E11" i="25"/>
  <c r="F11" i="25" s="1"/>
  <c r="E14" i="24"/>
  <c r="F14" i="24" s="1"/>
  <c r="E30" i="24"/>
  <c r="F30" i="24" s="1"/>
  <c r="E15" i="24"/>
  <c r="F15" i="24" s="1"/>
  <c r="E23" i="24"/>
  <c r="F23" i="24" s="1"/>
  <c r="E31" i="24"/>
  <c r="F31" i="24" s="1"/>
  <c r="E39" i="24"/>
  <c r="F39" i="24" s="1"/>
  <c r="E13" i="25"/>
  <c r="F13" i="25" s="1"/>
  <c r="E16" i="24"/>
  <c r="F16" i="24" s="1"/>
  <c r="E24" i="24"/>
  <c r="F24" i="24" s="1"/>
  <c r="E32" i="24"/>
  <c r="F32" i="24" s="1"/>
  <c r="E40" i="24"/>
  <c r="F40" i="24" s="1"/>
  <c r="AG648" i="13"/>
  <c r="AG507" i="13"/>
  <c r="AG813" i="13"/>
  <c r="AG639" i="13"/>
  <c r="AG845" i="13"/>
  <c r="AG481" i="13"/>
  <c r="AG751" i="13"/>
  <c r="AG689" i="13"/>
  <c r="AG317" i="13"/>
  <c r="AG1127" i="13"/>
  <c r="AG998" i="13"/>
  <c r="AG1295" i="13"/>
  <c r="AG505" i="13"/>
  <c r="AG893" i="13"/>
  <c r="AG853" i="13"/>
  <c r="AG1244" i="13"/>
  <c r="AG855" i="13"/>
  <c r="AG435" i="13"/>
  <c r="AG776" i="13"/>
  <c r="AG743" i="13"/>
  <c r="AG449" i="13"/>
  <c r="AG473" i="13"/>
  <c r="AG1202" i="13"/>
  <c r="AG1167" i="13"/>
  <c r="AG1389" i="13"/>
  <c r="AG882" i="13"/>
  <c r="AG1347" i="13"/>
  <c r="AG1384" i="13"/>
  <c r="AG1156" i="13"/>
  <c r="AG1069" i="13"/>
  <c r="AG1391" i="13"/>
  <c r="AG1149" i="13"/>
  <c r="AG778" i="13"/>
  <c r="AG1246" i="13"/>
  <c r="AG249" i="13"/>
  <c r="AG899" i="13"/>
  <c r="AG1356" i="13"/>
  <c r="AG280" i="13"/>
  <c r="AG331" i="13"/>
  <c r="AG557" i="13"/>
  <c r="AG641" i="13"/>
  <c r="AG602" i="13"/>
  <c r="AG867" i="13"/>
  <c r="AG1234" i="13"/>
  <c r="AG421" i="13"/>
  <c r="AG904" i="13"/>
  <c r="AG588" i="13"/>
  <c r="AG816" i="13"/>
  <c r="AG863" i="13"/>
  <c r="AG677" i="13"/>
  <c r="AG714" i="13"/>
  <c r="AG1154" i="13"/>
  <c r="AG688" i="13"/>
  <c r="AG1349" i="13"/>
  <c r="AG462" i="13"/>
  <c r="AG372" i="13"/>
  <c r="AG827" i="13"/>
  <c r="AG1284" i="13"/>
  <c r="AG975" i="13"/>
  <c r="AG301" i="13"/>
  <c r="AG618" i="13"/>
  <c r="AG1024" i="13"/>
  <c r="AG910" i="13"/>
  <c r="AG1212" i="13"/>
  <c r="AG1335" i="13"/>
  <c r="AG1276" i="13"/>
  <c r="AG459" i="13"/>
  <c r="AG1247" i="13"/>
  <c r="AG1361" i="13"/>
  <c r="AG441" i="13"/>
  <c r="AG320" i="13"/>
  <c r="AG1221" i="13"/>
  <c r="AG705" i="13"/>
  <c r="AG1184" i="13"/>
  <c r="AG941" i="13"/>
  <c r="AG409" i="13"/>
  <c r="AG711" i="13"/>
  <c r="AG1177" i="13"/>
  <c r="AG569" i="13"/>
  <c r="AG1063" i="13"/>
  <c r="AG288" i="13"/>
  <c r="AG933" i="13"/>
  <c r="AG1192" i="13"/>
  <c r="AG695" i="13"/>
  <c r="AG575" i="13"/>
  <c r="AG617" i="13"/>
  <c r="AG1170" i="13"/>
  <c r="AG1405" i="13"/>
  <c r="AG951" i="13"/>
  <c r="AG753" i="13"/>
  <c r="AG1319" i="13"/>
  <c r="AG727" i="13"/>
  <c r="AG393" i="13"/>
  <c r="AG1005" i="13"/>
  <c r="AG625" i="13"/>
  <c r="AG1210" i="13"/>
  <c r="AG946" i="13"/>
  <c r="AG294" i="13"/>
  <c r="AG1092" i="13"/>
  <c r="AG415" i="13"/>
  <c r="AG1035" i="13"/>
  <c r="AG681" i="13"/>
  <c r="AG1182" i="13"/>
  <c r="AG905" i="13"/>
  <c r="AG1075" i="13"/>
  <c r="AG645" i="13"/>
  <c r="AG771" i="13"/>
  <c r="AG1258" i="13"/>
  <c r="AG463" i="13"/>
  <c r="AG770" i="13"/>
  <c r="AG872" i="13"/>
  <c r="AG931" i="13"/>
  <c r="AG581" i="13"/>
  <c r="AG1019" i="13"/>
  <c r="AG255" i="13"/>
  <c r="AG650" i="13"/>
  <c r="AG1329" i="13"/>
  <c r="AG612" i="13"/>
  <c r="AG350" i="13"/>
  <c r="AG258" i="13"/>
  <c r="AG1190" i="13"/>
  <c r="AG888" i="13"/>
  <c r="AG495" i="13"/>
  <c r="AG316" i="13"/>
  <c r="AG309" i="13"/>
  <c r="AG713" i="13"/>
  <c r="AG1418" i="13"/>
  <c r="AG800" i="13"/>
  <c r="AG411" i="13"/>
  <c r="AG620" i="13"/>
  <c r="AG747" i="13"/>
  <c r="AG395" i="13"/>
  <c r="AG754" i="13"/>
  <c r="AG1045" i="13"/>
  <c r="AG1022" i="13"/>
  <c r="AG451" i="13"/>
  <c r="AG901" i="13"/>
  <c r="AG957" i="13"/>
  <c r="AG1415" i="13"/>
  <c r="AG1111" i="13"/>
  <c r="AG1324" i="13"/>
  <c r="AG1220" i="13"/>
  <c r="AG329" i="13"/>
  <c r="AG377" i="13"/>
  <c r="AG1231" i="13"/>
  <c r="AG443" i="13"/>
  <c r="AG696" i="13"/>
  <c r="AG312" i="13"/>
  <c r="AG475" i="13"/>
  <c r="AG797" i="13"/>
  <c r="AG967" i="13"/>
  <c r="AG403" i="13"/>
  <c r="AG966" i="13"/>
  <c r="AG428" i="13"/>
  <c r="AG446" i="13"/>
  <c r="AG1131" i="13"/>
  <c r="AG762" i="13"/>
  <c r="AG1172" i="13"/>
  <c r="AG666" i="13"/>
  <c r="AG1187" i="13"/>
  <c r="AG700" i="13"/>
  <c r="AG1282" i="13"/>
  <c r="AG621" i="13"/>
  <c r="AG1003" i="13"/>
  <c r="AG811" i="13"/>
  <c r="AG1122" i="13"/>
  <c r="AG994" i="13"/>
  <c r="AG1099" i="13"/>
  <c r="AG990" i="13"/>
  <c r="AG642" i="13"/>
  <c r="AG1091" i="13"/>
  <c r="AG558" i="13"/>
  <c r="AG1409" i="13"/>
  <c r="AG669" i="13"/>
  <c r="AG279" i="13"/>
  <c r="AG1147" i="13"/>
  <c r="AG380" i="13"/>
  <c r="AG252" i="13"/>
  <c r="AG1161" i="13"/>
  <c r="AG556" i="13"/>
  <c r="AG613" i="13"/>
  <c r="AG1040" i="13"/>
  <c r="AG1100" i="13"/>
  <c r="AG1106" i="13"/>
  <c r="AG690" i="13"/>
  <c r="AG897" i="13"/>
  <c r="AG1253" i="13"/>
  <c r="AG413" i="13"/>
  <c r="AG919" i="13"/>
  <c r="AG1302" i="13"/>
  <c r="AG508" i="13"/>
  <c r="AG739" i="13"/>
  <c r="AG1309" i="13"/>
  <c r="AG986" i="13"/>
  <c r="AG848" i="13"/>
  <c r="AG763" i="13"/>
  <c r="AG573" i="13"/>
  <c r="AG724" i="13"/>
  <c r="AG240" i="13"/>
  <c r="AG1027" i="13"/>
  <c r="AG1218" i="13"/>
  <c r="AG772" i="13"/>
  <c r="AG1213" i="13"/>
  <c r="AG1214" i="13"/>
  <c r="AG993" i="13"/>
  <c r="AG1158" i="13"/>
  <c r="AG604" i="13"/>
  <c r="AG843" i="13"/>
  <c r="AG691" i="13"/>
  <c r="AG467" i="13"/>
  <c r="AG374" i="13"/>
  <c r="AG1398" i="13"/>
  <c r="AG238" i="13"/>
  <c r="AG1290" i="13"/>
  <c r="AG1254" i="13"/>
  <c r="AG1096" i="13"/>
  <c r="AG474" i="13"/>
  <c r="AG694" i="13"/>
  <c r="AG472" i="13"/>
  <c r="AG455" i="13"/>
  <c r="AG356" i="13"/>
  <c r="AG1325" i="13"/>
  <c r="AG1014" i="13"/>
  <c r="AG1388" i="13"/>
  <c r="AG1198" i="13"/>
  <c r="AG732" i="13"/>
  <c r="AG1358" i="13"/>
  <c r="AG900" i="13"/>
  <c r="AG416" i="13"/>
  <c r="AG1363" i="13"/>
  <c r="AG348" i="13"/>
  <c r="AG1260" i="13"/>
  <c r="AG758" i="13"/>
  <c r="AG1420" i="13"/>
  <c r="AG266" i="13"/>
  <c r="AG1346" i="13"/>
  <c r="AG873" i="13"/>
  <c r="AG1081" i="13"/>
  <c r="AG777" i="13"/>
  <c r="AG868" i="13"/>
  <c r="AG712" i="13"/>
  <c r="AG326" i="13"/>
  <c r="AG718" i="13"/>
  <c r="AG1196" i="13"/>
  <c r="AG790" i="13"/>
  <c r="AG833" i="13"/>
  <c r="AG876" i="13"/>
  <c r="AG820" i="13"/>
  <c r="AG1272" i="13"/>
  <c r="AG1000" i="13"/>
  <c r="AG1124" i="13"/>
  <c r="AG1330" i="13"/>
  <c r="AG1267" i="13"/>
  <c r="AG1230" i="13"/>
  <c r="AG330" i="13"/>
  <c r="AG926" i="13"/>
  <c r="AG1270" i="13"/>
  <c r="AG378" i="13"/>
  <c r="AG1344" i="13"/>
  <c r="AG1204" i="13"/>
  <c r="AG325" i="13"/>
  <c r="AG418" i="13"/>
  <c r="AG533" i="13"/>
  <c r="AG720" i="13"/>
  <c r="AG271" i="13"/>
  <c r="AG1044" i="13"/>
  <c r="AG343" i="13"/>
  <c r="AG286" i="13"/>
  <c r="AG678" i="13"/>
  <c r="AG242" i="13"/>
  <c r="AG257" i="13"/>
  <c r="AG1055" i="13"/>
  <c r="AG1058" i="13"/>
  <c r="AG733" i="13"/>
  <c r="AG278" i="13"/>
  <c r="AG1043" i="13"/>
  <c r="AG1018" i="13"/>
  <c r="AG572" i="13"/>
  <c r="AG1207" i="13"/>
  <c r="AG922" i="13"/>
  <c r="AG1135" i="13"/>
  <c r="AG232" i="13"/>
  <c r="AG1301" i="13"/>
  <c r="AG1378" i="13"/>
  <c r="AG283" i="13"/>
  <c r="AG1326" i="13"/>
  <c r="AG1293" i="13"/>
  <c r="AG1026" i="13"/>
  <c r="AG1034" i="13"/>
  <c r="AG852" i="13"/>
  <c r="AG487" i="13"/>
  <c r="AG423" i="13"/>
  <c r="AG303" i="13"/>
  <c r="AG685" i="13"/>
  <c r="AG285" i="13"/>
  <c r="AG1268" i="13"/>
  <c r="AG1315" i="13"/>
  <c r="AG913" i="13"/>
  <c r="AG831" i="13"/>
  <c r="AG741" i="13"/>
  <c r="AG883" i="13"/>
  <c r="AG564" i="13"/>
  <c r="AG450" i="13"/>
  <c r="AG693" i="13"/>
  <c r="AG244" i="13"/>
  <c r="AG295" i="13"/>
  <c r="AG940" i="13"/>
  <c r="AG1199" i="13"/>
  <c r="AG1103" i="13"/>
  <c r="AG634" i="13"/>
  <c r="AG503" i="13"/>
  <c r="AG628" i="13"/>
  <c r="AG1283" i="13"/>
  <c r="AG1072" i="13"/>
  <c r="AG643" i="13"/>
  <c r="AG576" i="13"/>
  <c r="AG961" i="13"/>
  <c r="AG333" i="13"/>
  <c r="AG592" i="13"/>
  <c r="AG1365" i="13"/>
  <c r="AG1049" i="13"/>
  <c r="AG392" i="13"/>
  <c r="AG498" i="13"/>
  <c r="AG384" i="13"/>
  <c r="AG552" i="13"/>
  <c r="AG731" i="13"/>
  <c r="AG680" i="13"/>
  <c r="AG982" i="13"/>
  <c r="AG1238" i="13"/>
  <c r="AG948" i="13"/>
  <c r="AG892" i="13"/>
  <c r="AG536" i="13"/>
  <c r="AG744" i="13"/>
  <c r="AG1396" i="13"/>
  <c r="AG1041" i="13"/>
  <c r="AG1209" i="13"/>
  <c r="AG442" i="13"/>
  <c r="AG902" i="13"/>
  <c r="AG1065" i="13"/>
  <c r="AG440" i="13"/>
  <c r="AG1178" i="13"/>
  <c r="AG934" i="13"/>
  <c r="AG1025" i="13"/>
  <c r="AG346" i="13"/>
  <c r="AG755" i="13"/>
  <c r="AG471" i="13"/>
  <c r="AG992" i="13"/>
  <c r="AG366" i="13"/>
  <c r="AG787" i="13"/>
  <c r="AG273" i="13"/>
  <c r="AG676" i="13"/>
  <c r="AG412" i="13"/>
  <c r="AG263" i="13"/>
  <c r="AG1317" i="13"/>
  <c r="AG406" i="13"/>
  <c r="AG1120" i="13"/>
  <c r="AG396" i="13"/>
  <c r="AG987" i="13"/>
  <c r="AG1274" i="13"/>
  <c r="AG1305" i="13"/>
  <c r="AG464" i="13"/>
  <c r="AG810" i="13"/>
  <c r="AG859" i="13"/>
  <c r="AG363" i="13"/>
  <c r="AG308" i="13"/>
  <c r="AG840" i="13"/>
  <c r="AG431" i="13"/>
  <c r="AG254" i="13"/>
  <c r="AG535" i="13"/>
  <c r="AG874" i="13"/>
  <c r="AG1229" i="13"/>
  <c r="AG490" i="13"/>
  <c r="AG424" i="13"/>
  <c r="AG375" i="13"/>
  <c r="AG390" i="13"/>
  <c r="AG407" i="13"/>
  <c r="AG304" i="13"/>
  <c r="AG1411" i="13"/>
  <c r="AG603" i="13"/>
  <c r="AG1020" i="13"/>
  <c r="AG955" i="13"/>
  <c r="AG923" i="13"/>
  <c r="AG959" i="13"/>
  <c r="AG781" i="13"/>
  <c r="AG1141" i="13"/>
  <c r="AG896" i="13"/>
  <c r="AG954" i="13"/>
  <c r="AG358" i="13"/>
  <c r="AG1066" i="13"/>
  <c r="AG600" i="13"/>
  <c r="AG1052" i="13"/>
  <c r="AG684" i="13"/>
  <c r="AG784" i="13"/>
  <c r="AG906" i="13"/>
  <c r="AG1376" i="13"/>
  <c r="AG245" i="13"/>
  <c r="AG434" i="13"/>
  <c r="AG1128" i="13"/>
  <c r="AG1030" i="13"/>
  <c r="AG426" i="13"/>
  <c r="AG632" i="13"/>
  <c r="AG616" i="13"/>
  <c r="AG466" i="13"/>
  <c r="AG1006" i="13"/>
  <c r="AG322" i="13"/>
  <c r="AG1102" i="13"/>
  <c r="AG1312" i="13"/>
  <c r="AG1304" i="13"/>
  <c r="AG1280" i="13"/>
  <c r="AG1318" i="13"/>
  <c r="AG1256" i="13"/>
  <c r="AG846" i="13"/>
  <c r="AG796" i="13"/>
  <c r="AG1219" i="13"/>
  <c r="AG354" i="13"/>
  <c r="AG1137" i="13"/>
  <c r="AG844" i="13"/>
  <c r="AG1188" i="13"/>
  <c r="AG517" i="13"/>
  <c r="AG1400" i="13"/>
  <c r="AG1116" i="13"/>
  <c r="AG979" i="13"/>
  <c r="AG1338" i="13"/>
  <c r="AG574" i="13"/>
  <c r="AG752" i="13"/>
  <c r="AG614" i="13"/>
  <c r="AG862" i="13"/>
  <c r="AG394" i="13"/>
  <c r="AG456" i="13"/>
  <c r="AG1362" i="13"/>
  <c r="AG1175" i="13"/>
  <c r="AG738" i="13"/>
  <c r="AG562" i="13"/>
  <c r="AG315" i="13"/>
  <c r="AG1010" i="13"/>
  <c r="AG468" i="13"/>
  <c r="AG730" i="13"/>
  <c r="AG398" i="13"/>
  <c r="AG764" i="13"/>
  <c r="AG270" i="13"/>
  <c r="AG422" i="13"/>
  <c r="AG1146" i="13"/>
  <c r="AG261" i="13"/>
  <c r="AG1340" i="13"/>
  <c r="AG706" i="13"/>
  <c r="AG1343" i="13"/>
  <c r="AG594" i="13"/>
  <c r="AG915" i="13"/>
  <c r="AG1395" i="13"/>
  <c r="AG1277" i="13"/>
  <c r="AG494" i="13"/>
  <c r="AG335" i="13"/>
  <c r="AG539" i="13"/>
  <c r="AG1211" i="13"/>
  <c r="AG1322" i="13"/>
  <c r="AG1367" i="13"/>
  <c r="AG870" i="13"/>
  <c r="AG578" i="13"/>
  <c r="AG360" i="13"/>
  <c r="AG622" i="13"/>
  <c r="AG420" i="13"/>
  <c r="AG1341" i="13"/>
  <c r="AG1351" i="13"/>
  <c r="AG239" i="13"/>
  <c r="AG284" i="13"/>
  <c r="AG889" i="13"/>
  <c r="AG1059" i="13"/>
  <c r="AG968" i="13"/>
  <c r="AG1323" i="13"/>
  <c r="AG1056" i="13"/>
  <c r="AG907" i="13"/>
  <c r="AG880" i="13"/>
  <c r="AG1143" i="13"/>
  <c r="AG1191" i="13"/>
  <c r="AG1237" i="13"/>
  <c r="AG437" i="13"/>
  <c r="AG1011" i="13"/>
  <c r="AG856" i="13"/>
  <c r="AG461" i="13"/>
  <c r="AG469" i="13"/>
  <c r="AG1046" i="13"/>
  <c r="AG373" i="13"/>
  <c r="AG314" i="13"/>
  <c r="AG1373" i="13"/>
  <c r="AG376" i="13"/>
  <c r="AG1118" i="13"/>
  <c r="AG950" i="13"/>
  <c r="AG1110" i="13"/>
  <c r="AG809" i="13"/>
  <c r="AG841" i="13"/>
  <c r="AG1134" i="13"/>
  <c r="AG865" i="13"/>
  <c r="AG980" i="13"/>
  <c r="AG1094" i="13"/>
  <c r="AG1108" i="13"/>
  <c r="AG1416" i="13"/>
  <c r="AG1390" i="13"/>
  <c r="AG1076" i="13"/>
  <c r="AG386" i="13"/>
  <c r="AG1121" i="13"/>
  <c r="AG582" i="13"/>
  <c r="AG1139" i="13"/>
  <c r="AG336" i="13"/>
  <c r="AG1406" i="13"/>
  <c r="AG1009" i="13"/>
  <c r="AG1160" i="13"/>
  <c r="AG1352" i="13"/>
  <c r="AG400" i="13"/>
  <c r="AG750" i="13"/>
  <c r="AG566" i="13"/>
  <c r="AG932" i="13"/>
  <c r="AG410" i="13"/>
  <c r="AG311" i="13"/>
  <c r="AG430" i="13"/>
  <c r="AG851" i="13"/>
  <c r="AG518" i="13"/>
  <c r="AG492" i="13"/>
  <c r="AG379" i="13"/>
  <c r="AG748" i="13"/>
  <c r="AG668" i="13"/>
  <c r="AG1269" i="13"/>
  <c r="AG788" i="13"/>
  <c r="AG391" i="13"/>
  <c r="AG1300" i="13"/>
  <c r="AG313" i="13"/>
  <c r="AG259" i="13"/>
  <c r="AG1031" i="13"/>
  <c r="AG597" i="13"/>
  <c r="AG956" i="13"/>
  <c r="AG832" i="13"/>
  <c r="AG452" i="13"/>
  <c r="AG939" i="13"/>
  <c r="AG653" i="13"/>
  <c r="AG644" i="13"/>
  <c r="AG429" i="13"/>
  <c r="AG1028" i="13"/>
  <c r="AG1080" i="13"/>
  <c r="AG1403" i="13"/>
  <c r="AG864" i="13"/>
  <c r="AG804" i="13"/>
  <c r="AG1298" i="13"/>
  <c r="AG835" i="13"/>
  <c r="AG626" i="13"/>
  <c r="AG1166" i="13"/>
  <c r="AG766" i="13"/>
  <c r="AG388" i="13"/>
  <c r="AG292" i="13"/>
  <c r="AG1379" i="13"/>
  <c r="AG1334" i="13"/>
  <c r="AG938" i="13"/>
  <c r="AG1157" i="13"/>
  <c r="AG1074" i="13"/>
  <c r="AG1112" i="13"/>
  <c r="AG729" i="13"/>
  <c r="AG1250" i="13"/>
  <c r="AG1132" i="13"/>
  <c r="AG274" i="13"/>
  <c r="AG504" i="13"/>
  <c r="AG1236" i="13"/>
  <c r="AG952" i="13"/>
  <c r="AG798" i="13"/>
  <c r="AG793" i="13"/>
  <c r="AG1078" i="13"/>
  <c r="AG881" i="13"/>
  <c r="AG836" i="13"/>
  <c r="AG530" i="13"/>
  <c r="AG1383" i="13"/>
  <c r="AG1294" i="13"/>
  <c r="AG547" i="13"/>
  <c r="AG726" i="13"/>
  <c r="AG937" i="13"/>
  <c r="AG1113" i="13"/>
  <c r="AG672" i="13"/>
  <c r="AG769" i="13"/>
  <c r="AG958" i="13"/>
  <c r="AG761" i="13"/>
  <c r="AG757" i="13"/>
  <c r="AG1084" i="13"/>
  <c r="AG1201" i="13"/>
  <c r="AG1060" i="13"/>
  <c r="AG338" i="13"/>
  <c r="AG878" i="13"/>
  <c r="AG1392" i="13"/>
  <c r="AG996" i="13"/>
  <c r="AG683" i="13"/>
  <c r="AG1408" i="13"/>
  <c r="AG812" i="13"/>
  <c r="AG814" i="13"/>
  <c r="AG1224" i="13"/>
  <c r="AG702" i="13"/>
  <c r="AG646" i="13"/>
  <c r="AG606" i="13"/>
  <c r="AG736" i="13"/>
  <c r="AG579" i="13"/>
  <c r="AG563" i="13"/>
  <c r="AG976" i="13"/>
  <c r="AG875" i="13"/>
  <c r="AG963" i="13"/>
  <c r="AG794" i="13"/>
  <c r="AG486" i="13"/>
  <c r="AG359" i="13"/>
  <c r="AG822" i="13"/>
  <c r="AG898" i="13"/>
  <c r="AG1297" i="13"/>
  <c r="AG444" i="13"/>
  <c r="AG912" i="13"/>
  <c r="AG383" i="13"/>
  <c r="AG854" i="13"/>
  <c r="AG532" i="13"/>
  <c r="AG332" i="13"/>
  <c r="AG1278" i="13"/>
  <c r="AG692" i="13"/>
  <c r="AG1071" i="13"/>
  <c r="AG342" i="13"/>
  <c r="AG243" i="13"/>
  <c r="AG1150" i="13"/>
  <c r="AG826" i="13"/>
  <c r="AG807" i="13"/>
  <c r="AG665" i="13"/>
  <c r="AG298" i="13"/>
  <c r="AG624" i="13"/>
  <c r="AG297" i="13"/>
  <c r="AG792" i="13"/>
  <c r="AG783" i="13"/>
  <c r="AG1197" i="13"/>
  <c r="AG903" i="13"/>
  <c r="AG824" i="13"/>
  <c r="AG785" i="13"/>
  <c r="AG1180" i="13"/>
  <c r="AG589" i="13"/>
  <c r="AG460" i="13"/>
  <c r="AG307" i="13"/>
  <c r="AG323" i="13"/>
  <c r="AG960" i="13"/>
  <c r="AG704" i="13"/>
  <c r="AG1181" i="13"/>
  <c r="AG850" i="13"/>
  <c r="AG935" i="13"/>
  <c r="AG327" i="13"/>
  <c r="AG553" i="13"/>
  <c r="AG256" i="13"/>
  <c r="AG927" i="13"/>
  <c r="AG368" i="13"/>
  <c r="AG834" i="13"/>
  <c r="AG1088" i="13"/>
  <c r="AG699" i="13"/>
  <c r="AG974" i="13"/>
  <c r="AG775" i="13"/>
  <c r="AG1310" i="13"/>
  <c r="AG1073" i="13"/>
  <c r="AG1070" i="13"/>
  <c r="AG389" i="13"/>
  <c r="AG1288" i="13"/>
  <c r="AG1165" i="13"/>
  <c r="AG1327" i="13"/>
  <c r="AG522" i="13"/>
  <c r="AG710" i="13"/>
  <c r="AG545" i="13"/>
  <c r="AG1126" i="13"/>
  <c r="AG1104" i="13"/>
  <c r="AG598" i="13"/>
  <c r="AG1414" i="13"/>
  <c r="AG1185" i="13"/>
  <c r="AG908" i="13"/>
  <c r="AG670" i="13"/>
  <c r="AG543" i="13"/>
  <c r="AG1412" i="13"/>
  <c r="AG894" i="13"/>
  <c r="AG1248" i="13"/>
  <c r="AG1176" i="13"/>
  <c r="AG884" i="13"/>
  <c r="AG477" i="13"/>
  <c r="AG1193" i="13"/>
  <c r="AG520" i="13"/>
  <c r="AG432" i="13"/>
  <c r="AG370" i="13"/>
  <c r="AG728" i="13"/>
  <c r="AG654" i="13"/>
  <c r="AG803" i="13"/>
  <c r="AG945" i="13"/>
  <c r="AG1002" i="13"/>
  <c r="AG484" i="13"/>
  <c r="AG414" i="13"/>
  <c r="AG866" i="13"/>
  <c r="AG1252" i="13"/>
  <c r="AG749" i="13"/>
  <c r="AG1032" i="13"/>
  <c r="AG516" i="13"/>
  <c r="AG548" i="13"/>
  <c r="AG924" i="13"/>
  <c r="AG527" i="13"/>
  <c r="AG570" i="13"/>
  <c r="AG318" i="13"/>
  <c r="AG1115" i="13"/>
  <c r="AG1050" i="13"/>
  <c r="AG488" i="13"/>
  <c r="AG233" i="13"/>
  <c r="AG1321" i="13"/>
  <c r="AG995" i="13"/>
  <c r="AG1064" i="13"/>
  <c r="AG887" i="13"/>
  <c r="AG565" i="13"/>
  <c r="AG1404" i="13"/>
  <c r="AG321" i="13"/>
  <c r="AG319" i="13"/>
  <c r="AG795" i="13"/>
  <c r="AG1313" i="13"/>
  <c r="AG857" i="13"/>
  <c r="AG921" i="13"/>
  <c r="AG1089" i="13"/>
  <c r="AG664" i="13"/>
  <c r="AG610" i="13"/>
  <c r="AG470" i="13"/>
  <c r="AG293" i="13"/>
  <c r="AG265" i="13"/>
  <c r="AG1174" i="13"/>
  <c r="AG849" i="13"/>
  <c r="AG1348" i="13"/>
  <c r="AG1036" i="13"/>
  <c r="AG972" i="13"/>
  <c r="AG1138" i="13"/>
  <c r="AG660" i="13"/>
  <c r="AG476" i="13"/>
  <c r="AG1226" i="13"/>
  <c r="AG344" i="13"/>
  <c r="AG978" i="13"/>
  <c r="AG458" i="13"/>
  <c r="AG734" i="13"/>
  <c r="AG544" i="13"/>
  <c r="AG1381" i="13"/>
  <c r="AG1062" i="13"/>
  <c r="AG1370" i="13"/>
  <c r="AG482" i="13"/>
  <c r="AG656" i="13"/>
  <c r="AG1328" i="13"/>
  <c r="AG715" i="13"/>
  <c r="AG1152" i="13"/>
  <c r="AG830" i="13"/>
  <c r="AG1054" i="13"/>
  <c r="AG1232" i="13"/>
  <c r="AG774" i="13"/>
  <c r="AG1227" i="13"/>
  <c r="AG838" i="13"/>
  <c r="AG1169" i="13"/>
  <c r="AG1243" i="13"/>
  <c r="AG886" i="13"/>
  <c r="AG571" i="13"/>
  <c r="AG362" i="13"/>
  <c r="AG1368" i="13"/>
  <c r="AG448" i="13"/>
  <c r="AG1155" i="13"/>
  <c r="AG1183" i="13"/>
  <c r="AG638" i="13"/>
  <c r="AG480" i="13"/>
  <c r="AG1097" i="13"/>
  <c r="AG408" i="13"/>
  <c r="AG512" i="13"/>
  <c r="AG630" i="13"/>
  <c r="AG780" i="13"/>
  <c r="K41" i="2"/>
  <c r="O29" i="2"/>
  <c r="M33" i="2"/>
  <c r="M35" i="2" s="1"/>
  <c r="M37" i="2" s="1"/>
  <c r="M41" i="2" s="1"/>
  <c r="K40" i="2"/>
  <c r="I38" i="2"/>
  <c r="K38" i="2" s="1"/>
  <c r="E38" i="2"/>
  <c r="G13" i="25" l="1"/>
  <c r="G37" i="24"/>
  <c r="G35" i="24"/>
  <c r="G17" i="25"/>
  <c r="G28" i="24"/>
  <c r="G15" i="29"/>
  <c r="G18" i="29"/>
  <c r="C21" i="19"/>
  <c r="G39" i="24"/>
  <c r="G27" i="24"/>
  <c r="G21" i="24"/>
  <c r="G18" i="24"/>
  <c r="G30" i="24"/>
  <c r="G9" i="19"/>
  <c r="H9" i="19" s="1"/>
  <c r="G24" i="24"/>
  <c r="G15" i="24"/>
  <c r="G16" i="24"/>
  <c r="G11" i="25"/>
  <c r="G18" i="25"/>
  <c r="G19" i="24"/>
  <c r="G38" i="24"/>
  <c r="G16" i="29"/>
  <c r="G13" i="29"/>
  <c r="G29" i="24"/>
  <c r="H10" i="26"/>
  <c r="G16" i="25"/>
  <c r="G14" i="29"/>
  <c r="G10" i="29"/>
  <c r="G36" i="24"/>
  <c r="G10" i="19"/>
  <c r="H10" i="19" s="1"/>
  <c r="C22" i="19"/>
  <c r="G34" i="24"/>
  <c r="H34" i="24" s="1"/>
  <c r="G17" i="29"/>
  <c r="G12" i="24"/>
  <c r="C25" i="19"/>
  <c r="G13" i="19"/>
  <c r="H13" i="19" s="1"/>
  <c r="G23" i="24"/>
  <c r="G13" i="24"/>
  <c r="G22" i="24"/>
  <c r="G26" i="24"/>
  <c r="H26" i="24" s="1"/>
  <c r="G21" i="29"/>
  <c r="G9" i="29"/>
  <c r="C20" i="19"/>
  <c r="G8" i="19"/>
  <c r="H8" i="19" s="1"/>
  <c r="H12" i="26"/>
  <c r="G11" i="19"/>
  <c r="H11" i="19" s="1"/>
  <c r="C23" i="19"/>
  <c r="H37" i="24"/>
  <c r="G31" i="24"/>
  <c r="H9" i="26"/>
  <c r="G40" i="24"/>
  <c r="G12" i="25"/>
  <c r="G10" i="25"/>
  <c r="G25" i="24"/>
  <c r="G20" i="29"/>
  <c r="H20" i="29" s="1"/>
  <c r="G15" i="25"/>
  <c r="G11" i="24"/>
  <c r="G12" i="29"/>
  <c r="G32" i="24"/>
  <c r="G20" i="24"/>
  <c r="G10" i="24"/>
  <c r="G17" i="24"/>
  <c r="H17" i="24" s="1"/>
  <c r="G19" i="29"/>
  <c r="H11" i="26"/>
  <c r="G14" i="24"/>
  <c r="G9" i="25"/>
  <c r="G14" i="25"/>
  <c r="H14" i="25" s="1"/>
  <c r="G9" i="24"/>
  <c r="G11" i="29"/>
  <c r="G33" i="24"/>
  <c r="C19" i="19"/>
  <c r="G7" i="19"/>
  <c r="H7" i="19" s="1"/>
  <c r="Q29" i="2"/>
  <c r="Q33" i="2" s="1"/>
  <c r="Q35" i="2" s="1"/>
  <c r="O33" i="2"/>
  <c r="O35" i="2" s="1"/>
  <c r="O37" i="2" s="1"/>
  <c r="O41" i="2" s="1"/>
  <c r="M39" i="2"/>
  <c r="O39" i="2" s="1"/>
  <c r="M38" i="2"/>
  <c r="M40" i="2"/>
  <c r="I10" i="26" l="1"/>
  <c r="H13" i="24"/>
  <c r="H18" i="24"/>
  <c r="H16" i="24"/>
  <c r="H10" i="24"/>
  <c r="H22" i="24"/>
  <c r="H29" i="24"/>
  <c r="H14" i="24"/>
  <c r="H32" i="24"/>
  <c r="H15" i="29"/>
  <c r="H24" i="24"/>
  <c r="H18" i="25"/>
  <c r="H9" i="25"/>
  <c r="H25" i="24"/>
  <c r="H10" i="25"/>
  <c r="H12" i="25"/>
  <c r="H36" i="24"/>
  <c r="H13" i="29"/>
  <c r="H30" i="24"/>
  <c r="H15" i="24"/>
  <c r="I12" i="26"/>
  <c r="H23" i="24"/>
  <c r="H10" i="29"/>
  <c r="H16" i="29"/>
  <c r="H21" i="24"/>
  <c r="H18" i="29"/>
  <c r="H12" i="29"/>
  <c r="H40" i="24"/>
  <c r="H11" i="29"/>
  <c r="I11" i="26"/>
  <c r="H35" i="24"/>
  <c r="H31" i="24"/>
  <c r="H9" i="29"/>
  <c r="H12" i="24"/>
  <c r="H14" i="29"/>
  <c r="H38" i="24"/>
  <c r="H27" i="24"/>
  <c r="H17" i="25"/>
  <c r="H11" i="25"/>
  <c r="H20" i="24"/>
  <c r="H33" i="24"/>
  <c r="H13" i="25"/>
  <c r="H11" i="24"/>
  <c r="I9" i="26"/>
  <c r="O38" i="2"/>
  <c r="H9" i="24"/>
  <c r="H19" i="29"/>
  <c r="H15" i="25"/>
  <c r="H28" i="24"/>
  <c r="H21" i="29"/>
  <c r="H17" i="29"/>
  <c r="H16" i="25"/>
  <c r="H19" i="24"/>
  <c r="H39" i="24"/>
  <c r="O40" i="2"/>
  <c r="Q37" i="2"/>
  <c r="Q41" i="2" s="1"/>
  <c r="I15" i="25" l="1"/>
  <c r="I29" i="24"/>
  <c r="I22" i="24"/>
  <c r="I26" i="24"/>
  <c r="I13" i="25"/>
  <c r="I12" i="24"/>
  <c r="I18" i="29"/>
  <c r="I13" i="29"/>
  <c r="I21" i="29"/>
  <c r="I28" i="24"/>
  <c r="I33" i="24"/>
  <c r="I9" i="29"/>
  <c r="I21" i="24"/>
  <c r="I36" i="24"/>
  <c r="I37" i="24"/>
  <c r="I20" i="24"/>
  <c r="I31" i="24"/>
  <c r="I16" i="29"/>
  <c r="I12" i="25"/>
  <c r="I17" i="24"/>
  <c r="I10" i="24"/>
  <c r="I19" i="29"/>
  <c r="I35" i="24"/>
  <c r="I10" i="29"/>
  <c r="I10" i="25"/>
  <c r="I14" i="25"/>
  <c r="I34" i="24"/>
  <c r="I39" i="24"/>
  <c r="I17" i="25"/>
  <c r="J11" i="26"/>
  <c r="I23" i="24"/>
  <c r="I25" i="24"/>
  <c r="I24" i="24"/>
  <c r="I20" i="29"/>
  <c r="I11" i="25"/>
  <c r="I11" i="29"/>
  <c r="J12" i="26"/>
  <c r="I9" i="25"/>
  <c r="I15" i="29"/>
  <c r="I16" i="24"/>
  <c r="I19" i="24"/>
  <c r="I16" i="25"/>
  <c r="J9" i="26"/>
  <c r="I38" i="24"/>
  <c r="I40" i="24"/>
  <c r="I15" i="24"/>
  <c r="I18" i="25"/>
  <c r="I32" i="24"/>
  <c r="I18" i="24"/>
  <c r="I9" i="24"/>
  <c r="I27" i="24"/>
  <c r="I17" i="29"/>
  <c r="I11" i="24"/>
  <c r="I14" i="29"/>
  <c r="I12" i="29"/>
  <c r="I30" i="24"/>
  <c r="J10" i="26"/>
  <c r="I14" i="24"/>
  <c r="I13" i="24"/>
  <c r="Q38" i="2"/>
  <c r="Q39" i="2"/>
  <c r="Q40" i="2"/>
  <c r="F51" i="25" l="1"/>
  <c r="H51" i="25" s="1"/>
  <c r="D51" i="25"/>
  <c r="B51" i="25"/>
  <c r="Z89" i="13"/>
  <c r="AA89" i="13" s="1"/>
  <c r="T89" i="13"/>
  <c r="U89" i="13" s="1"/>
  <c r="P89" i="13"/>
  <c r="K89" i="13"/>
  <c r="E89" i="13"/>
  <c r="D89" i="13"/>
  <c r="C89" i="13"/>
  <c r="B89" i="13"/>
  <c r="V89" i="13" l="1"/>
  <c r="W89" i="13" s="1"/>
  <c r="X89" i="13" s="1"/>
  <c r="AB89" i="13"/>
  <c r="AE89" i="13" l="1"/>
  <c r="AC89" i="13"/>
  <c r="AD89" i="13" s="1"/>
  <c r="AF89" i="13" l="1"/>
  <c r="Z172" i="13"/>
  <c r="AB172" i="13" s="1"/>
  <c r="AC172" i="13" s="1"/>
  <c r="AD172" i="13" s="1"/>
  <c r="T172" i="13"/>
  <c r="V172" i="13" s="1"/>
  <c r="P172" i="13"/>
  <c r="K172" i="13"/>
  <c r="E172" i="13"/>
  <c r="D172" i="13"/>
  <c r="C172" i="13"/>
  <c r="B172" i="13"/>
  <c r="Z171" i="13"/>
  <c r="AB171" i="13" s="1"/>
  <c r="T171" i="13"/>
  <c r="V171" i="13" s="1"/>
  <c r="P171" i="13"/>
  <c r="K171" i="13"/>
  <c r="E171" i="13"/>
  <c r="D171" i="13"/>
  <c r="C171" i="13"/>
  <c r="B171" i="13"/>
  <c r="Z170" i="13"/>
  <c r="AB170" i="13" s="1"/>
  <c r="T170" i="13"/>
  <c r="V170" i="13" s="1"/>
  <c r="P170" i="13"/>
  <c r="K170" i="13"/>
  <c r="E170" i="13"/>
  <c r="D170" i="13"/>
  <c r="C170" i="13"/>
  <c r="B170" i="13"/>
  <c r="Z169" i="13"/>
  <c r="AA169" i="13" s="1"/>
  <c r="T169" i="13"/>
  <c r="V169" i="13" s="1"/>
  <c r="P169" i="13"/>
  <c r="K169" i="13"/>
  <c r="E169" i="13"/>
  <c r="D169" i="13"/>
  <c r="C169" i="13"/>
  <c r="B169" i="13"/>
  <c r="Z168" i="13"/>
  <c r="AB168" i="13" s="1"/>
  <c r="T168" i="13"/>
  <c r="U168" i="13" s="1"/>
  <c r="W168" i="13" s="1"/>
  <c r="X168" i="13" s="1"/>
  <c r="P168" i="13"/>
  <c r="K168" i="13"/>
  <c r="E168" i="13"/>
  <c r="D168" i="13"/>
  <c r="C168" i="13"/>
  <c r="B168" i="13"/>
  <c r="Z167" i="13"/>
  <c r="AB167" i="13" s="1"/>
  <c r="AC167" i="13" s="1"/>
  <c r="AD167" i="13" s="1"/>
  <c r="T167" i="13"/>
  <c r="V167" i="13" s="1"/>
  <c r="P167" i="13"/>
  <c r="K167" i="13"/>
  <c r="E167" i="13"/>
  <c r="D167" i="13"/>
  <c r="C167" i="13"/>
  <c r="B167" i="13"/>
  <c r="Z166" i="13"/>
  <c r="AB166" i="13" s="1"/>
  <c r="AC166" i="13" s="1"/>
  <c r="AD166" i="13" s="1"/>
  <c r="T166" i="13"/>
  <c r="U166" i="13" s="1"/>
  <c r="P166" i="13"/>
  <c r="K166" i="13"/>
  <c r="E166" i="13"/>
  <c r="D166" i="13"/>
  <c r="C166" i="13"/>
  <c r="B166" i="13"/>
  <c r="Z165" i="13"/>
  <c r="AB165" i="13" s="1"/>
  <c r="T165" i="13"/>
  <c r="V165" i="13" s="1"/>
  <c r="P165" i="13"/>
  <c r="K165" i="13"/>
  <c r="E165" i="13"/>
  <c r="D165" i="13"/>
  <c r="C165" i="13"/>
  <c r="B165" i="13"/>
  <c r="Z164" i="13"/>
  <c r="AA164" i="13" s="1"/>
  <c r="T164" i="13"/>
  <c r="V164" i="13" s="1"/>
  <c r="P164" i="13"/>
  <c r="K164" i="13"/>
  <c r="E164" i="13"/>
  <c r="D164" i="13"/>
  <c r="C164" i="13"/>
  <c r="B164" i="13"/>
  <c r="Z163" i="13"/>
  <c r="AB163" i="13" s="1"/>
  <c r="AC163" i="13" s="1"/>
  <c r="AD163" i="13" s="1"/>
  <c r="T163" i="13"/>
  <c r="U163" i="13" s="1"/>
  <c r="P163" i="13"/>
  <c r="K163" i="13"/>
  <c r="E163" i="13"/>
  <c r="D163" i="13"/>
  <c r="C163" i="13"/>
  <c r="B163" i="13"/>
  <c r="Z162" i="13"/>
  <c r="AB162" i="13" s="1"/>
  <c r="T162" i="13"/>
  <c r="U162" i="13" s="1"/>
  <c r="P162" i="13"/>
  <c r="K162" i="13"/>
  <c r="E162" i="13"/>
  <c r="D162" i="13"/>
  <c r="C162" i="13"/>
  <c r="B162" i="13"/>
  <c r="Z161" i="13"/>
  <c r="AB161" i="13" s="1"/>
  <c r="AC161" i="13" s="1"/>
  <c r="AD161" i="13" s="1"/>
  <c r="T161" i="13"/>
  <c r="V161" i="13" s="1"/>
  <c r="P161" i="13"/>
  <c r="K161" i="13"/>
  <c r="E161" i="13"/>
  <c r="D161" i="13"/>
  <c r="C161" i="13"/>
  <c r="B161" i="13"/>
  <c r="Z160" i="13"/>
  <c r="AA160" i="13" s="1"/>
  <c r="T160" i="13"/>
  <c r="V160" i="13" s="1"/>
  <c r="P160" i="13"/>
  <c r="K160" i="13"/>
  <c r="E160" i="13"/>
  <c r="D160" i="13"/>
  <c r="C160" i="13"/>
  <c r="B160" i="13"/>
  <c r="Z159" i="13"/>
  <c r="AB159" i="13" s="1"/>
  <c r="T159" i="13"/>
  <c r="V159" i="13" s="1"/>
  <c r="P159" i="13"/>
  <c r="K159" i="13"/>
  <c r="E159" i="13"/>
  <c r="D159" i="13"/>
  <c r="C159" i="13"/>
  <c r="B159" i="13"/>
  <c r="Z158" i="13"/>
  <c r="AB158" i="13" s="1"/>
  <c r="T158" i="13"/>
  <c r="V158" i="13" s="1"/>
  <c r="P158" i="13"/>
  <c r="K158" i="13"/>
  <c r="E158" i="13"/>
  <c r="D158" i="13"/>
  <c r="C158" i="13"/>
  <c r="B158" i="13"/>
  <c r="Z157" i="13"/>
  <c r="AB157" i="13" s="1"/>
  <c r="AC157" i="13" s="1"/>
  <c r="AD157" i="13" s="1"/>
  <c r="T157" i="13"/>
  <c r="U157" i="13" s="1"/>
  <c r="P157" i="13"/>
  <c r="K157" i="13"/>
  <c r="E157" i="13"/>
  <c r="D157" i="13"/>
  <c r="C157" i="13"/>
  <c r="B157" i="13"/>
  <c r="Z156" i="13"/>
  <c r="AB156" i="13" s="1"/>
  <c r="T156" i="13"/>
  <c r="V156" i="13" s="1"/>
  <c r="P156" i="13"/>
  <c r="K156" i="13"/>
  <c r="E156" i="13"/>
  <c r="D156" i="13"/>
  <c r="C156" i="13"/>
  <c r="B156" i="13"/>
  <c r="Z155" i="13"/>
  <c r="AB155" i="13" s="1"/>
  <c r="AC155" i="13" s="1"/>
  <c r="AD155" i="13" s="1"/>
  <c r="T155" i="13"/>
  <c r="U155" i="13" s="1"/>
  <c r="P155" i="13"/>
  <c r="K155" i="13"/>
  <c r="E155" i="13"/>
  <c r="D155" i="13"/>
  <c r="C155" i="13"/>
  <c r="B155" i="13"/>
  <c r="Z154" i="13"/>
  <c r="AB154" i="13" s="1"/>
  <c r="AC154" i="13" s="1"/>
  <c r="AD154" i="13" s="1"/>
  <c r="T154" i="13"/>
  <c r="V154" i="13" s="1"/>
  <c r="P154" i="13"/>
  <c r="K154" i="13"/>
  <c r="E154" i="13"/>
  <c r="D154" i="13"/>
  <c r="C154" i="13"/>
  <c r="B154" i="13"/>
  <c r="Z153" i="13"/>
  <c r="AB153" i="13" s="1"/>
  <c r="T153" i="13"/>
  <c r="V153" i="13" s="1"/>
  <c r="P153" i="13"/>
  <c r="K153" i="13"/>
  <c r="E153" i="13"/>
  <c r="D153" i="13"/>
  <c r="C153" i="13"/>
  <c r="B153" i="13"/>
  <c r="Z151" i="13"/>
  <c r="AA151" i="13" s="1"/>
  <c r="T151" i="13"/>
  <c r="V151" i="13" s="1"/>
  <c r="P151" i="13"/>
  <c r="K151" i="13"/>
  <c r="E151" i="13"/>
  <c r="D151" i="13"/>
  <c r="C151" i="13"/>
  <c r="B151" i="13"/>
  <c r="Z150" i="13"/>
  <c r="AB150" i="13" s="1"/>
  <c r="T150" i="13"/>
  <c r="U150" i="13" s="1"/>
  <c r="P150" i="13"/>
  <c r="K150" i="13"/>
  <c r="E150" i="13"/>
  <c r="D150" i="13"/>
  <c r="C150" i="13"/>
  <c r="B150" i="13"/>
  <c r="Z149" i="13"/>
  <c r="AB149" i="13" s="1"/>
  <c r="T149" i="13"/>
  <c r="V149" i="13" s="1"/>
  <c r="P149" i="13"/>
  <c r="K149" i="13"/>
  <c r="E149" i="13"/>
  <c r="D149" i="13"/>
  <c r="C149" i="13"/>
  <c r="B149" i="13"/>
  <c r="Z148" i="13"/>
  <c r="AB148" i="13" s="1"/>
  <c r="AC148" i="13" s="1"/>
  <c r="AD148" i="13" s="1"/>
  <c r="T148" i="13"/>
  <c r="V148" i="13" s="1"/>
  <c r="P148" i="13"/>
  <c r="K148" i="13"/>
  <c r="E148" i="13"/>
  <c r="D148" i="13"/>
  <c r="C148" i="13"/>
  <c r="B148" i="13"/>
  <c r="Z147" i="13"/>
  <c r="AA147" i="13" s="1"/>
  <c r="T147" i="13"/>
  <c r="V147" i="13" s="1"/>
  <c r="P147" i="13"/>
  <c r="K147" i="13"/>
  <c r="E147" i="13"/>
  <c r="D147" i="13"/>
  <c r="C147" i="13"/>
  <c r="B147" i="13"/>
  <c r="Z146" i="13"/>
  <c r="AB146" i="13" s="1"/>
  <c r="AC146" i="13" s="1"/>
  <c r="AD146" i="13" s="1"/>
  <c r="T146" i="13"/>
  <c r="U146" i="13" s="1"/>
  <c r="P146" i="13"/>
  <c r="K146" i="13"/>
  <c r="E146" i="13"/>
  <c r="D146" i="13"/>
  <c r="C146" i="13"/>
  <c r="B146" i="13"/>
  <c r="Z145" i="13"/>
  <c r="AA145" i="13" s="1"/>
  <c r="T145" i="13"/>
  <c r="V145" i="13" s="1"/>
  <c r="P145" i="13"/>
  <c r="K145" i="13"/>
  <c r="E145" i="13"/>
  <c r="D145" i="13"/>
  <c r="C145" i="13"/>
  <c r="B145" i="13"/>
  <c r="Z144" i="13"/>
  <c r="AB144" i="13" s="1"/>
  <c r="T144" i="13"/>
  <c r="U144" i="13" s="1"/>
  <c r="P144" i="13"/>
  <c r="K144" i="13"/>
  <c r="E144" i="13"/>
  <c r="D144" i="13"/>
  <c r="C144" i="13"/>
  <c r="B144" i="13"/>
  <c r="Z143" i="13"/>
  <c r="AB143" i="13" s="1"/>
  <c r="T143" i="13"/>
  <c r="V143" i="13" s="1"/>
  <c r="P143" i="13"/>
  <c r="K143" i="13"/>
  <c r="E143" i="13"/>
  <c r="D143" i="13"/>
  <c r="C143" i="13"/>
  <c r="B143" i="13"/>
  <c r="Z142" i="13"/>
  <c r="AB142" i="13" s="1"/>
  <c r="AC142" i="13" s="1"/>
  <c r="AD142" i="13" s="1"/>
  <c r="T142" i="13"/>
  <c r="V142" i="13" s="1"/>
  <c r="P142" i="13"/>
  <c r="K142" i="13"/>
  <c r="E142" i="13"/>
  <c r="D142" i="13"/>
  <c r="C142" i="13"/>
  <c r="B142" i="13"/>
  <c r="Z141" i="13"/>
  <c r="AA141" i="13" s="1"/>
  <c r="T141" i="13"/>
  <c r="V141" i="13" s="1"/>
  <c r="P141" i="13"/>
  <c r="K141" i="13"/>
  <c r="E141" i="13"/>
  <c r="D141" i="13"/>
  <c r="C141" i="13"/>
  <c r="B141" i="13"/>
  <c r="Z140" i="13"/>
  <c r="AB140" i="13" s="1"/>
  <c r="AC140" i="13" s="1"/>
  <c r="AD140" i="13" s="1"/>
  <c r="T140" i="13"/>
  <c r="U140" i="13" s="1"/>
  <c r="P140" i="13"/>
  <c r="K140" i="13"/>
  <c r="E140" i="13"/>
  <c r="D140" i="13"/>
  <c r="C140" i="13"/>
  <c r="B140" i="13"/>
  <c r="Z139" i="13"/>
  <c r="AA139" i="13" s="1"/>
  <c r="T139" i="13"/>
  <c r="V139" i="13" s="1"/>
  <c r="P139" i="13"/>
  <c r="K139" i="13"/>
  <c r="E139" i="13"/>
  <c r="D139" i="13"/>
  <c r="C139" i="13"/>
  <c r="B139" i="13"/>
  <c r="Z138" i="13"/>
  <c r="AB138" i="13" s="1"/>
  <c r="T138" i="13"/>
  <c r="U138" i="13" s="1"/>
  <c r="P138" i="13"/>
  <c r="K138" i="13"/>
  <c r="E138" i="13"/>
  <c r="D138" i="13"/>
  <c r="C138" i="13"/>
  <c r="B138" i="13"/>
  <c r="Z137" i="13"/>
  <c r="AA137" i="13" s="1"/>
  <c r="T137" i="13"/>
  <c r="V137" i="13" s="1"/>
  <c r="P137" i="13"/>
  <c r="K137" i="13"/>
  <c r="E137" i="13"/>
  <c r="D137" i="13"/>
  <c r="C137" i="13"/>
  <c r="B137" i="13"/>
  <c r="Z136" i="13"/>
  <c r="AB136" i="13" s="1"/>
  <c r="AC136" i="13" s="1"/>
  <c r="AD136" i="13" s="1"/>
  <c r="T136" i="13"/>
  <c r="U136" i="13" s="1"/>
  <c r="P136" i="13"/>
  <c r="K136" i="13"/>
  <c r="E136" i="13"/>
  <c r="D136" i="13"/>
  <c r="C136" i="13"/>
  <c r="B136" i="13"/>
  <c r="Z135" i="13"/>
  <c r="AA135" i="13" s="1"/>
  <c r="T135" i="13"/>
  <c r="U135" i="13" s="1"/>
  <c r="P135" i="13"/>
  <c r="K135" i="13"/>
  <c r="E135" i="13"/>
  <c r="D135" i="13"/>
  <c r="C135" i="13"/>
  <c r="B135" i="13"/>
  <c r="Z134" i="13"/>
  <c r="AA134" i="13" s="1"/>
  <c r="T134" i="13"/>
  <c r="U134" i="13" s="1"/>
  <c r="P134" i="13"/>
  <c r="K134" i="13"/>
  <c r="E134" i="13"/>
  <c r="D134" i="13"/>
  <c r="C134" i="13"/>
  <c r="B134" i="13"/>
  <c r="Z133" i="13"/>
  <c r="AA133" i="13" s="1"/>
  <c r="T133" i="13"/>
  <c r="V133" i="13" s="1"/>
  <c r="P133" i="13"/>
  <c r="K133" i="13"/>
  <c r="E133" i="13"/>
  <c r="D133" i="13"/>
  <c r="C133" i="13"/>
  <c r="B133" i="13"/>
  <c r="Z132" i="13"/>
  <c r="AB132" i="13" s="1"/>
  <c r="T132" i="13"/>
  <c r="U132" i="13" s="1"/>
  <c r="P132" i="13"/>
  <c r="K132" i="13"/>
  <c r="E132" i="13"/>
  <c r="D132" i="13"/>
  <c r="C132" i="13"/>
  <c r="B132" i="13"/>
  <c r="Z131" i="13"/>
  <c r="AB131" i="13" s="1"/>
  <c r="T131" i="13"/>
  <c r="V131" i="13" s="1"/>
  <c r="P131" i="13"/>
  <c r="K131" i="13"/>
  <c r="E131" i="13"/>
  <c r="D131" i="13"/>
  <c r="C131" i="13"/>
  <c r="B131" i="13"/>
  <c r="Z130" i="13"/>
  <c r="AB130" i="13" s="1"/>
  <c r="AC130" i="13" s="1"/>
  <c r="AD130" i="13" s="1"/>
  <c r="T130" i="13"/>
  <c r="V130" i="13" s="1"/>
  <c r="P130" i="13"/>
  <c r="K130" i="13"/>
  <c r="E130" i="13"/>
  <c r="D130" i="13"/>
  <c r="C130" i="13"/>
  <c r="B130" i="13"/>
  <c r="Z129" i="13"/>
  <c r="AB129" i="13" s="1"/>
  <c r="T129" i="13"/>
  <c r="V129" i="13" s="1"/>
  <c r="P129" i="13"/>
  <c r="K129" i="13"/>
  <c r="E129" i="13"/>
  <c r="D129" i="13"/>
  <c r="C129" i="13"/>
  <c r="B129" i="13"/>
  <c r="Z128" i="13"/>
  <c r="AA128" i="13" s="1"/>
  <c r="T128" i="13"/>
  <c r="V128" i="13" s="1"/>
  <c r="P128" i="13"/>
  <c r="K128" i="13"/>
  <c r="E128" i="13"/>
  <c r="D128" i="13"/>
  <c r="C128" i="13"/>
  <c r="B128" i="13"/>
  <c r="Z127" i="13"/>
  <c r="AA127" i="13" s="1"/>
  <c r="T127" i="13"/>
  <c r="U127" i="13" s="1"/>
  <c r="P127" i="13"/>
  <c r="K127" i="13"/>
  <c r="E127" i="13"/>
  <c r="D127" i="13"/>
  <c r="C127" i="13"/>
  <c r="B127" i="13"/>
  <c r="K126" i="13"/>
  <c r="V162" i="13" l="1"/>
  <c r="AE162" i="13" s="1"/>
  <c r="AB135" i="13"/>
  <c r="AC135" i="13" s="1"/>
  <c r="AD135" i="13" s="1"/>
  <c r="AB134" i="13"/>
  <c r="AC134" i="13" s="1"/>
  <c r="AD134" i="13" s="1"/>
  <c r="AB145" i="13"/>
  <c r="AC145" i="13" s="1"/>
  <c r="AD145" i="13" s="1"/>
  <c r="AB160" i="13"/>
  <c r="AC160" i="13" s="1"/>
  <c r="AD160" i="13" s="1"/>
  <c r="V144" i="13"/>
  <c r="W144" i="13" s="1"/>
  <c r="X144" i="13" s="1"/>
  <c r="V132" i="13"/>
  <c r="W132" i="13" s="1"/>
  <c r="X132" i="13" s="1"/>
  <c r="U148" i="13"/>
  <c r="W148" i="13" s="1"/>
  <c r="X148" i="13" s="1"/>
  <c r="AB141" i="13"/>
  <c r="AE141" i="13" s="1"/>
  <c r="V166" i="13"/>
  <c r="AE166" i="13" s="1"/>
  <c r="U153" i="13"/>
  <c r="W153" i="13" s="1"/>
  <c r="X153" i="13" s="1"/>
  <c r="V127" i="13"/>
  <c r="W127" i="13" s="1"/>
  <c r="X127" i="13" s="1"/>
  <c r="AB147" i="13"/>
  <c r="AC147" i="13" s="1"/>
  <c r="AD147" i="13" s="1"/>
  <c r="AA166" i="13"/>
  <c r="V140" i="13"/>
  <c r="AE140" i="13" s="1"/>
  <c r="AA170" i="13"/>
  <c r="AA136" i="13"/>
  <c r="AA140" i="13"/>
  <c r="U145" i="13"/>
  <c r="W145" i="13" s="1"/>
  <c r="X145" i="13" s="1"/>
  <c r="AA146" i="13"/>
  <c r="U151" i="13"/>
  <c r="W151" i="13" s="1"/>
  <c r="X151" i="13" s="1"/>
  <c r="AB128" i="13"/>
  <c r="AC128" i="13" s="1"/>
  <c r="AD128" i="13" s="1"/>
  <c r="V135" i="13"/>
  <c r="W135" i="13" s="1"/>
  <c r="X135" i="13" s="1"/>
  <c r="U139" i="13"/>
  <c r="W139" i="13" s="1"/>
  <c r="X139" i="13" s="1"/>
  <c r="AA157" i="13"/>
  <c r="U160" i="13"/>
  <c r="W160" i="13" s="1"/>
  <c r="X160" i="13" s="1"/>
  <c r="AB169" i="13"/>
  <c r="AC169" i="13" s="1"/>
  <c r="AD169" i="13" s="1"/>
  <c r="AA161" i="13"/>
  <c r="AB139" i="13"/>
  <c r="AE139" i="13" s="1"/>
  <c r="AA148" i="13"/>
  <c r="AA154" i="13"/>
  <c r="U159" i="13"/>
  <c r="W159" i="13" s="1"/>
  <c r="X159" i="13" s="1"/>
  <c r="U171" i="13"/>
  <c r="W171" i="13" s="1"/>
  <c r="X171" i="13" s="1"/>
  <c r="AA172" i="13"/>
  <c r="U129" i="13"/>
  <c r="W129" i="13" s="1"/>
  <c r="X129" i="13" s="1"/>
  <c r="V146" i="13"/>
  <c r="W146" i="13" s="1"/>
  <c r="X146" i="13" s="1"/>
  <c r="AB151" i="13"/>
  <c r="AE151" i="13" s="1"/>
  <c r="U154" i="13"/>
  <c r="W154" i="13" s="1"/>
  <c r="X154" i="13" s="1"/>
  <c r="U165" i="13"/>
  <c r="W165" i="13" s="1"/>
  <c r="X165" i="13" s="1"/>
  <c r="V168" i="13"/>
  <c r="AE168" i="13" s="1"/>
  <c r="AB127" i="13"/>
  <c r="AA130" i="13"/>
  <c r="AB133" i="13"/>
  <c r="AE133" i="13" s="1"/>
  <c r="V138" i="13"/>
  <c r="AE138" i="13" s="1"/>
  <c r="U156" i="13"/>
  <c r="W156" i="13" s="1"/>
  <c r="X156" i="13" s="1"/>
  <c r="U133" i="13"/>
  <c r="W133" i="13" s="1"/>
  <c r="X133" i="13" s="1"/>
  <c r="V134" i="13"/>
  <c r="W134" i="13" s="1"/>
  <c r="X134" i="13" s="1"/>
  <c r="U141" i="13"/>
  <c r="W141" i="13" s="1"/>
  <c r="X141" i="13" s="1"/>
  <c r="AA142" i="13"/>
  <c r="U147" i="13"/>
  <c r="W147" i="13" s="1"/>
  <c r="X147" i="13" s="1"/>
  <c r="V150" i="13"/>
  <c r="AE150" i="13" s="1"/>
  <c r="AA155" i="13"/>
  <c r="AA163" i="13"/>
  <c r="AA167" i="13"/>
  <c r="U169" i="13"/>
  <c r="W169" i="13" s="1"/>
  <c r="X169" i="13" s="1"/>
  <c r="U172" i="13"/>
  <c r="W172" i="13" s="1"/>
  <c r="X172" i="13" s="1"/>
  <c r="AE130" i="13"/>
  <c r="AE156" i="13"/>
  <c r="AC156" i="13"/>
  <c r="AD156" i="13" s="1"/>
  <c r="AE159" i="13"/>
  <c r="AC159" i="13"/>
  <c r="AD159" i="13" s="1"/>
  <c r="AC162" i="13"/>
  <c r="AD162" i="13" s="1"/>
  <c r="AE165" i="13"/>
  <c r="AC165" i="13"/>
  <c r="AD165" i="13" s="1"/>
  <c r="AE161" i="13"/>
  <c r="AC168" i="13"/>
  <c r="AD168" i="13" s="1"/>
  <c r="AE170" i="13"/>
  <c r="AC170" i="13"/>
  <c r="AD170" i="13" s="1"/>
  <c r="AE171" i="13"/>
  <c r="AC171" i="13"/>
  <c r="AD171" i="13" s="1"/>
  <c r="AE158" i="13"/>
  <c r="AC158" i="13"/>
  <c r="AD158" i="13" s="1"/>
  <c r="AC153" i="13"/>
  <c r="AD153" i="13" s="1"/>
  <c r="AE153" i="13"/>
  <c r="V155" i="13"/>
  <c r="AE155" i="13" s="1"/>
  <c r="AE154" i="13"/>
  <c r="AA158" i="13"/>
  <c r="AA153" i="13"/>
  <c r="V157" i="13"/>
  <c r="AE157" i="13" s="1"/>
  <c r="U158" i="13"/>
  <c r="W158" i="13" s="1"/>
  <c r="X158" i="13" s="1"/>
  <c r="AA159" i="13"/>
  <c r="V163" i="13"/>
  <c r="AE163" i="13" s="1"/>
  <c r="U164" i="13"/>
  <c r="W164" i="13" s="1"/>
  <c r="X164" i="13" s="1"/>
  <c r="AB164" i="13"/>
  <c r="AA165" i="13"/>
  <c r="AE167" i="13"/>
  <c r="U170" i="13"/>
  <c r="W170" i="13" s="1"/>
  <c r="X170" i="13" s="1"/>
  <c r="AA171" i="13"/>
  <c r="AE172" i="13"/>
  <c r="AA156" i="13"/>
  <c r="U161" i="13"/>
  <c r="W161" i="13" s="1"/>
  <c r="X161" i="13" s="1"/>
  <c r="AA162" i="13"/>
  <c r="U167" i="13"/>
  <c r="W167" i="13" s="1"/>
  <c r="X167" i="13" s="1"/>
  <c r="AA168" i="13"/>
  <c r="AC138" i="13"/>
  <c r="AD138" i="13" s="1"/>
  <c r="AE129" i="13"/>
  <c r="AC129" i="13"/>
  <c r="AD129" i="13" s="1"/>
  <c r="AC131" i="13"/>
  <c r="AD131" i="13" s="1"/>
  <c r="AE131" i="13"/>
  <c r="AC150" i="13"/>
  <c r="AD150" i="13" s="1"/>
  <c r="AC144" i="13"/>
  <c r="AD144" i="13" s="1"/>
  <c r="AC132" i="13"/>
  <c r="AD132" i="13" s="1"/>
  <c r="AC149" i="13"/>
  <c r="AD149" i="13" s="1"/>
  <c r="AE149" i="13"/>
  <c r="AC143" i="13"/>
  <c r="AD143" i="13" s="1"/>
  <c r="AE143" i="13"/>
  <c r="AE142" i="13"/>
  <c r="AE148" i="13"/>
  <c r="U128" i="13"/>
  <c r="W128" i="13" s="1"/>
  <c r="X128" i="13" s="1"/>
  <c r="AA129" i="13"/>
  <c r="U130" i="13"/>
  <c r="W130" i="13" s="1"/>
  <c r="X130" i="13" s="1"/>
  <c r="AA131" i="13"/>
  <c r="U142" i="13"/>
  <c r="W142" i="13" s="1"/>
  <c r="X142" i="13" s="1"/>
  <c r="AA143" i="13"/>
  <c r="AA149" i="13"/>
  <c r="U131" i="13"/>
  <c r="W131" i="13" s="1"/>
  <c r="X131" i="13" s="1"/>
  <c r="AA132" i="13"/>
  <c r="V136" i="13"/>
  <c r="AE136" i="13" s="1"/>
  <c r="U137" i="13"/>
  <c r="W137" i="13" s="1"/>
  <c r="X137" i="13" s="1"/>
  <c r="AB137" i="13"/>
  <c r="AA138" i="13"/>
  <c r="U143" i="13"/>
  <c r="W143" i="13" s="1"/>
  <c r="X143" i="13" s="1"/>
  <c r="AA144" i="13"/>
  <c r="U149" i="13"/>
  <c r="W149" i="13" s="1"/>
  <c r="X149" i="13" s="1"/>
  <c r="AA150" i="13"/>
  <c r="Z20" i="13"/>
  <c r="AB20" i="13" s="1"/>
  <c r="T20" i="13"/>
  <c r="V20" i="13" s="1"/>
  <c r="P20" i="13"/>
  <c r="K20" i="13"/>
  <c r="E20" i="13"/>
  <c r="D20" i="13"/>
  <c r="C20" i="13"/>
  <c r="B20" i="13"/>
  <c r="Z5" i="13"/>
  <c r="AA5" i="13" s="1"/>
  <c r="T5" i="13"/>
  <c r="V5" i="13" s="1"/>
  <c r="P5" i="13"/>
  <c r="K5" i="13"/>
  <c r="E5" i="13"/>
  <c r="D5" i="13"/>
  <c r="C5" i="13"/>
  <c r="B5" i="13"/>
  <c r="W166" i="13" l="1"/>
  <c r="W163" i="13"/>
  <c r="W162" i="13"/>
  <c r="X162" i="13" s="1"/>
  <c r="W140" i="13"/>
  <c r="X140" i="13" s="1"/>
  <c r="W136" i="13"/>
  <c r="X136" i="13" s="1"/>
  <c r="W138" i="13"/>
  <c r="X138" i="13" s="1"/>
  <c r="AC141" i="13"/>
  <c r="AD141" i="13" s="1"/>
  <c r="W155" i="13"/>
  <c r="X155" i="13" s="1"/>
  <c r="AE135" i="13"/>
  <c r="AC151" i="13"/>
  <c r="AD151" i="13" s="1"/>
  <c r="AE145" i="13"/>
  <c r="AE146" i="13"/>
  <c r="AF134" i="13"/>
  <c r="AC139" i="13"/>
  <c r="AE160" i="13"/>
  <c r="AE132" i="13"/>
  <c r="AE144" i="13"/>
  <c r="AF148" i="13"/>
  <c r="AE134" i="13"/>
  <c r="W150" i="13"/>
  <c r="X150" i="13" s="1"/>
  <c r="AF169" i="13"/>
  <c r="W157" i="13"/>
  <c r="X157" i="13" s="1"/>
  <c r="AE169" i="13"/>
  <c r="AF146" i="13"/>
  <c r="AE147" i="13"/>
  <c r="AF145" i="13"/>
  <c r="AE127" i="13"/>
  <c r="AF161" i="13"/>
  <c r="AC127" i="13"/>
  <c r="AF160" i="13"/>
  <c r="AE128" i="13"/>
  <c r="AF172" i="13"/>
  <c r="AF154" i="13"/>
  <c r="AC133" i="13"/>
  <c r="AD133" i="13" s="1"/>
  <c r="AF147" i="13"/>
  <c r="AF158" i="13"/>
  <c r="AF165" i="13"/>
  <c r="AE164" i="13"/>
  <c r="AC164" i="13"/>
  <c r="AD164" i="13" s="1"/>
  <c r="AF170" i="13"/>
  <c r="AF153" i="13"/>
  <c r="AF168" i="13"/>
  <c r="AF162" i="13"/>
  <c r="AF159" i="13"/>
  <c r="AF171" i="13"/>
  <c r="AF156" i="13"/>
  <c r="AF167" i="13"/>
  <c r="AF135" i="13"/>
  <c r="AF149" i="13"/>
  <c r="AF132" i="13"/>
  <c r="AF144" i="13"/>
  <c r="AF142" i="13"/>
  <c r="AC137" i="13"/>
  <c r="AD137" i="13" s="1"/>
  <c r="AE137" i="13"/>
  <c r="AF143" i="13"/>
  <c r="AF131" i="13"/>
  <c r="AF130" i="13"/>
  <c r="AF129" i="13"/>
  <c r="AF128" i="13"/>
  <c r="AC20" i="13"/>
  <c r="AD20" i="13" s="1"/>
  <c r="AE20" i="13"/>
  <c r="U20" i="13"/>
  <c r="W20" i="13" s="1"/>
  <c r="X20" i="13" s="1"/>
  <c r="AA20" i="13"/>
  <c r="U5" i="13"/>
  <c r="W5" i="13" s="1"/>
  <c r="X5" i="13" s="1"/>
  <c r="AB5" i="13"/>
  <c r="X163" i="13" l="1"/>
  <c r="AF163" i="13"/>
  <c r="X166" i="13"/>
  <c r="AF166" i="13"/>
  <c r="AF151" i="13"/>
  <c r="AF141" i="13"/>
  <c r="AF139" i="13"/>
  <c r="AD139" i="13"/>
  <c r="AF127" i="13"/>
  <c r="AD127" i="13"/>
  <c r="AF136" i="13"/>
  <c r="AF138" i="13"/>
  <c r="AF140" i="13"/>
  <c r="AF155" i="13"/>
  <c r="AF133" i="13"/>
  <c r="AF150" i="13"/>
  <c r="AF157" i="13"/>
  <c r="AF164" i="13"/>
  <c r="AF137" i="13"/>
  <c r="AF20" i="13"/>
  <c r="AC5" i="13"/>
  <c r="AE5" i="13"/>
  <c r="K9" i="13"/>
  <c r="AD5" i="13" l="1"/>
  <c r="AF5" i="13"/>
  <c r="Z107" i="13" l="1"/>
  <c r="AB107" i="13" s="1"/>
  <c r="T107" i="13"/>
  <c r="V107" i="13" s="1"/>
  <c r="P107" i="13"/>
  <c r="K107" i="13"/>
  <c r="E107" i="13"/>
  <c r="D107" i="13"/>
  <c r="C107" i="13"/>
  <c r="B107" i="13"/>
  <c r="Z118" i="13"/>
  <c r="AB118" i="13" s="1"/>
  <c r="T118" i="13"/>
  <c r="V118" i="13" s="1"/>
  <c r="P118" i="13"/>
  <c r="K118" i="13"/>
  <c r="E118" i="13"/>
  <c r="D118" i="13"/>
  <c r="C118" i="13"/>
  <c r="B118" i="13"/>
  <c r="Z101" i="13"/>
  <c r="AB101" i="13" s="1"/>
  <c r="T101" i="13"/>
  <c r="V101" i="13" s="1"/>
  <c r="P101" i="13"/>
  <c r="K101" i="13"/>
  <c r="E101" i="13"/>
  <c r="D101" i="13"/>
  <c r="C101" i="13"/>
  <c r="B101" i="13"/>
  <c r="Z100" i="13"/>
  <c r="AB100" i="13" s="1"/>
  <c r="T100" i="13"/>
  <c r="V100" i="13" s="1"/>
  <c r="P100" i="13"/>
  <c r="K100" i="13"/>
  <c r="E100" i="13"/>
  <c r="D100" i="13"/>
  <c r="C100" i="13"/>
  <c r="B100" i="13"/>
  <c r="Z152" i="13"/>
  <c r="T152" i="13"/>
  <c r="V152" i="13" s="1"/>
  <c r="P152" i="13"/>
  <c r="K152" i="13"/>
  <c r="E152" i="13"/>
  <c r="D152" i="13"/>
  <c r="C152" i="13"/>
  <c r="B152" i="13"/>
  <c r="Z126" i="13"/>
  <c r="AA126" i="13" s="1"/>
  <c r="T126" i="13"/>
  <c r="P126" i="13"/>
  <c r="E126" i="13"/>
  <c r="D126" i="13"/>
  <c r="C126" i="13"/>
  <c r="B126" i="13"/>
  <c r="Z125" i="13"/>
  <c r="AA125" i="13" s="1"/>
  <c r="T125" i="13"/>
  <c r="V125" i="13" s="1"/>
  <c r="P125" i="13"/>
  <c r="K125" i="13"/>
  <c r="E125" i="13"/>
  <c r="D125" i="13"/>
  <c r="C125" i="13"/>
  <c r="B125" i="13"/>
  <c r="Z124" i="13"/>
  <c r="AB124" i="13" s="1"/>
  <c r="AC124" i="13" s="1"/>
  <c r="AD124" i="13" s="1"/>
  <c r="T124" i="13"/>
  <c r="V124" i="13" s="1"/>
  <c r="P124" i="13"/>
  <c r="K124" i="13"/>
  <c r="E124" i="13"/>
  <c r="D124" i="13"/>
  <c r="C124" i="13"/>
  <c r="B124" i="13"/>
  <c r="Z123" i="13"/>
  <c r="T123" i="13"/>
  <c r="V123" i="13" s="1"/>
  <c r="P123" i="13"/>
  <c r="K123" i="13"/>
  <c r="E123" i="13"/>
  <c r="D123" i="13"/>
  <c r="C123" i="13"/>
  <c r="B123" i="13"/>
  <c r="Z122" i="13"/>
  <c r="AA122" i="13" s="1"/>
  <c r="T122" i="13"/>
  <c r="P122" i="13"/>
  <c r="K122" i="13"/>
  <c r="E122" i="13"/>
  <c r="D122" i="13"/>
  <c r="C122" i="13"/>
  <c r="B122" i="13"/>
  <c r="Z121" i="13"/>
  <c r="AB121" i="13" s="1"/>
  <c r="T121" i="13"/>
  <c r="V121" i="13" s="1"/>
  <c r="P121" i="13"/>
  <c r="K121" i="13"/>
  <c r="E121" i="13"/>
  <c r="D121" i="13"/>
  <c r="C121" i="13"/>
  <c r="B121" i="13"/>
  <c r="Z120" i="13"/>
  <c r="AB120" i="13" s="1"/>
  <c r="AC120" i="13" s="1"/>
  <c r="AD120" i="13" s="1"/>
  <c r="T120" i="13"/>
  <c r="U120" i="13" s="1"/>
  <c r="P120" i="13"/>
  <c r="K120" i="13"/>
  <c r="E120" i="13"/>
  <c r="D120" i="13"/>
  <c r="C120" i="13"/>
  <c r="B120" i="13"/>
  <c r="Z119" i="13"/>
  <c r="AB119" i="13" s="1"/>
  <c r="T119" i="13"/>
  <c r="U119" i="13" s="1"/>
  <c r="P119" i="13"/>
  <c r="K119" i="13"/>
  <c r="E119" i="13"/>
  <c r="D119" i="13"/>
  <c r="C119" i="13"/>
  <c r="B119" i="13"/>
  <c r="Z117" i="13"/>
  <c r="AB117" i="13" s="1"/>
  <c r="T117" i="13"/>
  <c r="V117" i="13" s="1"/>
  <c r="P117" i="13"/>
  <c r="K117" i="13"/>
  <c r="E117" i="13"/>
  <c r="D117" i="13"/>
  <c r="C117" i="13"/>
  <c r="B117" i="13"/>
  <c r="Z116" i="13"/>
  <c r="AA116" i="13" s="1"/>
  <c r="T116" i="13"/>
  <c r="V116" i="13" s="1"/>
  <c r="P116" i="13"/>
  <c r="K116" i="13"/>
  <c r="E116" i="13"/>
  <c r="D116" i="13"/>
  <c r="C116" i="13"/>
  <c r="B116" i="13"/>
  <c r="Z115" i="13"/>
  <c r="AB115" i="13" s="1"/>
  <c r="AC115" i="13" s="1"/>
  <c r="AD115" i="13" s="1"/>
  <c r="T115" i="13"/>
  <c r="U115" i="13" s="1"/>
  <c r="P115" i="13"/>
  <c r="K115" i="13"/>
  <c r="E115" i="13"/>
  <c r="D115" i="13"/>
  <c r="C115" i="13"/>
  <c r="B115" i="13"/>
  <c r="Z114" i="13"/>
  <c r="AB114" i="13" s="1"/>
  <c r="T114" i="13"/>
  <c r="V114" i="13" s="1"/>
  <c r="P114" i="13"/>
  <c r="K114" i="13"/>
  <c r="E114" i="13"/>
  <c r="D114" i="13"/>
  <c r="C114" i="13"/>
  <c r="B114" i="13"/>
  <c r="Z113" i="13"/>
  <c r="AB113" i="13" s="1"/>
  <c r="T113" i="13"/>
  <c r="V113" i="13" s="1"/>
  <c r="P113" i="13"/>
  <c r="K113" i="13"/>
  <c r="E113" i="13"/>
  <c r="D113" i="13"/>
  <c r="C113" i="13"/>
  <c r="B113" i="13"/>
  <c r="Z112" i="13"/>
  <c r="AA112" i="13" s="1"/>
  <c r="T112" i="13"/>
  <c r="V112" i="13" s="1"/>
  <c r="P112" i="13"/>
  <c r="K112" i="13"/>
  <c r="E112" i="13"/>
  <c r="D112" i="13"/>
  <c r="C112" i="13"/>
  <c r="B112" i="13"/>
  <c r="Z111" i="13"/>
  <c r="AB111" i="13" s="1"/>
  <c r="AC111" i="13" s="1"/>
  <c r="AD111" i="13" s="1"/>
  <c r="T111" i="13"/>
  <c r="U111" i="13" s="1"/>
  <c r="P111" i="13"/>
  <c r="K111" i="13"/>
  <c r="E111" i="13"/>
  <c r="D111" i="13"/>
  <c r="C111" i="13"/>
  <c r="B111" i="13"/>
  <c r="Z110" i="13"/>
  <c r="AB110" i="13" s="1"/>
  <c r="T110" i="13"/>
  <c r="V110" i="13" s="1"/>
  <c r="P110" i="13"/>
  <c r="K110" i="13"/>
  <c r="E110" i="13"/>
  <c r="D110" i="13"/>
  <c r="C110" i="13"/>
  <c r="B110" i="13"/>
  <c r="Z109" i="13"/>
  <c r="AB109" i="13" s="1"/>
  <c r="T109" i="13"/>
  <c r="V109" i="13" s="1"/>
  <c r="P109" i="13"/>
  <c r="K109" i="13"/>
  <c r="E109" i="13"/>
  <c r="D109" i="13"/>
  <c r="C109" i="13"/>
  <c r="B109" i="13"/>
  <c r="Z108" i="13"/>
  <c r="AA108" i="13" s="1"/>
  <c r="T108" i="13"/>
  <c r="V108" i="13" s="1"/>
  <c r="P108" i="13"/>
  <c r="K108" i="13"/>
  <c r="E108" i="13"/>
  <c r="D108" i="13"/>
  <c r="C108" i="13"/>
  <c r="B108" i="13"/>
  <c r="Z60" i="13"/>
  <c r="AB60" i="13" s="1"/>
  <c r="T60" i="13"/>
  <c r="V60" i="13" s="1"/>
  <c r="P60" i="13"/>
  <c r="K60" i="13"/>
  <c r="E60" i="13"/>
  <c r="D60" i="13"/>
  <c r="C60" i="13"/>
  <c r="B60" i="13"/>
  <c r="Z59" i="13"/>
  <c r="AA59" i="13" s="1"/>
  <c r="T59" i="13"/>
  <c r="V59" i="13" s="1"/>
  <c r="P59" i="13"/>
  <c r="K59" i="13"/>
  <c r="E59" i="13"/>
  <c r="D59" i="13"/>
  <c r="C59" i="13"/>
  <c r="B59" i="13"/>
  <c r="Z58" i="13"/>
  <c r="AA58" i="13" s="1"/>
  <c r="T58" i="13"/>
  <c r="U58" i="13" s="1"/>
  <c r="P58" i="13"/>
  <c r="K58" i="13"/>
  <c r="E58" i="13"/>
  <c r="D58" i="13"/>
  <c r="C58" i="13"/>
  <c r="B58" i="13"/>
  <c r="Z57" i="13"/>
  <c r="AB57" i="13" s="1"/>
  <c r="T57" i="13"/>
  <c r="V57" i="13" s="1"/>
  <c r="P57" i="13"/>
  <c r="K57" i="13"/>
  <c r="E57" i="13"/>
  <c r="D57" i="13"/>
  <c r="C57" i="13"/>
  <c r="B57" i="13"/>
  <c r="Z61" i="13"/>
  <c r="AB61" i="13" s="1"/>
  <c r="T61" i="13"/>
  <c r="V61" i="13" s="1"/>
  <c r="P61" i="13"/>
  <c r="K61" i="13"/>
  <c r="E61" i="13"/>
  <c r="D61" i="13"/>
  <c r="C61" i="13"/>
  <c r="B61" i="13"/>
  <c r="U125" i="13" l="1"/>
  <c r="W125" i="13" s="1"/>
  <c r="X125" i="13" s="1"/>
  <c r="AA111" i="13"/>
  <c r="U107" i="13"/>
  <c r="W107" i="13" s="1"/>
  <c r="X107" i="13" s="1"/>
  <c r="AC107" i="13"/>
  <c r="AD107" i="13" s="1"/>
  <c r="AE107" i="13"/>
  <c r="AA107" i="13"/>
  <c r="U100" i="13"/>
  <c r="W100" i="13" s="1"/>
  <c r="X100" i="13" s="1"/>
  <c r="U101" i="13"/>
  <c r="W101" i="13" s="1"/>
  <c r="X101" i="13" s="1"/>
  <c r="U118" i="13"/>
  <c r="W118" i="13" s="1"/>
  <c r="X118" i="13" s="1"/>
  <c r="AC118" i="13"/>
  <c r="AD118" i="13" s="1"/>
  <c r="AE118" i="13"/>
  <c r="AA118" i="13"/>
  <c r="V115" i="13"/>
  <c r="W115" i="13" s="1"/>
  <c r="X115" i="13" s="1"/>
  <c r="AB125" i="13"/>
  <c r="AE125" i="13" s="1"/>
  <c r="AB108" i="13"/>
  <c r="AE108" i="13" s="1"/>
  <c r="U110" i="13"/>
  <c r="W110" i="13" s="1"/>
  <c r="X110" i="13" s="1"/>
  <c r="V119" i="13"/>
  <c r="AE119" i="13" s="1"/>
  <c r="AE124" i="13"/>
  <c r="AC101" i="13"/>
  <c r="AD101" i="13" s="1"/>
  <c r="AE101" i="13"/>
  <c r="AA101" i="13"/>
  <c r="AA120" i="13"/>
  <c r="AB116" i="13"/>
  <c r="AE116" i="13" s="1"/>
  <c r="U124" i="13"/>
  <c r="W124" i="13" s="1"/>
  <c r="X124" i="13" s="1"/>
  <c r="AC100" i="13"/>
  <c r="AD100" i="13" s="1"/>
  <c r="AE100" i="13"/>
  <c r="AA100" i="13"/>
  <c r="V111" i="13"/>
  <c r="AE111" i="13" s="1"/>
  <c r="AB112" i="13"/>
  <c r="AC112" i="13" s="1"/>
  <c r="AD112" i="13" s="1"/>
  <c r="U114" i="13"/>
  <c r="W114" i="13" s="1"/>
  <c r="X114" i="13" s="1"/>
  <c r="AA115" i="13"/>
  <c r="V120" i="13"/>
  <c r="AE120" i="13" s="1"/>
  <c r="AB122" i="13"/>
  <c r="AC122" i="13" s="1"/>
  <c r="AD122" i="13" s="1"/>
  <c r="AB126" i="13"/>
  <c r="AC126" i="13" s="1"/>
  <c r="AD126" i="13" s="1"/>
  <c r="U123" i="13"/>
  <c r="W123" i="13" s="1"/>
  <c r="X123" i="13" s="1"/>
  <c r="AA124" i="13"/>
  <c r="U152" i="13"/>
  <c r="W152" i="13" s="1"/>
  <c r="X152" i="13" s="1"/>
  <c r="AE117" i="13"/>
  <c r="AC117" i="13"/>
  <c r="AD117" i="13" s="1"/>
  <c r="AC121" i="13"/>
  <c r="AD121" i="13" s="1"/>
  <c r="AE121" i="13"/>
  <c r="AC109" i="13"/>
  <c r="AD109" i="13" s="1"/>
  <c r="AE109" i="13"/>
  <c r="AC114" i="13"/>
  <c r="AD114" i="13" s="1"/>
  <c r="AE114" i="13"/>
  <c r="AC110" i="13"/>
  <c r="AD110" i="13" s="1"/>
  <c r="AE110" i="13"/>
  <c r="AC113" i="13"/>
  <c r="AD113" i="13" s="1"/>
  <c r="AE113" i="13"/>
  <c r="AC119" i="13"/>
  <c r="AD119" i="13" s="1"/>
  <c r="U109" i="13"/>
  <c r="W109" i="13" s="1"/>
  <c r="X109" i="13" s="1"/>
  <c r="AA110" i="13"/>
  <c r="AA114" i="13"/>
  <c r="U117" i="13"/>
  <c r="W117" i="13" s="1"/>
  <c r="X117" i="13" s="1"/>
  <c r="AA119" i="13"/>
  <c r="V122" i="13"/>
  <c r="U122" i="13"/>
  <c r="W122" i="13" s="1"/>
  <c r="X122" i="13" s="1"/>
  <c r="V126" i="13"/>
  <c r="U126" i="13"/>
  <c r="U112" i="13"/>
  <c r="W112" i="13" s="1"/>
  <c r="X112" i="13" s="1"/>
  <c r="U116" i="13"/>
  <c r="W116" i="13" s="1"/>
  <c r="X116" i="13" s="1"/>
  <c r="AA117" i="13"/>
  <c r="U121" i="13"/>
  <c r="W121" i="13" s="1"/>
  <c r="X121" i="13" s="1"/>
  <c r="AA121" i="13"/>
  <c r="U113" i="13"/>
  <c r="W113" i="13" s="1"/>
  <c r="X113" i="13" s="1"/>
  <c r="U108" i="13"/>
  <c r="W108" i="13" s="1"/>
  <c r="X108" i="13" s="1"/>
  <c r="AA109" i="13"/>
  <c r="AA113" i="13"/>
  <c r="AB123" i="13"/>
  <c r="AA123" i="13"/>
  <c r="AB152" i="13"/>
  <c r="AA152" i="13"/>
  <c r="U57" i="13"/>
  <c r="W57" i="13" s="1"/>
  <c r="X57" i="13" s="1"/>
  <c r="U60" i="13"/>
  <c r="W60" i="13" s="1"/>
  <c r="X60" i="13" s="1"/>
  <c r="AB58" i="13"/>
  <c r="AC58" i="13" s="1"/>
  <c r="AD58" i="13" s="1"/>
  <c r="AA57" i="13"/>
  <c r="V58" i="13"/>
  <c r="W58" i="13" s="1"/>
  <c r="X58" i="13" s="1"/>
  <c r="AB59" i="13"/>
  <c r="AC59" i="13" s="1"/>
  <c r="AD59" i="13" s="1"/>
  <c r="AC57" i="13"/>
  <c r="AD57" i="13" s="1"/>
  <c r="AE57" i="13"/>
  <c r="AC60" i="13"/>
  <c r="AD60" i="13" s="1"/>
  <c r="AE60" i="13"/>
  <c r="U59" i="13"/>
  <c r="W59" i="13" s="1"/>
  <c r="X59" i="13" s="1"/>
  <c r="AA60" i="13"/>
  <c r="U61" i="13"/>
  <c r="W61" i="13" s="1"/>
  <c r="X61" i="13" s="1"/>
  <c r="AC61" i="13"/>
  <c r="AD61" i="13" s="1"/>
  <c r="AE61" i="13"/>
  <c r="AA61" i="13"/>
  <c r="Z47" i="13"/>
  <c r="AA47" i="13" s="1"/>
  <c r="T47" i="13"/>
  <c r="V47" i="13" s="1"/>
  <c r="P47" i="13"/>
  <c r="K47" i="13"/>
  <c r="E47" i="13"/>
  <c r="D47" i="13"/>
  <c r="C47" i="13"/>
  <c r="B47" i="13"/>
  <c r="Z46" i="13"/>
  <c r="AB46" i="13" s="1"/>
  <c r="T46" i="13"/>
  <c r="V46" i="13" s="1"/>
  <c r="P46" i="13"/>
  <c r="K46" i="13"/>
  <c r="E46" i="13"/>
  <c r="D46" i="13"/>
  <c r="C46" i="13"/>
  <c r="B46" i="13"/>
  <c r="E29" i="13"/>
  <c r="D29" i="13"/>
  <c r="C29" i="13"/>
  <c r="B29" i="13"/>
  <c r="K29" i="13"/>
  <c r="P29" i="13"/>
  <c r="T29" i="13"/>
  <c r="U29" i="13" s="1"/>
  <c r="T28" i="13"/>
  <c r="Z29" i="13"/>
  <c r="AB29" i="13" s="1"/>
  <c r="AC29" i="13" s="1"/>
  <c r="AD29" i="13" s="1"/>
  <c r="W126" i="13" l="1"/>
  <c r="X126" i="13" s="1"/>
  <c r="W119" i="13"/>
  <c r="W120" i="13"/>
  <c r="X120" i="13" s="1"/>
  <c r="AE115" i="13"/>
  <c r="AF115" i="13"/>
  <c r="W111" i="13"/>
  <c r="X111" i="13" s="1"/>
  <c r="AE126" i="13"/>
  <c r="AC125" i="13"/>
  <c r="AD125" i="13" s="1"/>
  <c r="AE112" i="13"/>
  <c r="AC108" i="13"/>
  <c r="AD108" i="13" s="1"/>
  <c r="AF107" i="13"/>
  <c r="AE122" i="13"/>
  <c r="AF124" i="13"/>
  <c r="AF118" i="13"/>
  <c r="AF122" i="13"/>
  <c r="AF101" i="13"/>
  <c r="AE59" i="13"/>
  <c r="AC116" i="13"/>
  <c r="AF100" i="13"/>
  <c r="AF112" i="13"/>
  <c r="AC152" i="13"/>
  <c r="AD152" i="13" s="1"/>
  <c r="AE152" i="13"/>
  <c r="AF110" i="13"/>
  <c r="AF109" i="13"/>
  <c r="AF121" i="13"/>
  <c r="AF113" i="13"/>
  <c r="AF117" i="13"/>
  <c r="AC123" i="13"/>
  <c r="AD123" i="13" s="1"/>
  <c r="AE123" i="13"/>
  <c r="AF114" i="13"/>
  <c r="AE58" i="13"/>
  <c r="AF59" i="13"/>
  <c r="AF58" i="13"/>
  <c r="AF60" i="13"/>
  <c r="AF57" i="13"/>
  <c r="AF61" i="13"/>
  <c r="U47" i="13"/>
  <c r="W47" i="13" s="1"/>
  <c r="X47" i="13" s="1"/>
  <c r="AB47" i="13"/>
  <c r="AA29" i="13"/>
  <c r="AE46" i="13"/>
  <c r="AC46" i="13"/>
  <c r="AD46" i="13" s="1"/>
  <c r="U46" i="13"/>
  <c r="W46" i="13" s="1"/>
  <c r="X46" i="13" s="1"/>
  <c r="AA46" i="13"/>
  <c r="V29" i="13"/>
  <c r="AE29" i="13" s="1"/>
  <c r="D23" i="26"/>
  <c r="D24" i="26"/>
  <c r="AF116" i="13" l="1"/>
  <c r="AD116" i="13"/>
  <c r="AF119" i="13"/>
  <c r="X119" i="13"/>
  <c r="AF126" i="13"/>
  <c r="AF120" i="13"/>
  <c r="W29" i="13"/>
  <c r="X29" i="13" s="1"/>
  <c r="AF125" i="13"/>
  <c r="AF111" i="13"/>
  <c r="AF108" i="13"/>
  <c r="AF152" i="13"/>
  <c r="AF123" i="13"/>
  <c r="AC47" i="13"/>
  <c r="AD47" i="13" s="1"/>
  <c r="AE47" i="13"/>
  <c r="AF46" i="13"/>
  <c r="T38" i="13"/>
  <c r="U38" i="13" s="1"/>
  <c r="Z38" i="13"/>
  <c r="T39" i="13"/>
  <c r="Z39" i="13"/>
  <c r="T40" i="13"/>
  <c r="Z40" i="13"/>
  <c r="T41" i="13"/>
  <c r="Z41" i="13"/>
  <c r="AB41" i="13" s="1"/>
  <c r="T42" i="13"/>
  <c r="U42" i="13" s="1"/>
  <c r="Z42" i="13"/>
  <c r="T43" i="13"/>
  <c r="V43" i="13" s="1"/>
  <c r="Z43" i="13"/>
  <c r="AB43" i="13" s="1"/>
  <c r="T44" i="13"/>
  <c r="Z44" i="13"/>
  <c r="T45" i="13"/>
  <c r="Z45" i="13"/>
  <c r="T48" i="13"/>
  <c r="V48" i="13" s="1"/>
  <c r="Z48" i="13"/>
  <c r="T49" i="13"/>
  <c r="Z49" i="13"/>
  <c r="T50" i="13"/>
  <c r="Z50" i="13"/>
  <c r="T51" i="13"/>
  <c r="Z51" i="13"/>
  <c r="AB51" i="13" s="1"/>
  <c r="T52" i="13"/>
  <c r="V52" i="13" s="1"/>
  <c r="Z52" i="13"/>
  <c r="AB52" i="13" s="1"/>
  <c r="AC52" i="13" s="1"/>
  <c r="AD52" i="13" s="1"/>
  <c r="T53" i="13"/>
  <c r="V53" i="13" s="1"/>
  <c r="Z53" i="13"/>
  <c r="T54" i="13"/>
  <c r="Z54" i="13"/>
  <c r="T55" i="13"/>
  <c r="U55" i="13" s="1"/>
  <c r="Z55" i="13"/>
  <c r="T56" i="13"/>
  <c r="Z56" i="13"/>
  <c r="AB56" i="13" s="1"/>
  <c r="T62" i="13"/>
  <c r="Z62" i="13"/>
  <c r="T63" i="13"/>
  <c r="Z63" i="13"/>
  <c r="T64" i="13"/>
  <c r="U64" i="13" s="1"/>
  <c r="Z64" i="13"/>
  <c r="AB64" i="13" s="1"/>
  <c r="T65" i="13"/>
  <c r="U65" i="13" s="1"/>
  <c r="Z65" i="13"/>
  <c r="AB65" i="13" s="1"/>
  <c r="AC65" i="13" s="1"/>
  <c r="AD65" i="13" s="1"/>
  <c r="T66" i="13"/>
  <c r="V66" i="13" s="1"/>
  <c r="Z66" i="13"/>
  <c r="T67" i="13"/>
  <c r="Z67" i="13"/>
  <c r="AB67" i="13" s="1"/>
  <c r="AC67" i="13" s="1"/>
  <c r="AD67" i="13" s="1"/>
  <c r="T68" i="13"/>
  <c r="U68" i="13" s="1"/>
  <c r="Z68" i="13"/>
  <c r="AA68" i="13" s="1"/>
  <c r="T69" i="13"/>
  <c r="U69" i="13" s="1"/>
  <c r="Z69" i="13"/>
  <c r="T70" i="13"/>
  <c r="Z70" i="13"/>
  <c r="T71" i="13"/>
  <c r="Z71" i="13"/>
  <c r="AA71" i="13" s="1"/>
  <c r="T72" i="13"/>
  <c r="Z72" i="13"/>
  <c r="AB72" i="13" s="1"/>
  <c r="T73" i="13"/>
  <c r="V73" i="13" s="1"/>
  <c r="Z73" i="13"/>
  <c r="T74" i="13"/>
  <c r="Z74" i="13"/>
  <c r="T75" i="13"/>
  <c r="Z75" i="13"/>
  <c r="AA75" i="13" s="1"/>
  <c r="T76" i="13"/>
  <c r="V76" i="13" s="1"/>
  <c r="Z76" i="13"/>
  <c r="T77" i="13"/>
  <c r="Z77" i="13"/>
  <c r="T78" i="13"/>
  <c r="Z78" i="13"/>
  <c r="AA78" i="13" s="1"/>
  <c r="T79" i="13"/>
  <c r="U79" i="13" s="1"/>
  <c r="Z79" i="13"/>
  <c r="AB79" i="13" s="1"/>
  <c r="AC79" i="13" s="1"/>
  <c r="AD79" i="13" s="1"/>
  <c r="T80" i="13"/>
  <c r="U80" i="13" s="1"/>
  <c r="Z80" i="13"/>
  <c r="AB80" i="13" s="1"/>
  <c r="T81" i="13"/>
  <c r="V81" i="13" s="1"/>
  <c r="Z81" i="13"/>
  <c r="T82" i="13"/>
  <c r="Z82" i="13"/>
  <c r="T83" i="13"/>
  <c r="U83" i="13" s="1"/>
  <c r="Z83" i="13"/>
  <c r="AA83" i="13" s="1"/>
  <c r="T84" i="13"/>
  <c r="Z84" i="13"/>
  <c r="AB84" i="13" s="1"/>
  <c r="T85" i="13"/>
  <c r="U85" i="13" s="1"/>
  <c r="Z85" i="13"/>
  <c r="T86" i="13"/>
  <c r="Z86" i="13"/>
  <c r="T87" i="13"/>
  <c r="Z87" i="13"/>
  <c r="AB87" i="13" s="1"/>
  <c r="AC87" i="13" s="1"/>
  <c r="AD87" i="13" s="1"/>
  <c r="T88" i="13"/>
  <c r="V88" i="13" s="1"/>
  <c r="Z88" i="13"/>
  <c r="T90" i="13"/>
  <c r="Z90" i="13"/>
  <c r="AB90" i="13" s="1"/>
  <c r="AC90" i="13" s="1"/>
  <c r="AD90" i="13" s="1"/>
  <c r="T91" i="13"/>
  <c r="Z91" i="13"/>
  <c r="AA91" i="13" s="1"/>
  <c r="T92" i="13"/>
  <c r="U92" i="13" s="1"/>
  <c r="Z92" i="13"/>
  <c r="T93" i="13"/>
  <c r="Z93" i="13"/>
  <c r="T94" i="13"/>
  <c r="Z94" i="13"/>
  <c r="AA94" i="13" s="1"/>
  <c r="T95" i="13"/>
  <c r="Z95" i="13"/>
  <c r="T96" i="13"/>
  <c r="Z96" i="13"/>
  <c r="T97" i="13"/>
  <c r="Z97" i="13"/>
  <c r="T98" i="13"/>
  <c r="Z98" i="13"/>
  <c r="T99" i="13"/>
  <c r="V99" i="13" s="1"/>
  <c r="Z99" i="13"/>
  <c r="AB99" i="13" s="1"/>
  <c r="T102" i="13"/>
  <c r="V102" i="13" s="1"/>
  <c r="Z102" i="13"/>
  <c r="AB102" i="13" s="1"/>
  <c r="AC102" i="13" s="1"/>
  <c r="AD102" i="13" s="1"/>
  <c r="T103" i="13"/>
  <c r="V103" i="13" s="1"/>
  <c r="Z103" i="13"/>
  <c r="AA103" i="13" s="1"/>
  <c r="T104" i="13"/>
  <c r="U104" i="13" s="1"/>
  <c r="Z104" i="13"/>
  <c r="AB104" i="13" s="1"/>
  <c r="T105" i="13"/>
  <c r="V105" i="13" s="1"/>
  <c r="Z105" i="13"/>
  <c r="T106" i="13"/>
  <c r="V106" i="13" s="1"/>
  <c r="Z106" i="13"/>
  <c r="AB106" i="13" s="1"/>
  <c r="AC106" i="13" s="1"/>
  <c r="AD106" i="13" s="1"/>
  <c r="T173" i="13"/>
  <c r="Z173" i="13"/>
  <c r="AA173" i="13" s="1"/>
  <c r="T174" i="13"/>
  <c r="U174" i="13" s="1"/>
  <c r="Z174" i="13"/>
  <c r="AA174" i="13" s="1"/>
  <c r="T175" i="13"/>
  <c r="V175" i="13" s="1"/>
  <c r="Z175" i="13"/>
  <c r="AB175" i="13" s="1"/>
  <c r="T176" i="13"/>
  <c r="Z176" i="13"/>
  <c r="T177" i="13"/>
  <c r="Z177" i="13"/>
  <c r="T178" i="13"/>
  <c r="Z178" i="13"/>
  <c r="T179" i="13"/>
  <c r="Z179" i="13"/>
  <c r="T180" i="13"/>
  <c r="Z180" i="13"/>
  <c r="T181" i="13"/>
  <c r="Z181" i="13"/>
  <c r="AA181" i="13" s="1"/>
  <c r="T182" i="13"/>
  <c r="Z182" i="13"/>
  <c r="AA182" i="13" s="1"/>
  <c r="T183" i="13"/>
  <c r="Z183" i="13"/>
  <c r="AB183" i="13" s="1"/>
  <c r="T184" i="13"/>
  <c r="V184" i="13" s="1"/>
  <c r="Z184" i="13"/>
  <c r="T185" i="13"/>
  <c r="Z185" i="13"/>
  <c r="AA185" i="13" s="1"/>
  <c r="T186" i="13"/>
  <c r="U186" i="13" s="1"/>
  <c r="Z186" i="13"/>
  <c r="AA186" i="13" s="1"/>
  <c r="T187" i="13"/>
  <c r="U187" i="13" s="1"/>
  <c r="Z187" i="13"/>
  <c r="T188" i="13"/>
  <c r="Z188" i="13"/>
  <c r="T189" i="13"/>
  <c r="Z189" i="13"/>
  <c r="T190" i="13"/>
  <c r="Z190" i="13"/>
  <c r="AA190" i="13" s="1"/>
  <c r="T191" i="13"/>
  <c r="U191" i="13" s="1"/>
  <c r="Z191" i="13"/>
  <c r="AB191" i="13" s="1"/>
  <c r="T192" i="13"/>
  <c r="V192" i="13" s="1"/>
  <c r="Z192" i="13"/>
  <c r="T193" i="13"/>
  <c r="Z193" i="13"/>
  <c r="T194" i="13"/>
  <c r="U194" i="13" s="1"/>
  <c r="Z194" i="13"/>
  <c r="AA194" i="13" s="1"/>
  <c r="T195" i="13"/>
  <c r="U195" i="13" s="1"/>
  <c r="W195" i="13" s="1"/>
  <c r="X195" i="13" s="1"/>
  <c r="Z195" i="13"/>
  <c r="T196" i="13"/>
  <c r="Z196" i="13"/>
  <c r="T197" i="13"/>
  <c r="Z197" i="13"/>
  <c r="AA197" i="13" s="1"/>
  <c r="T198" i="13"/>
  <c r="U198" i="13" s="1"/>
  <c r="Z198" i="13"/>
  <c r="AB198" i="13" s="1"/>
  <c r="T199" i="13"/>
  <c r="Z199" i="13"/>
  <c r="AB199" i="13" s="1"/>
  <c r="AC199" i="13" s="1"/>
  <c r="AD199" i="13" s="1"/>
  <c r="T200" i="13"/>
  <c r="V200" i="13" s="1"/>
  <c r="Z200" i="13"/>
  <c r="T201" i="13"/>
  <c r="Z201" i="13"/>
  <c r="T202" i="13"/>
  <c r="U202" i="13" s="1"/>
  <c r="Z202" i="13"/>
  <c r="AB202" i="13" s="1"/>
  <c r="AC202" i="13" s="1"/>
  <c r="AD202" i="13" s="1"/>
  <c r="T203" i="13"/>
  <c r="V203" i="13" s="1"/>
  <c r="Z203" i="13"/>
  <c r="T204" i="13"/>
  <c r="V204" i="13" s="1"/>
  <c r="Z204" i="13"/>
  <c r="T205" i="13"/>
  <c r="V205" i="13" s="1"/>
  <c r="Z205" i="13"/>
  <c r="AA205" i="13" s="1"/>
  <c r="T206" i="13"/>
  <c r="Z206" i="13"/>
  <c r="AB206" i="13" s="1"/>
  <c r="T207" i="13"/>
  <c r="U207" i="13" s="1"/>
  <c r="Z207" i="13"/>
  <c r="AB207" i="13" s="1"/>
  <c r="T208" i="13"/>
  <c r="Z208" i="13"/>
  <c r="T209" i="13"/>
  <c r="V209" i="13" s="1"/>
  <c r="Z209" i="13"/>
  <c r="AA209" i="13" s="1"/>
  <c r="T210" i="13"/>
  <c r="Z210" i="13"/>
  <c r="T211" i="13"/>
  <c r="U211" i="13" s="1"/>
  <c r="Z211" i="13"/>
  <c r="AB211" i="13" s="1"/>
  <c r="T212" i="13"/>
  <c r="Z212" i="13"/>
  <c r="AA212" i="13" s="1"/>
  <c r="T213" i="13"/>
  <c r="Z213" i="13"/>
  <c r="AB213" i="13" s="1"/>
  <c r="T214" i="13"/>
  <c r="U214" i="13" s="1"/>
  <c r="Z214" i="13"/>
  <c r="T215" i="13"/>
  <c r="Z215" i="13"/>
  <c r="T216" i="13"/>
  <c r="Z216" i="13"/>
  <c r="AA216" i="13" s="1"/>
  <c r="T217" i="13"/>
  <c r="U217" i="13" s="1"/>
  <c r="Z217" i="13"/>
  <c r="AA217" i="13" s="1"/>
  <c r="T218" i="13"/>
  <c r="Z218" i="13"/>
  <c r="AB218" i="13" s="1"/>
  <c r="AC218" i="13" s="1"/>
  <c r="AD218" i="13" s="1"/>
  <c r="T219" i="13"/>
  <c r="V219" i="13" s="1"/>
  <c r="Z219" i="13"/>
  <c r="T220" i="13"/>
  <c r="Z220" i="13"/>
  <c r="AA220" i="13" s="1"/>
  <c r="T221" i="13"/>
  <c r="U221" i="13" s="1"/>
  <c r="Z221" i="13"/>
  <c r="AA221" i="13" s="1"/>
  <c r="T222" i="13"/>
  <c r="V222" i="13" s="1"/>
  <c r="Z222" i="13"/>
  <c r="T223" i="13"/>
  <c r="Z223" i="13"/>
  <c r="T224" i="13"/>
  <c r="Z224" i="13"/>
  <c r="AA224" i="13" s="1"/>
  <c r="T225" i="13"/>
  <c r="Z225" i="13"/>
  <c r="AB225" i="13" s="1"/>
  <c r="T226" i="13"/>
  <c r="U226" i="13" s="1"/>
  <c r="Z226" i="13"/>
  <c r="T227" i="13"/>
  <c r="V227" i="13" s="1"/>
  <c r="Z227" i="13"/>
  <c r="T228" i="13"/>
  <c r="Z228" i="13"/>
  <c r="T229" i="13"/>
  <c r="U229" i="13" s="1"/>
  <c r="Z229" i="13"/>
  <c r="AB229" i="13" s="1"/>
  <c r="T230" i="13"/>
  <c r="V230" i="13" s="1"/>
  <c r="Z230" i="13"/>
  <c r="T7" i="13"/>
  <c r="U7" i="13" s="1"/>
  <c r="Z7" i="13"/>
  <c r="AA7" i="13" s="1"/>
  <c r="T8" i="13"/>
  <c r="Z8" i="13"/>
  <c r="AB8" i="13" s="1"/>
  <c r="AC8" i="13" s="1"/>
  <c r="AD8" i="13" s="1"/>
  <c r="T9" i="13"/>
  <c r="V9" i="13" s="1"/>
  <c r="Z9" i="13"/>
  <c r="T10" i="13"/>
  <c r="Z10" i="13"/>
  <c r="AA10" i="13" s="1"/>
  <c r="T11" i="13"/>
  <c r="U11" i="13" s="1"/>
  <c r="Z11" i="13"/>
  <c r="AA11" i="13" s="1"/>
  <c r="T12" i="13"/>
  <c r="V12" i="13" s="1"/>
  <c r="Z12" i="13"/>
  <c r="AB12" i="13" s="1"/>
  <c r="AC12" i="13" s="1"/>
  <c r="AD12" i="13" s="1"/>
  <c r="T13" i="13"/>
  <c r="V13" i="13" s="1"/>
  <c r="Z13" i="13"/>
  <c r="T14" i="13"/>
  <c r="Z14" i="13"/>
  <c r="AA14" i="13" s="1"/>
  <c r="T15" i="13"/>
  <c r="U15" i="13" s="1"/>
  <c r="Z15" i="13"/>
  <c r="AB15" i="13" s="1"/>
  <c r="AC15" i="13" s="1"/>
  <c r="AD15" i="13" s="1"/>
  <c r="T16" i="13"/>
  <c r="U16" i="13" s="1"/>
  <c r="Z16" i="13"/>
  <c r="T17" i="13"/>
  <c r="Z17" i="13"/>
  <c r="T18" i="13"/>
  <c r="Z18" i="13"/>
  <c r="AA18" i="13" s="1"/>
  <c r="T19" i="13"/>
  <c r="U19" i="13" s="1"/>
  <c r="Z19" i="13"/>
  <c r="AA19" i="13" s="1"/>
  <c r="T21" i="13"/>
  <c r="Z21" i="13"/>
  <c r="T22" i="13"/>
  <c r="V22" i="13" s="1"/>
  <c r="Z22" i="13"/>
  <c r="T23" i="13"/>
  <c r="Z23" i="13"/>
  <c r="AA23" i="13" s="1"/>
  <c r="T24" i="13"/>
  <c r="U24" i="13" s="1"/>
  <c r="Z24" i="13"/>
  <c r="AB24" i="13" s="1"/>
  <c r="AC24" i="13" s="1"/>
  <c r="AD24" i="13" s="1"/>
  <c r="T25" i="13"/>
  <c r="U25" i="13" s="1"/>
  <c r="Z25" i="13"/>
  <c r="AB25" i="13" s="1"/>
  <c r="AC25" i="13" s="1"/>
  <c r="AD25" i="13" s="1"/>
  <c r="T26" i="13"/>
  <c r="V26" i="13" s="1"/>
  <c r="Z26" i="13"/>
  <c r="T27" i="13"/>
  <c r="Z27" i="13"/>
  <c r="AA27" i="13" s="1"/>
  <c r="Z28" i="13"/>
  <c r="AB28" i="13" s="1"/>
  <c r="AC28" i="13" s="1"/>
  <c r="AD28" i="13" s="1"/>
  <c r="T30" i="13"/>
  <c r="U30" i="13" s="1"/>
  <c r="Z30" i="13"/>
  <c r="AB30" i="13" s="1"/>
  <c r="AC30" i="13" s="1"/>
  <c r="AD30" i="13" s="1"/>
  <c r="T31" i="13"/>
  <c r="V31" i="13" s="1"/>
  <c r="Z31" i="13"/>
  <c r="T32" i="13"/>
  <c r="Z32" i="13"/>
  <c r="AA32" i="13" s="1"/>
  <c r="T33" i="13"/>
  <c r="U33" i="13" s="1"/>
  <c r="Z33" i="13"/>
  <c r="AA33" i="13" s="1"/>
  <c r="T34" i="13"/>
  <c r="U34" i="13" s="1"/>
  <c r="Z34" i="13"/>
  <c r="AB34" i="13" s="1"/>
  <c r="AC34" i="13" s="1"/>
  <c r="AD34" i="13" s="1"/>
  <c r="T35" i="13"/>
  <c r="U35" i="13" s="1"/>
  <c r="Z35" i="13"/>
  <c r="AB35" i="13" s="1"/>
  <c r="AC35" i="13" s="1"/>
  <c r="AD35" i="13" s="1"/>
  <c r="T36" i="13"/>
  <c r="V36" i="13" s="1"/>
  <c r="Z36" i="13"/>
  <c r="AA36" i="13" s="1"/>
  <c r="T37" i="13"/>
  <c r="U37" i="13" s="1"/>
  <c r="Z37" i="13"/>
  <c r="AB37" i="13" s="1"/>
  <c r="AC37" i="13" s="1"/>
  <c r="AD37" i="13" s="1"/>
  <c r="AA15" i="13" l="1"/>
  <c r="AF29" i="13"/>
  <c r="AF47" i="13"/>
  <c r="AA64" i="13"/>
  <c r="AB33" i="13"/>
  <c r="AC33" i="13" s="1"/>
  <c r="AD33" i="13" s="1"/>
  <c r="AB185" i="13"/>
  <c r="AC185" i="13" s="1"/>
  <c r="AD185" i="13" s="1"/>
  <c r="AA35" i="13"/>
  <c r="V34" i="13"/>
  <c r="AE34" i="13" s="1"/>
  <c r="V16" i="13"/>
  <c r="W16" i="13" s="1"/>
  <c r="X16" i="13" s="1"/>
  <c r="AB209" i="13"/>
  <c r="AE209" i="13" s="1"/>
  <c r="AA99" i="13"/>
  <c r="AA67" i="13"/>
  <c r="AB23" i="13"/>
  <c r="AC23" i="13" s="1"/>
  <c r="AD23" i="13" s="1"/>
  <c r="V19" i="13"/>
  <c r="W19" i="13" s="1"/>
  <c r="X19" i="13" s="1"/>
  <c r="AB197" i="13"/>
  <c r="AC197" i="13" s="1"/>
  <c r="AD197" i="13" s="1"/>
  <c r="AB78" i="13"/>
  <c r="AC78" i="13" s="1"/>
  <c r="AD78" i="13" s="1"/>
  <c r="AB7" i="13"/>
  <c r="AC7" i="13" s="1"/>
  <c r="AD7" i="13" s="1"/>
  <c r="AB194" i="13"/>
  <c r="AC194" i="13" s="1"/>
  <c r="AD194" i="13" s="1"/>
  <c r="AA24" i="13"/>
  <c r="AA202" i="13"/>
  <c r="AB182" i="13"/>
  <c r="AC182" i="13" s="1"/>
  <c r="AD182" i="13" s="1"/>
  <c r="AB83" i="13"/>
  <c r="AC83" i="13" s="1"/>
  <c r="AD83" i="13" s="1"/>
  <c r="U73" i="13"/>
  <c r="W73" i="13" s="1"/>
  <c r="X73" i="13" s="1"/>
  <c r="AB71" i="13"/>
  <c r="AC71" i="13" s="1"/>
  <c r="AD71" i="13" s="1"/>
  <c r="AA25" i="13"/>
  <c r="U222" i="13"/>
  <c r="W222" i="13" s="1"/>
  <c r="X222" i="13" s="1"/>
  <c r="AB220" i="13"/>
  <c r="AC220" i="13" s="1"/>
  <c r="AD220" i="13" s="1"/>
  <c r="U219" i="13"/>
  <c r="W219" i="13" s="1"/>
  <c r="X219" i="13" s="1"/>
  <c r="AB217" i="13"/>
  <c r="AC217" i="13" s="1"/>
  <c r="AD217" i="13" s="1"/>
  <c r="U203" i="13"/>
  <c r="W203" i="13" s="1"/>
  <c r="X203" i="13" s="1"/>
  <c r="AB181" i="13"/>
  <c r="AC181" i="13" s="1"/>
  <c r="AD181" i="13" s="1"/>
  <c r="U99" i="13"/>
  <c r="W99" i="13" s="1"/>
  <c r="X99" i="13" s="1"/>
  <c r="U76" i="13"/>
  <c r="W76" i="13" s="1"/>
  <c r="X76" i="13" s="1"/>
  <c r="U43" i="13"/>
  <c r="W43" i="13" s="1"/>
  <c r="X43" i="13" s="1"/>
  <c r="AA43" i="13"/>
  <c r="AA229" i="13"/>
  <c r="V226" i="13"/>
  <c r="W226" i="13" s="1"/>
  <c r="X226" i="13" s="1"/>
  <c r="AA198" i="13"/>
  <c r="U192" i="13"/>
  <c r="W192" i="13" s="1"/>
  <c r="X192" i="13" s="1"/>
  <c r="AB190" i="13"/>
  <c r="AC190" i="13" s="1"/>
  <c r="AD190" i="13" s="1"/>
  <c r="AB32" i="13"/>
  <c r="AC32" i="13" s="1"/>
  <c r="AD32" i="13" s="1"/>
  <c r="U26" i="13"/>
  <c r="W26" i="13" s="1"/>
  <c r="X26" i="13" s="1"/>
  <c r="V25" i="13"/>
  <c r="AE25" i="13" s="1"/>
  <c r="V24" i="13"/>
  <c r="AE24" i="13" s="1"/>
  <c r="AA8" i="13"/>
  <c r="AA225" i="13"/>
  <c r="AA207" i="13"/>
  <c r="AA199" i="13"/>
  <c r="AB186" i="13"/>
  <c r="AC186" i="13" s="1"/>
  <c r="AD186" i="13" s="1"/>
  <c r="U106" i="13"/>
  <c r="W106" i="13" s="1"/>
  <c r="U105" i="13"/>
  <c r="W105" i="13" s="1"/>
  <c r="X105" i="13" s="1"/>
  <c r="U102" i="13"/>
  <c r="W102" i="13" s="1"/>
  <c r="X102" i="13" s="1"/>
  <c r="V92" i="13"/>
  <c r="W92" i="13" s="1"/>
  <c r="X92" i="13" s="1"/>
  <c r="AA87" i="13"/>
  <c r="AA79" i="13"/>
  <c r="AA72" i="13"/>
  <c r="V68" i="13"/>
  <c r="W68" i="13" s="1"/>
  <c r="X68" i="13" s="1"/>
  <c r="V55" i="13"/>
  <c r="W55" i="13" s="1"/>
  <c r="X55" i="13" s="1"/>
  <c r="U48" i="13"/>
  <c r="W48" i="13" s="1"/>
  <c r="X48" i="13" s="1"/>
  <c r="V42" i="13"/>
  <c r="AE52" i="13"/>
  <c r="AE102" i="13"/>
  <c r="AA51" i="13"/>
  <c r="AB11" i="13"/>
  <c r="AC11" i="13" s="1"/>
  <c r="AD11" i="13" s="1"/>
  <c r="U227" i="13"/>
  <c r="W227" i="13" s="1"/>
  <c r="X227" i="13" s="1"/>
  <c r="V221" i="13"/>
  <c r="W221" i="13" s="1"/>
  <c r="X221" i="13" s="1"/>
  <c r="V217" i="13"/>
  <c r="W217" i="13" s="1"/>
  <c r="X217" i="13" s="1"/>
  <c r="AA213" i="13"/>
  <c r="AB212" i="13"/>
  <c r="AC212" i="13" s="1"/>
  <c r="AD212" i="13" s="1"/>
  <c r="V207" i="13"/>
  <c r="AE207" i="13" s="1"/>
  <c r="V202" i="13"/>
  <c r="AE202" i="13" s="1"/>
  <c r="V198" i="13"/>
  <c r="AE198" i="13" s="1"/>
  <c r="V195" i="13"/>
  <c r="AA191" i="13"/>
  <c r="V187" i="13"/>
  <c r="W187" i="13" s="1"/>
  <c r="X187" i="13" s="1"/>
  <c r="AA183" i="13"/>
  <c r="U175" i="13"/>
  <c r="W175" i="13" s="1"/>
  <c r="X175" i="13" s="1"/>
  <c r="AE106" i="13"/>
  <c r="AB94" i="13"/>
  <c r="AC94" i="13" s="1"/>
  <c r="AD94" i="13" s="1"/>
  <c r="V80" i="13"/>
  <c r="AE80" i="13" s="1"/>
  <c r="V69" i="13"/>
  <c r="W69" i="13" s="1"/>
  <c r="X69" i="13" s="1"/>
  <c r="AB68" i="13"/>
  <c r="V65" i="13"/>
  <c r="AE65" i="13" s="1"/>
  <c r="AA37" i="13"/>
  <c r="AB18" i="13"/>
  <c r="AC18" i="13" s="1"/>
  <c r="AD18" i="13" s="1"/>
  <c r="AB14" i="13"/>
  <c r="AC14" i="13" s="1"/>
  <c r="AD14" i="13" s="1"/>
  <c r="V7" i="13"/>
  <c r="AB221" i="13"/>
  <c r="AC221" i="13" s="1"/>
  <c r="AD221" i="13" s="1"/>
  <c r="U209" i="13"/>
  <c r="W209" i="13" s="1"/>
  <c r="X209" i="13" s="1"/>
  <c r="V186" i="13"/>
  <c r="W186" i="13" s="1"/>
  <c r="X186" i="13" s="1"/>
  <c r="AA106" i="13"/>
  <c r="AB91" i="13"/>
  <c r="AC91" i="13" s="1"/>
  <c r="AD91" i="13" s="1"/>
  <c r="AA90" i="13"/>
  <c r="AA41" i="13"/>
  <c r="V17" i="13"/>
  <c r="U17" i="13"/>
  <c r="AC229" i="13"/>
  <c r="AD229" i="13" s="1"/>
  <c r="AC206" i="13"/>
  <c r="AD206" i="13" s="1"/>
  <c r="AB204" i="13"/>
  <c r="AC204" i="13" s="1"/>
  <c r="AD204" i="13" s="1"/>
  <c r="AA204" i="13"/>
  <c r="U199" i="13"/>
  <c r="W199" i="13" s="1"/>
  <c r="V199" i="13"/>
  <c r="AE199" i="13" s="1"/>
  <c r="U95" i="13"/>
  <c r="V95" i="13"/>
  <c r="U28" i="13"/>
  <c r="V28" i="13"/>
  <c r="AE28" i="13" s="1"/>
  <c r="U179" i="13"/>
  <c r="V179" i="13"/>
  <c r="V90" i="13"/>
  <c r="AE90" i="13" s="1"/>
  <c r="U90" i="13"/>
  <c r="AB76" i="13"/>
  <c r="AA76" i="13"/>
  <c r="AB48" i="13"/>
  <c r="AA48" i="13"/>
  <c r="V44" i="13"/>
  <c r="U44" i="13"/>
  <c r="AA38" i="13"/>
  <c r="AB38" i="13"/>
  <c r="V35" i="13"/>
  <c r="AE35" i="13" s="1"/>
  <c r="V33" i="13"/>
  <c r="W33" i="13" s="1"/>
  <c r="X33" i="13" s="1"/>
  <c r="V30" i="13"/>
  <c r="AE30" i="13" s="1"/>
  <c r="AA28" i="13"/>
  <c r="AB19" i="13"/>
  <c r="U12" i="13"/>
  <c r="W12" i="13" s="1"/>
  <c r="X12" i="13" s="1"/>
  <c r="U230" i="13"/>
  <c r="W230" i="13" s="1"/>
  <c r="X230" i="13" s="1"/>
  <c r="AB226" i="13"/>
  <c r="AC226" i="13" s="1"/>
  <c r="AD226" i="13" s="1"/>
  <c r="AA226" i="13"/>
  <c r="AC213" i="13"/>
  <c r="AD213" i="13" s="1"/>
  <c r="V211" i="13"/>
  <c r="W211" i="13" s="1"/>
  <c r="X211" i="13" s="1"/>
  <c r="AA203" i="13"/>
  <c r="AB203" i="13"/>
  <c r="AC203" i="13" s="1"/>
  <c r="AD203" i="13" s="1"/>
  <c r="V194" i="13"/>
  <c r="AC191" i="13"/>
  <c r="AD191" i="13" s="1"/>
  <c r="U182" i="13"/>
  <c r="V182" i="13"/>
  <c r="AA177" i="13"/>
  <c r="AB177" i="13"/>
  <c r="AC177" i="13" s="1"/>
  <c r="AD177" i="13" s="1"/>
  <c r="AC99" i="13"/>
  <c r="AD99" i="13" s="1"/>
  <c r="AE99" i="13"/>
  <c r="V93" i="13"/>
  <c r="U93" i="13"/>
  <c r="AA82" i="13"/>
  <c r="AB82" i="13"/>
  <c r="AC82" i="13" s="1"/>
  <c r="AD82" i="13" s="1"/>
  <c r="V79" i="13"/>
  <c r="AE79" i="13" s="1"/>
  <c r="V74" i="13"/>
  <c r="U74" i="13"/>
  <c r="AA55" i="13"/>
  <c r="AB55" i="13"/>
  <c r="AC55" i="13" s="1"/>
  <c r="AD55" i="13" s="1"/>
  <c r="AC51" i="13"/>
  <c r="AD51" i="13" s="1"/>
  <c r="U225" i="13"/>
  <c r="V225" i="13"/>
  <c r="AE225" i="13" s="1"/>
  <c r="AA210" i="13"/>
  <c r="AB210" i="13"/>
  <c r="AC210" i="13" s="1"/>
  <c r="AD210" i="13" s="1"/>
  <c r="AB98" i="13"/>
  <c r="AC98" i="13" s="1"/>
  <c r="AD98" i="13" s="1"/>
  <c r="AA98" i="13"/>
  <c r="AC84" i="13"/>
  <c r="AD84" i="13" s="1"/>
  <c r="AA50" i="13"/>
  <c r="AB50" i="13"/>
  <c r="AC50" i="13" s="1"/>
  <c r="AD50" i="13" s="1"/>
  <c r="AA228" i="13"/>
  <c r="AB228" i="13"/>
  <c r="AC228" i="13" s="1"/>
  <c r="AD228" i="13" s="1"/>
  <c r="U218" i="13"/>
  <c r="V218" i="13"/>
  <c r="AE218" i="13" s="1"/>
  <c r="V176" i="13"/>
  <c r="U176" i="13"/>
  <c r="U96" i="13"/>
  <c r="V96" i="13"/>
  <c r="V37" i="13"/>
  <c r="W37" i="13" s="1"/>
  <c r="X37" i="13" s="1"/>
  <c r="AA34" i="13"/>
  <c r="U21" i="13"/>
  <c r="AB16" i="13"/>
  <c r="AA16" i="13"/>
  <c r="V11" i="13"/>
  <c r="W11" i="13" s="1"/>
  <c r="X11" i="13" s="1"/>
  <c r="U8" i="13"/>
  <c r="V8" i="13"/>
  <c r="AE8" i="13" s="1"/>
  <c r="V229" i="13"/>
  <c r="AE229" i="13" s="1"/>
  <c r="AA218" i="13"/>
  <c r="V214" i="13"/>
  <c r="W214" i="13" s="1"/>
  <c r="X214" i="13" s="1"/>
  <c r="U212" i="13"/>
  <c r="V212" i="13"/>
  <c r="AA206" i="13"/>
  <c r="U190" i="13"/>
  <c r="V190" i="13"/>
  <c r="V183" i="13"/>
  <c r="AE183" i="13" s="1"/>
  <c r="U183" i="13"/>
  <c r="AB178" i="13"/>
  <c r="AA178" i="13"/>
  <c r="V174" i="13"/>
  <c r="W174" i="13" s="1"/>
  <c r="X174" i="13" s="1"/>
  <c r="AA92" i="13"/>
  <c r="AB92" i="13"/>
  <c r="AC92" i="13" s="1"/>
  <c r="AD92" i="13" s="1"/>
  <c r="AA84" i="13"/>
  <c r="AA63" i="13"/>
  <c r="AB63" i="13"/>
  <c r="AC63" i="13" s="1"/>
  <c r="AD63" i="13" s="1"/>
  <c r="AA56" i="13"/>
  <c r="V15" i="13"/>
  <c r="W15" i="13" s="1"/>
  <c r="X15" i="13" s="1"/>
  <c r="AB10" i="13"/>
  <c r="AC10" i="13" s="1"/>
  <c r="AD10" i="13" s="1"/>
  <c r="U9" i="13"/>
  <c r="W9" i="13" s="1"/>
  <c r="X9" i="13" s="1"/>
  <c r="AB224" i="13"/>
  <c r="AC224" i="13" s="1"/>
  <c r="AD224" i="13" s="1"/>
  <c r="AB216" i="13"/>
  <c r="AC216" i="13" s="1"/>
  <c r="AD216" i="13" s="1"/>
  <c r="AA211" i="13"/>
  <c r="U206" i="13"/>
  <c r="V206" i="13"/>
  <c r="AE206" i="13" s="1"/>
  <c r="U204" i="13"/>
  <c r="W204" i="13" s="1"/>
  <c r="X204" i="13" s="1"/>
  <c r="U200" i="13"/>
  <c r="W200" i="13" s="1"/>
  <c r="X200" i="13" s="1"/>
  <c r="AA193" i="13"/>
  <c r="AB193" i="13"/>
  <c r="AC193" i="13" s="1"/>
  <c r="AD193" i="13" s="1"/>
  <c r="V191" i="13"/>
  <c r="AE191" i="13" s="1"/>
  <c r="AA189" i="13"/>
  <c r="AB189" i="13"/>
  <c r="AC189" i="13" s="1"/>
  <c r="AD189" i="13" s="1"/>
  <c r="U184" i="13"/>
  <c r="W184" i="13" s="1"/>
  <c r="X184" i="13" s="1"/>
  <c r="AC183" i="13"/>
  <c r="AD183" i="13" s="1"/>
  <c r="U178" i="13"/>
  <c r="V178" i="13"/>
  <c r="AA175" i="13"/>
  <c r="AB174" i="13"/>
  <c r="AC174" i="13" s="1"/>
  <c r="AD174" i="13" s="1"/>
  <c r="AB173" i="13"/>
  <c r="AC173" i="13" s="1"/>
  <c r="AD173" i="13" s="1"/>
  <c r="AA104" i="13"/>
  <c r="U88" i="13"/>
  <c r="W88" i="13" s="1"/>
  <c r="X88" i="13" s="1"/>
  <c r="U84" i="13"/>
  <c r="V84" i="13"/>
  <c r="AE84" i="13" s="1"/>
  <c r="V83" i="13"/>
  <c r="W83" i="13" s="1"/>
  <c r="X83" i="13" s="1"/>
  <c r="V77" i="13"/>
  <c r="U77" i="13"/>
  <c r="U72" i="13"/>
  <c r="V72" i="13"/>
  <c r="AE72" i="13" s="1"/>
  <c r="V64" i="13"/>
  <c r="AE64" i="13" s="1"/>
  <c r="U56" i="13"/>
  <c r="V56" i="13"/>
  <c r="AE56" i="13" s="1"/>
  <c r="U52" i="13"/>
  <c r="W52" i="13" s="1"/>
  <c r="U51" i="13"/>
  <c r="V51" i="13"/>
  <c r="AE51" i="13" s="1"/>
  <c r="AA45" i="13"/>
  <c r="AB45" i="13"/>
  <c r="AC45" i="13" s="1"/>
  <c r="AD45" i="13" s="1"/>
  <c r="AA42" i="13"/>
  <c r="AB42" i="13"/>
  <c r="AC42" i="13" s="1"/>
  <c r="AD42" i="13" s="1"/>
  <c r="U213" i="13"/>
  <c r="V213" i="13"/>
  <c r="AE213" i="13" s="1"/>
  <c r="AC211" i="13"/>
  <c r="AD211" i="13" s="1"/>
  <c r="AA201" i="13"/>
  <c r="AB201" i="13"/>
  <c r="AC201" i="13" s="1"/>
  <c r="AD201" i="13" s="1"/>
  <c r="AC175" i="13"/>
  <c r="AD175" i="13" s="1"/>
  <c r="AE175" i="13"/>
  <c r="AA95" i="13"/>
  <c r="AB95" i="13"/>
  <c r="AA86" i="13"/>
  <c r="AB86" i="13"/>
  <c r="AC86" i="13" s="1"/>
  <c r="AD86" i="13" s="1"/>
  <c r="U75" i="13"/>
  <c r="AB73" i="13"/>
  <c r="AA73" i="13"/>
  <c r="AC64" i="13"/>
  <c r="AA54" i="13"/>
  <c r="AB54" i="13"/>
  <c r="AC54" i="13" s="1"/>
  <c r="AD54" i="13" s="1"/>
  <c r="V49" i="13"/>
  <c r="U49" i="13"/>
  <c r="U39" i="13"/>
  <c r="V39" i="13"/>
  <c r="W42" i="13"/>
  <c r="X42" i="13" s="1"/>
  <c r="V38" i="13"/>
  <c r="W38" i="13" s="1"/>
  <c r="X38" i="13" s="1"/>
  <c r="AB214" i="13"/>
  <c r="AA214" i="13"/>
  <c r="AB230" i="13"/>
  <c r="AA230" i="13"/>
  <c r="AC225" i="13"/>
  <c r="AD225" i="13" s="1"/>
  <c r="V223" i="13"/>
  <c r="U223" i="13"/>
  <c r="AB222" i="13"/>
  <c r="AA222" i="13"/>
  <c r="V215" i="13"/>
  <c r="U215" i="13"/>
  <c r="U189" i="13"/>
  <c r="W189" i="13" s="1"/>
  <c r="X189" i="13" s="1"/>
  <c r="V189" i="13"/>
  <c r="V94" i="13"/>
  <c r="U94" i="13"/>
  <c r="U224" i="13"/>
  <c r="V224" i="13"/>
  <c r="AA215" i="13"/>
  <c r="AB215" i="13"/>
  <c r="U210" i="13"/>
  <c r="V210" i="13"/>
  <c r="AA105" i="13"/>
  <c r="AB105" i="13"/>
  <c r="V70" i="13"/>
  <c r="U70" i="13"/>
  <c r="U228" i="13"/>
  <c r="V228" i="13"/>
  <c r="AA227" i="13"/>
  <c r="AB227" i="13"/>
  <c r="U220" i="13"/>
  <c r="V220" i="13"/>
  <c r="AA219" i="13"/>
  <c r="AB219" i="13"/>
  <c r="AB208" i="13"/>
  <c r="AA208" i="13"/>
  <c r="AC207" i="13"/>
  <c r="AD207" i="13" s="1"/>
  <c r="U197" i="13"/>
  <c r="V197" i="13"/>
  <c r="V188" i="13"/>
  <c r="U188" i="13"/>
  <c r="AA180" i="13"/>
  <c r="AB180" i="13"/>
  <c r="AB103" i="13"/>
  <c r="V97" i="13"/>
  <c r="U97" i="13"/>
  <c r="V40" i="13"/>
  <c r="U40" i="13"/>
  <c r="AB195" i="13"/>
  <c r="AA195" i="13"/>
  <c r="V180" i="13"/>
  <c r="U180" i="13"/>
  <c r="W180" i="13" s="1"/>
  <c r="X180" i="13" s="1"/>
  <c r="V91" i="13"/>
  <c r="U91" i="13"/>
  <c r="AA223" i="13"/>
  <c r="AB223" i="13"/>
  <c r="U216" i="13"/>
  <c r="V216" i="13"/>
  <c r="U208" i="13"/>
  <c r="V208" i="13"/>
  <c r="AA196" i="13"/>
  <c r="AB196" i="13"/>
  <c r="AB187" i="13"/>
  <c r="AA187" i="13"/>
  <c r="U181" i="13"/>
  <c r="V181" i="13"/>
  <c r="V98" i="13"/>
  <c r="U98" i="13"/>
  <c r="U78" i="13"/>
  <c r="V78" i="13"/>
  <c r="AC198" i="13"/>
  <c r="AD198" i="13" s="1"/>
  <c r="V196" i="13"/>
  <c r="U196" i="13"/>
  <c r="AA188" i="13"/>
  <c r="AB188" i="13"/>
  <c r="AB179" i="13"/>
  <c r="AA179" i="13"/>
  <c r="U173" i="13"/>
  <c r="V173" i="13"/>
  <c r="AC104" i="13"/>
  <c r="AD104" i="13" s="1"/>
  <c r="AA85" i="13"/>
  <c r="AC72" i="13"/>
  <c r="AD72" i="13" s="1"/>
  <c r="AB205" i="13"/>
  <c r="U205" i="13"/>
  <c r="W205" i="13" s="1"/>
  <c r="X205" i="13" s="1"/>
  <c r="U103" i="13"/>
  <c r="W103" i="13" s="1"/>
  <c r="X103" i="13" s="1"/>
  <c r="AB96" i="13"/>
  <c r="AA96" i="13"/>
  <c r="AB93" i="13"/>
  <c r="AA93" i="13"/>
  <c r="AB88" i="13"/>
  <c r="AA88" i="13"/>
  <c r="U81" i="13"/>
  <c r="W81" i="13" s="1"/>
  <c r="X81" i="13" s="1"/>
  <c r="U201" i="13"/>
  <c r="V201" i="13"/>
  <c r="AA200" i="13"/>
  <c r="AB200" i="13"/>
  <c r="U193" i="13"/>
  <c r="V193" i="13"/>
  <c r="AA192" i="13"/>
  <c r="AB192" i="13"/>
  <c r="U185" i="13"/>
  <c r="V185" i="13"/>
  <c r="AA184" i="13"/>
  <c r="AB184" i="13"/>
  <c r="U177" i="13"/>
  <c r="V177" i="13"/>
  <c r="AA176" i="13"/>
  <c r="AB176" i="13"/>
  <c r="AB97" i="13"/>
  <c r="AA97" i="13"/>
  <c r="AA53" i="13"/>
  <c r="AB53" i="13"/>
  <c r="V104" i="13"/>
  <c r="W104" i="13" s="1"/>
  <c r="X104" i="13" s="1"/>
  <c r="AA102" i="13"/>
  <c r="U87" i="13"/>
  <c r="V87" i="13"/>
  <c r="AE87" i="13" s="1"/>
  <c r="U86" i="13"/>
  <c r="V86" i="13"/>
  <c r="AA80" i="13"/>
  <c r="U71" i="13"/>
  <c r="V71" i="13"/>
  <c r="AC80" i="13"/>
  <c r="AD80" i="13" s="1"/>
  <c r="AA77" i="13"/>
  <c r="AB77" i="13"/>
  <c r="AA66" i="13"/>
  <c r="AB66" i="13"/>
  <c r="V62" i="13"/>
  <c r="U62" i="13"/>
  <c r="AA40" i="13"/>
  <c r="AB40" i="13"/>
  <c r="AA70" i="13"/>
  <c r="AB70" i="13"/>
  <c r="U67" i="13"/>
  <c r="V67" i="13"/>
  <c r="AE67" i="13" s="1"/>
  <c r="U54" i="13"/>
  <c r="V54" i="13"/>
  <c r="AC43" i="13"/>
  <c r="AD43" i="13" s="1"/>
  <c r="AE43" i="13"/>
  <c r="AB39" i="13"/>
  <c r="AA39" i="13"/>
  <c r="U82" i="13"/>
  <c r="V82" i="13"/>
  <c r="AA81" i="13"/>
  <c r="AB81" i="13"/>
  <c r="AB69" i="13"/>
  <c r="AA69" i="13"/>
  <c r="AC56" i="13"/>
  <c r="AD56" i="13" s="1"/>
  <c r="AC41" i="13"/>
  <c r="AD41" i="13" s="1"/>
  <c r="U41" i="13"/>
  <c r="V41" i="13"/>
  <c r="AE41" i="13" s="1"/>
  <c r="U66" i="13"/>
  <c r="W66" i="13" s="1"/>
  <c r="X66" i="13" s="1"/>
  <c r="AA65" i="13"/>
  <c r="U63" i="13"/>
  <c r="V63" i="13"/>
  <c r="AA62" i="13"/>
  <c r="AB62" i="13"/>
  <c r="U53" i="13"/>
  <c r="W53" i="13" s="1"/>
  <c r="X53" i="13" s="1"/>
  <c r="AA52" i="13"/>
  <c r="U45" i="13"/>
  <c r="V45" i="13"/>
  <c r="AA44" i="13"/>
  <c r="AB44" i="13"/>
  <c r="AA74" i="13"/>
  <c r="AB74" i="13"/>
  <c r="U50" i="13"/>
  <c r="V50" i="13"/>
  <c r="AA49" i="13"/>
  <c r="AB49" i="13"/>
  <c r="AA9" i="13"/>
  <c r="AB9" i="13"/>
  <c r="U32" i="13"/>
  <c r="W32" i="13" s="1"/>
  <c r="X32" i="13" s="1"/>
  <c r="V32" i="13"/>
  <c r="AA31" i="13"/>
  <c r="AB31" i="13"/>
  <c r="AA22" i="13"/>
  <c r="AB22" i="13"/>
  <c r="AA13" i="13"/>
  <c r="AB13" i="13"/>
  <c r="W30" i="13"/>
  <c r="X30" i="13" s="1"/>
  <c r="U10" i="13"/>
  <c r="V10" i="13"/>
  <c r="U23" i="13"/>
  <c r="V23" i="13"/>
  <c r="U14" i="13"/>
  <c r="V14" i="13"/>
  <c r="AE12" i="13"/>
  <c r="AB36" i="13"/>
  <c r="U36" i="13"/>
  <c r="W36" i="13" s="1"/>
  <c r="X36" i="13" s="1"/>
  <c r="U31" i="13"/>
  <c r="W31" i="13" s="1"/>
  <c r="X31" i="13" s="1"/>
  <c r="AA30" i="13"/>
  <c r="U27" i="13"/>
  <c r="AA26" i="13"/>
  <c r="AB26" i="13"/>
  <c r="U22" i="13"/>
  <c r="W22" i="13" s="1"/>
  <c r="X22" i="13" s="1"/>
  <c r="AA21" i="13"/>
  <c r="U18" i="13"/>
  <c r="V18" i="13"/>
  <c r="AA17" i="13"/>
  <c r="AB17" i="13"/>
  <c r="U13" i="13"/>
  <c r="W13" i="13" s="1"/>
  <c r="X13" i="13" s="1"/>
  <c r="AA12" i="13"/>
  <c r="E94" i="13"/>
  <c r="D94" i="13"/>
  <c r="C94" i="13"/>
  <c r="B94" i="13"/>
  <c r="K94" i="13"/>
  <c r="P94" i="13"/>
  <c r="K103" i="13"/>
  <c r="W64" i="13" l="1"/>
  <c r="X64" i="13" s="1"/>
  <c r="AF52" i="13"/>
  <c r="X52" i="13"/>
  <c r="AF199" i="13"/>
  <c r="X199" i="13"/>
  <c r="AD64" i="13"/>
  <c r="AF106" i="13"/>
  <c r="X106" i="13"/>
  <c r="W34" i="13"/>
  <c r="W8" i="13"/>
  <c r="W78" i="13"/>
  <c r="X78" i="13" s="1"/>
  <c r="W67" i="13"/>
  <c r="X67" i="13" s="1"/>
  <c r="W79" i="13"/>
  <c r="W24" i="13"/>
  <c r="W80" i="13"/>
  <c r="W40" i="13"/>
  <c r="X40" i="13" s="1"/>
  <c r="AE45" i="13"/>
  <c r="AF33" i="13"/>
  <c r="AE185" i="13"/>
  <c r="W198" i="13"/>
  <c r="AE228" i="13"/>
  <c r="W65" i="13"/>
  <c r="AE83" i="13"/>
  <c r="AE189" i="13"/>
  <c r="AE190" i="13"/>
  <c r="W207" i="13"/>
  <c r="AC209" i="13"/>
  <c r="W35" i="13"/>
  <c r="AE7" i="13"/>
  <c r="AE50" i="13"/>
  <c r="AE23" i="13"/>
  <c r="W49" i="13"/>
  <c r="X49" i="13" s="1"/>
  <c r="AE98" i="13"/>
  <c r="W193" i="13"/>
  <c r="W216" i="13"/>
  <c r="W74" i="13"/>
  <c r="X74" i="13" s="1"/>
  <c r="W183" i="13"/>
  <c r="AE212" i="13"/>
  <c r="AE182" i="13"/>
  <c r="AE18" i="13"/>
  <c r="W97" i="13"/>
  <c r="X97" i="13" s="1"/>
  <c r="W39" i="13"/>
  <c r="X39" i="13" s="1"/>
  <c r="W84" i="13"/>
  <c r="W190" i="13"/>
  <c r="W176" i="13"/>
  <c r="X176" i="13" s="1"/>
  <c r="W90" i="13"/>
  <c r="W17" i="13"/>
  <c r="X17" i="13" s="1"/>
  <c r="AF221" i="13"/>
  <c r="AF226" i="13"/>
  <c r="AE197" i="13"/>
  <c r="W206" i="13"/>
  <c r="W225" i="13"/>
  <c r="W202" i="13"/>
  <c r="W25" i="13"/>
  <c r="AE33" i="13"/>
  <c r="AE224" i="13"/>
  <c r="W212" i="13"/>
  <c r="W96" i="13"/>
  <c r="X96" i="13" s="1"/>
  <c r="W229" i="13"/>
  <c r="W7" i="13"/>
  <c r="AE211" i="13"/>
  <c r="AE54" i="13"/>
  <c r="AE201" i="13"/>
  <c r="AE217" i="13"/>
  <c r="AE220" i="13"/>
  <c r="AE221" i="13"/>
  <c r="AE181" i="13"/>
  <c r="AE78" i="13"/>
  <c r="AE203" i="13"/>
  <c r="AF32" i="13"/>
  <c r="AF175" i="13"/>
  <c r="AE63" i="13"/>
  <c r="AE71" i="13"/>
  <c r="AE194" i="13"/>
  <c r="AE226" i="13"/>
  <c r="AE193" i="13"/>
  <c r="AE174" i="13"/>
  <c r="AE10" i="13"/>
  <c r="AE177" i="13"/>
  <c r="AE210" i="13"/>
  <c r="AE14" i="13"/>
  <c r="AE173" i="13"/>
  <c r="AE94" i="13"/>
  <c r="AE186" i="13"/>
  <c r="AE86" i="13"/>
  <c r="AE91" i="13"/>
  <c r="AF42" i="13"/>
  <c r="AE37" i="13"/>
  <c r="AE32" i="13"/>
  <c r="AE55" i="13"/>
  <c r="AE92" i="13"/>
  <c r="AE11" i="13"/>
  <c r="AC68" i="13"/>
  <c r="AE68" i="13"/>
  <c r="AF99" i="13"/>
  <c r="W179" i="13"/>
  <c r="X179" i="13" s="1"/>
  <c r="AF204" i="13"/>
  <c r="AF15" i="13"/>
  <c r="AF37" i="13"/>
  <c r="AF12" i="13"/>
  <c r="AC95" i="13"/>
  <c r="AD95" i="13" s="1"/>
  <c r="AE95" i="13"/>
  <c r="W191" i="13"/>
  <c r="AF211" i="13"/>
  <c r="AC178" i="13"/>
  <c r="AD178" i="13" s="1"/>
  <c r="AE178" i="13"/>
  <c r="W218" i="13"/>
  <c r="X218" i="13" s="1"/>
  <c r="AF11" i="13"/>
  <c r="AC38" i="13"/>
  <c r="AD38" i="13" s="1"/>
  <c r="AE38" i="13"/>
  <c r="AC76" i="13"/>
  <c r="AD76" i="13" s="1"/>
  <c r="AE76" i="13"/>
  <c r="W95" i="13"/>
  <c r="X95" i="13" s="1"/>
  <c r="AE15" i="13"/>
  <c r="W18" i="13"/>
  <c r="W10" i="13"/>
  <c r="X10" i="13" s="1"/>
  <c r="AE42" i="13"/>
  <c r="W63" i="13"/>
  <c r="W41" i="13"/>
  <c r="X41" i="13" s="1"/>
  <c r="AE82" i="13"/>
  <c r="AE104" i="13"/>
  <c r="W196" i="13"/>
  <c r="X196" i="13" s="1"/>
  <c r="W188" i="13"/>
  <c r="X188" i="13" s="1"/>
  <c r="AE216" i="13"/>
  <c r="W51" i="13"/>
  <c r="X51" i="13" s="1"/>
  <c r="W72" i="13"/>
  <c r="X72" i="13" s="1"/>
  <c r="W178" i="13"/>
  <c r="X178" i="13" s="1"/>
  <c r="W194" i="13"/>
  <c r="AF55" i="13"/>
  <c r="W182" i="13"/>
  <c r="AC19" i="13"/>
  <c r="AD19" i="13" s="1"/>
  <c r="AE19" i="13"/>
  <c r="AC48" i="13"/>
  <c r="AD48" i="13" s="1"/>
  <c r="AE48" i="13"/>
  <c r="W28" i="13"/>
  <c r="X28" i="13" s="1"/>
  <c r="W14" i="13"/>
  <c r="W87" i="13"/>
  <c r="W56" i="13"/>
  <c r="X56" i="13" s="1"/>
  <c r="AC16" i="13"/>
  <c r="AD16" i="13" s="1"/>
  <c r="AE16" i="13"/>
  <c r="W62" i="13"/>
  <c r="X62" i="13" s="1"/>
  <c r="W91" i="13"/>
  <c r="AF189" i="13"/>
  <c r="AF102" i="13"/>
  <c r="AE204" i="13"/>
  <c r="W223" i="13"/>
  <c r="X223" i="13" s="1"/>
  <c r="AC73" i="13"/>
  <c r="AD73" i="13" s="1"/>
  <c r="AE73" i="13"/>
  <c r="W213" i="13"/>
  <c r="W77" i="13"/>
  <c r="X77" i="13" s="1"/>
  <c r="AF186" i="13"/>
  <c r="W93" i="13"/>
  <c r="X93" i="13" s="1"/>
  <c r="W44" i="13"/>
  <c r="X44" i="13" s="1"/>
  <c r="AE44" i="13"/>
  <c r="AC44" i="13"/>
  <c r="AD44" i="13" s="1"/>
  <c r="AF92" i="13"/>
  <c r="AE93" i="13"/>
  <c r="AC93" i="13"/>
  <c r="AD93" i="13" s="1"/>
  <c r="AE188" i="13"/>
  <c r="AC188" i="13"/>
  <c r="AD188" i="13" s="1"/>
  <c r="AF174" i="13"/>
  <c r="AC230" i="13"/>
  <c r="AD230" i="13" s="1"/>
  <c r="AE230" i="13"/>
  <c r="AF83" i="13"/>
  <c r="W201" i="13"/>
  <c r="X201" i="13" s="1"/>
  <c r="AC208" i="13"/>
  <c r="AD208" i="13" s="1"/>
  <c r="AE208" i="13"/>
  <c r="W50" i="13"/>
  <c r="X50" i="13" s="1"/>
  <c r="AC69" i="13"/>
  <c r="AD69" i="13" s="1"/>
  <c r="AE69" i="13"/>
  <c r="AE49" i="13"/>
  <c r="AC49" i="13"/>
  <c r="AD49" i="13" s="1"/>
  <c r="AC74" i="13"/>
  <c r="AD74" i="13" s="1"/>
  <c r="AE74" i="13"/>
  <c r="W45" i="13"/>
  <c r="X45" i="13" s="1"/>
  <c r="W82" i="13"/>
  <c r="X82" i="13" s="1"/>
  <c r="AC39" i="13"/>
  <c r="AD39" i="13" s="1"/>
  <c r="AE39" i="13"/>
  <c r="AE70" i="13"/>
  <c r="AC70" i="13"/>
  <c r="AD70" i="13" s="1"/>
  <c r="W71" i="13"/>
  <c r="X71" i="13" s="1"/>
  <c r="AE97" i="13"/>
  <c r="AC97" i="13"/>
  <c r="AD97" i="13" s="1"/>
  <c r="AE176" i="13"/>
  <c r="AC176" i="13"/>
  <c r="AD176" i="13" s="1"/>
  <c r="W185" i="13"/>
  <c r="X185" i="13" s="1"/>
  <c r="AC96" i="13"/>
  <c r="AD96" i="13" s="1"/>
  <c r="AE96" i="13"/>
  <c r="AE205" i="13"/>
  <c r="AC205" i="13"/>
  <c r="AD205" i="13" s="1"/>
  <c r="AF104" i="13"/>
  <c r="W98" i="13"/>
  <c r="X98" i="13" s="1"/>
  <c r="AE196" i="13"/>
  <c r="AC196" i="13"/>
  <c r="AD196" i="13" s="1"/>
  <c r="AE180" i="13"/>
  <c r="AC180" i="13"/>
  <c r="AD180" i="13" s="1"/>
  <c r="W197" i="13"/>
  <c r="X197" i="13" s="1"/>
  <c r="W228" i="13"/>
  <c r="X228" i="13" s="1"/>
  <c r="W70" i="13"/>
  <c r="X70" i="13" s="1"/>
  <c r="AE215" i="13"/>
  <c r="AC215" i="13"/>
  <c r="AD215" i="13" s="1"/>
  <c r="W224" i="13"/>
  <c r="X224" i="13" s="1"/>
  <c r="W94" i="13"/>
  <c r="W215" i="13"/>
  <c r="X215" i="13" s="1"/>
  <c r="AC214" i="13"/>
  <c r="AD214" i="13" s="1"/>
  <c r="AE214" i="13"/>
  <c r="AE81" i="13"/>
  <c r="AC81" i="13"/>
  <c r="AD81" i="13" s="1"/>
  <c r="AE40" i="13"/>
  <c r="AC40" i="13"/>
  <c r="AD40" i="13" s="1"/>
  <c r="AE66" i="13"/>
  <c r="AC66" i="13"/>
  <c r="AD66" i="13" s="1"/>
  <c r="AE77" i="13"/>
  <c r="AC77" i="13"/>
  <c r="AD77" i="13" s="1"/>
  <c r="AE184" i="13"/>
  <c r="AC184" i="13"/>
  <c r="AD184" i="13" s="1"/>
  <c r="AC88" i="13"/>
  <c r="AD88" i="13" s="1"/>
  <c r="AE88" i="13"/>
  <c r="AE227" i="13"/>
  <c r="AC227" i="13"/>
  <c r="AD227" i="13" s="1"/>
  <c r="AC222" i="13"/>
  <c r="AD222" i="13" s="1"/>
  <c r="AE222" i="13"/>
  <c r="AE62" i="13"/>
  <c r="AC62" i="13"/>
  <c r="AD62" i="13" s="1"/>
  <c r="AF43" i="13"/>
  <c r="AE192" i="13"/>
  <c r="AC192" i="13"/>
  <c r="AD192" i="13" s="1"/>
  <c r="AE223" i="13"/>
  <c r="AC223" i="13"/>
  <c r="AD223" i="13" s="1"/>
  <c r="AC195" i="13"/>
  <c r="AD195" i="13" s="1"/>
  <c r="AE195" i="13"/>
  <c r="AE103" i="13"/>
  <c r="AC103" i="13"/>
  <c r="AD103" i="13" s="1"/>
  <c r="W220" i="13"/>
  <c r="X220" i="13" s="1"/>
  <c r="W54" i="13"/>
  <c r="X54" i="13" s="1"/>
  <c r="W86" i="13"/>
  <c r="AE53" i="13"/>
  <c r="AC53" i="13"/>
  <c r="AD53" i="13" s="1"/>
  <c r="W177" i="13"/>
  <c r="X177" i="13" s="1"/>
  <c r="AE200" i="13"/>
  <c r="AC200" i="13"/>
  <c r="AD200" i="13" s="1"/>
  <c r="W173" i="13"/>
  <c r="X173" i="13" s="1"/>
  <c r="AC179" i="13"/>
  <c r="AD179" i="13" s="1"/>
  <c r="AE179" i="13"/>
  <c r="W181" i="13"/>
  <c r="X181" i="13" s="1"/>
  <c r="AC187" i="13"/>
  <c r="AD187" i="13" s="1"/>
  <c r="AE187" i="13"/>
  <c r="AF203" i="13"/>
  <c r="W208" i="13"/>
  <c r="X208" i="13" s="1"/>
  <c r="AE219" i="13"/>
  <c r="AC219" i="13"/>
  <c r="AD219" i="13" s="1"/>
  <c r="AC105" i="13"/>
  <c r="AD105" i="13" s="1"/>
  <c r="AE105" i="13"/>
  <c r="W210" i="13"/>
  <c r="X210" i="13" s="1"/>
  <c r="AF217" i="13"/>
  <c r="AE36" i="13"/>
  <c r="AC36" i="13"/>
  <c r="AD36" i="13" s="1"/>
  <c r="AE26" i="13"/>
  <c r="AC26" i="13"/>
  <c r="AD26" i="13" s="1"/>
  <c r="W23" i="13"/>
  <c r="X23" i="13" s="1"/>
  <c r="AE13" i="13"/>
  <c r="AC13" i="13"/>
  <c r="AD13" i="13" s="1"/>
  <c r="AE22" i="13"/>
  <c r="AC22" i="13"/>
  <c r="AD22" i="13" s="1"/>
  <c r="AE31" i="13"/>
  <c r="AC31" i="13"/>
  <c r="AD31" i="13" s="1"/>
  <c r="AF30" i="13"/>
  <c r="AE17" i="13"/>
  <c r="AC17" i="13"/>
  <c r="AD17" i="13" s="1"/>
  <c r="AE9" i="13"/>
  <c r="AC9" i="13"/>
  <c r="AD9" i="13" s="1"/>
  <c r="P30" i="13"/>
  <c r="K30" i="13"/>
  <c r="E30" i="13"/>
  <c r="D30" i="13"/>
  <c r="C30" i="13"/>
  <c r="B30" i="13"/>
  <c r="P28" i="13"/>
  <c r="K28" i="13"/>
  <c r="E28" i="13"/>
  <c r="D28" i="13"/>
  <c r="C28" i="13"/>
  <c r="B28" i="13"/>
  <c r="P95" i="13"/>
  <c r="K95" i="13"/>
  <c r="E95" i="13"/>
  <c r="D95" i="13"/>
  <c r="C95" i="13"/>
  <c r="B95" i="13"/>
  <c r="P82" i="13"/>
  <c r="K82" i="13"/>
  <c r="E82" i="13"/>
  <c r="D82" i="13"/>
  <c r="C82" i="13"/>
  <c r="B82" i="13"/>
  <c r="AF64" i="13" l="1"/>
  <c r="AF78" i="13"/>
  <c r="AF67" i="13"/>
  <c r="AF18" i="13"/>
  <c r="X18" i="13"/>
  <c r="AF206" i="13"/>
  <c r="X206" i="13"/>
  <c r="AF216" i="13"/>
  <c r="X216" i="13"/>
  <c r="AF198" i="13"/>
  <c r="X198" i="13"/>
  <c r="AF80" i="13"/>
  <c r="X80" i="13"/>
  <c r="AF8" i="13"/>
  <c r="X8" i="13"/>
  <c r="AF86" i="13"/>
  <c r="X86" i="13"/>
  <c r="AF7" i="13"/>
  <c r="X7" i="13"/>
  <c r="AF190" i="13"/>
  <c r="X190" i="13"/>
  <c r="AF193" i="13"/>
  <c r="X193" i="13"/>
  <c r="AF34" i="13"/>
  <c r="X34" i="13"/>
  <c r="AF182" i="13"/>
  <c r="X182" i="13"/>
  <c r="AF191" i="13"/>
  <c r="X191" i="13"/>
  <c r="AF68" i="13"/>
  <c r="AD68" i="13"/>
  <c r="AF25" i="13"/>
  <c r="X25" i="13"/>
  <c r="AF84" i="13"/>
  <c r="X84" i="13"/>
  <c r="AF183" i="13"/>
  <c r="X183" i="13"/>
  <c r="AF24" i="13"/>
  <c r="X24" i="13"/>
  <c r="AF91" i="13"/>
  <c r="X91" i="13"/>
  <c r="AF87" i="13"/>
  <c r="X87" i="13"/>
  <c r="AF63" i="13"/>
  <c r="X63" i="13"/>
  <c r="AF229" i="13"/>
  <c r="X229" i="13"/>
  <c r="AF202" i="13"/>
  <c r="X202" i="13"/>
  <c r="AF35" i="13"/>
  <c r="X35" i="13"/>
  <c r="AF65" i="13"/>
  <c r="X65" i="13"/>
  <c r="AF79" i="13"/>
  <c r="X79" i="13"/>
  <c r="AF94" i="13"/>
  <c r="X94" i="13"/>
  <c r="AF14" i="13"/>
  <c r="X14" i="13"/>
  <c r="AF209" i="13"/>
  <c r="AD209" i="13"/>
  <c r="AF213" i="13"/>
  <c r="X213" i="13"/>
  <c r="AF194" i="13"/>
  <c r="X194" i="13"/>
  <c r="AF212" i="13"/>
  <c r="X212" i="13"/>
  <c r="AF225" i="13"/>
  <c r="X225" i="13"/>
  <c r="AF90" i="13"/>
  <c r="X90" i="13"/>
  <c r="AF207" i="13"/>
  <c r="X207" i="13"/>
  <c r="AF95" i="13"/>
  <c r="AF73" i="13"/>
  <c r="AF19" i="13"/>
  <c r="AF218" i="13"/>
  <c r="AF10" i="13"/>
  <c r="AF41" i="13"/>
  <c r="AF51" i="13"/>
  <c r="AF76" i="13"/>
  <c r="AF38" i="13"/>
  <c r="AF56" i="13"/>
  <c r="AF72" i="13"/>
  <c r="AF197" i="13"/>
  <c r="AF16" i="13"/>
  <c r="AF28" i="13"/>
  <c r="AF48" i="13"/>
  <c r="AF178" i="13"/>
  <c r="AF219" i="13"/>
  <c r="AF103" i="13"/>
  <c r="AF222" i="13"/>
  <c r="AF215" i="13"/>
  <c r="AF180" i="13"/>
  <c r="AF205" i="13"/>
  <c r="AF74" i="13"/>
  <c r="AF208" i="13"/>
  <c r="AF201" i="13"/>
  <c r="AF210" i="13"/>
  <c r="AF77" i="13"/>
  <c r="AF40" i="13"/>
  <c r="AF176" i="13"/>
  <c r="AF49" i="13"/>
  <c r="AF98" i="13"/>
  <c r="AF44" i="13"/>
  <c r="AF179" i="13"/>
  <c r="AF177" i="13"/>
  <c r="AF88" i="13"/>
  <c r="AF105" i="13"/>
  <c r="AF173" i="13"/>
  <c r="AF195" i="13"/>
  <c r="AF62" i="13"/>
  <c r="AF227" i="13"/>
  <c r="AF54" i="13"/>
  <c r="AF184" i="13"/>
  <c r="AF66" i="13"/>
  <c r="AF81" i="13"/>
  <c r="AF224" i="13"/>
  <c r="AF196" i="13"/>
  <c r="AF96" i="13"/>
  <c r="AF97" i="13"/>
  <c r="AF70" i="13"/>
  <c r="AF82" i="13"/>
  <c r="AF50" i="13"/>
  <c r="AF230" i="13"/>
  <c r="AF93" i="13"/>
  <c r="AF200" i="13"/>
  <c r="AF53" i="13"/>
  <c r="AF228" i="13"/>
  <c r="AF185" i="13"/>
  <c r="AF188" i="13"/>
  <c r="AF187" i="13"/>
  <c r="AF220" i="13"/>
  <c r="AF223" i="13"/>
  <c r="AF192" i="13"/>
  <c r="AF214" i="13"/>
  <c r="AF181" i="13"/>
  <c r="AF71" i="13"/>
  <c r="AF39" i="13"/>
  <c r="AF45" i="13"/>
  <c r="AF69" i="13"/>
  <c r="AF31" i="13"/>
  <c r="AF13" i="13"/>
  <c r="AF26" i="13"/>
  <c r="AF9" i="13"/>
  <c r="AF22" i="13"/>
  <c r="AF17" i="13"/>
  <c r="AF23" i="13"/>
  <c r="AF36" i="13"/>
  <c r="AB27" i="13" l="1"/>
  <c r="V27" i="13"/>
  <c r="W27" i="13" s="1"/>
  <c r="X27" i="13" s="1"/>
  <c r="AB75" i="13"/>
  <c r="V75" i="13"/>
  <c r="W75" i="13" s="1"/>
  <c r="X75" i="13" s="1"/>
  <c r="AB85" i="13"/>
  <c r="V85" i="13"/>
  <c r="W85" i="13" s="1"/>
  <c r="X85" i="13" s="1"/>
  <c r="AB21" i="13"/>
  <c r="V21" i="13"/>
  <c r="W21" i="13" s="1"/>
  <c r="X21" i="13" s="1"/>
  <c r="AC21" i="13" l="1"/>
  <c r="AD21" i="13" s="1"/>
  <c r="AE21" i="13"/>
  <c r="AC75" i="13"/>
  <c r="AD75" i="13" s="1"/>
  <c r="AE75" i="13"/>
  <c r="AC85" i="13"/>
  <c r="AD85" i="13" s="1"/>
  <c r="AE85" i="13"/>
  <c r="AC27" i="13"/>
  <c r="AD27" i="13" s="1"/>
  <c r="AE27" i="13"/>
  <c r="F50" i="25"/>
  <c r="F52" i="25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AF27" i="13" l="1"/>
  <c r="AF21" i="13"/>
  <c r="AF85" i="13"/>
  <c r="AF75" i="13"/>
  <c r="P216" i="13"/>
  <c r="K216" i="13"/>
  <c r="E216" i="13"/>
  <c r="D216" i="13"/>
  <c r="C216" i="13"/>
  <c r="P215" i="13"/>
  <c r="K215" i="13"/>
  <c r="E215" i="13"/>
  <c r="D215" i="13"/>
  <c r="C215" i="13"/>
  <c r="P213" i="13"/>
  <c r="K213" i="13"/>
  <c r="E213" i="13"/>
  <c r="D213" i="13"/>
  <c r="C213" i="13"/>
  <c r="P212" i="13"/>
  <c r="K212" i="13"/>
  <c r="E212" i="13"/>
  <c r="D212" i="13"/>
  <c r="C212" i="13"/>
  <c r="P211" i="13"/>
  <c r="K211" i="13"/>
  <c r="E211" i="13"/>
  <c r="D211" i="13"/>
  <c r="C211" i="13"/>
  <c r="P210" i="13"/>
  <c r="K210" i="13"/>
  <c r="E210" i="13"/>
  <c r="D210" i="13"/>
  <c r="C210" i="13"/>
  <c r="P209" i="13"/>
  <c r="K209" i="13"/>
  <c r="E209" i="13"/>
  <c r="D209" i="13"/>
  <c r="C209" i="13"/>
  <c r="P208" i="13"/>
  <c r="K208" i="13"/>
  <c r="E208" i="13"/>
  <c r="D208" i="13"/>
  <c r="C208" i="13"/>
  <c r="P207" i="13"/>
  <c r="K207" i="13"/>
  <c r="E207" i="13"/>
  <c r="D207" i="13"/>
  <c r="C207" i="13"/>
  <c r="P206" i="13"/>
  <c r="K206" i="13"/>
  <c r="E206" i="13"/>
  <c r="D206" i="13"/>
  <c r="C206" i="13"/>
  <c r="P205" i="13"/>
  <c r="K205" i="13"/>
  <c r="E205" i="13"/>
  <c r="D205" i="13"/>
  <c r="C205" i="13"/>
  <c r="P204" i="13"/>
  <c r="K204" i="13"/>
  <c r="E204" i="13"/>
  <c r="D204" i="13"/>
  <c r="C204" i="13"/>
  <c r="P203" i="13"/>
  <c r="K203" i="13"/>
  <c r="E203" i="13"/>
  <c r="D203" i="13"/>
  <c r="C203" i="13"/>
  <c r="P202" i="13"/>
  <c r="K202" i="13"/>
  <c r="E202" i="13"/>
  <c r="D202" i="13"/>
  <c r="C202" i="13"/>
  <c r="P201" i="13"/>
  <c r="K201" i="13"/>
  <c r="E201" i="13"/>
  <c r="D201" i="13"/>
  <c r="C201" i="13"/>
  <c r="P200" i="13"/>
  <c r="K200" i="13"/>
  <c r="E200" i="13"/>
  <c r="D200" i="13"/>
  <c r="C200" i="13"/>
  <c r="P199" i="13"/>
  <c r="K199" i="13"/>
  <c r="E199" i="13"/>
  <c r="D199" i="13"/>
  <c r="C199" i="13"/>
  <c r="P198" i="13"/>
  <c r="K198" i="13"/>
  <c r="E198" i="13"/>
  <c r="D198" i="13"/>
  <c r="C198" i="13"/>
  <c r="P197" i="13"/>
  <c r="K197" i="13"/>
  <c r="E197" i="13"/>
  <c r="D197" i="13"/>
  <c r="C197" i="13"/>
  <c r="P196" i="13"/>
  <c r="K196" i="13"/>
  <c r="E196" i="13"/>
  <c r="D196" i="13"/>
  <c r="C196" i="13"/>
  <c r="P195" i="13"/>
  <c r="K195" i="13"/>
  <c r="E195" i="13"/>
  <c r="D195" i="13"/>
  <c r="C195" i="13"/>
  <c r="P194" i="13"/>
  <c r="K194" i="13"/>
  <c r="E194" i="13"/>
  <c r="D194" i="13"/>
  <c r="C194" i="13"/>
  <c r="P193" i="13"/>
  <c r="K193" i="13"/>
  <c r="E193" i="13"/>
  <c r="D193" i="13"/>
  <c r="C193" i="13"/>
  <c r="P192" i="13"/>
  <c r="K192" i="13"/>
  <c r="E192" i="13"/>
  <c r="D192" i="13"/>
  <c r="C192" i="13"/>
  <c r="P191" i="13"/>
  <c r="K191" i="13"/>
  <c r="E191" i="13"/>
  <c r="D191" i="13"/>
  <c r="C191" i="13"/>
  <c r="P190" i="13"/>
  <c r="K190" i="13"/>
  <c r="E190" i="13"/>
  <c r="D190" i="13"/>
  <c r="C190" i="13"/>
  <c r="P189" i="13"/>
  <c r="K189" i="13"/>
  <c r="E189" i="13"/>
  <c r="D189" i="13"/>
  <c r="C189" i="13"/>
  <c r="P188" i="13"/>
  <c r="K188" i="13"/>
  <c r="E188" i="13"/>
  <c r="D188" i="13"/>
  <c r="C188" i="13"/>
  <c r="P187" i="13"/>
  <c r="K187" i="13"/>
  <c r="E187" i="13"/>
  <c r="D187" i="13"/>
  <c r="C187" i="13"/>
  <c r="P186" i="13"/>
  <c r="K186" i="13"/>
  <c r="E186" i="13"/>
  <c r="D186" i="13"/>
  <c r="C186" i="13"/>
  <c r="P185" i="13"/>
  <c r="K185" i="13"/>
  <c r="E185" i="13"/>
  <c r="D185" i="13"/>
  <c r="C185" i="13"/>
  <c r="P184" i="13"/>
  <c r="K184" i="13"/>
  <c r="E184" i="13"/>
  <c r="D184" i="13"/>
  <c r="C184" i="13"/>
  <c r="P183" i="13"/>
  <c r="K183" i="13"/>
  <c r="E183" i="13"/>
  <c r="D183" i="13"/>
  <c r="C183" i="13"/>
  <c r="P182" i="13"/>
  <c r="K182" i="13"/>
  <c r="E182" i="13"/>
  <c r="D182" i="13"/>
  <c r="C182" i="13"/>
  <c r="P181" i="13"/>
  <c r="K181" i="13"/>
  <c r="E181" i="13"/>
  <c r="D181" i="13"/>
  <c r="C181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1" i="13"/>
  <c r="E22" i="13"/>
  <c r="E23" i="13"/>
  <c r="E24" i="13"/>
  <c r="E25" i="13"/>
  <c r="E26" i="13"/>
  <c r="E27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8" i="13"/>
  <c r="E49" i="13"/>
  <c r="E50" i="13"/>
  <c r="E51" i="13"/>
  <c r="E52" i="13"/>
  <c r="E53" i="13"/>
  <c r="E54" i="13"/>
  <c r="E55" i="13"/>
  <c r="E56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3" i="13"/>
  <c r="E84" i="13"/>
  <c r="E85" i="13"/>
  <c r="E86" i="13"/>
  <c r="E87" i="13"/>
  <c r="E88" i="13"/>
  <c r="E90" i="13"/>
  <c r="E91" i="13"/>
  <c r="E92" i="13"/>
  <c r="E93" i="13"/>
  <c r="E96" i="13"/>
  <c r="E97" i="13"/>
  <c r="E98" i="13"/>
  <c r="E99" i="13"/>
  <c r="E102" i="13"/>
  <c r="E103" i="13"/>
  <c r="E104" i="13"/>
  <c r="E105" i="13"/>
  <c r="E106" i="13"/>
  <c r="E173" i="13"/>
  <c r="E174" i="13"/>
  <c r="E175" i="13"/>
  <c r="E176" i="13"/>
  <c r="E177" i="13"/>
  <c r="E178" i="13"/>
  <c r="E179" i="13"/>
  <c r="E180" i="13"/>
  <c r="E214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1" i="13"/>
  <c r="D22" i="13"/>
  <c r="D23" i="13"/>
  <c r="D24" i="13"/>
  <c r="D25" i="13"/>
  <c r="D26" i="13"/>
  <c r="D27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8" i="13"/>
  <c r="D49" i="13"/>
  <c r="D50" i="13"/>
  <c r="D51" i="13"/>
  <c r="D52" i="13"/>
  <c r="D53" i="13"/>
  <c r="D54" i="13"/>
  <c r="D55" i="13"/>
  <c r="D56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3" i="13"/>
  <c r="D84" i="13"/>
  <c r="D85" i="13"/>
  <c r="D86" i="13"/>
  <c r="D87" i="13"/>
  <c r="D88" i="13"/>
  <c r="D90" i="13"/>
  <c r="D91" i="13"/>
  <c r="D92" i="13"/>
  <c r="D93" i="13"/>
  <c r="D96" i="13"/>
  <c r="D97" i="13"/>
  <c r="D98" i="13"/>
  <c r="D99" i="13"/>
  <c r="D102" i="13"/>
  <c r="D103" i="13"/>
  <c r="D104" i="13"/>
  <c r="D105" i="13"/>
  <c r="D106" i="13"/>
  <c r="D173" i="13"/>
  <c r="D174" i="13"/>
  <c r="D175" i="13"/>
  <c r="D176" i="13"/>
  <c r="D177" i="13"/>
  <c r="D178" i="13"/>
  <c r="D179" i="13"/>
  <c r="D180" i="13"/>
  <c r="D214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1" i="13"/>
  <c r="C22" i="13"/>
  <c r="C23" i="13"/>
  <c r="C24" i="13"/>
  <c r="C25" i="13"/>
  <c r="C26" i="13"/>
  <c r="C27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8" i="13"/>
  <c r="C49" i="13"/>
  <c r="C50" i="13"/>
  <c r="C51" i="13"/>
  <c r="C52" i="13"/>
  <c r="C53" i="13"/>
  <c r="C54" i="13"/>
  <c r="C55" i="13"/>
  <c r="C56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3" i="13"/>
  <c r="C84" i="13"/>
  <c r="C85" i="13"/>
  <c r="C86" i="13"/>
  <c r="C87" i="13"/>
  <c r="C88" i="13"/>
  <c r="C90" i="13"/>
  <c r="C91" i="13"/>
  <c r="C92" i="13"/>
  <c r="C93" i="13"/>
  <c r="C96" i="13"/>
  <c r="C97" i="13"/>
  <c r="C98" i="13"/>
  <c r="C99" i="13"/>
  <c r="C102" i="13"/>
  <c r="C103" i="13"/>
  <c r="C104" i="13"/>
  <c r="C105" i="13"/>
  <c r="C106" i="13"/>
  <c r="C173" i="13"/>
  <c r="C174" i="13"/>
  <c r="C175" i="13"/>
  <c r="C176" i="13"/>
  <c r="C177" i="13"/>
  <c r="C178" i="13"/>
  <c r="C179" i="13"/>
  <c r="C180" i="13"/>
  <c r="C214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H23" i="26" l="1"/>
  <c r="H24" i="26"/>
  <c r="F25" i="19" s="1"/>
  <c r="F21" i="19" l="1"/>
  <c r="F23" i="19"/>
  <c r="B24" i="19"/>
  <c r="T6" i="13" l="1"/>
  <c r="B52" i="25"/>
  <c r="B50" i="25"/>
  <c r="C12" i="19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1" i="13"/>
  <c r="P22" i="13"/>
  <c r="P23" i="13"/>
  <c r="P24" i="13"/>
  <c r="P25" i="13"/>
  <c r="P26" i="13"/>
  <c r="P27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8" i="13"/>
  <c r="P49" i="13"/>
  <c r="P50" i="13"/>
  <c r="P51" i="13"/>
  <c r="P52" i="13"/>
  <c r="P53" i="13"/>
  <c r="P54" i="13"/>
  <c r="P55" i="13"/>
  <c r="P56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3" i="13"/>
  <c r="P84" i="13"/>
  <c r="P85" i="13"/>
  <c r="P86" i="13"/>
  <c r="P87" i="13"/>
  <c r="P88" i="13"/>
  <c r="P90" i="13"/>
  <c r="P91" i="13"/>
  <c r="P92" i="13"/>
  <c r="P93" i="13"/>
  <c r="P96" i="13"/>
  <c r="P97" i="13"/>
  <c r="P98" i="13"/>
  <c r="P99" i="13"/>
  <c r="P102" i="13"/>
  <c r="P103" i="13"/>
  <c r="P104" i="13"/>
  <c r="P105" i="13"/>
  <c r="P106" i="13"/>
  <c r="P173" i="13"/>
  <c r="P174" i="13"/>
  <c r="P175" i="13"/>
  <c r="P176" i="13"/>
  <c r="P177" i="13"/>
  <c r="P178" i="13"/>
  <c r="P179" i="13"/>
  <c r="P180" i="13"/>
  <c r="P214" i="13"/>
  <c r="P217" i="13"/>
  <c r="P218" i="13"/>
  <c r="P219" i="13"/>
  <c r="P220" i="13"/>
  <c r="P221" i="13"/>
  <c r="P222" i="13"/>
  <c r="P223" i="13"/>
  <c r="P224" i="13"/>
  <c r="P225" i="13"/>
  <c r="P226" i="13"/>
  <c r="P227" i="13"/>
  <c r="P228" i="13"/>
  <c r="P229" i="13"/>
  <c r="P230" i="13"/>
  <c r="K25" i="13"/>
  <c r="K26" i="13"/>
  <c r="K27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8" i="13"/>
  <c r="K49" i="13"/>
  <c r="K50" i="13"/>
  <c r="K51" i="13"/>
  <c r="K52" i="13"/>
  <c r="K53" i="13"/>
  <c r="K54" i="13"/>
  <c r="K55" i="13"/>
  <c r="K56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3" i="13"/>
  <c r="K84" i="13"/>
  <c r="K85" i="13"/>
  <c r="K86" i="13"/>
  <c r="K87" i="13"/>
  <c r="K88" i="13"/>
  <c r="K90" i="13"/>
  <c r="K91" i="13"/>
  <c r="K92" i="13"/>
  <c r="K93" i="13"/>
  <c r="K96" i="13"/>
  <c r="K97" i="13"/>
  <c r="K98" i="13"/>
  <c r="K99" i="13"/>
  <c r="K102" i="13"/>
  <c r="K104" i="13"/>
  <c r="K105" i="13"/>
  <c r="K106" i="13"/>
  <c r="K173" i="13"/>
  <c r="K174" i="13"/>
  <c r="K175" i="13"/>
  <c r="K176" i="13"/>
  <c r="K177" i="13"/>
  <c r="K178" i="13"/>
  <c r="K179" i="13"/>
  <c r="K180" i="13"/>
  <c r="K214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B12" i="19" l="1"/>
  <c r="H50" i="25"/>
  <c r="D25" i="19" s="1"/>
  <c r="H52" i="25"/>
  <c r="E24" i="26"/>
  <c r="E23" i="26"/>
  <c r="B23" i="26"/>
  <c r="B24" i="26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1" i="13"/>
  <c r="B22" i="13"/>
  <c r="B23" i="13"/>
  <c r="B24" i="13"/>
  <c r="B25" i="13"/>
  <c r="B26" i="13"/>
  <c r="B27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8" i="13"/>
  <c r="B49" i="13"/>
  <c r="B50" i="13"/>
  <c r="B51" i="13"/>
  <c r="B52" i="13"/>
  <c r="B53" i="13"/>
  <c r="B54" i="13"/>
  <c r="B55" i="13"/>
  <c r="B56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3" i="13"/>
  <c r="B84" i="13"/>
  <c r="B85" i="13"/>
  <c r="B86" i="13"/>
  <c r="B87" i="13"/>
  <c r="B88" i="13"/>
  <c r="B90" i="13"/>
  <c r="B91" i="13"/>
  <c r="B92" i="13"/>
  <c r="B93" i="13"/>
  <c r="B96" i="13"/>
  <c r="B97" i="13"/>
  <c r="B98" i="13"/>
  <c r="B99" i="13"/>
  <c r="B102" i="13"/>
  <c r="B103" i="13"/>
  <c r="B104" i="13"/>
  <c r="B105" i="13"/>
  <c r="B106" i="13"/>
  <c r="B173" i="13"/>
  <c r="B174" i="13"/>
  <c r="B175" i="13"/>
  <c r="B176" i="13"/>
  <c r="B177" i="13"/>
  <c r="B178" i="13"/>
  <c r="B179" i="13"/>
  <c r="B180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6" i="13"/>
  <c r="B52" i="29" l="1"/>
  <c r="B51" i="29"/>
  <c r="B53" i="29"/>
  <c r="B54" i="29"/>
  <c r="B50" i="29"/>
  <c r="D24" i="19"/>
  <c r="B25" i="29"/>
  <c r="B28" i="29"/>
  <c r="B24" i="29"/>
  <c r="B27" i="29"/>
  <c r="B26" i="29"/>
  <c r="B58" i="29"/>
  <c r="B59" i="29"/>
  <c r="B56" i="29"/>
  <c r="B55" i="29"/>
  <c r="B57" i="29"/>
  <c r="H54" i="25"/>
  <c r="E25" i="19" l="1"/>
  <c r="G25" i="19" s="1"/>
  <c r="E18" i="19"/>
  <c r="E19" i="19"/>
  <c r="E20" i="19"/>
  <c r="G20" i="19" s="1"/>
  <c r="E21" i="19"/>
  <c r="G21" i="19" s="1"/>
  <c r="E22" i="19"/>
  <c r="G22" i="19" s="1"/>
  <c r="E23" i="19"/>
  <c r="G23" i="19" s="1"/>
  <c r="E24" i="19"/>
  <c r="D26" i="19"/>
  <c r="D52" i="25"/>
  <c r="D50" i="25"/>
  <c r="Z6" i="13"/>
  <c r="AA6" i="13" s="1"/>
  <c r="K7" i="13"/>
  <c r="K8" i="13"/>
  <c r="K10" i="13"/>
  <c r="K11" i="13"/>
  <c r="K12" i="13"/>
  <c r="K13" i="13"/>
  <c r="K14" i="13"/>
  <c r="K15" i="13"/>
  <c r="K16" i="13"/>
  <c r="K17" i="13"/>
  <c r="K18" i="13"/>
  <c r="K19" i="13"/>
  <c r="K21" i="13"/>
  <c r="K22" i="13"/>
  <c r="K23" i="13"/>
  <c r="K24" i="13"/>
  <c r="K6" i="13"/>
  <c r="E26" i="19" l="1"/>
  <c r="C14" i="19"/>
  <c r="AB6" i="13"/>
  <c r="AC6" i="13" l="1"/>
  <c r="AD6" i="13" s="1"/>
  <c r="F18" i="19" l="1"/>
  <c r="AG98" i="13" l="1"/>
  <c r="AG201" i="13"/>
  <c r="AG208" i="13"/>
  <c r="AG230" i="13"/>
  <c r="AG95" i="13"/>
  <c r="AG56" i="13"/>
  <c r="AG194" i="13"/>
  <c r="AG223" i="13"/>
  <c r="AG226" i="13"/>
  <c r="AG203" i="13"/>
  <c r="AG19" i="13"/>
  <c r="AG48" i="13"/>
  <c r="AG186" i="13"/>
  <c r="AG204" i="13"/>
  <c r="AG96" i="13"/>
  <c r="AG157" i="13"/>
  <c r="AG140" i="13"/>
  <c r="AG120" i="13"/>
  <c r="AG126" i="13"/>
  <c r="AG29" i="13"/>
  <c r="AG28" i="13"/>
  <c r="AG85" i="13"/>
  <c r="AG27" i="13"/>
  <c r="AG188" i="13"/>
  <c r="AG196" i="13"/>
  <c r="AG77" i="13"/>
  <c r="AG49" i="13"/>
  <c r="AG11" i="13"/>
  <c r="AG198" i="13"/>
  <c r="AG197" i="13"/>
  <c r="AG72" i="13"/>
  <c r="AG182" i="13"/>
  <c r="AG71" i="13"/>
  <c r="AG8" i="13"/>
  <c r="AG173" i="13"/>
  <c r="AG220" i="13"/>
  <c r="AG12" i="13"/>
  <c r="AG68" i="13"/>
  <c r="AG64" i="13"/>
  <c r="AG216" i="13"/>
  <c r="AG189" i="13"/>
  <c r="AG67" i="13"/>
  <c r="AG87" i="13"/>
  <c r="AG63" i="13"/>
  <c r="AG177" i="13"/>
  <c r="AG82" i="13"/>
  <c r="AG193" i="13"/>
  <c r="AG50" i="13"/>
  <c r="AG217" i="13"/>
  <c r="AG7" i="13"/>
  <c r="AG94" i="13"/>
  <c r="AG228" i="13"/>
  <c r="AG41" i="13"/>
  <c r="AG91" i="13"/>
  <c r="AG51" i="13"/>
  <c r="AG225" i="13"/>
  <c r="AG42" i="13"/>
  <c r="AG213" i="13"/>
  <c r="AG97" i="13"/>
  <c r="AG62" i="13"/>
  <c r="AG76" i="13"/>
  <c r="AG93" i="13"/>
  <c r="AG178" i="13"/>
  <c r="AG36" i="13"/>
  <c r="AG74" i="13"/>
  <c r="AG176" i="13"/>
  <c r="AG16" i="13"/>
  <c r="AG187" i="13"/>
  <c r="AG38" i="13"/>
  <c r="AG70" i="13"/>
  <c r="AG39" i="13"/>
  <c r="AG218" i="13"/>
  <c r="AG181" i="13"/>
  <c r="AG33" i="13"/>
  <c r="AG14" i="13"/>
  <c r="AG106" i="13"/>
  <c r="AG202" i="13"/>
  <c r="AG23" i="13"/>
  <c r="AG52" i="13"/>
  <c r="F24" i="19"/>
  <c r="AG17" i="13"/>
  <c r="AG21" i="13"/>
  <c r="AG24" i="13"/>
  <c r="V6" i="13"/>
  <c r="AE6" i="13" s="1"/>
  <c r="D6" i="19" s="1"/>
  <c r="U6" i="13"/>
  <c r="AG73" i="13" l="1"/>
  <c r="AG221" i="13"/>
  <c r="AG179" i="13"/>
  <c r="AG227" i="13"/>
  <c r="AG183" i="13"/>
  <c r="AG180" i="13"/>
  <c r="AG175" i="13"/>
  <c r="AG15" i="13"/>
  <c r="AG212" i="13"/>
  <c r="AG224" i="13"/>
  <c r="AG44" i="13"/>
  <c r="AG191" i="13"/>
  <c r="AG65" i="13"/>
  <c r="AG155" i="13"/>
  <c r="AG83" i="13"/>
  <c r="AG222" i="13"/>
  <c r="AG185" i="13"/>
  <c r="AG192" i="13"/>
  <c r="AG31" i="13"/>
  <c r="AG18" i="13"/>
  <c r="AG174" i="13"/>
  <c r="AG104" i="13"/>
  <c r="AG75" i="13"/>
  <c r="AG32" i="13"/>
  <c r="AG88" i="13"/>
  <c r="AG207" i="13"/>
  <c r="AG199" i="13"/>
  <c r="AG215" i="13"/>
  <c r="AG66" i="13"/>
  <c r="AG37" i="13"/>
  <c r="AG10" i="13"/>
  <c r="AG86" i="13"/>
  <c r="AG53" i="13"/>
  <c r="AG195" i="13"/>
  <c r="AG69" i="13"/>
  <c r="AG54" i="13"/>
  <c r="AG190" i="13"/>
  <c r="AG22" i="13"/>
  <c r="AG84" i="13"/>
  <c r="AG210" i="13"/>
  <c r="AG45" i="13"/>
  <c r="AG200" i="13"/>
  <c r="AG25" i="13"/>
  <c r="AG30" i="13"/>
  <c r="AG100" i="13"/>
  <c r="AG60" i="13"/>
  <c r="AG112" i="13"/>
  <c r="AG133" i="13"/>
  <c r="AG158" i="13"/>
  <c r="AG145" i="13"/>
  <c r="AG144" i="13"/>
  <c r="AG130" i="13"/>
  <c r="AG136" i="13"/>
  <c r="AG111" i="13"/>
  <c r="AG219" i="13"/>
  <c r="AG152" i="13"/>
  <c r="AG149" i="13"/>
  <c r="AG142" i="13"/>
  <c r="AG115" i="13"/>
  <c r="AG127" i="13"/>
  <c r="AG108" i="13"/>
  <c r="AG61" i="13"/>
  <c r="AG107" i="13"/>
  <c r="AG122" i="13"/>
  <c r="AG151" i="13"/>
  <c r="AG156" i="13"/>
  <c r="AG153" i="13"/>
  <c r="AG147" i="13"/>
  <c r="AG170" i="13"/>
  <c r="AG169" i="13"/>
  <c r="AG172" i="13"/>
  <c r="AG166" i="13"/>
  <c r="AG118" i="13"/>
  <c r="AG116" i="13"/>
  <c r="AG101" i="13"/>
  <c r="AG57" i="13"/>
  <c r="AG20" i="13"/>
  <c r="AG165" i="13"/>
  <c r="AG138" i="13"/>
  <c r="AG129" i="13"/>
  <c r="AG134" i="13"/>
  <c r="AG163" i="13"/>
  <c r="AG154" i="13"/>
  <c r="AG92" i="13"/>
  <c r="AG125" i="13"/>
  <c r="AG59" i="13"/>
  <c r="AG117" i="13"/>
  <c r="AG114" i="13"/>
  <c r="AG124" i="13"/>
  <c r="AG137" i="13"/>
  <c r="AG160" i="13"/>
  <c r="AG131" i="13"/>
  <c r="AG171" i="13"/>
  <c r="AG132" i="13"/>
  <c r="AG161" i="13"/>
  <c r="AG167" i="13"/>
  <c r="AG47" i="13"/>
  <c r="AG123" i="13"/>
  <c r="AG121" i="13"/>
  <c r="AG119" i="13"/>
  <c r="AG113" i="13"/>
  <c r="AG164" i="13"/>
  <c r="AG162" i="13"/>
  <c r="AG135" i="13"/>
  <c r="AG128" i="13"/>
  <c r="AG150" i="13"/>
  <c r="AG148" i="13"/>
  <c r="AG146" i="13"/>
  <c r="AG89" i="13"/>
  <c r="AG46" i="13"/>
  <c r="AG109" i="13"/>
  <c r="AG58" i="13"/>
  <c r="AG110" i="13"/>
  <c r="AG5" i="13"/>
  <c r="AG139" i="13"/>
  <c r="AG141" i="13"/>
  <c r="AG168" i="13"/>
  <c r="AG159" i="13"/>
  <c r="AG143" i="13"/>
  <c r="AG99" i="13"/>
  <c r="AG78" i="13"/>
  <c r="AG81" i="13"/>
  <c r="AG214" i="13"/>
  <c r="AG35" i="13"/>
  <c r="AG206" i="13"/>
  <c r="AG79" i="13"/>
  <c r="AG34" i="13"/>
  <c r="AG102" i="13"/>
  <c r="AG211" i="13"/>
  <c r="AG90" i="13"/>
  <c r="AG13" i="13"/>
  <c r="AG184" i="13"/>
  <c r="AG55" i="13"/>
  <c r="AG80" i="13"/>
  <c r="AG205" i="13"/>
  <c r="AG229" i="13"/>
  <c r="AG9" i="13"/>
  <c r="AG40" i="13"/>
  <c r="AG103" i="13"/>
  <c r="AG43" i="13"/>
  <c r="AG209" i="13"/>
  <c r="AG26" i="13"/>
  <c r="AG105" i="13"/>
  <c r="W6" i="13"/>
  <c r="H20" i="26" l="1"/>
  <c r="X6" i="13"/>
  <c r="AG6" i="13" s="1"/>
  <c r="C18" i="19" s="1"/>
  <c r="G18" i="19" s="1"/>
  <c r="AF6" i="13"/>
  <c r="E6" i="19" s="1"/>
  <c r="F6" i="19" s="1"/>
  <c r="F19" i="19" l="1"/>
  <c r="H25" i="26"/>
  <c r="G6" i="19"/>
  <c r="H6" i="19" s="1"/>
  <c r="D12" i="19"/>
  <c r="D14" i="19" s="1"/>
  <c r="G19" i="19" l="1"/>
  <c r="F26" i="19"/>
  <c r="G12" i="19"/>
  <c r="E12" i="19" l="1"/>
  <c r="E14" i="19" s="1"/>
  <c r="C24" i="19"/>
  <c r="G24" i="19" s="1"/>
  <c r="G26" i="19" s="1"/>
  <c r="G14" i="19"/>
  <c r="H12" i="19"/>
  <c r="F14" i="19" l="1"/>
  <c r="H14" i="19"/>
  <c r="C26" i="19"/>
  <c r="F12" i="19"/>
</calcChain>
</file>

<file path=xl/sharedStrings.xml><?xml version="1.0" encoding="utf-8"?>
<sst xmlns="http://schemas.openxmlformats.org/spreadsheetml/2006/main" count="9229" uniqueCount="2030">
  <si>
    <t>Geboorte- datum</t>
  </si>
  <si>
    <t>Datum in dienst</t>
  </si>
  <si>
    <t>Branche datum</t>
  </si>
  <si>
    <t>Soort  contract</t>
  </si>
  <si>
    <t>Aantal uur op object per week</t>
  </si>
  <si>
    <t>&gt; 1,5 jaar op object?</t>
  </si>
  <si>
    <t>Functie</t>
  </si>
  <si>
    <t>Functie code</t>
  </si>
  <si>
    <t>Loongroep</t>
  </si>
  <si>
    <t>Basis-uurloon</t>
  </si>
  <si>
    <t>OT Dienstjaren</t>
  </si>
  <si>
    <t>VET toeslag</t>
  </si>
  <si>
    <t>Pers. Toeslag</t>
  </si>
  <si>
    <t>Reiskosten op basis van CAO</t>
  </si>
  <si>
    <t>Reiskosten boven CAO voor 31-12-2007 afgesproken</t>
  </si>
  <si>
    <t>In het bezit van basisvak-diploma? Ja/Nee</t>
  </si>
  <si>
    <t>Is de werknemer 
momenteel arbeidsongeschikt
ja / nee</t>
  </si>
  <si>
    <t>Per welke datum is medewerker ziek:</t>
  </si>
  <si>
    <t>Locatie</t>
  </si>
  <si>
    <t>ONBEPAALDE TIJD</t>
  </si>
  <si>
    <t>&gt; 1,5 jaar</t>
  </si>
  <si>
    <t>Medew. Alg. Schoonmaakonderh. I</t>
  </si>
  <si>
    <t>Loongroep 1</t>
  </si>
  <si>
    <t>ja</t>
  </si>
  <si>
    <t>456501 Etty Hillesum Lyceum, Centrale Directie</t>
  </si>
  <si>
    <t>€ 10 wasvergoeding</t>
  </si>
  <si>
    <t>456502 Etty Hillesum Lyceum, Arkelstein</t>
  </si>
  <si>
    <t>&gt; 1,5 jaar bij Etty Hillesum (werkte eerst op het Stormink)</t>
  </si>
  <si>
    <t>&gt; 1,5 jaar bij Etty Hillesum (werkte eerst vooral op de Marke, locatie Zuid)</t>
  </si>
  <si>
    <t>456503 Etty Hillesum Lyceum, De Marke, locatie Noord</t>
  </si>
  <si>
    <t>Schoonmaakcoördinator II</t>
  </si>
  <si>
    <t>Loongroep 4</t>
  </si>
  <si>
    <t>456504 Etty Hillesum Lyceum, Het Vlier</t>
  </si>
  <si>
    <t>Schoonmaakcoördinator I</t>
  </si>
  <si>
    <t>Loongroep 3</t>
  </si>
  <si>
    <t>Declaratie reiskosten</t>
  </si>
  <si>
    <t>456505 Etty Hillesum Lyceum, De Boerhaave</t>
  </si>
  <si>
    <t>456506 Etty Hillesum Lyceum, De Marke, locatie Zuid</t>
  </si>
  <si>
    <t>1e CONTRACT</t>
  </si>
  <si>
    <t>&lt; 1,5 jaar</t>
  </si>
  <si>
    <t>456507 Etty Hillesum Lyceum, Het Stormink</t>
  </si>
  <si>
    <t>&gt; 1,5 jaar bij Etty Hillesum (werkte eerst op de Boerhaave)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</si>
  <si>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</si>
  <si>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</si>
  <si>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</si>
  <si>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</si>
  <si>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</si>
  <si>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</si>
  <si>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</si>
  <si>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</si>
  <si>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</si>
  <si>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>Alarmsensoren</t>
  </si>
  <si>
    <t>Geheel</t>
  </si>
  <si>
    <t>Stof-, vlek-, aanslag en streepvrij</t>
  </si>
  <si>
    <t>Geen zichtbare spinrag, geen stofvorming en kleine zichtbare vlekken max. 3 stuks</t>
  </si>
  <si>
    <t xml:space="preserve">Aanrechtblad </t>
  </si>
  <si>
    <t>Geheel buitenzijde</t>
  </si>
  <si>
    <t>Lichte stofvorming, enkele vingertasten en zichtbare vlekken max. 1 tot 3 st.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</si>
  <si>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</si>
  <si>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</si>
  <si>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</si>
  <si>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</si>
  <si>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</si>
  <si>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</si>
  <si>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</si>
  <si>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</si>
  <si>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</si>
  <si>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</si>
  <si>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</si>
  <si>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</si>
  <si>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</si>
  <si>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</si>
  <si>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</si>
  <si>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</si>
  <si>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</si>
  <si>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</si>
  <si>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</si>
  <si>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</si>
  <si>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</si>
  <si>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</si>
  <si>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</si>
  <si>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</si>
  <si>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</si>
  <si>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</si>
  <si>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</si>
  <si>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</si>
  <si>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</si>
  <si>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</si>
  <si>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</si>
  <si>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</si>
  <si>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</si>
  <si>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</si>
  <si>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</si>
  <si>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</si>
  <si>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</si>
  <si>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</si>
  <si>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</si>
  <si>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</si>
  <si>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</si>
  <si>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Separatieglas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</si>
  <si>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</si>
  <si>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</si>
  <si>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</si>
  <si>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Lift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</si>
  <si>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</si>
  <si>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</si>
  <si>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</si>
  <si>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</si>
  <si>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</si>
  <si>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</si>
  <si>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</si>
  <si>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</si>
  <si>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</si>
  <si>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</si>
  <si>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</si>
  <si>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</si>
  <si>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</si>
  <si>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</si>
  <si>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</si>
  <si>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Buitenzijde entree</t>
  </si>
  <si>
    <t>Grofvuil-, stof-, vlek-, aanslag en streepvrij</t>
  </si>
  <si>
    <t>Geen losliggend en/of zichtbaar vuil en enkele zichtbare vlekken max 8 st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</si>
  <si>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</si>
  <si>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</si>
  <si>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</si>
  <si>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</si>
  <si>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</si>
  <si>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</si>
  <si>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</si>
  <si>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</si>
  <si>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</si>
  <si>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</si>
  <si>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</si>
  <si>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</si>
  <si>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</si>
  <si>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</si>
  <si>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</si>
  <si>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</si>
  <si>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</si>
  <si>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</si>
  <si>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</si>
  <si>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</si>
  <si>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</si>
  <si>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</si>
  <si>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Wastafel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</si>
  <si>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</si>
  <si>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</si>
  <si>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</si>
  <si>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</si>
  <si>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</si>
  <si>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</si>
  <si>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</si>
  <si>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</si>
  <si>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</si>
  <si>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</si>
  <si>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</si>
  <si>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Sport ruimten</t>
  </si>
  <si>
    <t>Linoleum</t>
  </si>
  <si>
    <t>Tapijt</t>
  </si>
  <si>
    <t>Grofvuil-, stof-, vlekvrij</t>
  </si>
  <si>
    <t>Opleverstaat schoonmaak periodiek (tijdens vakanties uitvoeren) 2 x per jaar</t>
  </si>
  <si>
    <t>Handeling</t>
  </si>
  <si>
    <t>vochtig afnemen</t>
  </si>
  <si>
    <t>Radiatoren</t>
  </si>
  <si>
    <t>Toiletborstel/-houder</t>
  </si>
  <si>
    <t>Sanitaire ruimte</t>
  </si>
  <si>
    <t>Diepreiniging volgens programma</t>
  </si>
  <si>
    <t>periodiek vloeronderhoud conform afspraak</t>
  </si>
  <si>
    <t>Handelingen dieptereiniging 2 x per jaar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</si>
  <si>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</si>
  <si>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</si>
  <si>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</t>
  </si>
  <si>
    <t>Het verwijderen van vervuiling van schaamschotten</t>
  </si>
  <si>
    <t>Volledig (diep)reinigen van de deur (beide zijden), (tegel-)wanden, vloeren en putjes (in- en uitwendig), randen en richels</t>
  </si>
  <si>
    <t>Het reinigen van het toilet/urinoir aan de buitenzijde</t>
  </si>
  <si>
    <t>De toiletbril ontdoen van aanslag, demonteren van een bril met brugstuk (teneinde het vuil eronder te verwijderen) en weer monteren</t>
  </si>
  <si>
    <t>De buitenzijde van de stortbak ontdoen van aanslag en vuil (gietijzer alleen buitenzijde)</t>
  </si>
  <si>
    <t>Het verwijderen van organische en anorganische vervuiling op de binnen- en buitenzijde van de wastafel</t>
  </si>
  <si>
    <t>Alle spiegels reinigen</t>
  </si>
  <si>
    <t>De gehele vloer en alle wanden reinigen met fantomat</t>
  </si>
  <si>
    <t>Reinigen ramen/kozijnen</t>
  </si>
  <si>
    <t>Tariefsopbouw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</si>
  <si>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</si>
  <si>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Indexatie</t>
  </si>
  <si>
    <t>Loon:</t>
  </si>
  <si>
    <t>Gemiddeld brutoloon</t>
  </si>
  <si>
    <t>% van de prod. uren</t>
  </si>
  <si>
    <t>€</t>
  </si>
  <si>
    <t>Soort indexatie</t>
  </si>
  <si>
    <t>Percentage</t>
  </si>
  <si>
    <t>Tarief excl btw</t>
  </si>
  <si>
    <t xml:space="preserve">Over te nemen personeel </t>
  </si>
  <si>
    <t>Schoonmaakmedewerker</t>
  </si>
  <si>
    <t>Meewerkend leidinggevende</t>
  </si>
  <si>
    <t>Totale berekende productieve ureninzet (contractjaar 1)</t>
  </si>
  <si>
    <t>Totaal geindexeerd uurloon</t>
  </si>
  <si>
    <t xml:space="preserve"> </t>
  </si>
  <si>
    <t>CAO</t>
  </si>
  <si>
    <t>Loonkosten:</t>
  </si>
  <si>
    <t>% v.h. loon</t>
  </si>
  <si>
    <t>Vakantiedagen, -toeslag, feestdagen</t>
  </si>
  <si>
    <t>Eindejaarsuitkering</t>
  </si>
  <si>
    <t>Suppletie ziekengeld</t>
  </si>
  <si>
    <t>Sociale lasten</t>
  </si>
  <si>
    <t>Overige loonkosten</t>
  </si>
  <si>
    <t>CBS index</t>
  </si>
  <si>
    <t>Subtotaal Loonkosten</t>
  </si>
  <si>
    <t>Directe kosten:</t>
  </si>
  <si>
    <t>% v.h. loon incl. loonkosten</t>
  </si>
  <si>
    <t>Materialen</t>
  </si>
  <si>
    <t>Middelen</t>
  </si>
  <si>
    <t>Afschrijving machines</t>
  </si>
  <si>
    <t>Directe leiding</t>
  </si>
  <si>
    <t>Overige directe kosten</t>
  </si>
  <si>
    <t>Subtotaal Directe kosten</t>
  </si>
  <si>
    <t>Indirecte kosten:</t>
  </si>
  <si>
    <t>Indirecte leiding</t>
  </si>
  <si>
    <t>Overheadkosten</t>
  </si>
  <si>
    <t>Overige indirecte kosten</t>
  </si>
  <si>
    <t>Winst en risico</t>
  </si>
  <si>
    <t>Subtotaal Indirecte kosten</t>
  </si>
  <si>
    <t>Tarief</t>
  </si>
  <si>
    <t>Rekentarieven</t>
  </si>
  <si>
    <t>% opslag op loonkosten</t>
  </si>
  <si>
    <t>Tarief 
excl. 21% BTW</t>
  </si>
  <si>
    <t>Tarief 
incl. 21% BTW</t>
  </si>
  <si>
    <t>Gemiddelde
indexering</t>
  </si>
  <si>
    <t>Standaard</t>
  </si>
  <si>
    <t>ma. t/m vr. 6:00 - 21:30 uur</t>
  </si>
  <si>
    <t>Ochtend/avond</t>
  </si>
  <si>
    <t>ma. t/m vr. 21:30 - 6:00 uur</t>
  </si>
  <si>
    <t>Weekend</t>
  </si>
  <si>
    <t>vr. 21:30 t/m ma. 6:00 uur</t>
  </si>
  <si>
    <t>Feestdag</t>
  </si>
  <si>
    <t>Erkende feestdagen</t>
  </si>
  <si>
    <t>Prestatie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</si>
  <si>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</si>
  <si>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Aanpassing standaardnorm schoonmaakonderhoud o.b.v. locatie</t>
  </si>
  <si>
    <t>Code</t>
  </si>
  <si>
    <t>Aanpassing norm</t>
  </si>
  <si>
    <t>Adres</t>
  </si>
  <si>
    <t>Postcode</t>
  </si>
  <si>
    <t>Plaats</t>
  </si>
  <si>
    <t>Boerhaave + buitenunits</t>
  </si>
  <si>
    <t>Herman Boerhaavelaan 1</t>
  </si>
  <si>
    <t>7415 ES</t>
  </si>
  <si>
    <t>Deventer</t>
  </si>
  <si>
    <t>Het Stormink</t>
  </si>
  <si>
    <t>Storminkstraat 1</t>
  </si>
  <si>
    <t>7418 GH</t>
  </si>
  <si>
    <t>De Zwaluwenburg 10</t>
  </si>
  <si>
    <t>7423 DS</t>
  </si>
  <si>
    <t>Marke Zuid</t>
  </si>
  <si>
    <t>Ludgerstraat 1</t>
  </si>
  <si>
    <t>7415 DV</t>
  </si>
  <si>
    <t>Marke Noord</t>
  </si>
  <si>
    <t>Lebuïnuslaan 1</t>
  </si>
  <si>
    <t>7415 DM</t>
  </si>
  <si>
    <t>Het Vlier</t>
  </si>
  <si>
    <t>Het Vlier 1</t>
  </si>
  <si>
    <t>7414 AR</t>
  </si>
  <si>
    <t>Arkelstijn</t>
  </si>
  <si>
    <t>Arkelstein 8</t>
  </si>
  <si>
    <t>7414 EP</t>
  </si>
  <si>
    <t>Standaardnorm schoonmaakonderhoud per ruimtegroep / werkprogramma</t>
  </si>
  <si>
    <t>Ruimte omschrijving</t>
  </si>
  <si>
    <t>Norm (5w)</t>
  </si>
  <si>
    <t>Inspectiecategorie</t>
  </si>
  <si>
    <t>Magazijnen/bergingen</t>
  </si>
  <si>
    <t>Ve  (Verkeersruimte)</t>
  </si>
  <si>
    <t>Kantoren</t>
  </si>
  <si>
    <t>Bu  (Bureauruimte)</t>
  </si>
  <si>
    <t>Reproruimte</t>
  </si>
  <si>
    <t>Vergader/spreekkamers</t>
  </si>
  <si>
    <t>Sanitair</t>
  </si>
  <si>
    <t>Sa  (Sanitair)</t>
  </si>
  <si>
    <t>Gangen/hallen</t>
  </si>
  <si>
    <t>Entree</t>
  </si>
  <si>
    <t>Mediatheek / OLC</t>
  </si>
  <si>
    <t>Le  (Lesruimte)</t>
  </si>
  <si>
    <t>Garderobe</t>
  </si>
  <si>
    <t>Trappenhuizen/lift</t>
  </si>
  <si>
    <t>Kooklokaal/leskeuken</t>
  </si>
  <si>
    <t>Kantine</t>
  </si>
  <si>
    <t>HV/Technieklokaal</t>
  </si>
  <si>
    <t>Praktijklokalen binas/zorg</t>
  </si>
  <si>
    <t>Keuken/pantry</t>
  </si>
  <si>
    <t>Leslokalen theorie</t>
  </si>
  <si>
    <t>Toestelberging</t>
  </si>
  <si>
    <t>Gymzaal</t>
  </si>
  <si>
    <t>Sp  (Sportruimte)</t>
  </si>
  <si>
    <t>Kleedruimten</t>
  </si>
  <si>
    <t>Kabinet</t>
  </si>
  <si>
    <t>Personeelskamer</t>
  </si>
  <si>
    <t>Niet in onderhoud</t>
  </si>
  <si>
    <t>Aanpassing standaardnorm schoonmaakonderhoud o.b.v. vloersoort</t>
  </si>
  <si>
    <t>Naam</t>
  </si>
  <si>
    <t>Vloersoort omschrijving</t>
  </si>
  <si>
    <t>Kolom2</t>
  </si>
  <si>
    <t>Kolom1</t>
  </si>
  <si>
    <t>L</t>
  </si>
  <si>
    <t>Lino</t>
  </si>
  <si>
    <t>Vloerafwerkingen met beschermlaag, zoals linoleum, marmoleum e.d.</t>
  </si>
  <si>
    <t>T</t>
  </si>
  <si>
    <t>Textiele vloerafwerking, zoals tapijt, schoonloopmat, flotex e.d.</t>
  </si>
  <si>
    <t>S</t>
  </si>
  <si>
    <t>Steen</t>
  </si>
  <si>
    <t>Harde vloeren zonder zonder extra behandeling, zoals steen, beton e.d.</t>
  </si>
  <si>
    <t>H</t>
  </si>
  <si>
    <t>Hout</t>
  </si>
  <si>
    <t>Vloeren zonder beschermlaag, die wel behandeling nodig hebben, zoals hout e.d.</t>
  </si>
  <si>
    <t>P</t>
  </si>
  <si>
    <t>PVC</t>
  </si>
  <si>
    <t>Vloeren zonder beschermlaag, die wel behandeling nodig hebben, zoals pvc e.d.</t>
  </si>
  <si>
    <t>Aanpassing standaardnorm o.b.v. frequentie</t>
  </si>
  <si>
    <t>Frequentie omschrijving</t>
  </si>
  <si>
    <t>10w</t>
  </si>
  <si>
    <t>5 x per week met naloop</t>
  </si>
  <si>
    <t>5w</t>
  </si>
  <si>
    <t>5 x per week</t>
  </si>
  <si>
    <t>4w</t>
  </si>
  <si>
    <t>4 x per week</t>
  </si>
  <si>
    <t>3w</t>
  </si>
  <si>
    <t>3 x per week</t>
  </si>
  <si>
    <t>2,5w</t>
  </si>
  <si>
    <t>2,5 x per week (om-de-dag)</t>
  </si>
  <si>
    <t>2w</t>
  </si>
  <si>
    <t>2 x per week</t>
  </si>
  <si>
    <t>1w</t>
  </si>
  <si>
    <t>1 x per week</t>
  </si>
  <si>
    <t>2ww</t>
  </si>
  <si>
    <t>2 x per weekend</t>
  </si>
  <si>
    <t>1ww</t>
  </si>
  <si>
    <t>1 x per weekend</t>
  </si>
  <si>
    <t>1m</t>
  </si>
  <si>
    <t>1 x per maand</t>
  </si>
  <si>
    <t>Ruimtestaat</t>
  </si>
  <si>
    <t>Werkdagen</t>
  </si>
  <si>
    <t>Weekenddagen</t>
  </si>
  <si>
    <t>Totaal (werkdagen + weekenddagen</t>
  </si>
  <si>
    <t>Gebouw gedeelte</t>
  </si>
  <si>
    <t>Etage</t>
  </si>
  <si>
    <t>Ruimte- nummer</t>
  </si>
  <si>
    <t>Ruimte code</t>
  </si>
  <si>
    <t>Ruimtesoort</t>
  </si>
  <si>
    <t>Vloer code</t>
  </si>
  <si>
    <t>Vloer afwerking</t>
  </si>
  <si>
    <t>Oppervlak (netto)</t>
  </si>
  <si>
    <t>Oppervlakte n.i.o.</t>
  </si>
  <si>
    <t>Inspectie categorie</t>
  </si>
  <si>
    <t>Opmerking</t>
  </si>
  <si>
    <t>Aantal weken/jr</t>
  </si>
  <si>
    <t>Frequentie werkdagen</t>
  </si>
  <si>
    <t>Uitvoeringen werkdagen</t>
  </si>
  <si>
    <t>Norm (m2/uur) werkdagen</t>
  </si>
  <si>
    <t>Prest. (m2 /jaar) werkdagen</t>
  </si>
  <si>
    <t>uren / jaar werkdagen</t>
  </si>
  <si>
    <t>kosten / jaar werkdagen</t>
  </si>
  <si>
    <t>Frequentie weekend</t>
  </si>
  <si>
    <t>Uitvoeringen weekend</t>
  </si>
  <si>
    <t>Norm (m2/uur) weekend</t>
  </si>
  <si>
    <t>Prest. (m2 /jaar) weekend</t>
  </si>
  <si>
    <t>uren / jaar weekend</t>
  </si>
  <si>
    <t>kosten / jaar weekend</t>
  </si>
  <si>
    <t>Prest. (m2 /jaar)</t>
  </si>
  <si>
    <t>uren / jaar</t>
  </si>
  <si>
    <t>kosten / jaar</t>
  </si>
  <si>
    <t>00</t>
  </si>
  <si>
    <t>002</t>
  </si>
  <si>
    <t>Muzieklokaal</t>
  </si>
  <si>
    <t>vinyl</t>
  </si>
  <si>
    <t>003</t>
  </si>
  <si>
    <t>Trap</t>
  </si>
  <si>
    <t>steen</t>
  </si>
  <si>
    <t>004</t>
  </si>
  <si>
    <t>Kast</t>
  </si>
  <si>
    <t>beton</t>
  </si>
  <si>
    <t>005</t>
  </si>
  <si>
    <t>Kamer roostermaker</t>
  </si>
  <si>
    <t>006</t>
  </si>
  <si>
    <t>Werkruimte docenten</t>
  </si>
  <si>
    <t>007</t>
  </si>
  <si>
    <t>Helling fietsenkelder</t>
  </si>
  <si>
    <t>008</t>
  </si>
  <si>
    <t>Spreekkamer</t>
  </si>
  <si>
    <t>009</t>
  </si>
  <si>
    <t>Administratie</t>
  </si>
  <si>
    <t>vloerbedekking</t>
  </si>
  <si>
    <t>014</t>
  </si>
  <si>
    <t>Kamer directeur</t>
  </si>
  <si>
    <t>015</t>
  </si>
  <si>
    <t>Hal hoofdingang</t>
  </si>
  <si>
    <t>016</t>
  </si>
  <si>
    <t>017</t>
  </si>
  <si>
    <t>Berging</t>
  </si>
  <si>
    <t>018</t>
  </si>
  <si>
    <t>Docenten ingang</t>
  </si>
  <si>
    <t>019</t>
  </si>
  <si>
    <t>020</t>
  </si>
  <si>
    <t>Toiletten personeel</t>
  </si>
  <si>
    <t>gietvloer</t>
  </si>
  <si>
    <t>020A</t>
  </si>
  <si>
    <t>Toilet</t>
  </si>
  <si>
    <t>020B</t>
  </si>
  <si>
    <t>020C</t>
  </si>
  <si>
    <t>020D</t>
  </si>
  <si>
    <t>021</t>
  </si>
  <si>
    <t>spreekkamer</t>
  </si>
  <si>
    <t>022</t>
  </si>
  <si>
    <t>Elektra ruimte</t>
  </si>
  <si>
    <t>023</t>
  </si>
  <si>
    <t>Schoonmaakhok</t>
  </si>
  <si>
    <t>024</t>
  </si>
  <si>
    <t>Toiletten jongens</t>
  </si>
  <si>
    <t>025</t>
  </si>
  <si>
    <t>Theorie lokaal</t>
  </si>
  <si>
    <t>026</t>
  </si>
  <si>
    <t>027</t>
  </si>
  <si>
    <t>028</t>
  </si>
  <si>
    <t>029</t>
  </si>
  <si>
    <t>Toiletten meisjes</t>
  </si>
  <si>
    <t>030</t>
  </si>
  <si>
    <t>Schoonmaak werkkast</t>
  </si>
  <si>
    <t>031</t>
  </si>
  <si>
    <t>Techniek lokaal</t>
  </si>
  <si>
    <t>032</t>
  </si>
  <si>
    <t>Natuurkunde lokaal</t>
  </si>
  <si>
    <t>032SCC</t>
  </si>
  <si>
    <t>033</t>
  </si>
  <si>
    <t>034</t>
  </si>
  <si>
    <t>034SCC</t>
  </si>
  <si>
    <t>035</t>
  </si>
  <si>
    <t>Atrium</t>
  </si>
  <si>
    <t>036</t>
  </si>
  <si>
    <t>Mediatheek</t>
  </si>
  <si>
    <t>037</t>
  </si>
  <si>
    <t>Kantoor trajectklas</t>
  </si>
  <si>
    <t>037a</t>
  </si>
  <si>
    <t>038</t>
  </si>
  <si>
    <t>Trajectklas</t>
  </si>
  <si>
    <t>038a</t>
  </si>
  <si>
    <t>039</t>
  </si>
  <si>
    <t>Ingang leerlingen</t>
  </si>
  <si>
    <t>vinyl+schoonloopm</t>
  </si>
  <si>
    <t>040</t>
  </si>
  <si>
    <t>Warmtepomp installatie</t>
  </si>
  <si>
    <t>041</t>
  </si>
  <si>
    <t>Meldkamer</t>
  </si>
  <si>
    <t>042</t>
  </si>
  <si>
    <t>Keuken</t>
  </si>
  <si>
    <t>043</t>
  </si>
  <si>
    <t>Berging toestellen</t>
  </si>
  <si>
    <t>sportvloer</t>
  </si>
  <si>
    <t>044</t>
  </si>
  <si>
    <t>L.O.</t>
  </si>
  <si>
    <t>046</t>
  </si>
  <si>
    <t>Douche personeel</t>
  </si>
  <si>
    <t>047</t>
  </si>
  <si>
    <t>Invalide toilet</t>
  </si>
  <si>
    <t>048</t>
  </si>
  <si>
    <t>049</t>
  </si>
  <si>
    <t>049a</t>
  </si>
  <si>
    <t>049b</t>
  </si>
  <si>
    <t>050</t>
  </si>
  <si>
    <t>Kleed- en doucheruimte</t>
  </si>
  <si>
    <t>050A</t>
  </si>
  <si>
    <t>Douche</t>
  </si>
  <si>
    <t>050B</t>
  </si>
  <si>
    <t>051</t>
  </si>
  <si>
    <t>Kleedruimte jongens</t>
  </si>
  <si>
    <t>052</t>
  </si>
  <si>
    <t>053</t>
  </si>
  <si>
    <t>054a</t>
  </si>
  <si>
    <t>Toilet meisjes</t>
  </si>
  <si>
    <t>054B</t>
  </si>
  <si>
    <t>055</t>
  </si>
  <si>
    <t>Podium</t>
  </si>
  <si>
    <t>055SCC</t>
  </si>
  <si>
    <t>Kleedruimte meisjes</t>
  </si>
  <si>
    <t>056</t>
  </si>
  <si>
    <t>Kleedruimte</t>
  </si>
  <si>
    <t>057</t>
  </si>
  <si>
    <t>058</t>
  </si>
  <si>
    <t>CV kast</t>
  </si>
  <si>
    <t>059</t>
  </si>
  <si>
    <t>060</t>
  </si>
  <si>
    <t>G01</t>
  </si>
  <si>
    <t>Gang</t>
  </si>
  <si>
    <t>G02</t>
  </si>
  <si>
    <t>G03</t>
  </si>
  <si>
    <t>G04</t>
  </si>
  <si>
    <t>G04a</t>
  </si>
  <si>
    <t>Trap links</t>
  </si>
  <si>
    <t>G04b</t>
  </si>
  <si>
    <t>Trap rechts</t>
  </si>
  <si>
    <t>G05a</t>
  </si>
  <si>
    <t>G05b</t>
  </si>
  <si>
    <t>G05c</t>
  </si>
  <si>
    <t>G06</t>
  </si>
  <si>
    <t>G07</t>
  </si>
  <si>
    <t>G08</t>
  </si>
  <si>
    <t>G09</t>
  </si>
  <si>
    <t>G10</t>
  </si>
  <si>
    <t>personeelkamer</t>
  </si>
  <si>
    <t>T01</t>
  </si>
  <si>
    <t>T02</t>
  </si>
  <si>
    <t>T03</t>
  </si>
  <si>
    <t>T03a</t>
  </si>
  <si>
    <t>Voorportaal trap</t>
  </si>
  <si>
    <t>T04</t>
  </si>
  <si>
    <t>T05</t>
  </si>
  <si>
    <t>T06</t>
  </si>
  <si>
    <t>01</t>
  </si>
  <si>
    <t>100</t>
  </si>
  <si>
    <t>101</t>
  </si>
  <si>
    <t>Kamer teamleider</t>
  </si>
  <si>
    <t>102</t>
  </si>
  <si>
    <t>103</t>
  </si>
  <si>
    <t>104</t>
  </si>
  <si>
    <t>Kamer zorgcoordinator</t>
  </si>
  <si>
    <t>105</t>
  </si>
  <si>
    <t>Studio</t>
  </si>
  <si>
    <t>106</t>
  </si>
  <si>
    <t>107</t>
  </si>
  <si>
    <t>Zolderruimte</t>
  </si>
  <si>
    <t>108</t>
  </si>
  <si>
    <t>109</t>
  </si>
  <si>
    <t>110</t>
  </si>
  <si>
    <t>111</t>
  </si>
  <si>
    <t>112</t>
  </si>
  <si>
    <t>Lokaal</t>
  </si>
  <si>
    <t>113</t>
  </si>
  <si>
    <t>114</t>
  </si>
  <si>
    <t>115</t>
  </si>
  <si>
    <t>116</t>
  </si>
  <si>
    <t>Schacht</t>
  </si>
  <si>
    <t>117</t>
  </si>
  <si>
    <t>118</t>
  </si>
  <si>
    <t>119</t>
  </si>
  <si>
    <t>Patch ruimte</t>
  </si>
  <si>
    <t>120</t>
  </si>
  <si>
    <t>Werkplek docenten</t>
  </si>
  <si>
    <t>121</t>
  </si>
  <si>
    <t>Computerlokaal</t>
  </si>
  <si>
    <t>122</t>
  </si>
  <si>
    <t>Opslag schoonmaak</t>
  </si>
  <si>
    <t>123</t>
  </si>
  <si>
    <t>124</t>
  </si>
  <si>
    <t>125</t>
  </si>
  <si>
    <t>Tekenlokaal</t>
  </si>
  <si>
    <t>126</t>
  </si>
  <si>
    <t>Elektrakast</t>
  </si>
  <si>
    <t>127</t>
  </si>
  <si>
    <t>128</t>
  </si>
  <si>
    <t>129</t>
  </si>
  <si>
    <t>Aardrijkskunde lokaal</t>
  </si>
  <si>
    <t>130</t>
  </si>
  <si>
    <t>Biologie lokaal</t>
  </si>
  <si>
    <t>131</t>
  </si>
  <si>
    <t>Kabinet biologie</t>
  </si>
  <si>
    <t>132</t>
  </si>
  <si>
    <t>133</t>
  </si>
  <si>
    <t>134</t>
  </si>
  <si>
    <t>135</t>
  </si>
  <si>
    <t>G11</t>
  </si>
  <si>
    <t>G12</t>
  </si>
  <si>
    <t>G13</t>
  </si>
  <si>
    <t>G14</t>
  </si>
  <si>
    <t>G15</t>
  </si>
  <si>
    <t>02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</si>
  <si>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</si>
  <si>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</si>
  <si>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</si>
  <si>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</si>
  <si>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</si>
  <si>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</si>
  <si>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</si>
  <si>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</si>
  <si>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</si>
  <si>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</si>
  <si>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</si>
  <si>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</si>
  <si>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</si>
  <si>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212SCC</t>
  </si>
  <si>
    <t>Zolder (niet voor opslag)</t>
  </si>
  <si>
    <t>213</t>
  </si>
  <si>
    <t>214</t>
  </si>
  <si>
    <t>215</t>
  </si>
  <si>
    <t>217</t>
  </si>
  <si>
    <t>Zolder</t>
  </si>
  <si>
    <t>hout</t>
  </si>
  <si>
    <t>218</t>
  </si>
  <si>
    <t>Ovenkast</t>
  </si>
  <si>
    <t>219</t>
  </si>
  <si>
    <t>Handarbeid lokaal</t>
  </si>
  <si>
    <t>220</t>
  </si>
  <si>
    <t>G16</t>
  </si>
  <si>
    <t>G17</t>
  </si>
  <si>
    <t>G18</t>
  </si>
  <si>
    <t>03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</si>
  <si>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</si>
  <si>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</si>
  <si>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</si>
  <si>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</si>
  <si>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</si>
  <si>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</si>
  <si>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</si>
  <si>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</si>
  <si>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</si>
  <si>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</si>
  <si>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</si>
  <si>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</si>
  <si>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K1</t>
  </si>
  <si>
    <t>G06a</t>
  </si>
  <si>
    <t>K01</t>
  </si>
  <si>
    <t>K02</t>
  </si>
  <si>
    <t>Werkruimte concierge</t>
  </si>
  <si>
    <t>K03</t>
  </si>
  <si>
    <t>Ingang docenten</t>
  </si>
  <si>
    <t>K04</t>
  </si>
  <si>
    <t>Archief</t>
  </si>
  <si>
    <t>K05</t>
  </si>
  <si>
    <t>K06</t>
  </si>
  <si>
    <t>Lockerruimte docenten</t>
  </si>
  <si>
    <t>K07</t>
  </si>
  <si>
    <t>K08</t>
  </si>
  <si>
    <t>Machinekamer lift</t>
  </si>
  <si>
    <t>K10</t>
  </si>
  <si>
    <t>Overblijfruimte</t>
  </si>
  <si>
    <t>K11</t>
  </si>
  <si>
    <t>Lockerruimte leerlingen</t>
  </si>
  <si>
    <t>K12</t>
  </si>
  <si>
    <t>Opslag</t>
  </si>
  <si>
    <t>K12a</t>
  </si>
  <si>
    <t>K12b</t>
  </si>
  <si>
    <t>K13</t>
  </si>
  <si>
    <t>Berging schoonmaak</t>
  </si>
  <si>
    <t>K14</t>
  </si>
  <si>
    <t>K15</t>
  </si>
  <si>
    <t>Ketelhuis</t>
  </si>
  <si>
    <t>K15a</t>
  </si>
  <si>
    <t>CV-kast</t>
  </si>
  <si>
    <t>K16</t>
  </si>
  <si>
    <t>Verdelers CV</t>
  </si>
  <si>
    <t>K17</t>
  </si>
  <si>
    <t>K17a</t>
  </si>
  <si>
    <t>Hoofdkraan gas</t>
  </si>
  <si>
    <t>K18</t>
  </si>
  <si>
    <t>Opslag techniek</t>
  </si>
  <si>
    <t>K19</t>
  </si>
  <si>
    <t>K20</t>
  </si>
  <si>
    <t>K21</t>
  </si>
  <si>
    <t>Kelder onder toneel</t>
  </si>
  <si>
    <t>Buitenunit</t>
  </si>
  <si>
    <t>Klaslokaal</t>
  </si>
  <si>
    <t>Hal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</si>
  <si>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</si>
  <si>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</si>
  <si>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</si>
  <si>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</si>
  <si>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</si>
  <si>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</si>
  <si>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</si>
  <si>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</si>
  <si>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</si>
  <si>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</si>
  <si>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</si>
  <si>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Magazijn</t>
  </si>
  <si>
    <t>grijze vloer</t>
  </si>
  <si>
    <t>Toa</t>
  </si>
  <si>
    <t>ICT techniek</t>
  </si>
  <si>
    <t>010</t>
  </si>
  <si>
    <t>Techniek</t>
  </si>
  <si>
    <t>012</t>
  </si>
  <si>
    <t>Verdeelkast</t>
  </si>
  <si>
    <t>Toilet jongens</t>
  </si>
  <si>
    <t>026A</t>
  </si>
  <si>
    <t>Concierge ruimte</t>
  </si>
  <si>
    <t>027A</t>
  </si>
  <si>
    <t>Personeelsentree</t>
  </si>
  <si>
    <t>MIVA-toilet douche</t>
  </si>
  <si>
    <t>Meterkast</t>
  </si>
  <si>
    <t>Gas meterkast</t>
  </si>
  <si>
    <t>Hydrofoor</t>
  </si>
  <si>
    <t>Docenten werkruimte</t>
  </si>
  <si>
    <t>Management ruimte</t>
  </si>
  <si>
    <t>040A</t>
  </si>
  <si>
    <t>044 OLC</t>
  </si>
  <si>
    <t>Studieruimte</t>
  </si>
  <si>
    <t>Nis</t>
  </si>
  <si>
    <t>054</t>
  </si>
  <si>
    <t>Werkkast</t>
  </si>
  <si>
    <t>Toilet dames</t>
  </si>
  <si>
    <t>Toilet heren</t>
  </si>
  <si>
    <t>065</t>
  </si>
  <si>
    <t>BB20</t>
  </si>
  <si>
    <t>Werkplek Roy/Peter</t>
  </si>
  <si>
    <t>BB21</t>
  </si>
  <si>
    <t>Vaklokaal techniek</t>
  </si>
  <si>
    <t>BB22</t>
  </si>
  <si>
    <t>BB25</t>
  </si>
  <si>
    <t>BB26</t>
  </si>
  <si>
    <t>BB28</t>
  </si>
  <si>
    <t>PSO</t>
  </si>
  <si>
    <t>BB29</t>
  </si>
  <si>
    <t>Zaag afdeling</t>
  </si>
  <si>
    <t>G05</t>
  </si>
  <si>
    <t>L01</t>
  </si>
  <si>
    <t>RB06</t>
  </si>
  <si>
    <t>Theorie</t>
  </si>
  <si>
    <t>RB07</t>
  </si>
  <si>
    <t>RB08</t>
  </si>
  <si>
    <t>RB09</t>
  </si>
  <si>
    <t>RB10</t>
  </si>
  <si>
    <t>RB11</t>
  </si>
  <si>
    <t>RB12</t>
  </si>
  <si>
    <t>Trappenhuis</t>
  </si>
  <si>
    <t>Berging stoelen</t>
  </si>
  <si>
    <t>Toilet Heren</t>
  </si>
  <si>
    <t>Studio ruimte</t>
  </si>
  <si>
    <t>141</t>
  </si>
  <si>
    <t>142</t>
  </si>
  <si>
    <t>143</t>
  </si>
  <si>
    <t>144</t>
  </si>
  <si>
    <t>145</t>
  </si>
  <si>
    <t>146</t>
  </si>
  <si>
    <t>147</t>
  </si>
  <si>
    <t>151</t>
  </si>
  <si>
    <t>153</t>
  </si>
  <si>
    <t>B120</t>
  </si>
  <si>
    <t>Uitgifte</t>
  </si>
  <si>
    <t>B121</t>
  </si>
  <si>
    <t>Voorraad-koel-vries</t>
  </si>
  <si>
    <t>B122</t>
  </si>
  <si>
    <t>Verzorging - keuken</t>
  </si>
  <si>
    <t>B125</t>
  </si>
  <si>
    <t>Muziek</t>
  </si>
  <si>
    <t>G1.1</t>
  </si>
  <si>
    <t>G1.2</t>
  </si>
  <si>
    <t>Aula</t>
  </si>
  <si>
    <t>G1.3</t>
  </si>
  <si>
    <t>L11</t>
  </si>
  <si>
    <t>R102</t>
  </si>
  <si>
    <t>R103</t>
  </si>
  <si>
    <t>R104</t>
  </si>
  <si>
    <t>R105</t>
  </si>
  <si>
    <t>Management teamleider</t>
  </si>
  <si>
    <t>R106</t>
  </si>
  <si>
    <t>R107</t>
  </si>
  <si>
    <t>R108</t>
  </si>
  <si>
    <t>R109</t>
  </si>
  <si>
    <t>R110</t>
  </si>
  <si>
    <t>R111</t>
  </si>
  <si>
    <t>R112</t>
  </si>
  <si>
    <t>T0.3</t>
  </si>
  <si>
    <t>T1.1</t>
  </si>
  <si>
    <t>T1.2</t>
  </si>
  <si>
    <t>T1.3</t>
  </si>
  <si>
    <t>Directie</t>
  </si>
  <si>
    <t>Pantry</t>
  </si>
  <si>
    <t>203A</t>
  </si>
  <si>
    <t>Personeels kantine</t>
  </si>
  <si>
    <t>210A</t>
  </si>
  <si>
    <t>210B</t>
  </si>
  <si>
    <t>211A</t>
  </si>
  <si>
    <t>211B</t>
  </si>
  <si>
    <t>roostermaker</t>
  </si>
  <si>
    <t>Vloerbedekking</t>
  </si>
  <si>
    <t>216</t>
  </si>
  <si>
    <t>administratie</t>
  </si>
  <si>
    <t>217A</t>
  </si>
  <si>
    <t>217B</t>
  </si>
  <si>
    <t>230</t>
  </si>
  <si>
    <t>231</t>
  </si>
  <si>
    <t>232</t>
  </si>
  <si>
    <t>233</t>
  </si>
  <si>
    <t>Man. teamleider</t>
  </si>
  <si>
    <t>234</t>
  </si>
  <si>
    <t>235</t>
  </si>
  <si>
    <t>237</t>
  </si>
  <si>
    <t>245</t>
  </si>
  <si>
    <t>246</t>
  </si>
  <si>
    <t>247</t>
  </si>
  <si>
    <t>248</t>
  </si>
  <si>
    <t>249</t>
  </si>
  <si>
    <t>250</t>
  </si>
  <si>
    <t>251</t>
  </si>
  <si>
    <t>255</t>
  </si>
  <si>
    <t>257</t>
  </si>
  <si>
    <t>B220</t>
  </si>
  <si>
    <t>Multie media</t>
  </si>
  <si>
    <t>B221</t>
  </si>
  <si>
    <t>B222</t>
  </si>
  <si>
    <t>G2.1</t>
  </si>
  <si>
    <t>G2.1A</t>
  </si>
  <si>
    <t>G2.1B</t>
  </si>
  <si>
    <t>G2.2</t>
  </si>
  <si>
    <t>L21</t>
  </si>
  <si>
    <t>R206</t>
  </si>
  <si>
    <t>R207</t>
  </si>
  <si>
    <t>R208</t>
  </si>
  <si>
    <t>R209</t>
  </si>
  <si>
    <t>R210</t>
  </si>
  <si>
    <t>R211</t>
  </si>
  <si>
    <t>R212</t>
  </si>
  <si>
    <t>T2.1</t>
  </si>
  <si>
    <t>T2.2</t>
  </si>
  <si>
    <t>T3</t>
  </si>
  <si>
    <t>Droog/gips/glazuur ruimte</t>
  </si>
  <si>
    <t>Oven</t>
  </si>
  <si>
    <t>304A</t>
  </si>
  <si>
    <t>Infotheek</t>
  </si>
  <si>
    <t>313</t>
  </si>
  <si>
    <t>314</t>
  </si>
  <si>
    <t>Toilet jongnens</t>
  </si>
  <si>
    <t>315</t>
  </si>
  <si>
    <t>322</t>
  </si>
  <si>
    <t>Berging materialen</t>
  </si>
  <si>
    <t>322A</t>
  </si>
  <si>
    <t>Berging werkstukken</t>
  </si>
  <si>
    <t>323</t>
  </si>
  <si>
    <t>323A</t>
  </si>
  <si>
    <t>Berging Materialen</t>
  </si>
  <si>
    <t>330</t>
  </si>
  <si>
    <t>Docenten. werkruimte</t>
  </si>
  <si>
    <t>331</t>
  </si>
  <si>
    <t>332</t>
  </si>
  <si>
    <t>333</t>
  </si>
  <si>
    <t>334</t>
  </si>
  <si>
    <t>335</t>
  </si>
  <si>
    <t>337</t>
  </si>
  <si>
    <t>345</t>
  </si>
  <si>
    <t>346</t>
  </si>
  <si>
    <t>347</t>
  </si>
  <si>
    <t>348</t>
  </si>
  <si>
    <t>349</t>
  </si>
  <si>
    <t>350</t>
  </si>
  <si>
    <t>351</t>
  </si>
  <si>
    <t>355</t>
  </si>
  <si>
    <t>357</t>
  </si>
  <si>
    <t>B320</t>
  </si>
  <si>
    <t>Praktikum handvaardigheid</t>
  </si>
  <si>
    <t>B321</t>
  </si>
  <si>
    <t>Praktikum tekenen</t>
  </si>
  <si>
    <t>B322</t>
  </si>
  <si>
    <t>B324</t>
  </si>
  <si>
    <t>B324SCC</t>
  </si>
  <si>
    <t>Orienentatie mens &amp; wet</t>
  </si>
  <si>
    <t>G3.1</t>
  </si>
  <si>
    <t>G3.1A</t>
  </si>
  <si>
    <t>G3.1B</t>
  </si>
  <si>
    <t>G3.2</t>
  </si>
  <si>
    <t>L31</t>
  </si>
  <si>
    <t>R306</t>
  </si>
  <si>
    <t>R307</t>
  </si>
  <si>
    <t>R308</t>
  </si>
  <si>
    <t>R309</t>
  </si>
  <si>
    <t>R310</t>
  </si>
  <si>
    <t>R311</t>
  </si>
  <si>
    <t>R312</t>
  </si>
  <si>
    <t>T3.1</t>
  </si>
  <si>
    <t>T3.2</t>
  </si>
  <si>
    <t>T3.3</t>
  </si>
  <si>
    <t>402</t>
  </si>
  <si>
    <t>Praktikum</t>
  </si>
  <si>
    <t>Grijze vloer</t>
  </si>
  <si>
    <t>402A</t>
  </si>
  <si>
    <t>402B</t>
  </si>
  <si>
    <t>402C</t>
  </si>
  <si>
    <t>402D</t>
  </si>
  <si>
    <t>402E</t>
  </si>
  <si>
    <t>402F</t>
  </si>
  <si>
    <t>406</t>
  </si>
  <si>
    <t>407</t>
  </si>
  <si>
    <t>408</t>
  </si>
  <si>
    <t>409</t>
  </si>
  <si>
    <t>410</t>
  </si>
  <si>
    <t>411</t>
  </si>
  <si>
    <t>412</t>
  </si>
  <si>
    <t>420</t>
  </si>
  <si>
    <t>Installatie ruimte</t>
  </si>
  <si>
    <t>421</t>
  </si>
  <si>
    <t>SERVER</t>
  </si>
  <si>
    <t>429</t>
  </si>
  <si>
    <t>430</t>
  </si>
  <si>
    <t>431</t>
  </si>
  <si>
    <t>Management</t>
  </si>
  <si>
    <t>432</t>
  </si>
  <si>
    <t>434</t>
  </si>
  <si>
    <t>435</t>
  </si>
  <si>
    <t>436</t>
  </si>
  <si>
    <t>444</t>
  </si>
  <si>
    <t>445</t>
  </si>
  <si>
    <t>446</t>
  </si>
  <si>
    <t>447</t>
  </si>
  <si>
    <t>448</t>
  </si>
  <si>
    <t>449</t>
  </si>
  <si>
    <t>450</t>
  </si>
  <si>
    <t>454</t>
  </si>
  <si>
    <t>456</t>
  </si>
  <si>
    <t>B419</t>
  </si>
  <si>
    <t>B420</t>
  </si>
  <si>
    <t>B421</t>
  </si>
  <si>
    <t>B422</t>
  </si>
  <si>
    <t>B423</t>
  </si>
  <si>
    <t>B427</t>
  </si>
  <si>
    <t>B428</t>
  </si>
  <si>
    <t>B430</t>
  </si>
  <si>
    <t>G4.1</t>
  </si>
  <si>
    <t>lynoleum</t>
  </si>
  <si>
    <t>G4.1A</t>
  </si>
  <si>
    <t>G4.1B</t>
  </si>
  <si>
    <t>G4.2</t>
  </si>
  <si>
    <t>L41</t>
  </si>
  <si>
    <t>R406</t>
  </si>
  <si>
    <t>R407</t>
  </si>
  <si>
    <t>R408</t>
  </si>
  <si>
    <t>R409</t>
  </si>
  <si>
    <t>R410</t>
  </si>
  <si>
    <t>R411</t>
  </si>
  <si>
    <t>R412</t>
  </si>
  <si>
    <t>T4.1</t>
  </si>
  <si>
    <t>T4.2</t>
  </si>
  <si>
    <t>T4.3</t>
  </si>
  <si>
    <t>0.10</t>
  </si>
  <si>
    <t>Bordes</t>
  </si>
  <si>
    <t>lino</t>
  </si>
  <si>
    <t>0.B6</t>
  </si>
  <si>
    <t>0.D1</t>
  </si>
  <si>
    <t>tegel</t>
  </si>
  <si>
    <t>0.G1</t>
  </si>
  <si>
    <t>0.G2</t>
  </si>
  <si>
    <t>0.G3</t>
  </si>
  <si>
    <t>0.G4</t>
  </si>
  <si>
    <t>0.N1</t>
  </si>
  <si>
    <t>0.N2</t>
  </si>
  <si>
    <t>0.N3</t>
  </si>
  <si>
    <t>0.N4</t>
  </si>
  <si>
    <t>Speellokaal</t>
  </si>
  <si>
    <t>Conciergeloge</t>
  </si>
  <si>
    <t>Personeelsruimte</t>
  </si>
  <si>
    <t>Kantoor</t>
  </si>
  <si>
    <t>B1</t>
  </si>
  <si>
    <t>B2</t>
  </si>
  <si>
    <t>B3</t>
  </si>
  <si>
    <t>B5</t>
  </si>
  <si>
    <t>L1</t>
  </si>
  <si>
    <t>Lokaal KF2</t>
  </si>
  <si>
    <t>L2</t>
  </si>
  <si>
    <t>Lokaal KF6</t>
  </si>
  <si>
    <t>L3</t>
  </si>
  <si>
    <t>Lokaal Verzorging</t>
  </si>
  <si>
    <t>L4</t>
  </si>
  <si>
    <t>Lokaal KF4</t>
  </si>
  <si>
    <t>L5</t>
  </si>
  <si>
    <t>Lokaal KF3</t>
  </si>
  <si>
    <t>T1</t>
  </si>
  <si>
    <t>MIVA Toilet</t>
  </si>
  <si>
    <t>T2</t>
  </si>
  <si>
    <t>Toilet Medewerkers Heren</t>
  </si>
  <si>
    <t>Toilet Leerlingen Dames</t>
  </si>
  <si>
    <t>T4</t>
  </si>
  <si>
    <t>Toilet Leerlingen Heren</t>
  </si>
  <si>
    <t>Techniek hal</t>
  </si>
  <si>
    <t>1.G1</t>
  </si>
  <si>
    <t>1.N1</t>
  </si>
  <si>
    <t>1.N2</t>
  </si>
  <si>
    <t>1.N3</t>
  </si>
  <si>
    <t>1.TR1</t>
  </si>
  <si>
    <t>B4</t>
  </si>
  <si>
    <t>L10</t>
  </si>
  <si>
    <t>Lokaal Techniek</t>
  </si>
  <si>
    <t>L6</t>
  </si>
  <si>
    <t>Lokaal KF1</t>
  </si>
  <si>
    <t>L7</t>
  </si>
  <si>
    <t>Lokaal KF5</t>
  </si>
  <si>
    <t>L8</t>
  </si>
  <si>
    <t>Lokaal Tekenen</t>
  </si>
  <si>
    <t>L9</t>
  </si>
  <si>
    <t>Lokaal KF7</t>
  </si>
  <si>
    <t>T5</t>
  </si>
  <si>
    <t>T6</t>
  </si>
  <si>
    <t>00-15a</t>
  </si>
  <si>
    <t>00-15b</t>
  </si>
  <si>
    <t xml:space="preserve">00-16 </t>
  </si>
  <si>
    <t>00-17</t>
  </si>
  <si>
    <t>00-14</t>
  </si>
  <si>
    <t>00-22</t>
  </si>
  <si>
    <t>00-23</t>
  </si>
  <si>
    <t>00-26</t>
  </si>
  <si>
    <t xml:space="preserve">00-30 </t>
  </si>
  <si>
    <t>00-31</t>
  </si>
  <si>
    <t>00-32</t>
  </si>
  <si>
    <t>00-33</t>
  </si>
  <si>
    <t xml:space="preserve">00-34 </t>
  </si>
  <si>
    <t>00-35</t>
  </si>
  <si>
    <t>Portiersloge</t>
  </si>
  <si>
    <t>lyno</t>
  </si>
  <si>
    <t>Directeur</t>
  </si>
  <si>
    <t>Personeels werkruimte</t>
  </si>
  <si>
    <t>Rokerskamer</t>
  </si>
  <si>
    <t>011</t>
  </si>
  <si>
    <t>Copy ruimte</t>
  </si>
  <si>
    <t>011A</t>
  </si>
  <si>
    <t>laminaat</t>
  </si>
  <si>
    <t>013</t>
  </si>
  <si>
    <t>013A</t>
  </si>
  <si>
    <t>Hal toiletten</t>
  </si>
  <si>
    <t>coating</t>
  </si>
  <si>
    <t>017A</t>
  </si>
  <si>
    <t>toilet</t>
  </si>
  <si>
    <t>017B</t>
  </si>
  <si>
    <t>017C</t>
  </si>
  <si>
    <t>017D</t>
  </si>
  <si>
    <t>Installaties</t>
  </si>
  <si>
    <t>Laagspanning</t>
  </si>
  <si>
    <t>Hoogspanning</t>
  </si>
  <si>
    <t>Uiterlijke verzorging</t>
  </si>
  <si>
    <t>giet v</t>
  </si>
  <si>
    <t>025A</t>
  </si>
  <si>
    <t>Hal en toiletten</t>
  </si>
  <si>
    <t>Magazijn koelruimte</t>
  </si>
  <si>
    <t>026AA</t>
  </si>
  <si>
    <t>026AB</t>
  </si>
  <si>
    <t>026AC</t>
  </si>
  <si>
    <t>026AD</t>
  </si>
  <si>
    <t>026AE</t>
  </si>
  <si>
    <t>026AF</t>
  </si>
  <si>
    <t>026B</t>
  </si>
  <si>
    <t>toiletgroep meisjes en de hal</t>
  </si>
  <si>
    <t>026C</t>
  </si>
  <si>
    <t>toiletgroep jongens en de hal</t>
  </si>
  <si>
    <t>026D</t>
  </si>
  <si>
    <t>textiel</t>
  </si>
  <si>
    <t>026E</t>
  </si>
  <si>
    <t>026F</t>
  </si>
  <si>
    <t>Entree onvangst goederen</t>
  </si>
  <si>
    <t>026G</t>
  </si>
  <si>
    <t>026H</t>
  </si>
  <si>
    <t>026I</t>
  </si>
  <si>
    <t>PC werkruimte</t>
  </si>
  <si>
    <t>026J</t>
  </si>
  <si>
    <t>Kleedkamer jongens</t>
  </si>
  <si>
    <t>026K</t>
  </si>
  <si>
    <t>Kleedkamer meisjes</t>
  </si>
  <si>
    <t>026L</t>
  </si>
  <si>
    <t>Banket</t>
  </si>
  <si>
    <t>026N</t>
  </si>
  <si>
    <t>Bakkerij</t>
  </si>
  <si>
    <t>026O</t>
  </si>
  <si>
    <t>Ovens</t>
  </si>
  <si>
    <t>026P</t>
  </si>
  <si>
    <t>Doorloop</t>
  </si>
  <si>
    <t>026Q</t>
  </si>
  <si>
    <t>Spoelkeuken</t>
  </si>
  <si>
    <t>026R</t>
  </si>
  <si>
    <t>Restaurant</t>
  </si>
  <si>
    <t>026T</t>
  </si>
  <si>
    <t>Toilet dames en heren</t>
  </si>
  <si>
    <t>026U</t>
  </si>
  <si>
    <t>026V</t>
  </si>
  <si>
    <t>026W</t>
  </si>
  <si>
    <t>026X</t>
  </si>
  <si>
    <t>026Y</t>
  </si>
  <si>
    <t>026Z</t>
  </si>
  <si>
    <t>028A</t>
  </si>
  <si>
    <t>028B</t>
  </si>
  <si>
    <t>Toilet invalide</t>
  </si>
  <si>
    <t>Damestoilet</t>
  </si>
  <si>
    <t>030A</t>
  </si>
  <si>
    <t>Herentoilet</t>
  </si>
  <si>
    <t>030B</t>
  </si>
  <si>
    <t>030C</t>
  </si>
  <si>
    <t>030D</t>
  </si>
  <si>
    <t>030E</t>
  </si>
  <si>
    <t>Administratie / reisbureau</t>
  </si>
  <si>
    <t>verzorging</t>
  </si>
  <si>
    <t>032A</t>
  </si>
  <si>
    <t>kantoor verzorging</t>
  </si>
  <si>
    <t>032B</t>
  </si>
  <si>
    <t>Totaal verzorging</t>
  </si>
  <si>
    <t>032C</t>
  </si>
  <si>
    <t>032D</t>
  </si>
  <si>
    <t>032E</t>
  </si>
  <si>
    <t>032F</t>
  </si>
  <si>
    <t>032G</t>
  </si>
  <si>
    <t>032H</t>
  </si>
  <si>
    <t>032J</t>
  </si>
  <si>
    <t>032K</t>
  </si>
  <si>
    <t>032L</t>
  </si>
  <si>
    <t>gang en verzorging</t>
  </si>
  <si>
    <t>032La</t>
  </si>
  <si>
    <t>032M</t>
  </si>
  <si>
    <t>032O</t>
  </si>
  <si>
    <t>Teamleider</t>
  </si>
  <si>
    <t>vloer b</t>
  </si>
  <si>
    <t>Berging / ICT</t>
  </si>
  <si>
    <t>Conciërge</t>
  </si>
  <si>
    <t>Leslokaal</t>
  </si>
  <si>
    <t>Natuur- scheikunde</t>
  </si>
  <si>
    <t>045</t>
  </si>
  <si>
    <t>Toiletgroep</t>
  </si>
  <si>
    <t>048A</t>
  </si>
  <si>
    <t>048B</t>
  </si>
  <si>
    <t>048C</t>
  </si>
  <si>
    <t>048D</t>
  </si>
  <si>
    <t>Motorvoertuigen</t>
  </si>
  <si>
    <t>rubber/steen</t>
  </si>
  <si>
    <t>050D</t>
  </si>
  <si>
    <t>050E</t>
  </si>
  <si>
    <t>Milieu hok</t>
  </si>
  <si>
    <t>050F</t>
  </si>
  <si>
    <t>050H</t>
  </si>
  <si>
    <t>Machinale</t>
  </si>
  <si>
    <t>050I</t>
  </si>
  <si>
    <t>Instructie lokaal</t>
  </si>
  <si>
    <t>050J</t>
  </si>
  <si>
    <t>Magazijn gereedschap</t>
  </si>
  <si>
    <t>050L</t>
  </si>
  <si>
    <t>Flessen zuurstof</t>
  </si>
  <si>
    <t>050M</t>
  </si>
  <si>
    <t>Flessen gas</t>
  </si>
  <si>
    <t>050N</t>
  </si>
  <si>
    <t>050P</t>
  </si>
  <si>
    <t>Schilders koen en de gang</t>
  </si>
  <si>
    <t>hout/steen</t>
  </si>
  <si>
    <t>050Q</t>
  </si>
  <si>
    <t>Droogkamer</t>
  </si>
  <si>
    <t>050R</t>
  </si>
  <si>
    <t>Wasruimte</t>
  </si>
  <si>
    <t>050S</t>
  </si>
  <si>
    <t>050SCC</t>
  </si>
  <si>
    <t>Houtbewerking</t>
  </si>
  <si>
    <t>050SCC1</t>
  </si>
  <si>
    <t>Metaalbewerking</t>
  </si>
  <si>
    <t>050T</t>
  </si>
  <si>
    <t>Las cabines</t>
  </si>
  <si>
    <t>050U</t>
  </si>
  <si>
    <t>Slijpruimte</t>
  </si>
  <si>
    <t>050V</t>
  </si>
  <si>
    <t>Gemeenschappelijke instructie lok.</t>
  </si>
  <si>
    <t>050Y</t>
  </si>
  <si>
    <t>060A</t>
  </si>
  <si>
    <t>060B</t>
  </si>
  <si>
    <t>062</t>
  </si>
  <si>
    <t>gietvloer/lyno</t>
  </si>
  <si>
    <t>062A</t>
  </si>
  <si>
    <t>Commercie</t>
  </si>
  <si>
    <t>063</t>
  </si>
  <si>
    <t>064</t>
  </si>
  <si>
    <t>064A</t>
  </si>
  <si>
    <t>Toiletgroep plus spiegelruimtes</t>
  </si>
  <si>
    <t>065A</t>
  </si>
  <si>
    <t>065B</t>
  </si>
  <si>
    <t>067</t>
  </si>
  <si>
    <t>067A</t>
  </si>
  <si>
    <t>Douches jongens</t>
  </si>
  <si>
    <t>067B</t>
  </si>
  <si>
    <t>Douches meisjes</t>
  </si>
  <si>
    <t>067C</t>
  </si>
  <si>
    <t>Kleedkamer</t>
  </si>
  <si>
    <t>067D</t>
  </si>
  <si>
    <t>067E</t>
  </si>
  <si>
    <t>Inloop gymzaal</t>
  </si>
  <si>
    <t>067F</t>
  </si>
  <si>
    <t>067G</t>
  </si>
  <si>
    <t>Docentenruimte</t>
  </si>
  <si>
    <t>067I</t>
  </si>
  <si>
    <t>067K</t>
  </si>
  <si>
    <t>067S</t>
  </si>
  <si>
    <t>068</t>
  </si>
  <si>
    <t>070</t>
  </si>
  <si>
    <t>070A</t>
  </si>
  <si>
    <t>072</t>
  </si>
  <si>
    <t>075</t>
  </si>
  <si>
    <t>076</t>
  </si>
  <si>
    <t>076H</t>
  </si>
  <si>
    <t>076J</t>
  </si>
  <si>
    <t>077</t>
  </si>
  <si>
    <t>077A</t>
  </si>
  <si>
    <t>vloer /hiskia</t>
  </si>
  <si>
    <t>078</t>
  </si>
  <si>
    <t>vloer</t>
  </si>
  <si>
    <t>079</t>
  </si>
  <si>
    <t>080</t>
  </si>
  <si>
    <t>080A</t>
  </si>
  <si>
    <t>080B</t>
  </si>
  <si>
    <t>080C</t>
  </si>
  <si>
    <t>081</t>
  </si>
  <si>
    <t>verdeelruimte CV</t>
  </si>
  <si>
    <t>39</t>
  </si>
  <si>
    <t>G0.5</t>
  </si>
  <si>
    <t>G0.6</t>
  </si>
  <si>
    <t>vloer /ingang</t>
  </si>
  <si>
    <t>G0.7</t>
  </si>
  <si>
    <t>G0.8</t>
  </si>
  <si>
    <t>G0.9</t>
  </si>
  <si>
    <t>G01A</t>
  </si>
  <si>
    <t>Stoelenopslag</t>
  </si>
  <si>
    <t>G01B</t>
  </si>
  <si>
    <t>G07A</t>
  </si>
  <si>
    <t>L02</t>
  </si>
  <si>
    <t>Goederenlift</t>
  </si>
  <si>
    <t>T1A</t>
  </si>
  <si>
    <t>T1C</t>
  </si>
  <si>
    <t>T2A</t>
  </si>
  <si>
    <t>Trefcentrum</t>
  </si>
  <si>
    <t>100A</t>
  </si>
  <si>
    <t>keuken</t>
  </si>
  <si>
    <t>100B</t>
  </si>
  <si>
    <t>Kleedkamer/ toilet</t>
  </si>
  <si>
    <t>100C</t>
  </si>
  <si>
    <t>100D</t>
  </si>
  <si>
    <t>100E</t>
  </si>
  <si>
    <t>100F</t>
  </si>
  <si>
    <t>Trefcentrum - podium</t>
  </si>
  <si>
    <t>100H</t>
  </si>
  <si>
    <t>100I</t>
  </si>
  <si>
    <t>Voorruimte toilet</t>
  </si>
  <si>
    <t>100J</t>
  </si>
  <si>
    <t>100K</t>
  </si>
  <si>
    <t>voorruimte toilet</t>
  </si>
  <si>
    <t>ICT lokaal</t>
  </si>
  <si>
    <t>106B</t>
  </si>
  <si>
    <t>magazijn</t>
  </si>
  <si>
    <t>niet aanwezig</t>
  </si>
  <si>
    <t>Werkkamer</t>
  </si>
  <si>
    <t>109A</t>
  </si>
  <si>
    <t>109B</t>
  </si>
  <si>
    <t>Helpdesk</t>
  </si>
  <si>
    <t>111A</t>
  </si>
  <si>
    <t>111B</t>
  </si>
  <si>
    <t>111C</t>
  </si>
  <si>
    <t>112A</t>
  </si>
  <si>
    <t>113A</t>
  </si>
  <si>
    <t>113B</t>
  </si>
  <si>
    <t>ICT Ruimte</t>
  </si>
  <si>
    <t xml:space="preserve">lyno/ vloer </t>
  </si>
  <si>
    <t>114A</t>
  </si>
  <si>
    <t>Toilet groep</t>
  </si>
  <si>
    <t>122A</t>
  </si>
  <si>
    <t>122B</t>
  </si>
  <si>
    <t>130A</t>
  </si>
  <si>
    <t>TR</t>
  </si>
  <si>
    <t>L12</t>
  </si>
  <si>
    <t>T 3</t>
  </si>
  <si>
    <t>T 4</t>
  </si>
  <si>
    <t>Trapenhuis</t>
  </si>
  <si>
    <t>123A</t>
  </si>
  <si>
    <t>123B</t>
  </si>
  <si>
    <t>123C</t>
  </si>
  <si>
    <t>Docentenkamer</t>
  </si>
  <si>
    <t>123D</t>
  </si>
  <si>
    <t>123E</t>
  </si>
  <si>
    <t>123F</t>
  </si>
  <si>
    <t>123G</t>
  </si>
  <si>
    <t>123H</t>
  </si>
  <si>
    <t>123I</t>
  </si>
  <si>
    <t>123J</t>
  </si>
  <si>
    <t>123K</t>
  </si>
  <si>
    <t>123L</t>
  </si>
  <si>
    <t>123M</t>
  </si>
  <si>
    <t>202A</t>
  </si>
  <si>
    <t>Lokaal + portaal</t>
  </si>
  <si>
    <t>Grootkeuken/verzorging</t>
  </si>
  <si>
    <t>204A</t>
  </si>
  <si>
    <t>Portaal</t>
  </si>
  <si>
    <t>204B</t>
  </si>
  <si>
    <t>Berging boiler</t>
  </si>
  <si>
    <t>204C</t>
  </si>
  <si>
    <t>207A</t>
  </si>
  <si>
    <t>207B</t>
  </si>
  <si>
    <t>REC Kantoor</t>
  </si>
  <si>
    <t>REC Berging</t>
  </si>
  <si>
    <t>214A</t>
  </si>
  <si>
    <t>215A</t>
  </si>
  <si>
    <t>215B</t>
  </si>
  <si>
    <t>215C</t>
  </si>
  <si>
    <t>216A</t>
  </si>
  <si>
    <t>216B</t>
  </si>
  <si>
    <t>221</t>
  </si>
  <si>
    <t>G 2.1</t>
  </si>
  <si>
    <t>G 2.2</t>
  </si>
  <si>
    <t>L22</t>
  </si>
  <si>
    <t>T 2.2</t>
  </si>
  <si>
    <t>T 2.3</t>
  </si>
  <si>
    <t>T 2.4</t>
  </si>
  <si>
    <t>001</t>
  </si>
  <si>
    <t>parket</t>
  </si>
  <si>
    <t>001A</t>
  </si>
  <si>
    <t>001B</t>
  </si>
  <si>
    <t>001C</t>
  </si>
  <si>
    <t>001D</t>
  </si>
  <si>
    <t>001E</t>
  </si>
  <si>
    <t>Kantoortje</t>
  </si>
  <si>
    <t>001F</t>
  </si>
  <si>
    <t>Garderobe/wasplaats</t>
  </si>
  <si>
    <t>001G</t>
  </si>
  <si>
    <t>Houtstek</t>
  </si>
  <si>
    <t>001Ga</t>
  </si>
  <si>
    <t>001H</t>
  </si>
  <si>
    <t>Werkplaats</t>
  </si>
  <si>
    <t>001I</t>
  </si>
  <si>
    <t>Stofafzuiging</t>
  </si>
  <si>
    <t>001J</t>
  </si>
  <si>
    <t>001K</t>
  </si>
  <si>
    <t>002A</t>
  </si>
  <si>
    <t>004A</t>
  </si>
  <si>
    <t>004B</t>
  </si>
  <si>
    <t>004C</t>
  </si>
  <si>
    <t>004D</t>
  </si>
  <si>
    <t>004E</t>
  </si>
  <si>
    <t>Buitenkast</t>
  </si>
  <si>
    <t>004F</t>
  </si>
  <si>
    <t>004H</t>
  </si>
  <si>
    <t>Compressor/afzuiging</t>
  </si>
  <si>
    <t>005A</t>
  </si>
  <si>
    <t>005B</t>
  </si>
  <si>
    <t>Lesruimte  z/w</t>
  </si>
  <si>
    <t>007A</t>
  </si>
  <si>
    <t>008A</t>
  </si>
  <si>
    <t>Wasmachines</t>
  </si>
  <si>
    <t>008B</t>
  </si>
  <si>
    <t>Lesruimte</t>
  </si>
  <si>
    <t>009A</t>
  </si>
  <si>
    <t>009B</t>
  </si>
  <si>
    <t>009C</t>
  </si>
  <si>
    <t>009D</t>
  </si>
  <si>
    <t>00A</t>
  </si>
  <si>
    <t>Watermeter</t>
  </si>
  <si>
    <t>00B</t>
  </si>
  <si>
    <t>Gasmeter</t>
  </si>
  <si>
    <t>00C</t>
  </si>
  <si>
    <t>Opslagkast</t>
  </si>
  <si>
    <t>00D</t>
  </si>
  <si>
    <t>012A</t>
  </si>
  <si>
    <t>Leslokaal keuken</t>
  </si>
  <si>
    <t>012B</t>
  </si>
  <si>
    <t>tegels</t>
  </si>
  <si>
    <t>012C</t>
  </si>
  <si>
    <t>012D</t>
  </si>
  <si>
    <t>012E</t>
  </si>
  <si>
    <t>012F</t>
  </si>
  <si>
    <t>013B</t>
  </si>
  <si>
    <t>Dames toiletten</t>
  </si>
  <si>
    <t>013C</t>
  </si>
  <si>
    <t>Docenten dames toilet</t>
  </si>
  <si>
    <t>013D</t>
  </si>
  <si>
    <t>Docenten heren toilet</t>
  </si>
  <si>
    <t>013E</t>
  </si>
  <si>
    <t>Garderobe docenten</t>
  </si>
  <si>
    <t>013G</t>
  </si>
  <si>
    <t>013H</t>
  </si>
  <si>
    <t>014A</t>
  </si>
  <si>
    <t>014B</t>
  </si>
  <si>
    <t>014C</t>
  </si>
  <si>
    <t>Overblijfruimte/aula</t>
  </si>
  <si>
    <t>014D</t>
  </si>
  <si>
    <t>014E</t>
  </si>
  <si>
    <t>014F</t>
  </si>
  <si>
    <t>Muziek lokaal</t>
  </si>
  <si>
    <t>017 018 019</t>
  </si>
  <si>
    <t>018a</t>
  </si>
  <si>
    <t>kantoor</t>
  </si>
  <si>
    <t>019A</t>
  </si>
  <si>
    <t>019B</t>
  </si>
  <si>
    <t>019C</t>
  </si>
  <si>
    <t>029A</t>
  </si>
  <si>
    <t>entree</t>
  </si>
  <si>
    <t>031A</t>
  </si>
  <si>
    <t>pvc</t>
  </si>
  <si>
    <t>034B</t>
  </si>
  <si>
    <t>Doorgang</t>
  </si>
  <si>
    <t>Patchruimte/kantoor</t>
  </si>
  <si>
    <t>37B</t>
  </si>
  <si>
    <t>37A</t>
  </si>
  <si>
    <t>039a</t>
  </si>
  <si>
    <t>27A</t>
  </si>
  <si>
    <t>Heren toilet</t>
  </si>
  <si>
    <t>27B</t>
  </si>
  <si>
    <t>Dames toilet</t>
  </si>
  <si>
    <t>27C</t>
  </si>
  <si>
    <t>Invaliden toilet</t>
  </si>
  <si>
    <t>O-01</t>
  </si>
  <si>
    <t>Omloop aula</t>
  </si>
  <si>
    <t>T0.5</t>
  </si>
  <si>
    <t>T01A</t>
  </si>
  <si>
    <t>Schacht(techniek)</t>
  </si>
  <si>
    <t>T02A</t>
  </si>
  <si>
    <t>MK</t>
  </si>
  <si>
    <t>016A</t>
  </si>
  <si>
    <t>105A</t>
  </si>
  <si>
    <t>105B</t>
  </si>
  <si>
    <t>107A</t>
  </si>
  <si>
    <t>107B</t>
  </si>
  <si>
    <t>Server ruimte</t>
  </si>
  <si>
    <t>107C</t>
  </si>
  <si>
    <t>107D</t>
  </si>
  <si>
    <t>107E</t>
  </si>
  <si>
    <t>107F</t>
  </si>
  <si>
    <t>107G</t>
  </si>
  <si>
    <t>107H</t>
  </si>
  <si>
    <t>110a</t>
  </si>
  <si>
    <t>110B</t>
  </si>
  <si>
    <t>110C</t>
  </si>
  <si>
    <t>110D</t>
  </si>
  <si>
    <t>116A</t>
  </si>
  <si>
    <t>116B</t>
  </si>
  <si>
    <t>160A</t>
  </si>
  <si>
    <t>G1.1A</t>
  </si>
  <si>
    <t>G1.4</t>
  </si>
  <si>
    <t>T1.4</t>
  </si>
  <si>
    <t>T1.5</t>
  </si>
  <si>
    <t>200A</t>
  </si>
  <si>
    <t>200B</t>
  </si>
  <si>
    <t>208A</t>
  </si>
  <si>
    <t>208B</t>
  </si>
  <si>
    <t>208C</t>
  </si>
  <si>
    <t>208D</t>
  </si>
  <si>
    <t>208F</t>
  </si>
  <si>
    <t>208G</t>
  </si>
  <si>
    <t>208H</t>
  </si>
  <si>
    <t>210a</t>
  </si>
  <si>
    <t>G2.3</t>
  </si>
  <si>
    <t>T2.3</t>
  </si>
  <si>
    <t>T2.4</t>
  </si>
  <si>
    <t>A 01</t>
  </si>
  <si>
    <t>lokaal</t>
  </si>
  <si>
    <t>A 02</t>
  </si>
  <si>
    <t>A 03</t>
  </si>
  <si>
    <t>A 04</t>
  </si>
  <si>
    <t>A 1</t>
  </si>
  <si>
    <t>gang</t>
  </si>
  <si>
    <t>A 11</t>
  </si>
  <si>
    <t>A 11a</t>
  </si>
  <si>
    <t>berging</t>
  </si>
  <si>
    <t>A 12</t>
  </si>
  <si>
    <t>A 13</t>
  </si>
  <si>
    <t>A 14</t>
  </si>
  <si>
    <t>A 15</t>
  </si>
  <si>
    <t>dekaan havo</t>
  </si>
  <si>
    <t>A 16</t>
  </si>
  <si>
    <t>Aa</t>
  </si>
  <si>
    <t>concierge</t>
  </si>
  <si>
    <t>Aa a</t>
  </si>
  <si>
    <t>Aa b</t>
  </si>
  <si>
    <t>Aa c</t>
  </si>
  <si>
    <t>Ab</t>
  </si>
  <si>
    <t>Ab b</t>
  </si>
  <si>
    <t>opslag</t>
  </si>
  <si>
    <t>Ac</t>
  </si>
  <si>
    <t>Ac 1</t>
  </si>
  <si>
    <t>aula</t>
  </si>
  <si>
    <t>Acr</t>
  </si>
  <si>
    <t>Ad</t>
  </si>
  <si>
    <t>toiletten personeel</t>
  </si>
  <si>
    <t>Ae</t>
  </si>
  <si>
    <t>Ae 1</t>
  </si>
  <si>
    <t>portaal LL</t>
  </si>
  <si>
    <t>Ae 2</t>
  </si>
  <si>
    <t>hal</t>
  </si>
  <si>
    <t>Af</t>
  </si>
  <si>
    <t>directeur</t>
  </si>
  <si>
    <t>Ag</t>
  </si>
  <si>
    <t>Ah</t>
  </si>
  <si>
    <t>meldkamer</t>
  </si>
  <si>
    <t>Ah 1</t>
  </si>
  <si>
    <t>opslag papier</t>
  </si>
  <si>
    <t>Ai</t>
  </si>
  <si>
    <t>elektra werkkast</t>
  </si>
  <si>
    <t>Ai a</t>
  </si>
  <si>
    <t>Aj</t>
  </si>
  <si>
    <t>Ak</t>
  </si>
  <si>
    <t>garderobe</t>
  </si>
  <si>
    <t>Ak 1</t>
  </si>
  <si>
    <t>elektra hokje</t>
  </si>
  <si>
    <t>Ak 2</t>
  </si>
  <si>
    <t>fietsenstalling</t>
  </si>
  <si>
    <t>Alk 2</t>
  </si>
  <si>
    <t>technische schacht</t>
  </si>
  <si>
    <t>Am</t>
  </si>
  <si>
    <t>lockerruimte</t>
  </si>
  <si>
    <t>Am 2</t>
  </si>
  <si>
    <t>Ao</t>
  </si>
  <si>
    <t>decaan vwo</t>
  </si>
  <si>
    <t>Ao 1</t>
  </si>
  <si>
    <t>Ao 2</t>
  </si>
  <si>
    <t>Ap</t>
  </si>
  <si>
    <t>werkkamer</t>
  </si>
  <si>
    <t>Aq</t>
  </si>
  <si>
    <t>Ar</t>
  </si>
  <si>
    <t>toiletten dames</t>
  </si>
  <si>
    <t>As</t>
  </si>
  <si>
    <t>toiletten heren</t>
  </si>
  <si>
    <t>At</t>
  </si>
  <si>
    <t>kluisjes</t>
  </si>
  <si>
    <t>Av</t>
  </si>
  <si>
    <t>hoofd elektrakast</t>
  </si>
  <si>
    <t>Aw</t>
  </si>
  <si>
    <t>hoofd elektra Enexis</t>
  </si>
  <si>
    <t>Ax</t>
  </si>
  <si>
    <t>Ay</t>
  </si>
  <si>
    <t>studie ruimte</t>
  </si>
  <si>
    <t>Aya</t>
  </si>
  <si>
    <t>Ayb</t>
  </si>
  <si>
    <t>Az</t>
  </si>
  <si>
    <t>stilte ruimte</t>
  </si>
  <si>
    <t>Az 1</t>
  </si>
  <si>
    <t>B11</t>
  </si>
  <si>
    <t>B11a</t>
  </si>
  <si>
    <t>B12</t>
  </si>
  <si>
    <t>B13</t>
  </si>
  <si>
    <t>B14</t>
  </si>
  <si>
    <t>B15</t>
  </si>
  <si>
    <t>B17</t>
  </si>
  <si>
    <t>muziek lokaal</t>
  </si>
  <si>
    <t>B17a</t>
  </si>
  <si>
    <t>studio</t>
  </si>
  <si>
    <t>B17b</t>
  </si>
  <si>
    <t>B17c</t>
  </si>
  <si>
    <t>B17d</t>
  </si>
  <si>
    <t>B17e</t>
  </si>
  <si>
    <t>B6</t>
  </si>
  <si>
    <t>Ba</t>
  </si>
  <si>
    <t>teamleider</t>
  </si>
  <si>
    <t>Bb</t>
  </si>
  <si>
    <t>Bc</t>
  </si>
  <si>
    <t>kantoor mediatheek</t>
  </si>
  <si>
    <t>Bd</t>
  </si>
  <si>
    <t>Be</t>
  </si>
  <si>
    <t>Bf</t>
  </si>
  <si>
    <t>mediatheek</t>
  </si>
  <si>
    <t>Bg</t>
  </si>
  <si>
    <t>Bh</t>
  </si>
  <si>
    <t>Bi</t>
  </si>
  <si>
    <t>toilet heren</t>
  </si>
  <si>
    <t>Bj</t>
  </si>
  <si>
    <t>toilet personeel</t>
  </si>
  <si>
    <t>Bk</t>
  </si>
  <si>
    <t>Bl</t>
  </si>
  <si>
    <t>BLk1</t>
  </si>
  <si>
    <t>BLk2</t>
  </si>
  <si>
    <t>Bn</t>
  </si>
  <si>
    <t>roosterkamer</t>
  </si>
  <si>
    <t>Bp</t>
  </si>
  <si>
    <t>personeelskamer</t>
  </si>
  <si>
    <t>Bq</t>
  </si>
  <si>
    <t>Br</t>
  </si>
  <si>
    <t>Br1</t>
  </si>
  <si>
    <t>Bre</t>
  </si>
  <si>
    <t>kantine</t>
  </si>
  <si>
    <t>Bre1</t>
  </si>
  <si>
    <t>Bs</t>
  </si>
  <si>
    <t>Bt</t>
  </si>
  <si>
    <t>loopbrug staal</t>
  </si>
  <si>
    <t>planken</t>
  </si>
  <si>
    <t>Bu</t>
  </si>
  <si>
    <t>Bv</t>
  </si>
  <si>
    <t>Bw</t>
  </si>
  <si>
    <t>Bx</t>
  </si>
  <si>
    <t>By</t>
  </si>
  <si>
    <t>Bz</t>
  </si>
  <si>
    <t>meterkast</t>
  </si>
  <si>
    <t>C1</t>
  </si>
  <si>
    <t>C10</t>
  </si>
  <si>
    <t>C10a</t>
  </si>
  <si>
    <t>C11</t>
  </si>
  <si>
    <t>C12</t>
  </si>
  <si>
    <t>C13</t>
  </si>
  <si>
    <t>C14</t>
  </si>
  <si>
    <t>C15</t>
  </si>
  <si>
    <t>C16</t>
  </si>
  <si>
    <t>C17</t>
  </si>
  <si>
    <t>C18</t>
  </si>
  <si>
    <t>C2</t>
  </si>
  <si>
    <t>C20a</t>
  </si>
  <si>
    <t>C20b</t>
  </si>
  <si>
    <t>C3</t>
  </si>
  <si>
    <t>C4</t>
  </si>
  <si>
    <t>C5</t>
  </si>
  <si>
    <t>C7</t>
  </si>
  <si>
    <t>C8</t>
  </si>
  <si>
    <t>C9</t>
  </si>
  <si>
    <t>Ca</t>
  </si>
  <si>
    <t>Cb</t>
  </si>
  <si>
    <t>Cc</t>
  </si>
  <si>
    <t>Cd</t>
  </si>
  <si>
    <t>Cdn1</t>
  </si>
  <si>
    <t>studienis</t>
  </si>
  <si>
    <t>Cdn2</t>
  </si>
  <si>
    <t>Ce</t>
  </si>
  <si>
    <t>Cf</t>
  </si>
  <si>
    <t>Cg</t>
  </si>
  <si>
    <t>Ch</t>
  </si>
  <si>
    <t>Schacht(lucht)</t>
  </si>
  <si>
    <t>Ci</t>
  </si>
  <si>
    <t>Cj</t>
  </si>
  <si>
    <t>Ck</t>
  </si>
  <si>
    <t>schoonmaak</t>
  </si>
  <si>
    <t>beton geverft</t>
  </si>
  <si>
    <t>Ck1</t>
  </si>
  <si>
    <t>patchruimte ICT</t>
  </si>
  <si>
    <t>Cl</t>
  </si>
  <si>
    <t>Clk1</t>
  </si>
  <si>
    <t>Clk2</t>
  </si>
  <si>
    <t>Cm</t>
  </si>
  <si>
    <t>Cn</t>
  </si>
  <si>
    <t>Co</t>
  </si>
  <si>
    <t>D1</t>
  </si>
  <si>
    <t>D10</t>
  </si>
  <si>
    <t>natuurkunde lab</t>
  </si>
  <si>
    <t>D11</t>
  </si>
  <si>
    <t>D12</t>
  </si>
  <si>
    <t>kabinet sk</t>
  </si>
  <si>
    <t>D13</t>
  </si>
  <si>
    <t>D14</t>
  </si>
  <si>
    <t>D15</t>
  </si>
  <si>
    <t>D16</t>
  </si>
  <si>
    <t>D17</t>
  </si>
  <si>
    <t>D2</t>
  </si>
  <si>
    <t>D5</t>
  </si>
  <si>
    <t>D6</t>
  </si>
  <si>
    <t>D7</t>
  </si>
  <si>
    <t>D8</t>
  </si>
  <si>
    <t>D9</t>
  </si>
  <si>
    <t>Da</t>
  </si>
  <si>
    <t>Db</t>
  </si>
  <si>
    <t>kabinet natuurkunde</t>
  </si>
  <si>
    <t>Dc</t>
  </si>
  <si>
    <t>Dd</t>
  </si>
  <si>
    <t>opgang</t>
  </si>
  <si>
    <t>De</t>
  </si>
  <si>
    <t>Df</t>
  </si>
  <si>
    <t>Dg</t>
  </si>
  <si>
    <t>Dh</t>
  </si>
  <si>
    <t>Di</t>
  </si>
  <si>
    <t>Dj</t>
  </si>
  <si>
    <t>elektrakast</t>
  </si>
  <si>
    <t>Dk</t>
  </si>
  <si>
    <t>Dl</t>
  </si>
  <si>
    <t>kabinet bi</t>
  </si>
  <si>
    <t>Dlk1</t>
  </si>
  <si>
    <t>schacht</t>
  </si>
  <si>
    <t>Dlk2</t>
  </si>
  <si>
    <t>Dm</t>
  </si>
  <si>
    <t>Dn</t>
  </si>
  <si>
    <t>sk / bi  lab</t>
  </si>
  <si>
    <t>Do</t>
  </si>
  <si>
    <t>Chemische opslag scheikunde</t>
  </si>
  <si>
    <t>Ga 1</t>
  </si>
  <si>
    <t>Ga 2</t>
  </si>
  <si>
    <t>Ga 3</t>
  </si>
  <si>
    <t>Gb1</t>
  </si>
  <si>
    <t>Gb2</t>
  </si>
  <si>
    <t>Gbu</t>
  </si>
  <si>
    <t>berging sport</t>
  </si>
  <si>
    <t>Gc1</t>
  </si>
  <si>
    <t>Gc2</t>
  </si>
  <si>
    <t>Gd1</t>
  </si>
  <si>
    <t>Gd2</t>
  </si>
  <si>
    <t>Oa 1</t>
  </si>
  <si>
    <t>Oa 2</t>
  </si>
  <si>
    <t>Ob1</t>
  </si>
  <si>
    <t>omloop</t>
  </si>
  <si>
    <t>Ob2</t>
  </si>
  <si>
    <t>Oc1</t>
  </si>
  <si>
    <t>Oc2</t>
  </si>
  <si>
    <t>Od1</t>
  </si>
  <si>
    <t>Od2</t>
  </si>
  <si>
    <t>S 2</t>
  </si>
  <si>
    <t>werkplaats</t>
  </si>
  <si>
    <t>S 2a</t>
  </si>
  <si>
    <t>techniek</t>
  </si>
  <si>
    <t>S 3</t>
  </si>
  <si>
    <t>S14</t>
  </si>
  <si>
    <t>Sportzaal 1</t>
  </si>
  <si>
    <t>pulastic gymvloer</t>
  </si>
  <si>
    <t>sportzaal 1</t>
  </si>
  <si>
    <t>S14a</t>
  </si>
  <si>
    <t>S14b</t>
  </si>
  <si>
    <t>ballenhok</t>
  </si>
  <si>
    <t>S15</t>
  </si>
  <si>
    <t>sportzaal 2</t>
  </si>
  <si>
    <t>S15a</t>
  </si>
  <si>
    <t>S15b</t>
  </si>
  <si>
    <t>S16</t>
  </si>
  <si>
    <t>S17</t>
  </si>
  <si>
    <t>kleedkamer</t>
  </si>
  <si>
    <t>S17a</t>
  </si>
  <si>
    <t>S18</t>
  </si>
  <si>
    <t>S18a</t>
  </si>
  <si>
    <t>S18b</t>
  </si>
  <si>
    <t>S19</t>
  </si>
  <si>
    <t>kleedkamer docent</t>
  </si>
  <si>
    <t>S20</t>
  </si>
  <si>
    <t>werkkast</t>
  </si>
  <si>
    <t>S23</t>
  </si>
  <si>
    <t>S23a</t>
  </si>
  <si>
    <t>toiletten</t>
  </si>
  <si>
    <t>S23b</t>
  </si>
  <si>
    <t>S23c</t>
  </si>
  <si>
    <t>S23d</t>
  </si>
  <si>
    <t>trappenhuis</t>
  </si>
  <si>
    <t>S26</t>
  </si>
  <si>
    <t>S26a</t>
  </si>
  <si>
    <t>S26b</t>
  </si>
  <si>
    <t>S27</t>
  </si>
  <si>
    <t>collegezaal</t>
  </si>
  <si>
    <t>S27a</t>
  </si>
  <si>
    <t>S5</t>
  </si>
  <si>
    <t>doorloop</t>
  </si>
  <si>
    <t>S6</t>
  </si>
  <si>
    <t>S6a</t>
  </si>
  <si>
    <t>S7</t>
  </si>
  <si>
    <t>S7a</t>
  </si>
  <si>
    <t>S7b</t>
  </si>
  <si>
    <t>S8</t>
  </si>
  <si>
    <t>werkkamer docent</t>
  </si>
  <si>
    <t>S9</t>
  </si>
  <si>
    <t>S9a</t>
  </si>
  <si>
    <t>halletje gymzaal 1 en 2</t>
  </si>
  <si>
    <t>T1a</t>
  </si>
  <si>
    <t>vloerbedekking/gietvloer</t>
  </si>
  <si>
    <t>T1b</t>
  </si>
  <si>
    <t>T1c</t>
  </si>
  <si>
    <t>T1d</t>
  </si>
  <si>
    <t>T2a</t>
  </si>
  <si>
    <t>T2b</t>
  </si>
  <si>
    <t>T2c</t>
  </si>
  <si>
    <t>T2d</t>
  </si>
  <si>
    <t>T3a</t>
  </si>
  <si>
    <t>T3b</t>
  </si>
  <si>
    <t>T3c</t>
  </si>
  <si>
    <t>T3d</t>
  </si>
  <si>
    <t>T4a</t>
  </si>
  <si>
    <t>T4b</t>
  </si>
  <si>
    <t>T5a</t>
  </si>
  <si>
    <t>T5b</t>
  </si>
  <si>
    <t>T5c</t>
  </si>
  <si>
    <t>T5d</t>
  </si>
  <si>
    <t>Tc1</t>
  </si>
  <si>
    <t>tribune</t>
  </si>
  <si>
    <t>A1</t>
  </si>
  <si>
    <t xml:space="preserve">  Lyno</t>
  </si>
  <si>
    <t>A10</t>
  </si>
  <si>
    <t>A11</t>
  </si>
  <si>
    <t>Directiekamer</t>
  </si>
  <si>
    <t>A2</t>
  </si>
  <si>
    <t>A3</t>
  </si>
  <si>
    <t>A8</t>
  </si>
  <si>
    <t>Stagekantoor</t>
  </si>
  <si>
    <t>A9</t>
  </si>
  <si>
    <t>Logopedie</t>
  </si>
  <si>
    <t>AA</t>
  </si>
  <si>
    <t>Toiletten</t>
  </si>
  <si>
    <t>AB</t>
  </si>
  <si>
    <t>Personeelstoiletten</t>
  </si>
  <si>
    <t>Tegels</t>
  </si>
  <si>
    <t>AC</t>
  </si>
  <si>
    <t>AK</t>
  </si>
  <si>
    <t>AL</t>
  </si>
  <si>
    <t>AM</t>
  </si>
  <si>
    <t>Kast schoonmaak</t>
  </si>
  <si>
    <t>AN</t>
  </si>
  <si>
    <t>Printer opstelling</t>
  </si>
  <si>
    <t>Lyno</t>
  </si>
  <si>
    <t>AO</t>
  </si>
  <si>
    <t>Halletje + keuken</t>
  </si>
  <si>
    <t>AP</t>
  </si>
  <si>
    <t>Archiefruimte</t>
  </si>
  <si>
    <t>Handvaardigheid</t>
  </si>
  <si>
    <t>Hout/Parket</t>
  </si>
  <si>
    <t>Praktijklokaal hout</t>
  </si>
  <si>
    <t>Hal/portaal</t>
  </si>
  <si>
    <t>kunstof/antislip. Vereist een aparte behandeling</t>
  </si>
  <si>
    <t>Praktijklokaal</t>
  </si>
  <si>
    <t>BA</t>
  </si>
  <si>
    <t>BB</t>
  </si>
  <si>
    <t>BC</t>
  </si>
  <si>
    <t>Patchkast</t>
  </si>
  <si>
    <t>BD</t>
  </si>
  <si>
    <t>BE</t>
  </si>
  <si>
    <t>Bergruimte</t>
  </si>
  <si>
    <t>BF</t>
  </si>
  <si>
    <t>Ingang zolder</t>
  </si>
  <si>
    <t>BG</t>
  </si>
  <si>
    <t>Berging + afzuiging 1</t>
  </si>
  <si>
    <t>Beton</t>
  </si>
  <si>
    <t>BH</t>
  </si>
  <si>
    <t>Afzuiging 2</t>
  </si>
  <si>
    <t>BI</t>
  </si>
  <si>
    <t>BJ</t>
  </si>
  <si>
    <t>BK</t>
  </si>
  <si>
    <t>Praktijklokaal koken</t>
  </si>
  <si>
    <t>C1a</t>
  </si>
  <si>
    <t>Leslokaal verzorging</t>
  </si>
  <si>
    <t>tegels/Lyno</t>
  </si>
  <si>
    <t>C4a</t>
  </si>
  <si>
    <t>Repro</t>
  </si>
  <si>
    <t>K.P.C. kast</t>
  </si>
  <si>
    <t>C6</t>
  </si>
  <si>
    <t>Personeel ruimte</t>
  </si>
  <si>
    <t>Flexplek</t>
  </si>
  <si>
    <t>Praktijklokaal metaal</t>
  </si>
  <si>
    <t>Kunstof/antislip. Deze ruimte vereist een aparte behandeling.</t>
  </si>
  <si>
    <t>CA</t>
  </si>
  <si>
    <t>Meterkast gas</t>
  </si>
  <si>
    <t>cementdekvloer</t>
  </si>
  <si>
    <t>CB</t>
  </si>
  <si>
    <t>Meterkast elektra</t>
  </si>
  <si>
    <t>CC</t>
  </si>
  <si>
    <t>Verwarmingsruimte</t>
  </si>
  <si>
    <t>CD</t>
  </si>
  <si>
    <t>CE</t>
  </si>
  <si>
    <t>CF</t>
  </si>
  <si>
    <t>CG</t>
  </si>
  <si>
    <t>CJ</t>
  </si>
  <si>
    <t>Koeling</t>
  </si>
  <si>
    <t>CK</t>
  </si>
  <si>
    <t>CL</t>
  </si>
  <si>
    <t>Verkleedruimte</t>
  </si>
  <si>
    <t>CM</t>
  </si>
  <si>
    <t>CN</t>
  </si>
  <si>
    <t>D4</t>
  </si>
  <si>
    <t>Docentenruimte gym</t>
  </si>
  <si>
    <t>D4A</t>
  </si>
  <si>
    <t>Doucheruimte</t>
  </si>
  <si>
    <t>Antislip-tegels</t>
  </si>
  <si>
    <t>Berging/luchtbehandeling</t>
  </si>
  <si>
    <t>Concierge</t>
  </si>
  <si>
    <t>DA</t>
  </si>
  <si>
    <t>Gietvloer/Betonverf?</t>
  </si>
  <si>
    <t>DB</t>
  </si>
  <si>
    <t>Douches+ opslagruimte</t>
  </si>
  <si>
    <t>DC</t>
  </si>
  <si>
    <t>Douches</t>
  </si>
  <si>
    <t>DD</t>
  </si>
  <si>
    <t>Gietvloer</t>
  </si>
  <si>
    <t>DE</t>
  </si>
  <si>
    <t>DF</t>
  </si>
  <si>
    <t>DG</t>
  </si>
  <si>
    <t>Berging gym</t>
  </si>
  <si>
    <t>G1</t>
  </si>
  <si>
    <t>G1a</t>
  </si>
  <si>
    <t>G2</t>
  </si>
  <si>
    <t>G3</t>
  </si>
  <si>
    <t>G4</t>
  </si>
  <si>
    <t>G4a</t>
  </si>
  <si>
    <t>Gymzaal D3</t>
  </si>
  <si>
    <t>Sportvloer</t>
  </si>
  <si>
    <t>rubber noppenprofiel</t>
  </si>
  <si>
    <t>A4</t>
  </si>
  <si>
    <t>A5</t>
  </si>
  <si>
    <t>A6</t>
  </si>
  <si>
    <t>A7</t>
  </si>
  <si>
    <t>Praktijklokaal textiel</t>
  </si>
  <si>
    <t>AD</t>
  </si>
  <si>
    <t>ADa</t>
  </si>
  <si>
    <t>ADb</t>
  </si>
  <si>
    <t>AF</t>
  </si>
  <si>
    <t>AG</t>
  </si>
  <si>
    <t>Toiletten/bergruimte</t>
  </si>
  <si>
    <t>AGa</t>
  </si>
  <si>
    <t>AGb</t>
  </si>
  <si>
    <t>AH</t>
  </si>
  <si>
    <t>Toiletten/opslag</t>
  </si>
  <si>
    <t>AHa</t>
  </si>
  <si>
    <t>AHb</t>
  </si>
  <si>
    <t>AJ</t>
  </si>
  <si>
    <t>Bergruimte textiel</t>
  </si>
  <si>
    <t>AJa</t>
  </si>
  <si>
    <t>ICT informatiekunde lok.</t>
  </si>
  <si>
    <t>ICT multimedia lokaal</t>
  </si>
  <si>
    <t>CO</t>
  </si>
  <si>
    <t>CQ</t>
  </si>
  <si>
    <t>CR</t>
  </si>
  <si>
    <t>CS</t>
  </si>
  <si>
    <t>CT</t>
  </si>
  <si>
    <t>Rubber noppenprofiel</t>
  </si>
  <si>
    <t>Vloeronderhoud</t>
  </si>
  <si>
    <t>Alle groen gearceerde velden dienen ingevuld te worden, overige cellen mogen niet gewijzigd worden</t>
  </si>
  <si>
    <t>Aan genoemde aantallen kunnen geen rechten worden ontleend. Werkzaamheden worden enkel in overleg met en na opdracht van Opdrachtgever uitgevoerd.</t>
  </si>
  <si>
    <t xml:space="preserve">Opdrachtgever heeft tijdens de gehele contractduur het recht frequenties en uitvoermomenten aan te passen of werkzaamheden aan derden uit te besteden. </t>
  </si>
  <si>
    <t>De opgegeven prijzen zijn tijdens de gehele contractduur van toepassing als all-in afroepprijs.</t>
  </si>
  <si>
    <t>Code Taak</t>
  </si>
  <si>
    <t>Werkzaamheden</t>
  </si>
  <si>
    <t>Prijs</t>
  </si>
  <si>
    <t>Omschrijving</t>
  </si>
  <si>
    <t>2024</t>
  </si>
  <si>
    <t>2025</t>
  </si>
  <si>
    <t>2026</t>
  </si>
  <si>
    <t>2027</t>
  </si>
  <si>
    <t>2028</t>
  </si>
  <si>
    <t>Sprayen/opblokken</t>
  </si>
  <si>
    <t>Prijs per m2 per beurt, incl. in- en uitruimen</t>
  </si>
  <si>
    <t>Topstrippen en conserveren</t>
  </si>
  <si>
    <t>Prijs per m2 per beurt, incl. in- en uitruimen, minimaal 2 lagen, kruislings</t>
  </si>
  <si>
    <t>Diepstrippen, sealen en conserveren</t>
  </si>
  <si>
    <t>Tapijtreinigen, sproei-extractiemethode</t>
  </si>
  <si>
    <t>Tapijtreinigen, poedermethode</t>
  </si>
  <si>
    <t>Schuren en lakken houten vloer</t>
  </si>
  <si>
    <t>Olieën houten vloer</t>
  </si>
  <si>
    <t>Handmatig schrobben en droogzuigen</t>
  </si>
  <si>
    <t>Machinaal schrobben en droogzuigen</t>
  </si>
  <si>
    <t>Natuursteen conserveren, bijv. marmer, travertin of leisteen</t>
  </si>
  <si>
    <t>Code Locatie</t>
  </si>
  <si>
    <t>Vloersoort</t>
  </si>
  <si>
    <t>Oppervlakte</t>
  </si>
  <si>
    <t>Frequentie (uitv./jaar)</t>
  </si>
  <si>
    <t>Kosten/jaar excl. BTW</t>
  </si>
  <si>
    <t>Totaal</t>
  </si>
  <si>
    <t>Glasbewassing</t>
  </si>
  <si>
    <t xml:space="preserve">Aan genoemde aantallen kunnen geen rechten worden ontleend. </t>
  </si>
  <si>
    <t>De opgegeven prijzen zijn tijdens de gehele contractduur van toepassing als afroepprijs.</t>
  </si>
  <si>
    <t>Code taak</t>
  </si>
  <si>
    <t>Glassoort/voorziening</t>
  </si>
  <si>
    <t>Prijs excl. BTW</t>
  </si>
  <si>
    <t>Eenheid</t>
  </si>
  <si>
    <t>Gevelglas binnenzijde</t>
  </si>
  <si>
    <t>Prijs per m2 per beurt</t>
  </si>
  <si>
    <t>Gevelglas buitenzijde</t>
  </si>
  <si>
    <t>Separatieglas (enkel gemeten, dubbel te wassen)</t>
  </si>
  <si>
    <t>Fietsenstalling</t>
  </si>
  <si>
    <t>Beplating wassen</t>
  </si>
  <si>
    <t>Lichtkoepels (enkel gemeten, dubbel te wassen)</t>
  </si>
  <si>
    <t>Overkapping</t>
  </si>
  <si>
    <t>Voorzetramen</t>
  </si>
  <si>
    <t>Glazen wandtuin</t>
  </si>
  <si>
    <t>H1</t>
  </si>
  <si>
    <t>Hoogwerker buiten max 12 meter</t>
  </si>
  <si>
    <t>Prijs per beurt</t>
  </si>
  <si>
    <t>H2</t>
  </si>
  <si>
    <t>Hoogwerker buiten max 16 meter</t>
  </si>
  <si>
    <t>H3</t>
  </si>
  <si>
    <t>Hoogwerker buiten max 20 meter</t>
  </si>
  <si>
    <t>H4</t>
  </si>
  <si>
    <t>Spinhoogwerker</t>
  </si>
  <si>
    <t>Oppervlakte of dagen</t>
  </si>
  <si>
    <t>Frequentie</t>
  </si>
  <si>
    <t>Kosten/jaar incl. BTW</t>
  </si>
  <si>
    <t>Extra Werkzaamheden</t>
  </si>
  <si>
    <t>Werkzaamheid</t>
  </si>
  <si>
    <t>Toelichting</t>
  </si>
  <si>
    <t>Prijs
Excl. BTW</t>
  </si>
  <si>
    <t>Frequentie (uitv. per jaar)</t>
  </si>
  <si>
    <t>Regie- en afroepwerkzaamheden</t>
  </si>
  <si>
    <t>Genoemde aantallen zijn fictief en dienen om een vergelijkingsprijs op te stellen</t>
  </si>
  <si>
    <t>* zie tabblad Werkprogramma voor definities</t>
  </si>
  <si>
    <t>Regie per uur</t>
  </si>
  <si>
    <t>Regiewerkzaamheden (schoonmaakonderhoud, ma-vr. tussen 6:00 en 21:30)</t>
  </si>
  <si>
    <t>Prijs per uur</t>
  </si>
  <si>
    <t>Specialistische regiewerkzaamheden  (ma-vr. tussen 6:00 en 21:30)</t>
  </si>
  <si>
    <t>Servicewerkzaamheden (eenvoudige facilitaire dienstverlening, gastheer/-vrouw etc, ma-vr. tussen 6:00 en 21:30)</t>
  </si>
  <si>
    <t>Cateringwerkzaamheden (ma-vr. tussen 6:00 en 21:30)</t>
  </si>
  <si>
    <t>Klein technisch onderhoud, verhelpen techische gebreken</t>
  </si>
  <si>
    <t>Calamiteitenservice inclusief materialen en middelen</t>
  </si>
  <si>
    <t>Wassen handdoeken</t>
  </si>
  <si>
    <t>Prijs per stuk</t>
  </si>
  <si>
    <t>Wassen theedoeken</t>
  </si>
  <si>
    <t>Prijs per stuk per beurt</t>
  </si>
  <si>
    <t>Vaatwasser inruimen, activeren en uitruimen</t>
  </si>
  <si>
    <t>Reinigen koelkast binnen- en buitenzijde</t>
  </si>
  <si>
    <t>prijs per stuk</t>
  </si>
  <si>
    <t>Reinigen van keukenkastjes binnen- en buitenzijde</t>
  </si>
  <si>
    <t>Reinigen van magnetron binnen- en buitenzijde</t>
  </si>
  <si>
    <t>Reinigen van koffieautomaat binnen- en buitenzijde</t>
  </si>
  <si>
    <t>Buiten</t>
  </si>
  <si>
    <t xml:space="preserve">Vegen van het buitenterrein </t>
  </si>
  <si>
    <t>prijs per m²</t>
  </si>
  <si>
    <t>Verwijderen kauwgom buitenterrein</t>
  </si>
  <si>
    <r>
      <t>Prijs per m</t>
    </r>
    <r>
      <rPr>
        <vertAlign val="superscript"/>
        <sz val="9"/>
        <rFont val="Verdana"/>
        <family val="2"/>
      </rPr>
      <t>2</t>
    </r>
  </si>
  <si>
    <t>Wanden en plafonds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</si>
  <si>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</si>
  <si>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</si>
  <si>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Volledig reinigen kunststofwanden (maximaal 6 meter hoog)</t>
  </si>
  <si>
    <t>Volledig reinigen tegelwanden (maximaal 6 meter hoog)</t>
  </si>
  <si>
    <t>Volledig reinigen geschilderde wanden (maximaal 6 meter hoog)</t>
  </si>
  <si>
    <t xml:space="preserve">Reinigen van plafonds </t>
  </si>
  <si>
    <t>Matten</t>
  </si>
  <si>
    <t>Schoonloopmat klein (85x150) incl. levering en tweewekelijks wisselen</t>
  </si>
  <si>
    <t>Prijs per stuk per jaar</t>
  </si>
  <si>
    <t>Schoonloopmat middel (115x150) incl. levering en tweewekelijks wisselen</t>
  </si>
  <si>
    <t>Schoonloopmat groot (150x200) incl. levering en tweewekelijks wisselen</t>
  </si>
  <si>
    <t>Textiel reinigen</t>
  </si>
  <si>
    <t>Reinigen van vitrage</t>
  </si>
  <si>
    <t>Reinigen van kunststoflamellen</t>
  </si>
  <si>
    <t>Reinigen van stoffenlamellen</t>
  </si>
  <si>
    <t>Reinigen van horizontale kunststoflamellen (luxaflex)</t>
  </si>
  <si>
    <t>Vlek verwijderen textiele bekleding zitvlak stoelen</t>
  </si>
  <si>
    <t>Dieptereiniging sanitair</t>
  </si>
  <si>
    <t xml:space="preserve">Het verwijderen van aanslag per unit incl. (de-)montage </t>
  </si>
  <si>
    <t>prijs per toiletunit*</t>
  </si>
  <si>
    <t>Het desinfecteren van alle sanitaire onderdelen</t>
  </si>
  <si>
    <t>prijs per toiletunit</t>
  </si>
  <si>
    <t>Fantomatten sanitaire ruimte</t>
  </si>
  <si>
    <t>Stoomreinigen sanitaire ruimte</t>
  </si>
  <si>
    <t>Totalisatie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</si>
  <si>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</si>
  <si>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Samenvatting schoonmaakonderhoud</t>
  </si>
  <si>
    <t>Oppervlakte i/o</t>
  </si>
  <si>
    <t>Uren / jaar</t>
  </si>
  <si>
    <t>Norm (m2/uur)</t>
  </si>
  <si>
    <t>Kosten / jaar
excl btw</t>
  </si>
  <si>
    <t>Kosten / m2</t>
  </si>
  <si>
    <t>Totalisatie (excl. BTW)</t>
  </si>
  <si>
    <t>Locaties</t>
  </si>
  <si>
    <t>Schoonmaakonderhoud
Kosten / jaar excl btw</t>
  </si>
  <si>
    <t>Vloeronderhoud
Kosten / jaar excl btw</t>
  </si>
  <si>
    <t>Glasbewassing
Kosten / jaar excl btw</t>
  </si>
  <si>
    <t>Extra Werkzaamheden
Kosten / jaar excl btw</t>
  </si>
  <si>
    <t>Totaalprijs
Kosten / jaar excl btw</t>
  </si>
  <si>
    <t>Rechtsgeldig ondertekening</t>
  </si>
  <si>
    <t>Naam Inschrijver:</t>
  </si>
  <si>
    <t>……………</t>
  </si>
  <si>
    <t>Plaats, datum</t>
  </si>
  <si>
    <t>Handtekening</t>
  </si>
  <si>
    <t>Bijlage 5 dient in Excel format te worden toegevoegd, deze pagina dient daarnaast rechtsgeldig ondertekend als PDF te worden toegevoegd.</t>
  </si>
  <si>
    <t>Dieptereiniging keukens</t>
  </si>
  <si>
    <t>Verlichtingsarmatuur en buizen &gt; 2.00 m inclusief eventueel benodigde bereikbaarheidsmateriaal</t>
  </si>
  <si>
    <t>Zwaluwenburg 8</t>
  </si>
  <si>
    <t>De Zwaluwenburg 8</t>
  </si>
  <si>
    <t>Zwaluwenburg 10</t>
  </si>
  <si>
    <t>Dienstverlening/keuken</t>
  </si>
  <si>
    <t>prijs per m2</t>
  </si>
  <si>
    <t>Aantal m2</t>
  </si>
  <si>
    <t>Stoomreinigen Stoelen</t>
  </si>
  <si>
    <t>Stoomreinigen Barkruk</t>
  </si>
  <si>
    <t>Stoomreinigen bank</t>
  </si>
  <si>
    <t>ruimtecode 11 en 15</t>
  </si>
  <si>
    <t>456504 Etty Hillesum Lyceum, Zwaluwenburg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</si>
</sst>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_(* #,##0_);_(* \(#,##0\);_(* &quot;-&quot;??_);_(@_)"/>
    <numFmt numFmtId="180" formatCode="#,##0.0"/>
    <numFmt numFmtId="181" formatCode="#,##0_ ;\-#,##0\ "/>
    <numFmt numFmtId="182" formatCode="#,##0.0_ ;\-#,##0.0\ "/>
    <numFmt numFmtId="183" formatCode="_ [$€-2]\ * #,##0.00_ ;_ [$€-2]\ * \-#,##0.00_ ;_ [$€-2]\ * &quot;-&quot;??_ ;_ @_ "/>
    <numFmt numFmtId="184" formatCode="dd\-mm\-yyyy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9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color rgb="FF222222"/>
      <name val="Arial"/>
      <family val="2"/>
    </font>
    <font>
      <sz val="9"/>
      <name val="Geneva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9"/>
      <color rgb="FFFFFFFF"/>
      <name val="Verdana"/>
      <family val="2"/>
    </font>
    <font>
      <sz val="9"/>
      <color rgb="FF36363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Verdana"/>
    </font>
    <font>
      <b/>
      <sz val="18"/>
      <color theme="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8">
    <xf numFmtId="0" fontId="0" fillId="0" borderId="0"/>
    <xf numFmtId="0" fontId="10" fillId="0" borderId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>
      <alignment horizontal="center" vertical="center" textRotation="90" wrapText="1"/>
    </xf>
    <xf numFmtId="0" fontId="12" fillId="2" borderId="1"/>
    <xf numFmtId="174" fontId="6" fillId="0" borderId="0"/>
    <xf numFmtId="0" fontId="13" fillId="0" borderId="0" applyNumberFormat="0" applyBorder="0">
      <protection locked="0"/>
    </xf>
    <xf numFmtId="0" fontId="14" fillId="0" borderId="0"/>
    <xf numFmtId="0" fontId="15" fillId="3" borderId="2" applyNumberFormat="0" applyFont="0" applyFill="0" applyBorder="0" applyAlignment="0">
      <alignment horizontal="right"/>
    </xf>
    <xf numFmtId="0" fontId="12" fillId="4" borderId="3" applyNumberFormat="0" applyFont="0" applyBorder="0">
      <alignment horizontal="center"/>
    </xf>
    <xf numFmtId="0" fontId="8" fillId="0" borderId="0"/>
    <xf numFmtId="0" fontId="19" fillId="0" borderId="0"/>
    <xf numFmtId="0" fontId="2" fillId="0" borderId="0"/>
    <xf numFmtId="167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1" fillId="0" borderId="0"/>
    <xf numFmtId="44" fontId="43" fillId="0" borderId="0" applyFont="0" applyFill="0" applyBorder="0" applyAlignment="0" applyProtection="0"/>
  </cellStyleXfs>
  <cellXfs count="326">
    <xf numFmtId="0" fontId="0" fillId="0" borderId="0" xfId="0"/>
    <xf numFmtId="0" fontId="22" fillId="0" borderId="0" xfId="0" applyFont="1" applyAlignment="1">
      <alignment horizontal="center"/>
    </xf>
    <xf numFmtId="0" fontId="22" fillId="0" borderId="0" xfId="0" applyFont="1"/>
    <xf numFmtId="0" fontId="28" fillId="0" borderId="0" xfId="29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30" applyFont="1" applyAlignment="1">
      <alignment vertical="center"/>
    </xf>
    <xf numFmtId="164" fontId="22" fillId="5" borderId="9" xfId="0" applyNumberFormat="1" applyFont="1" applyFill="1" applyBorder="1" applyAlignment="1">
      <alignment horizontal="left" vertical="center"/>
    </xf>
    <xf numFmtId="10" fontId="22" fillId="5" borderId="9" xfId="0" applyNumberFormat="1" applyFont="1" applyFill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 applyProtection="1">
      <alignment vertical="center"/>
      <protection locked="0"/>
    </xf>
    <xf numFmtId="173" fontId="22" fillId="0" borderId="9" xfId="2" applyNumberFormat="1" applyFont="1" applyBorder="1" applyAlignment="1" applyProtection="1">
      <alignment horizontal="left" vertical="center"/>
      <protection hidden="1"/>
    </xf>
    <xf numFmtId="0" fontId="22" fillId="0" borderId="9" xfId="0" applyFont="1" applyBorder="1" applyAlignment="1">
      <alignment horizontal="left" vertical="center"/>
    </xf>
    <xf numFmtId="0" fontId="22" fillId="0" borderId="0" xfId="30" applyFont="1" applyAlignment="1">
      <alignment vertical="center" wrapText="1"/>
    </xf>
    <xf numFmtId="0" fontId="22" fillId="0" borderId="0" xfId="3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2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8" applyFont="1" applyAlignment="1">
      <alignment vertical="center"/>
    </xf>
    <xf numFmtId="0" fontId="24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left" vertical="center"/>
    </xf>
    <xf numFmtId="164" fontId="22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2" fillId="0" borderId="0" xfId="8" applyNumberFormat="1" applyFont="1" applyAlignment="1">
      <alignment vertical="center"/>
    </xf>
    <xf numFmtId="0" fontId="29" fillId="0" borderId="0" xfId="29" applyFont="1"/>
    <xf numFmtId="0" fontId="28" fillId="0" borderId="0" xfId="29" applyFont="1" applyAlignment="1">
      <alignment horizontal="center" vertical="center"/>
    </xf>
    <xf numFmtId="173" fontId="32" fillId="9" borderId="13" xfId="0" applyNumberFormat="1" applyFont="1" applyFill="1" applyBorder="1" applyAlignment="1">
      <alignment horizontal="center" vertical="center" wrapText="1"/>
    </xf>
    <xf numFmtId="1" fontId="33" fillId="8" borderId="0" xfId="30" applyNumberFormat="1" applyFont="1" applyFill="1" applyAlignment="1">
      <alignment horizontal="center" vertical="center"/>
    </xf>
    <xf numFmtId="0" fontId="33" fillId="8" borderId="0" xfId="30" applyFont="1" applyFill="1" applyAlignment="1">
      <alignment horizontal="left" vertical="center"/>
    </xf>
    <xf numFmtId="1" fontId="33" fillId="7" borderId="0" xfId="30" applyNumberFormat="1" applyFont="1" applyFill="1" applyAlignment="1">
      <alignment horizontal="center" vertical="center"/>
    </xf>
    <xf numFmtId="0" fontId="33" fillId="7" borderId="0" xfId="30" applyFont="1" applyFill="1" applyAlignment="1">
      <alignment horizontal="left" vertical="center"/>
    </xf>
    <xf numFmtId="0" fontId="32" fillId="9" borderId="0" xfId="0" applyFont="1" applyFill="1" applyAlignment="1">
      <alignment horizontal="center" vertical="center" wrapText="1"/>
    </xf>
    <xf numFmtId="0" fontId="32" fillId="9" borderId="0" xfId="0" applyFont="1" applyFill="1" applyAlignment="1">
      <alignment vertical="center" wrapText="1"/>
    </xf>
    <xf numFmtId="164" fontId="32" fillId="9" borderId="0" xfId="0" applyNumberFormat="1" applyFont="1" applyFill="1" applyAlignment="1">
      <alignment horizontal="center" vertical="center" wrapText="1"/>
    </xf>
    <xf numFmtId="164" fontId="33" fillId="5" borderId="0" xfId="0" applyNumberFormat="1" applyFont="1" applyFill="1" applyAlignment="1">
      <alignment horizontal="center" vertical="center"/>
    </xf>
    <xf numFmtId="4" fontId="32" fillId="9" borderId="0" xfId="0" applyNumberFormat="1" applyFont="1" applyFill="1" applyAlignment="1">
      <alignment horizontal="center" vertical="center" wrapText="1"/>
    </xf>
    <xf numFmtId="164" fontId="32" fillId="9" borderId="0" xfId="8" applyFont="1" applyFill="1" applyBorder="1" applyAlignment="1">
      <alignment horizontal="center" vertical="center" wrapText="1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22" fillId="6" borderId="0" xfId="0" applyFont="1" applyFill="1" applyAlignment="1">
      <alignment wrapText="1"/>
    </xf>
    <xf numFmtId="0" fontId="22" fillId="0" borderId="0" xfId="0" applyFont="1" applyAlignment="1">
      <alignment horizontal="center" vertical="center" textRotation="90"/>
    </xf>
    <xf numFmtId="0" fontId="22" fillId="0" borderId="9" xfId="0" applyFont="1" applyBorder="1" applyAlignment="1">
      <alignment horizontal="center" vertical="center" textRotation="90"/>
    </xf>
    <xf numFmtId="0" fontId="30" fillId="0" borderId="0" xfId="3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textRotation="90" wrapText="1"/>
    </xf>
    <xf numFmtId="173" fontId="22" fillId="5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vertical="center"/>
    </xf>
    <xf numFmtId="168" fontId="22" fillId="0" borderId="0" xfId="19" applyFont="1" applyFill="1" applyBorder="1" applyAlignment="1">
      <alignment horizontal="center" vertical="center" wrapText="1"/>
    </xf>
    <xf numFmtId="173" fontId="22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vertical="center" wrapText="1"/>
    </xf>
    <xf numFmtId="2" fontId="22" fillId="6" borderId="0" xfId="0" applyNumberFormat="1" applyFont="1" applyFill="1"/>
    <xf numFmtId="2" fontId="24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36" fillId="6" borderId="10" xfId="30" applyFont="1" applyFill="1" applyBorder="1" applyAlignment="1">
      <alignment vertical="center" wrapText="1"/>
    </xf>
    <xf numFmtId="0" fontId="32" fillId="10" borderId="9" xfId="0" applyFont="1" applyFill="1" applyBorder="1" applyAlignment="1">
      <alignment horizontal="center" vertical="center" wrapText="1"/>
    </xf>
    <xf numFmtId="170" fontId="32" fillId="10" borderId="9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22" fillId="0" borderId="0" xfId="30" applyFont="1" applyAlignment="1">
      <alignment horizontal="center" vertical="center" wrapText="1"/>
    </xf>
    <xf numFmtId="0" fontId="24" fillId="6" borderId="0" xfId="0" applyFont="1" applyFill="1" applyAlignment="1">
      <alignment horizontal="left" vertical="center"/>
    </xf>
    <xf numFmtId="2" fontId="24" fillId="5" borderId="0" xfId="0" applyNumberFormat="1" applyFont="1" applyFill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6" borderId="0" xfId="0" applyNumberFormat="1" applyFont="1" applyFill="1" applyAlignment="1">
      <alignment horizontal="center" vertical="center"/>
    </xf>
    <xf numFmtId="0" fontId="23" fillId="0" borderId="0" xfId="30" applyFont="1" applyAlignment="1">
      <alignment horizontal="center" vertical="center"/>
    </xf>
    <xf numFmtId="9" fontId="24" fillId="5" borderId="0" xfId="38" applyFont="1" applyFill="1" applyBorder="1" applyAlignment="1">
      <alignment horizontal="center" vertical="center"/>
    </xf>
    <xf numFmtId="2" fontId="22" fillId="6" borderId="0" xfId="0" applyNumberFormat="1" applyFont="1" applyFill="1" applyAlignment="1">
      <alignment vertical="center"/>
    </xf>
    <xf numFmtId="17" fontId="22" fillId="6" borderId="0" xfId="0" applyNumberFormat="1" applyFont="1" applyFill="1" applyAlignment="1">
      <alignment horizontal="center" vertical="center"/>
    </xf>
    <xf numFmtId="177" fontId="22" fillId="6" borderId="0" xfId="0" applyNumberFormat="1" applyFont="1" applyFill="1" applyAlignment="1">
      <alignment vertical="center"/>
    </xf>
    <xf numFmtId="177" fontId="22" fillId="6" borderId="0" xfId="0" applyNumberFormat="1" applyFont="1" applyFill="1" applyAlignment="1">
      <alignment horizontal="center" vertical="center"/>
    </xf>
    <xf numFmtId="178" fontId="22" fillId="0" borderId="0" xfId="0" applyNumberFormat="1" applyFont="1" applyAlignment="1">
      <alignment vertical="center"/>
    </xf>
    <xf numFmtId="0" fontId="22" fillId="0" borderId="0" xfId="0" applyFont="1" applyAlignment="1" applyProtection="1">
      <alignment horizontal="center" vertical="center"/>
      <protection hidden="1"/>
    </xf>
    <xf numFmtId="1" fontId="22" fillId="0" borderId="0" xfId="0" applyNumberFormat="1" applyFont="1" applyAlignment="1">
      <alignment horizontal="center" vertical="center"/>
    </xf>
    <xf numFmtId="179" fontId="22" fillId="0" borderId="0" xfId="19" applyNumberFormat="1" applyFont="1" applyFill="1" applyBorder="1" applyAlignment="1" applyProtection="1">
      <alignment horizontal="center" vertical="center"/>
      <protection hidden="1"/>
    </xf>
    <xf numFmtId="2" fontId="22" fillId="0" borderId="0" xfId="0" applyNumberFormat="1" applyFont="1" applyAlignment="1" applyProtection="1">
      <alignment horizontal="center" vertical="center"/>
      <protection hidden="1"/>
    </xf>
    <xf numFmtId="164" fontId="22" fillId="0" borderId="0" xfId="0" applyNumberFormat="1" applyFont="1" applyAlignment="1" applyProtection="1">
      <alignment horizontal="right" vertical="center"/>
      <protection hidden="1"/>
    </xf>
    <xf numFmtId="169" fontId="22" fillId="0" borderId="0" xfId="0" applyNumberFormat="1" applyFont="1" applyAlignment="1" applyProtection="1">
      <alignment horizontal="center" vertical="center"/>
      <protection hidden="1"/>
    </xf>
    <xf numFmtId="168" fontId="22" fillId="0" borderId="0" xfId="19" applyFont="1" applyFill="1" applyBorder="1" applyAlignment="1" applyProtection="1">
      <alignment horizontal="right" vertical="center"/>
      <protection hidden="1"/>
    </xf>
    <xf numFmtId="164" fontId="22" fillId="0" borderId="0" xfId="0" applyNumberFormat="1" applyFont="1" applyAlignment="1">
      <alignment vertical="center"/>
    </xf>
    <xf numFmtId="2" fontId="22" fillId="6" borderId="0" xfId="0" applyNumberFormat="1" applyFont="1" applyFill="1" applyAlignment="1" applyProtection="1">
      <alignment vertical="center"/>
      <protection hidden="1"/>
    </xf>
    <xf numFmtId="178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169" fontId="22" fillId="0" borderId="0" xfId="0" applyNumberFormat="1" applyFont="1" applyAlignment="1" applyProtection="1">
      <alignment vertical="center"/>
      <protection hidden="1"/>
    </xf>
    <xf numFmtId="2" fontId="22" fillId="0" borderId="0" xfId="0" applyNumberFormat="1" applyFont="1" applyAlignment="1" applyProtection="1">
      <alignment vertical="center"/>
      <protection hidden="1"/>
    </xf>
    <xf numFmtId="168" fontId="22" fillId="0" borderId="0" xfId="19" applyFont="1" applyFill="1" applyBorder="1" applyAlignment="1">
      <alignment vertical="center"/>
    </xf>
    <xf numFmtId="173" fontId="22" fillId="0" borderId="0" xfId="0" applyNumberFormat="1" applyFont="1" applyAlignment="1">
      <alignment vertical="center"/>
    </xf>
    <xf numFmtId="0" fontId="31" fillId="9" borderId="17" xfId="0" applyFont="1" applyFill="1" applyBorder="1" applyAlignment="1">
      <alignment horizontal="center" vertical="center" wrapText="1"/>
    </xf>
    <xf numFmtId="9" fontId="37" fillId="5" borderId="20" xfId="38" applyFont="1" applyFill="1" applyBorder="1" applyAlignment="1">
      <alignment horizontal="center" vertical="center"/>
    </xf>
    <xf numFmtId="2" fontId="31" fillId="0" borderId="15" xfId="0" applyNumberFormat="1" applyFont="1" applyBorder="1" applyAlignment="1">
      <alignment vertical="center" wrapText="1"/>
    </xf>
    <xf numFmtId="2" fontId="31" fillId="0" borderId="16" xfId="0" applyNumberFormat="1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169" fontId="22" fillId="0" borderId="0" xfId="0" applyNumberFormat="1" applyFont="1" applyAlignment="1">
      <alignment vertical="center"/>
    </xf>
    <xf numFmtId="0" fontId="33" fillId="0" borderId="19" xfId="30" applyFont="1" applyBorder="1" applyAlignment="1">
      <alignment vertical="center"/>
    </xf>
    <xf numFmtId="0" fontId="33" fillId="0" borderId="18" xfId="30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wrapText="1"/>
    </xf>
    <xf numFmtId="169" fontId="22" fillId="6" borderId="0" xfId="0" applyNumberFormat="1" applyFont="1" applyFill="1"/>
    <xf numFmtId="0" fontId="24" fillId="6" borderId="0" xfId="0" applyFont="1" applyFill="1" applyAlignment="1">
      <alignment horizont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173" fontId="25" fillId="0" borderId="0" xfId="0" applyNumberFormat="1" applyFont="1" applyAlignment="1">
      <alignment horizontal="left" vertical="center"/>
    </xf>
    <xf numFmtId="173" fontId="22" fillId="6" borderId="0" xfId="0" applyNumberFormat="1" applyFont="1" applyFill="1" applyAlignment="1">
      <alignment horizontal="center" vertical="center"/>
    </xf>
    <xf numFmtId="173" fontId="32" fillId="9" borderId="0" xfId="8" applyNumberFormat="1" applyFont="1" applyFill="1" applyBorder="1" applyAlignment="1">
      <alignment horizontal="center" vertical="center" wrapText="1"/>
    </xf>
    <xf numFmtId="4" fontId="32" fillId="9" borderId="5" xfId="0" applyNumberFormat="1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vertical="center" wrapText="1"/>
    </xf>
    <xf numFmtId="168" fontId="32" fillId="9" borderId="9" xfId="19" applyFont="1" applyFill="1" applyBorder="1" applyAlignment="1">
      <alignment horizontal="center" vertical="center" wrapText="1"/>
    </xf>
    <xf numFmtId="173" fontId="32" fillId="9" borderId="9" xfId="0" applyNumberFormat="1" applyFont="1" applyFill="1" applyBorder="1" applyAlignment="1">
      <alignment horizontal="center" vertical="center" wrapText="1"/>
    </xf>
    <xf numFmtId="0" fontId="28" fillId="0" borderId="0" xfId="29" applyFont="1" applyAlignment="1">
      <alignment horizontal="center"/>
    </xf>
    <xf numFmtId="0" fontId="33" fillId="7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vertical="center"/>
    </xf>
    <xf numFmtId="183" fontId="22" fillId="7" borderId="9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vertical="center"/>
    </xf>
    <xf numFmtId="0" fontId="22" fillId="7" borderId="4" xfId="0" applyFont="1" applyFill="1" applyBorder="1" applyAlignment="1">
      <alignment vertical="center"/>
    </xf>
    <xf numFmtId="0" fontId="22" fillId="7" borderId="14" xfId="0" applyFont="1" applyFill="1" applyBorder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33" fillId="0" borderId="0" xfId="0" applyFont="1"/>
    <xf numFmtId="173" fontId="37" fillId="13" borderId="9" xfId="0" applyNumberFormat="1" applyFont="1" applyFill="1" applyBorder="1" applyAlignment="1">
      <alignment vertical="center"/>
    </xf>
    <xf numFmtId="170" fontId="33" fillId="13" borderId="9" xfId="0" applyNumberFormat="1" applyFont="1" applyFill="1" applyBorder="1" applyAlignment="1">
      <alignment horizontal="center" vertical="center"/>
    </xf>
    <xf numFmtId="171" fontId="33" fillId="13" borderId="9" xfId="2" applyFont="1" applyFill="1" applyBorder="1" applyAlignment="1" applyProtection="1">
      <alignment horizontal="left" vertical="center"/>
      <protection locked="0"/>
    </xf>
    <xf numFmtId="172" fontId="33" fillId="13" borderId="9" xfId="31" applyNumberFormat="1" applyFont="1" applyFill="1" applyBorder="1" applyAlignment="1" applyProtection="1">
      <alignment horizontal="left" vertical="center"/>
      <protection hidden="1"/>
    </xf>
    <xf numFmtId="170" fontId="33" fillId="13" borderId="9" xfId="0" applyNumberFormat="1" applyFont="1" applyFill="1" applyBorder="1" applyAlignment="1" applyProtection="1">
      <alignment horizontal="center" vertical="center"/>
      <protection locked="0"/>
    </xf>
    <xf numFmtId="172" fontId="33" fillId="13" borderId="9" xfId="2" applyNumberFormat="1" applyFont="1" applyFill="1" applyBorder="1" applyAlignment="1" applyProtection="1">
      <alignment horizontal="left" vertical="center"/>
      <protection hidden="1"/>
    </xf>
    <xf numFmtId="0" fontId="38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39" fillId="13" borderId="9" xfId="0" applyFont="1" applyFill="1" applyBorder="1" applyAlignment="1">
      <alignment horizontal="center" vertical="center"/>
    </xf>
    <xf numFmtId="0" fontId="39" fillId="13" borderId="9" xfId="0" applyFont="1" applyFill="1" applyBorder="1" applyAlignment="1">
      <alignment vertical="center"/>
    </xf>
    <xf numFmtId="173" fontId="39" fillId="13" borderId="9" xfId="0" applyNumberFormat="1" applyFont="1" applyFill="1" applyBorder="1" applyAlignment="1">
      <alignment vertical="center"/>
    </xf>
    <xf numFmtId="0" fontId="33" fillId="0" borderId="0" xfId="0" applyFont="1" applyAlignment="1">
      <alignment horizontal="left" vertical="center"/>
    </xf>
    <xf numFmtId="3" fontId="3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164" fontId="22" fillId="0" borderId="0" xfId="8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32" fillId="9" borderId="0" xfId="0" applyNumberFormat="1" applyFont="1" applyFill="1" applyAlignment="1">
      <alignment horizontal="right" vertical="center" wrapText="1"/>
    </xf>
    <xf numFmtId="4" fontId="33" fillId="0" borderId="0" xfId="0" applyNumberFormat="1" applyFont="1" applyAlignment="1">
      <alignment horizontal="right" vertical="center"/>
    </xf>
    <xf numFmtId="0" fontId="40" fillId="0" borderId="0" xfId="0" applyFont="1"/>
    <xf numFmtId="4" fontId="33" fillId="0" borderId="0" xfId="0" applyNumberFormat="1" applyFont="1" applyAlignment="1">
      <alignment horizontal="center" vertical="center"/>
    </xf>
    <xf numFmtId="173" fontId="28" fillId="0" borderId="0" xfId="29" applyNumberFormat="1" applyFont="1"/>
    <xf numFmtId="0" fontId="22" fillId="0" borderId="9" xfId="0" applyFont="1" applyBorder="1" applyAlignment="1">
      <alignment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33" fillId="12" borderId="0" xfId="0" applyFont="1" applyFill="1" applyAlignment="1">
      <alignment horizontal="right" vertical="center"/>
    </xf>
    <xf numFmtId="173" fontId="33" fillId="12" borderId="0" xfId="0" applyNumberFormat="1" applyFont="1" applyFill="1" applyAlignment="1">
      <alignment horizontal="center" vertical="center"/>
    </xf>
    <xf numFmtId="0" fontId="31" fillId="10" borderId="9" xfId="0" applyFont="1" applyFill="1" applyBorder="1" applyAlignment="1">
      <alignment vertical="center" wrapText="1"/>
    </xf>
    <xf numFmtId="9" fontId="22" fillId="0" borderId="9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70" fontId="22" fillId="0" borderId="0" xfId="0" applyNumberFormat="1" applyFont="1" applyAlignment="1">
      <alignment vertical="center"/>
    </xf>
    <xf numFmtId="172" fontId="22" fillId="0" borderId="9" xfId="31" applyNumberFormat="1" applyFont="1" applyBorder="1" applyAlignment="1" applyProtection="1">
      <alignment horizontal="left" vertical="center"/>
      <protection hidden="1"/>
    </xf>
    <xf numFmtId="183" fontId="22" fillId="0" borderId="9" xfId="0" applyNumberFormat="1" applyFont="1" applyBorder="1" applyAlignment="1">
      <alignment vertical="center"/>
    </xf>
    <xf numFmtId="9" fontId="22" fillId="0" borderId="9" xfId="44" applyFont="1" applyBorder="1" applyAlignment="1">
      <alignment vertical="center"/>
    </xf>
    <xf numFmtId="170" fontId="22" fillId="0" borderId="0" xfId="0" applyNumberFormat="1" applyFont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horizontal="left" vertical="center"/>
      <protection hidden="1"/>
    </xf>
    <xf numFmtId="170" fontId="22" fillId="0" borderId="9" xfId="0" applyNumberFormat="1" applyFont="1" applyBorder="1" applyAlignment="1">
      <alignment horizontal="center" vertical="center"/>
    </xf>
    <xf numFmtId="44" fontId="22" fillId="5" borderId="9" xfId="45" applyFont="1" applyFill="1" applyBorder="1" applyAlignment="1">
      <alignment horizontal="center" vertical="center"/>
    </xf>
    <xf numFmtId="171" fontId="22" fillId="0" borderId="9" xfId="0" applyNumberFormat="1" applyFont="1" applyBorder="1" applyAlignment="1">
      <alignment vertical="center"/>
    </xf>
    <xf numFmtId="171" fontId="22" fillId="0" borderId="9" xfId="2" applyFont="1" applyBorder="1" applyAlignment="1" applyProtection="1">
      <alignment horizontal="left" vertical="center"/>
      <protection locked="0"/>
    </xf>
    <xf numFmtId="170" fontId="22" fillId="0" borderId="0" xfId="0" applyNumberFormat="1" applyFont="1" applyAlignment="1">
      <alignment horizontal="center" vertical="center"/>
    </xf>
    <xf numFmtId="172" fontId="22" fillId="0" borderId="0" xfId="31" applyNumberFormat="1" applyFont="1" applyAlignment="1" applyProtection="1">
      <alignment horizontal="left" vertical="center"/>
      <protection hidden="1"/>
    </xf>
    <xf numFmtId="170" fontId="22" fillId="0" borderId="9" xfId="44" applyNumberFormat="1" applyFont="1" applyFill="1" applyBorder="1" applyAlignment="1">
      <alignment horizontal="center" vertical="center"/>
    </xf>
    <xf numFmtId="171" fontId="22" fillId="0" borderId="0" xfId="2" applyFont="1" applyAlignment="1" applyProtection="1">
      <alignment horizontal="left" vertical="center"/>
      <protection locked="0"/>
    </xf>
    <xf numFmtId="10" fontId="32" fillId="10" borderId="9" xfId="0" applyNumberFormat="1" applyFont="1" applyFill="1" applyBorder="1" applyAlignment="1">
      <alignment horizontal="center" vertical="center" wrapText="1"/>
    </xf>
    <xf numFmtId="44" fontId="33" fillId="0" borderId="20" xfId="45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73" fontId="33" fillId="0" borderId="0" xfId="0" applyNumberFormat="1" applyFont="1" applyAlignment="1">
      <alignment horizontal="center" vertical="center"/>
    </xf>
    <xf numFmtId="0" fontId="33" fillId="13" borderId="0" xfId="0" applyFont="1" applyFill="1" applyAlignment="1">
      <alignment horizontal="left" vertical="center" wrapText="1"/>
    </xf>
    <xf numFmtId="44" fontId="22" fillId="0" borderId="20" xfId="45" applyFont="1" applyFill="1" applyBorder="1" applyAlignment="1">
      <alignment horizontal="left" vertical="center"/>
    </xf>
    <xf numFmtId="44" fontId="22" fillId="0" borderId="20" xfId="0" applyNumberFormat="1" applyFont="1" applyBorder="1" applyAlignment="1">
      <alignment horizontal="left" vertical="center"/>
    </xf>
    <xf numFmtId="173" fontId="22" fillId="0" borderId="0" xfId="0" applyNumberFormat="1" applyFont="1" applyAlignment="1">
      <alignment horizontal="left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42" applyAlignment="1">
      <alignment wrapText="1"/>
    </xf>
    <xf numFmtId="0" fontId="2" fillId="0" borderId="9" xfId="46" applyFont="1" applyBorder="1" applyAlignment="1">
      <alignment horizontal="left" vertical="center" wrapText="1"/>
    </xf>
    <xf numFmtId="49" fontId="42" fillId="0" borderId="9" xfId="46" applyNumberFormat="1" applyFont="1" applyBorder="1" applyAlignment="1" applyProtection="1">
      <alignment horizontal="left" vertical="center" wrapText="1"/>
      <protection hidden="1"/>
    </xf>
    <xf numFmtId="0" fontId="2" fillId="6" borderId="9" xfId="46" applyFont="1" applyFill="1" applyBorder="1" applyAlignment="1">
      <alignment horizontal="left" vertical="center" wrapText="1"/>
    </xf>
    <xf numFmtId="49" fontId="42" fillId="6" borderId="9" xfId="46" applyNumberFormat="1" applyFont="1" applyFill="1" applyBorder="1" applyAlignment="1" applyProtection="1">
      <alignment horizontal="left" vertical="center" wrapText="1"/>
      <protection hidden="1"/>
    </xf>
    <xf numFmtId="0" fontId="42" fillId="0" borderId="9" xfId="46" applyFont="1" applyBorder="1" applyAlignment="1">
      <alignment horizontal="left" vertical="center" wrapText="1"/>
    </xf>
    <xf numFmtId="0" fontId="2" fillId="0" borderId="0" xfId="42" applyAlignment="1">
      <alignment horizontal="left" vertical="center" wrapText="1"/>
    </xf>
    <xf numFmtId="0" fontId="22" fillId="0" borderId="5" xfId="30" applyFont="1" applyBorder="1" applyAlignment="1">
      <alignment vertical="center"/>
    </xf>
    <xf numFmtId="0" fontId="22" fillId="6" borderId="5" xfId="30" applyFont="1" applyFill="1" applyBorder="1" applyAlignment="1">
      <alignment vertical="center"/>
    </xf>
    <xf numFmtId="0" fontId="22" fillId="0" borderId="10" xfId="30" applyFont="1" applyBorder="1" applyAlignment="1">
      <alignment vertical="center"/>
    </xf>
    <xf numFmtId="180" fontId="33" fillId="0" borderId="0" xfId="0" applyNumberFormat="1" applyFont="1" applyAlignment="1">
      <alignment horizontal="center" vertical="center"/>
    </xf>
    <xf numFmtId="4" fontId="38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4" fontId="33" fillId="0" borderId="24" xfId="45" applyFont="1" applyFill="1" applyBorder="1" applyAlignment="1">
      <alignment horizontal="left" vertical="center"/>
    </xf>
    <xf numFmtId="0" fontId="31" fillId="9" borderId="0" xfId="0" applyFont="1" applyFill="1" applyAlignment="1">
      <alignment horizontal="center" vertical="center" wrapText="1"/>
    </xf>
    <xf numFmtId="4" fontId="31" fillId="9" borderId="0" xfId="0" applyNumberFormat="1" applyFont="1" applyFill="1" applyAlignment="1">
      <alignment horizontal="center" vertical="center" wrapText="1"/>
    </xf>
    <xf numFmtId="164" fontId="31" fillId="9" borderId="0" xfId="40" applyFont="1" applyFill="1" applyAlignment="1">
      <alignment horizontal="center" vertical="center" wrapText="1"/>
    </xf>
    <xf numFmtId="4" fontId="31" fillId="9" borderId="5" xfId="40" applyNumberFormat="1" applyFont="1" applyFill="1" applyBorder="1" applyAlignment="1">
      <alignment horizontal="center" vertical="center" wrapText="1"/>
    </xf>
    <xf numFmtId="4" fontId="31" fillId="9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3" fillId="5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left" vertical="center"/>
    </xf>
    <xf numFmtId="0" fontId="33" fillId="11" borderId="0" xfId="0" applyFont="1" applyFill="1" applyAlignment="1">
      <alignment vertical="center"/>
    </xf>
    <xf numFmtId="173" fontId="33" fillId="11" borderId="0" xfId="0" applyNumberFormat="1" applyFont="1" applyFill="1" applyAlignment="1">
      <alignment horizontal="center" vertical="center"/>
    </xf>
    <xf numFmtId="0" fontId="46" fillId="15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right" vertical="center"/>
    </xf>
    <xf numFmtId="184" fontId="47" fillId="16" borderId="9" xfId="0" applyNumberFormat="1" applyFont="1" applyFill="1" applyBorder="1" applyAlignment="1">
      <alignment horizontal="right" vertical="center"/>
    </xf>
    <xf numFmtId="0" fontId="47" fillId="16" borderId="9" xfId="0" applyFont="1" applyFill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8" fillId="0" borderId="9" xfId="0" applyFont="1" applyBorder="1"/>
    <xf numFmtId="4" fontId="47" fillId="16" borderId="9" xfId="0" applyNumberFormat="1" applyFont="1" applyFill="1" applyBorder="1" applyAlignment="1">
      <alignment horizontal="right" vertical="center"/>
    </xf>
    <xf numFmtId="0" fontId="48" fillId="0" borderId="9" xfId="0" applyFont="1" applyBorder="1" applyAlignment="1">
      <alignment horizontal="center"/>
    </xf>
    <xf numFmtId="0" fontId="48" fillId="0" borderId="9" xfId="0" applyFont="1" applyBorder="1" applyAlignment="1">
      <alignment horizontal="center" vertical="center"/>
    </xf>
    <xf numFmtId="0" fontId="48" fillId="0" borderId="9" xfId="0" applyFont="1" applyBorder="1" applyAlignment="1">
      <alignment horizontal="left" vertical="center"/>
    </xf>
    <xf numFmtId="0" fontId="49" fillId="0" borderId="9" xfId="0" applyFont="1" applyBorder="1" applyAlignment="1">
      <alignment horizontal="left" vertical="center"/>
    </xf>
    <xf numFmtId="0" fontId="48" fillId="16" borderId="9" xfId="0" applyFont="1" applyFill="1" applyBorder="1" applyAlignment="1">
      <alignment horizontal="left" vertical="center"/>
    </xf>
    <xf numFmtId="0" fontId="33" fillId="0" borderId="0" xfId="0" applyFont="1" applyAlignment="1">
      <alignment horizontal="center"/>
    </xf>
    <xf numFmtId="44" fontId="47" fillId="16" borderId="9" xfId="47" applyFont="1" applyFill="1" applyBorder="1" applyAlignment="1">
      <alignment horizontal="right" vertical="center"/>
    </xf>
    <xf numFmtId="44" fontId="48" fillId="0" borderId="9" xfId="47" applyFont="1" applyBorder="1" applyAlignment="1">
      <alignment horizontal="center" vertical="center"/>
    </xf>
    <xf numFmtId="14" fontId="48" fillId="0" borderId="9" xfId="0" applyNumberFormat="1" applyFont="1" applyBorder="1" applyAlignment="1">
      <alignment horizontal="center" vertical="center"/>
    </xf>
    <xf numFmtId="181" fontId="39" fillId="13" borderId="9" xfId="0" applyNumberFormat="1" applyFont="1" applyFill="1" applyBorder="1" applyAlignment="1">
      <alignment vertical="center"/>
    </xf>
    <xf numFmtId="182" fontId="39" fillId="13" borderId="9" xfId="0" applyNumberFormat="1" applyFont="1" applyFill="1" applyBorder="1" applyAlignment="1">
      <alignment vertical="center"/>
    </xf>
    <xf numFmtId="173" fontId="39" fillId="13" borderId="0" xfId="0" applyNumberFormat="1" applyFont="1" applyFill="1" applyAlignment="1">
      <alignment vertical="center"/>
    </xf>
    <xf numFmtId="0" fontId="33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3" fontId="33" fillId="0" borderId="9" xfId="0" applyNumberFormat="1" applyFont="1" applyBorder="1" applyAlignment="1">
      <alignment vertical="center"/>
    </xf>
    <xf numFmtId="180" fontId="33" fillId="0" borderId="9" xfId="0" applyNumberFormat="1" applyFont="1" applyBorder="1" applyAlignment="1">
      <alignment vertical="center"/>
    </xf>
    <xf numFmtId="1" fontId="33" fillId="0" borderId="9" xfId="0" applyNumberFormat="1" applyFont="1" applyBorder="1" applyAlignment="1">
      <alignment vertical="center"/>
    </xf>
    <xf numFmtId="173" fontId="33" fillId="0" borderId="9" xfId="0" applyNumberFormat="1" applyFont="1" applyBorder="1" applyAlignment="1">
      <alignment vertical="center"/>
    </xf>
    <xf numFmtId="173" fontId="33" fillId="0" borderId="14" xfId="0" applyNumberFormat="1" applyFont="1" applyBorder="1" applyAlignment="1">
      <alignment vertical="center"/>
    </xf>
    <xf numFmtId="173" fontId="0" fillId="0" borderId="9" xfId="0" applyNumberFormat="1" applyBorder="1" applyAlignment="1">
      <alignment vertical="center"/>
    </xf>
    <xf numFmtId="4" fontId="33" fillId="0" borderId="0" xfId="0" applyNumberFormat="1" applyFont="1" applyAlignment="1">
      <alignment horizontal="left" vertical="center"/>
    </xf>
    <xf numFmtId="44" fontId="33" fillId="0" borderId="20" xfId="0" applyNumberFormat="1" applyFont="1" applyBorder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2" fillId="0" borderId="0" xfId="0" applyNumberFormat="1" applyFont="1" applyAlignment="1">
      <alignment horizontal="right" vertical="center"/>
    </xf>
    <xf numFmtId="0" fontId="33" fillId="0" borderId="23" xfId="0" applyFont="1" applyBorder="1" applyAlignment="1">
      <alignment horizontal="left" vertical="center"/>
    </xf>
    <xf numFmtId="1" fontId="24" fillId="0" borderId="0" xfId="0" applyNumberFormat="1" applyFont="1" applyAlignment="1">
      <alignment horizontal="center" vertical="center"/>
    </xf>
    <xf numFmtId="4" fontId="33" fillId="11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50" fillId="0" borderId="0" xfId="0" applyFont="1" applyFill="1" applyAlignment="1">
      <alignment horizontal="left" vertical="center"/>
    </xf>
    <xf numFmtId="0" fontId="50" fillId="0" borderId="0" xfId="0" applyFont="1" applyFill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173" fontId="33" fillId="0" borderId="0" xfId="0" applyNumberFormat="1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" fontId="22" fillId="0" borderId="0" xfId="0" applyNumberFormat="1" applyFont="1" applyFill="1" applyAlignment="1">
      <alignment horizontal="center" vertical="center"/>
    </xf>
    <xf numFmtId="0" fontId="51" fillId="10" borderId="7" xfId="0" applyFont="1" applyFill="1" applyBorder="1" applyAlignment="1">
      <alignment horizontal="center" vertical="center" wrapText="1"/>
    </xf>
    <xf numFmtId="0" fontId="51" fillId="10" borderId="4" xfId="0" applyFont="1" applyFill="1" applyBorder="1" applyAlignment="1">
      <alignment horizontal="center" vertical="center" wrapText="1"/>
    </xf>
    <xf numFmtId="0" fontId="51" fillId="10" borderId="14" xfId="0" applyFont="1" applyFill="1" applyBorder="1" applyAlignment="1">
      <alignment horizontal="center" vertical="center" wrapText="1"/>
    </xf>
    <xf numFmtId="0" fontId="35" fillId="10" borderId="8" xfId="30" applyFont="1" applyFill="1" applyBorder="1" applyAlignment="1">
      <alignment horizontal="center" vertical="center" wrapText="1"/>
    </xf>
    <xf numFmtId="0" fontId="35" fillId="10" borderId="11" xfId="30" applyFont="1" applyFill="1" applyBorder="1" applyAlignment="1">
      <alignment horizontal="center" vertical="center" wrapText="1"/>
    </xf>
    <xf numFmtId="0" fontId="24" fillId="0" borderId="9" xfId="30" applyFont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9" fontId="22" fillId="0" borderId="7" xfId="0" applyNumberFormat="1" applyFont="1" applyBorder="1" applyAlignment="1">
      <alignment horizontal="left" vertical="center" wrapText="1"/>
    </xf>
    <xf numFmtId="9" fontId="22" fillId="0" borderId="14" xfId="0" applyNumberFormat="1" applyFont="1" applyBorder="1" applyAlignment="1">
      <alignment horizontal="left" vertical="center" wrapText="1"/>
    </xf>
    <xf numFmtId="0" fontId="22" fillId="0" borderId="9" xfId="0" applyFont="1" applyBorder="1" applyAlignment="1">
      <alignment vertical="center"/>
    </xf>
    <xf numFmtId="10" fontId="22" fillId="5" borderId="7" xfId="0" applyNumberFormat="1" applyFont="1" applyFill="1" applyBorder="1" applyAlignment="1">
      <alignment horizontal="left" vertical="center"/>
    </xf>
    <xf numFmtId="10" fontId="22" fillId="5" borderId="14" xfId="0" applyNumberFormat="1" applyFont="1" applyFill="1" applyBorder="1" applyAlignment="1">
      <alignment horizontal="left" vertical="center"/>
    </xf>
    <xf numFmtId="0" fontId="37" fillId="13" borderId="9" xfId="0" applyFont="1" applyFill="1" applyBorder="1" applyAlignment="1">
      <alignment horizontal="center" vertical="center"/>
    </xf>
    <xf numFmtId="0" fontId="30" fillId="0" borderId="0" xfId="30" applyFont="1" applyAlignment="1">
      <alignment horizontal="center"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1" fillId="10" borderId="7" xfId="0" applyFont="1" applyFill="1" applyBorder="1" applyAlignment="1">
      <alignment horizontal="left" vertical="center" wrapText="1"/>
    </xf>
    <xf numFmtId="0" fontId="31" fillId="10" borderId="14" xfId="0" applyFont="1" applyFill="1" applyBorder="1" applyAlignment="1">
      <alignment horizontal="left" vertical="center" wrapText="1"/>
    </xf>
    <xf numFmtId="0" fontId="31" fillId="10" borderId="4" xfId="0" applyFont="1" applyFill="1" applyBorder="1" applyAlignment="1">
      <alignment horizontal="left" vertical="center" wrapText="1"/>
    </xf>
    <xf numFmtId="9" fontId="22" fillId="0" borderId="7" xfId="0" applyNumberFormat="1" applyFont="1" applyBorder="1" applyAlignment="1">
      <alignment horizontal="left" vertical="center"/>
    </xf>
    <xf numFmtId="9" fontId="22" fillId="0" borderId="4" xfId="0" applyNumberFormat="1" applyFont="1" applyBorder="1" applyAlignment="1">
      <alignment horizontal="left" vertical="center"/>
    </xf>
    <xf numFmtId="9" fontId="22" fillId="0" borderId="14" xfId="0" applyNumberFormat="1" applyFont="1" applyBorder="1" applyAlignment="1">
      <alignment horizontal="left" vertical="center"/>
    </xf>
    <xf numFmtId="10" fontId="22" fillId="5" borderId="4" xfId="0" applyNumberFormat="1" applyFont="1" applyFill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37" fillId="13" borderId="7" xfId="0" applyFont="1" applyFill="1" applyBorder="1" applyAlignment="1">
      <alignment horizontal="left" vertical="center"/>
    </xf>
    <xf numFmtId="0" fontId="37" fillId="13" borderId="4" xfId="0" applyFont="1" applyFill="1" applyBorder="1" applyAlignment="1">
      <alignment horizontal="left" vertical="center"/>
    </xf>
    <xf numFmtId="0" fontId="37" fillId="13" borderId="14" xfId="0" applyFont="1" applyFill="1" applyBorder="1" applyAlignment="1">
      <alignment horizontal="left" vertical="center"/>
    </xf>
    <xf numFmtId="170" fontId="24" fillId="5" borderId="7" xfId="0" applyNumberFormat="1" applyFont="1" applyFill="1" applyBorder="1" applyAlignment="1">
      <alignment horizontal="center" vertical="center"/>
    </xf>
    <xf numFmtId="170" fontId="22" fillId="5" borderId="4" xfId="0" applyNumberFormat="1" applyFont="1" applyFill="1" applyBorder="1" applyAlignment="1">
      <alignment horizontal="center" vertical="center"/>
    </xf>
    <xf numFmtId="0" fontId="30" fillId="0" borderId="6" xfId="30" applyFont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170" fontId="22" fillId="5" borderId="14" xfId="0" applyNumberFormat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170" fontId="22" fillId="5" borderId="7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textRotation="90"/>
    </xf>
    <xf numFmtId="0" fontId="22" fillId="0" borderId="11" xfId="0" applyFont="1" applyBorder="1" applyAlignment="1">
      <alignment horizontal="center" vertical="center" textRotation="90"/>
    </xf>
    <xf numFmtId="0" fontId="22" fillId="0" borderId="12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textRotation="90" wrapText="1"/>
    </xf>
    <xf numFmtId="0" fontId="22" fillId="0" borderId="12" xfId="0" applyFont="1" applyBorder="1" applyAlignment="1">
      <alignment horizontal="center" vertical="center" textRotation="90" wrapText="1"/>
    </xf>
    <xf numFmtId="0" fontId="22" fillId="8" borderId="7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2" fontId="31" fillId="10" borderId="7" xfId="0" applyNumberFormat="1" applyFont="1" applyFill="1" applyBorder="1" applyAlignment="1">
      <alignment horizontal="left" vertical="center"/>
    </xf>
    <xf numFmtId="2" fontId="31" fillId="10" borderId="4" xfId="0" applyNumberFormat="1" applyFont="1" applyFill="1" applyBorder="1" applyAlignment="1">
      <alignment horizontal="left" vertical="center"/>
    </xf>
    <xf numFmtId="49" fontId="31" fillId="10" borderId="4" xfId="29" applyNumberFormat="1" applyFont="1" applyFill="1" applyBorder="1" applyAlignment="1">
      <alignment horizontal="left" vertical="center"/>
    </xf>
    <xf numFmtId="49" fontId="31" fillId="10" borderId="14" xfId="29" applyNumberFormat="1" applyFont="1" applyFill="1" applyBorder="1" applyAlignment="1">
      <alignment horizontal="left" vertical="center"/>
    </xf>
    <xf numFmtId="49" fontId="22" fillId="7" borderId="7" xfId="0" applyNumberFormat="1" applyFont="1" applyFill="1" applyBorder="1" applyAlignment="1">
      <alignment horizontal="center" vertical="center"/>
    </xf>
    <xf numFmtId="49" fontId="22" fillId="7" borderId="14" xfId="0" applyNumberFormat="1" applyFont="1" applyFill="1" applyBorder="1" applyAlignment="1">
      <alignment horizontal="center" vertical="center"/>
    </xf>
    <xf numFmtId="49" fontId="22" fillId="8" borderId="7" xfId="0" applyNumberFormat="1" applyFont="1" applyFill="1" applyBorder="1" applyAlignment="1">
      <alignment horizontal="center" vertical="center"/>
    </xf>
    <xf numFmtId="49" fontId="22" fillId="8" borderId="14" xfId="0" applyNumberFormat="1" applyFont="1" applyFill="1" applyBorder="1" applyAlignment="1">
      <alignment horizontal="center" vertical="center"/>
    </xf>
    <xf numFmtId="49" fontId="22" fillId="7" borderId="4" xfId="0" applyNumberFormat="1" applyFont="1" applyFill="1" applyBorder="1" applyAlignment="1">
      <alignment horizontal="center" vertical="center"/>
    </xf>
    <xf numFmtId="49" fontId="22" fillId="8" borderId="4" xfId="0" applyNumberFormat="1" applyFont="1" applyFill="1" applyBorder="1" applyAlignment="1">
      <alignment horizontal="center" vertical="center"/>
    </xf>
  </cellXfs>
  <cellStyles count="48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4" xfId="30" xr:uid="{00000000-0005-0000-0000-000027000000}"/>
    <cellStyle name="Standaard 5" xfId="34" xr:uid="{00000000-0005-0000-0000-000028000000}"/>
    <cellStyle name="Standaard 6" xfId="46" xr:uid="{C8B5C47D-FB13-4B3A-952F-85AF5006DB30}"/>
    <cellStyle name="Valuta" xfId="47" builtinId="4"/>
    <cellStyle name="Valuta 2" xfId="31" xr:uid="{00000000-0005-0000-0000-000029000000}"/>
    <cellStyle name="Valuta 3" xfId="36" xr:uid="{00000000-0005-0000-0000-00002A000000}"/>
    <cellStyle name="Valuta 4" xfId="45" xr:uid="{5C764B3D-82CF-48E6-8C68-A8A71267D96C}"/>
    <cellStyle name="Währung [0]_Aufmaß" xfId="32" xr:uid="{00000000-0005-0000-0000-00002B000000}"/>
    <cellStyle name="Währung_Aufmaß" xfId="33" xr:uid="{00000000-0005-0000-0000-00002C000000}"/>
  </cellStyles>
  <dxfs count="2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2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0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mercie\Schoonmaak\Projectadministraties\Pr&#233;%20Kwalificaties%20&amp;%20Aanbestedingen\EA%20Amstelveen%20College\2.%20Originele%20aanvraag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Commercie\Schoonmaak\Projectadministraties\Pr&#233;%20Kwalificaties%20&amp;%20Aanbestedingen\EA%20Amstelveen%20College\2.%20Originele%20aanvraag\Voor..van\meten%20glas\meten%20glas\meten%20glas\meten%20glas\meten%20glas\meten%20glas\meten%20glas\meten%20glas\atir.xls?302656D2" TargetMode="External"/><Relationship Id="rId1" Type="http://schemas.openxmlformats.org/officeDocument/2006/relationships/externalLinkPath" Target="file:///\\302656D2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7:D39" totalsRowShown="0" headerRowDxfId="205" dataDxfId="204" headerRowCellStyle="Standaard 4">
  <autoFilter ref="A17:D39" xr:uid="{00000000-0009-0000-0100-000006000000}"/>
  <tableColumns count="4">
    <tableColumn id="1" xr3:uid="{00000000-0010-0000-0000-000001000000}" name="Code" dataDxfId="203" dataCellStyle="Standaard 4"/>
    <tableColumn id="2" xr3:uid="{00000000-0010-0000-0000-000002000000}" name="Ruimte omschrijving" dataDxfId="202" dataCellStyle="Standaard 4"/>
    <tableColumn id="3" xr3:uid="{00000000-0010-0000-0000-000003000000}" name="Norm (5w)" dataDxfId="201"/>
    <tableColumn id="4" xr3:uid="{00000000-0010-0000-0000-000004000000}" name="Inspectiecategorie" dataDxfId="20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InvulExtra" displayName="InvulExtra" ref="A8:J12" totalsRowShown="0">
  <autoFilter ref="A8:J12" xr:uid="{00000000-0009-0000-0100-000005000000}"/>
  <tableColumns count="10">
    <tableColumn id="1" xr3:uid="{00000000-0010-0000-0900-000001000000}" name="Code Taak" dataDxfId="84"/>
    <tableColumn id="2" xr3:uid="{00000000-0010-0000-0900-000002000000}" name="Werkzaamheid" dataDxfId="83"/>
    <tableColumn id="3" xr3:uid="{00000000-0010-0000-0900-000003000000}" name="Eenheid" dataDxfId="82"/>
    <tableColumn id="4" xr3:uid="{00000000-0010-0000-0900-000004000000}" name="Toelichting" dataDxfId="81"/>
    <tableColumn id="5" xr3:uid="{00000000-0010-0000-0900-000005000000}" name="Prijs_x000a_Excl. BTW" dataDxfId="80"/>
    <tableColumn id="6" xr3:uid="{3FB7F131-71FC-463C-8C00-D6DD0FDF1529}" name="2024" dataDxfId="79" dataCellStyle="Valuta 4">
      <calculatedColumnFormula>InvulExtra[[#This Row],[Prijs
Excl. BTW]]*Tariefsopbouw!$I$37+InvulExtra[[#This Row],[Prijs
Excl. BTW]]</calculatedColumnFormula>
    </tableColumn>
    <tableColumn id="7" xr3:uid="{CED55A0D-B25D-48E4-82C4-67D1CBD29C60}" name="2025" dataDxfId="78">
      <calculatedColumnFormula>InvulExtra[[#This Row],[2024]]*Tariefsopbouw!$K$37+InvulExtra[[#This Row],[2024]]</calculatedColumnFormula>
    </tableColumn>
    <tableColumn id="8" xr3:uid="{F66BBAFC-F378-4A72-A8A0-882B5B42BA69}" name="2026" dataDxfId="77">
      <calculatedColumnFormula>InvulExtra[[#This Row],[2025]]*Tariefsopbouw!$M$37+InvulExtra[[#This Row],[2025]]</calculatedColumnFormula>
    </tableColumn>
    <tableColumn id="9" xr3:uid="{D06F598A-5F46-4D18-8F56-D5615B461E3E}" name="2027" dataDxfId="76">
      <calculatedColumnFormula>InvulExtra[[#This Row],[2026]]*Tariefsopbouw!$O$37+InvulExtra[[#This Row],[2026]]</calculatedColumnFormula>
    </tableColumn>
    <tableColumn id="10" xr3:uid="{ADDE6AC4-A9FB-4C2E-BFEA-AB7183EB36E0}" name="2028" dataDxfId="75">
      <calculatedColumnFormula>InvulExtra[[#This Row],[2027]]*Tariefsopbouw!$Q$37+InvulExtra[[#This Row],[2027]]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OverzichtExtra" displayName="OverzichtExtra" ref="A15:H25" totalsRowCount="1" headerRowDxfId="74" dataDxfId="73" totalsRowDxfId="72">
  <autoFilter ref="A15:H24" xr:uid="{00000000-0009-0000-0100-00000A000000}"/>
  <tableColumns count="8">
    <tableColumn id="9" xr3:uid="{00000000-0010-0000-0A00-000009000000}" name="Code Locatie" dataDxfId="71" totalsRowDxfId="70"/>
    <tableColumn id="1" xr3:uid="{00000000-0010-0000-0A00-000001000000}" name="Locatie" totalsRowLabel="Totaal" dataDxfId="69" totalsRowDxfId="68">
      <calculatedColumnFormula>VLOOKUP(OverzichtExtra[[#This Row],[Code Locatie]],Locaties[],2,0)</calculatedColumnFormula>
    </tableColumn>
    <tableColumn id="3" xr3:uid="{00000000-0010-0000-0A00-000003000000}" name="Code Taak" dataDxfId="67" totalsRowDxfId="66"/>
    <tableColumn id="4" xr3:uid="{00000000-0010-0000-0A00-000004000000}" name="Werkzaamheid" dataDxfId="65" totalsRowDxfId="64">
      <calculatedColumnFormula>IF('Extra werkzaamheden'!$C16&gt;0,VLOOKUP('Extra werkzaamheden'!$C16,$A$8:$B$12,2,0),"")</calculatedColumnFormula>
    </tableColumn>
    <tableColumn id="5" xr3:uid="{00000000-0010-0000-0A00-000005000000}" name="Eenheid" dataDxfId="63" totalsRowDxfId="62"/>
    <tableColumn id="6" xr3:uid="{00000000-0010-0000-0A00-000006000000}" name="Aantal m2" dataDxfId="61" totalsRowDxfId="60"/>
    <tableColumn id="7" xr3:uid="{00000000-0010-0000-0A00-000007000000}" name="Frequentie (uitv. per jaar)" dataDxfId="59" totalsRowDxfId="58"/>
    <tableColumn id="8" xr3:uid="{00000000-0010-0000-0A00-000008000000}" name="Kosten/jaar excl. BTW" totalsRowFunction="sum" dataDxfId="57" totalsRowDxfId="56">
      <calculatedColumnFormula>IF(G16&gt;0,VLOOKUP(OverzichtExtra[[#This Row],[Code Taak]],InvulExtra[],5,2)*F16*G16,0)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I41" totalsRowCount="1" headerRowDxfId="55" dataDxfId="54" totalsRowDxfId="53">
  <autoFilter ref="B8:I40" xr:uid="{00000000-0009-0000-0100-00000B000000}"/>
  <tableColumns count="8">
    <tableColumn id="1" xr3:uid="{00000000-0010-0000-0B00-000001000000}" name="Werkzaamheid" totalsRowLabel="Totaal" totalsRowDxfId="52"/>
    <tableColumn id="2" xr3:uid="{00000000-0010-0000-0B00-000002000000}" name="Eenheid" totalsRowDxfId="51"/>
    <tableColumn id="3" xr3:uid="{00000000-0010-0000-0B00-000003000000}" name="Prijs excl. BTW" totalsRowDxfId="50"/>
    <tableColumn id="4" xr3:uid="{20339242-D37F-45D0-B3A9-D5D0277AA005}" name="2024" dataDxfId="49" totalsRowDxfId="48">
      <calculatedColumnFormula>InvulRegie[[#This Row],[Prijs excl. BTW]]*Tariefsopbouw!$I$37+InvulRegie[[#This Row],[Prijs excl. BTW]]</calculatedColumnFormula>
    </tableColumn>
    <tableColumn id="5" xr3:uid="{98710F61-FEB9-4108-AD80-85E42E12F88F}" name="2025" dataDxfId="47" totalsRowDxfId="46">
      <calculatedColumnFormula>InvulRegie[[#This Row],[2024]]*Tariefsopbouw!$K$37+InvulRegie[[#This Row],[2024]]</calculatedColumnFormula>
    </tableColumn>
    <tableColumn id="6" xr3:uid="{DA4A687B-70D0-4179-B678-42FA080B354F}" name="2026" dataDxfId="45" totalsRowDxfId="44">
      <calculatedColumnFormula>InvulRegie[[#This Row],[2025]]*Tariefsopbouw!$M$37+InvulRegie[[#This Row],[2025]]</calculatedColumnFormula>
    </tableColumn>
    <tableColumn id="7" xr3:uid="{FA946E46-8412-420B-AA1A-C1F4D582105F}" name="2027" dataDxfId="43" totalsRowDxfId="42">
      <calculatedColumnFormula>InvulRegie[[#This Row],[2026]]*Tariefsopbouw!$O$37+InvulRegie[[#This Row],[2026]]</calculatedColumnFormula>
    </tableColumn>
    <tableColumn id="8" xr3:uid="{00A92510-BD5B-4E71-BCF5-F352086DB0C7}" name="2028" dataDxfId="41" totalsRowDxfId="40">
      <calculatedColumnFormula>InvulRegie[[#This Row],[2027]]*Tariefsopbouw!$Q$37+InvulRegie[[#This Row],[2027]]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5:H14" totalsRowCount="1" headerRowDxfId="39" dataDxfId="37" totalsRowDxfId="35" headerRowBorderDxfId="38" tableBorderDxfId="36">
  <autoFilter ref="A5:H13" xr:uid="{00000000-0009-0000-0100-00000E000000}"/>
  <tableColumns count="8">
    <tableColumn id="8" xr3:uid="{00000000-0010-0000-0C00-000008000000}" name="Code Locatie" dataDxfId="34" totalsRowDxfId="33"/>
    <tableColumn id="1" xr3:uid="{00000000-0010-0000-0C00-000001000000}" name="Locatie" totalsRowLabel="Totaal" dataDxfId="32" totalsRowDxfId="31"/>
    <tableColumn id="2" xr3:uid="{00000000-0010-0000-0C00-000002000000}" name="Oppervlakte i/o" totalsRowFunction="sum" dataDxfId="30" totalsRowDxfId="29"/>
    <tableColumn id="3" xr3:uid="{00000000-0010-0000-0C00-000003000000}" name="Prest. (m2 /jaar)" totalsRowFunction="sum" dataDxfId="28" totalsRowDxfId="27"/>
    <tableColumn id="4" xr3:uid="{00000000-0010-0000-0C00-000004000000}" name="Uren / jaar" totalsRowFunction="sum" dataDxfId="26" totalsRowDxfId="25"/>
    <tableColumn id="5" xr3:uid="{00000000-0010-0000-0C00-000005000000}" name="Norm (m2/uur)" totalsRowFunction="custom" dataDxfId="24" totalsRowDxfId="23">
      <calculatedColumnFormula>D6/E6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_x000a_excl btw" totalsRowFunction="sum" dataDxfId="22" totalsRowDxfId="21"/>
    <tableColumn id="7" xr3:uid="{00000000-0010-0000-0C00-000007000000}" name="Kosten / m2" totalsRowFunction="custom" dataDxfId="20" totalsRowDxfId="19">
      <calculatedColumnFormula>G6/C6</calculatedColumnFormula>
      <totalsRowFormula>Samenvattingschoonmaak[[#Totals],[Kosten / jaar
excl btw]]/Samenvattingschoonmaak[[#Totals],[Oppervlakte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7:G26" totalsRowCount="1" headerRowDxfId="18" dataDxfId="16" totalsRowDxfId="14" headerRowBorderDxfId="17" tableBorderDxfId="15">
  <autoFilter ref="A17:G25" xr:uid="{00000000-0009-0000-0100-00000F000000}"/>
  <tableColumns count="7">
    <tableColumn id="8" xr3:uid="{00000000-0010-0000-0D00-000008000000}" name="Code Locatie" dataDxfId="13" totalsRowDxfId="12"/>
    <tableColumn id="1" xr3:uid="{00000000-0010-0000-0D00-000001000000}" name="Locaties" totalsRowLabel="Totaal" dataDxfId="11" totalsRowDxfId="10">
      <calculatedColumnFormula>VLOOKUP(Totalisatie[[#This Row],[Code Locatie]],Locaties[],2,0)</calculatedColumnFormula>
    </tableColumn>
    <tableColumn id="4" xr3:uid="{00000000-0010-0000-0D00-000004000000}" name="Schoonmaakonderhoud_x000a_Kosten / jaar excl btw" totalsRowFunction="sum" dataDxfId="9" totalsRowDxfId="8">
      <calculatedColumnFormula>SUMIF('Ruimtestaat'!A:A,Totalisatie[[#This Row],[Code Locatie]],'Ruimtestaat'!AG:AG)</calculatedColumnFormula>
    </tableColumn>
    <tableColumn id="2" xr3:uid="{00000000-0010-0000-0D00-000002000000}" name="Vloeronderhoud_x000a_Kosten / jaar excl btw" totalsRowFunction="sum" dataDxfId="7" totalsRowDxfId="6">
      <calculatedColumnFormula>SUMIF(Vloeronderhoud!$A$22:$A$54,Totalisatie[[#This Row],[Code Locatie]],Vloeronderhoud!$H$22:$H$54)</calculatedColumnFormula>
    </tableColumn>
    <tableColumn id="5" xr3:uid="{8FF9FB0E-0763-484E-9EA9-DCD311A065C8}" name="Glasbewassing_x000a_Kosten / jaar excl btw" totalsRowFunction="sum" dataDxfId="5" totalsRowDxfId="4">
      <calculatedColumnFormula>SUMIF(OverzichtGlas[[Code Locatie]:[Kosten/jaar excl. BTW]],Totalisatie[[#This Row],[Code Locatie]],OverzichtGlas[Kosten/jaar excl. BTW])</calculatedColumnFormula>
    </tableColumn>
    <tableColumn id="3" xr3:uid="{00000000-0010-0000-0D00-000003000000}" name="Extra Werkzaamheden_x000a_Kosten / jaar excl btw" totalsRowFunction="sum" dataDxfId="3" totalsRowDxfId="2">
      <calculatedColumnFormula>SUMIF(OverzichtExtra[Code Locatie],Totalisatie[[#This Row],[Code Locatie]],OverzichtExtra[Kosten/jaar excl. BTW])</calculatedColumnFormula>
    </tableColumn>
    <tableColumn id="7" xr3:uid="{00000000-0010-0000-0D00-000007000000}" name="Totaalprijs_x000a_Kosten / jaar excl btw" totalsRowFunction="sum" dataDxfId="1" totalsRowDxfId="0">
      <calculatedColumnFormula>SUM(Totalisatie[[#This Row],[Schoonmaakonderhoud
Kosten / jaar excl btw]:[Extra Werkzaamheden
Kosten / jaar excl btw]])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42:F47" totalsRowShown="0" headerRowDxfId="199" dataDxfId="198">
  <autoFilter ref="A42:F47" xr:uid="{00000000-0009-0000-0100-000007000000}"/>
  <tableColumns count="6">
    <tableColumn id="1" xr3:uid="{00000000-0010-0000-0100-000001000000}" name="Code" dataDxfId="197"/>
    <tableColumn id="4" xr3:uid="{00000000-0010-0000-0100-000004000000}" name="Naam" dataDxfId="196"/>
    <tableColumn id="5" xr3:uid="{00000000-0010-0000-0100-000005000000}" name="Aanpassing norm" dataDxfId="195" dataCellStyle="Procent"/>
    <tableColumn id="2" xr3:uid="{00000000-0010-0000-0100-000002000000}" name="Vloersoort omschrijving" dataDxfId="194" dataCellStyle="Standaard 4"/>
    <tableColumn id="7" xr3:uid="{00000000-0010-0000-0100-000007000000}" name="Kolom2" dataDxfId="193" dataCellStyle="Standaard 4"/>
    <tableColumn id="6" xr3:uid="{00000000-0010-0000-0100-000006000000}" name="Kolom1" dataDxfId="192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50:C60" totalsRowShown="0" headerRowDxfId="191" dataDxfId="190">
  <autoFilter ref="A50:C60" xr:uid="{00000000-0009-0000-0100-000008000000}"/>
  <tableColumns count="3">
    <tableColumn id="1" xr3:uid="{00000000-0010-0000-0200-000001000000}" name="Code" dataDxfId="189" dataCellStyle="Standaard 4"/>
    <tableColumn id="2" xr3:uid="{00000000-0010-0000-0200-000002000000}" name="Frequentie omschrijving" dataDxfId="188" dataCellStyle="Standaard 4"/>
    <tableColumn id="3" xr3:uid="{00000000-0010-0000-0200-000003000000}" name="Aanpassing norm" dataDxfId="187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14" totalsRowShown="0" dataDxfId="186">
  <autoFilter ref="A6:F14" xr:uid="{00000000-0009-0000-0100-00000D000000}"/>
  <tableColumns count="6">
    <tableColumn id="1" xr3:uid="{00000000-0010-0000-0300-000001000000}" name="Code" dataDxfId="185"/>
    <tableColumn id="2" xr3:uid="{00000000-0010-0000-0300-000002000000}" name="Locatie" dataDxfId="184"/>
    <tableColumn id="7" xr3:uid="{00000000-0010-0000-0300-000007000000}" name="Aanpassing norm" dataDxfId="183"/>
    <tableColumn id="3" xr3:uid="{00000000-0010-0000-0300-000003000000}" name="Adres" dataDxfId="182"/>
    <tableColumn id="4" xr3:uid="{00000000-0010-0000-0300-000004000000}" name="Postcode" dataDxfId="181"/>
    <tableColumn id="5" xr3:uid="{00000000-0010-0000-0300-000005000000}" name="Plaats" dataDxfId="18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G1421" totalsRowShown="0" headerRowDxfId="179" dataDxfId="178">
  <autoFilter ref="A4:AG1421" xr:uid="{00000000-0009-0000-0100-000009000000}"/>
  <tableColumns count="33">
    <tableColumn id="32" xr3:uid="{00000000-0010-0000-0400-000020000000}" name="Code" dataDxfId="177"/>
    <tableColumn id="1" xr3:uid="{00000000-0010-0000-0400-000001000000}" name="Locatie" dataDxfId="176"/>
    <tableColumn id="3" xr3:uid="{00000000-0010-0000-0400-000003000000}" name="Adres" dataDxfId="175">
      <calculatedColumnFormula>VLOOKUP(Ruimtestaat[[#This Row],[Code]],Locaties[#All],4,FALSE)</calculatedColumnFormula>
    </tableColumn>
    <tableColumn id="4" xr3:uid="{00000000-0010-0000-0400-000004000000}" name="Postcode" dataDxfId="174">
      <calculatedColumnFormula>VLOOKUP(Ruimtestaat[[#This Row],[Code]],Locaties[#All],5,FALSE)</calculatedColumnFormula>
    </tableColumn>
    <tableColumn id="5" xr3:uid="{00000000-0010-0000-0400-000005000000}" name="Plaats" dataDxfId="173">
      <calculatedColumnFormula>VLOOKUP(Ruimtestaat[[#This Row],[Code]],Locaties[#All],6,FALSE)</calculatedColumnFormula>
    </tableColumn>
    <tableColumn id="2" xr3:uid="{00000000-0010-0000-0400-000002000000}" name="Gebouw gedeelte" dataDxfId="172"/>
    <tableColumn id="6" xr3:uid="{00000000-0010-0000-0400-000006000000}" name="Etage" dataDxfId="171"/>
    <tableColumn id="7" xr3:uid="{00000000-0010-0000-0400-000007000000}" name="Ruimte- nummer" dataDxfId="170"/>
    <tableColumn id="8" xr3:uid="{00000000-0010-0000-0400-000008000000}" name="Ruimte omschrijving" dataDxfId="169"/>
    <tableColumn id="9" xr3:uid="{00000000-0010-0000-0400-000009000000}" name="Ruimte code" dataDxfId="168"/>
    <tableColumn id="10" xr3:uid="{00000000-0010-0000-0400-00000A000000}" name="Ruimtesoort" dataDxfId="167"/>
    <tableColumn id="11" xr3:uid="{00000000-0010-0000-0400-00000B000000}" name="Vloer code" dataDxfId="166"/>
    <tableColumn id="12" xr3:uid="{00000000-0010-0000-0400-00000C000000}" name="Vloer afwerking" dataDxfId="165"/>
    <tableColumn id="13" xr3:uid="{00000000-0010-0000-0400-00000D000000}" name="Oppervlak (netto)" dataDxfId="164"/>
    <tableColumn id="14" xr3:uid="{00000000-0010-0000-0400-00000E000000}" name="Oppervlakte n.i.o." dataDxfId="163"/>
    <tableColumn id="15" xr3:uid="{00000000-0010-0000-0400-00000F000000}" name="Inspectie categorie" dataDxfId="162">
      <calculatedColumnFormula>LEFT(VLOOKUP(Ruimtestaat[[#This Row],[Ruimte code]],Ruimtegroepen[#All],4,1),2)</calculatedColumnFormula>
    </tableColumn>
    <tableColumn id="16" xr3:uid="{00000000-0010-0000-0400-000010000000}" name="Opmerking" dataDxfId="161"/>
    <tableColumn id="17" xr3:uid="{00000000-0010-0000-0400-000011000000}" name="Aantal weken/jr" dataDxfId="160"/>
    <tableColumn id="18" xr3:uid="{00000000-0010-0000-0400-000012000000}" name="Frequentie werkdagen" dataDxfId="159"/>
    <tableColumn id="19" xr3:uid="{00000000-0010-0000-0400-000013000000}" name="Uitvoeringen werkdagen" dataDxfId="158">
      <calculatedColumnFormula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57">
      <calculatedColumnFormula>IF(T5&gt;0,VLOOKUP($J5,Ruimtegroepen[],3,FALSE)*VLOOKUP($L5,Vloersoorten[],3,FALSE)*VLOOKUP($S5,Frequenties[],3,FALSE)*VLOOKUP($A5,Locaties[],3,FALSE),0)</calculatedColumnFormula>
    </tableColumn>
    <tableColumn id="21" xr3:uid="{00000000-0010-0000-0400-000015000000}" name="Prest. (m2 /jaar) werkdagen" dataDxfId="156"/>
    <tableColumn id="22" xr3:uid="{00000000-0010-0000-0400-000016000000}" name="uren / jaar werkdagen" dataDxfId="155">
      <calculatedColumnFormula>IF(U5&gt;0,Ruimtestaat[[#This Row],[Prest. (m2 /jaar) werkdagen]]/Ruimtestaat[[#This Row],[Norm (m2/uur) werkdagen]],0)</calculatedColumnFormula>
    </tableColumn>
    <tableColumn id="23" xr3:uid="{00000000-0010-0000-0400-000017000000}" name="kosten / jaar werkdagen" dataDxfId="154">
      <calculatedColumnFormula>Ruimtestaat[[#This Row],[uren / jaar werkdagen]]*Tariefsopbouw!$E$35</calculatedColumnFormula>
    </tableColumn>
    <tableColumn id="24" xr3:uid="{00000000-0010-0000-0400-000018000000}" name="Frequentie weekend" dataDxfId="153"/>
    <tableColumn id="38" xr3:uid="{00000000-0010-0000-0400-000026000000}" name="Uitvoeringen weekend" dataDxfId="152">
      <calculatedColumnFormula>IF(Ruimtestaat[[#This Row],[Frequentie weekend]]&gt;0,VALUE(LEFT(Y5,1))*R5,0)</calculatedColumnFormula>
    </tableColumn>
    <tableColumn id="25" xr3:uid="{00000000-0010-0000-0400-000019000000}" name="Norm (m2/uur) weekend" dataDxfId="151">
      <calculatedColumnFormula>IF($Z5&gt;0,VLOOKUP($J5,Ruimtegroepen[],3,FALSE)*VLOOKUP($L5,Vloersoorten[],3,FALSE)*VLOOKUP($Y5,Frequenties[],3,FALSE)*VLOOKUP($A1,Locaties[],3,FALSE),0)</calculatedColumnFormula>
    </tableColumn>
    <tableColumn id="26" xr3:uid="{00000000-0010-0000-0400-00001A000000}" name="Prest. (m2 /jaar) weekend" dataDxfId="150"/>
    <tableColumn id="27" xr3:uid="{00000000-0010-0000-0400-00001B000000}" name="uren / jaar weekend" dataDxfId="149"/>
    <tableColumn id="28" xr3:uid="{00000000-0010-0000-0400-00001C000000}" name="kosten / jaar weekend" dataDxfId="148">
      <calculatedColumnFormula>Ruimtestaat[[#This Row],[uren / jaar weekend]]*Tariefsopbouw!$D$40</calculatedColumnFormula>
    </tableColumn>
    <tableColumn id="29" xr3:uid="{00000000-0010-0000-0400-00001D000000}" name="Prest. (m2 /jaar)" dataDxfId="147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46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45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8" totalsRowShown="0" headerRowDxfId="144">
  <autoFilter ref="A8:I18" xr:uid="{00000000-0009-0000-0100-000001000000}"/>
  <tableColumns count="9">
    <tableColumn id="1" xr3:uid="{00000000-0010-0000-0700-000001000000}" name="Code Taak" dataDxfId="143"/>
    <tableColumn id="2" xr3:uid="{00000000-0010-0000-0700-000002000000}" name="Werkzaamheden" dataDxfId="142"/>
    <tableColumn id="3" xr3:uid="{00000000-0010-0000-0700-000003000000}" name="Prijs" dataDxfId="141"/>
    <tableColumn id="4" xr3:uid="{00000000-0010-0000-0700-000004000000}" name="Omschrijving" dataDxfId="140"/>
    <tableColumn id="5" xr3:uid="{7B224336-2E90-4786-8885-F9B3CAAAC600}" name="2024" dataDxfId="139" dataCellStyle="Valuta 4">
      <calculatedColumnFormula>InvulVloer[[#This Row],[Prijs]]*Tariefsopbouw!$I$37+InvulVloer[[#This Row],[Prijs]]</calculatedColumnFormula>
    </tableColumn>
    <tableColumn id="6" xr3:uid="{0211B985-6953-45B6-8A6A-749D6F313951}" name="2025" dataDxfId="138">
      <calculatedColumnFormula>InvulVloer[[#This Row],[2024]]*Tariefsopbouw!$K$37+InvulVloer[[#This Row],[2024]]</calculatedColumnFormula>
    </tableColumn>
    <tableColumn id="7" xr3:uid="{9E193464-F35C-49B3-A477-D7B0835ABCF2}" name="2026" dataDxfId="137">
      <calculatedColumnFormula>InvulVloer[[#This Row],[2025]]*Tariefsopbouw!$M$37+InvulVloer[[#This Row],[2025]]</calculatedColumnFormula>
    </tableColumn>
    <tableColumn id="8" xr3:uid="{8069DF64-F4BB-49BA-8609-74BCEBC0E84C}" name="2027" dataDxfId="136">
      <calculatedColumnFormula>InvulVloer[[#This Row],[2026]]*Tariefsopbouw!$O$37+InvulVloer[[#This Row],[2026]]</calculatedColumnFormula>
    </tableColumn>
    <tableColumn id="9" xr3:uid="{FCBF02FF-403C-4DC9-8F5B-108F47020EEA}" name="2028" dataDxfId="135">
      <calculatedColumnFormula>InvulVloer[[#This Row],[2027]]*Tariefsopbouw!$Q$37+InvulVloer[[#This Row],[2027]]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21:H54" totalsRowCount="1" headerRowDxfId="134" dataDxfId="133" totalsRowDxfId="132">
  <autoFilter ref="A21:H53" xr:uid="{00000000-0009-0000-0100-000002000000}"/>
  <tableColumns count="8">
    <tableColumn id="11" xr3:uid="{00000000-0010-0000-0800-00000B000000}" name="Code Locatie" dataDxfId="131" totalsRowDxfId="130"/>
    <tableColumn id="1" xr3:uid="{00000000-0010-0000-0800-000001000000}" name="Locatie" totalsRowLabel="Totaal" dataDxfId="129" totalsRowDxfId="128"/>
    <tableColumn id="3" xr3:uid="{00000000-0010-0000-0800-000003000000}" name="Code Taak" dataDxfId="127" totalsRowDxfId="126"/>
    <tableColumn id="4" xr3:uid="{00000000-0010-0000-0800-000004000000}" name="Werkzaamheden" dataDxfId="125" totalsRowDxfId="124">
      <calculatedColumnFormula>IF(Vloeronderhoud!$C22&gt;0,VLOOKUP(Vloeronderhoud!$C22,$A$8:$B$18,2,FALSE),"")</calculatedColumnFormula>
    </tableColumn>
    <tableColumn id="5" xr3:uid="{00000000-0010-0000-0800-000005000000}" name="Vloersoort" dataDxfId="123" totalsRowDxfId="122"/>
    <tableColumn id="6" xr3:uid="{00000000-0010-0000-0800-000006000000}" name="Oppervlakte" dataDxfId="121" totalsRowDxfId="120">
      <calculatedColumnFormula>SUMIFS('Ruimtestaat'!$N:$N,'Ruimtestaat'!L:L,Vloeronderhoud!E22,'Ruimtestaat'!A:A,Vloeronderhoud!A22)</calculatedColumnFormula>
    </tableColumn>
    <tableColumn id="8" xr3:uid="{00000000-0010-0000-0800-000008000000}" name="Frequentie (uitv./jaar)" dataDxfId="119" totalsRowDxfId="118"/>
    <tableColumn id="9" xr3:uid="{00000000-0010-0000-0800-000009000000}" name="Kosten/jaar excl. BTW" totalsRowFunction="sum" dataDxfId="117" totalsRowDxfId="116">
      <calculatedColumnFormula>G22*#REF!*F22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56DD7F-E31F-4738-A2A6-B6195742F83D}" name="InvulGlas" displayName="InvulGlas" ref="A8:I21" totalsRowShown="0" headerRowDxfId="115">
  <autoFilter ref="A8:I21" xr:uid="{3B56DD7F-E31F-4738-A2A6-B6195742F83D}"/>
  <tableColumns count="9">
    <tableColumn id="1" xr3:uid="{E535CE63-335F-4482-A4E0-E125D9A2B340}" name="Code taak" dataDxfId="114"/>
    <tableColumn id="2" xr3:uid="{25BA42B2-ED5A-4BB6-B11D-C43B4833E11E}" name="Glassoort/voorziening" dataDxfId="113"/>
    <tableColumn id="3" xr3:uid="{CF51549B-5B5B-4DAA-9B7E-C0E281B3CE61}" name="Prijs excl. BTW" dataDxfId="112"/>
    <tableColumn id="4" xr3:uid="{6F94C37D-4D34-45AA-883D-F6E668605F2E}" name="Eenheid" dataDxfId="111"/>
    <tableColumn id="5" xr3:uid="{B42CEB27-60B6-49B0-917A-9BE12D2DA665}" name="2024" dataDxfId="110" dataCellStyle="Valuta">
      <calculatedColumnFormula>(InvulGlas[[#This Row],[Prijs excl. BTW]]*Tariefsopbouw!$I$37)+InvulGlas[[#This Row],[Prijs excl. BTW]]</calculatedColumnFormula>
    </tableColumn>
    <tableColumn id="6" xr3:uid="{8237F260-0DF8-45FA-8B35-F9EFF1B9C431}" name="2025" dataDxfId="109" dataCellStyle="Valuta">
      <calculatedColumnFormula>(InvulGlas[[#This Row],[2024]]*Tariefsopbouw!$K$37)+InvulGlas[[#This Row],[2024]]</calculatedColumnFormula>
    </tableColumn>
    <tableColumn id="7" xr3:uid="{55531EE1-56B0-423A-AC5D-7780403A0A80}" name="2026" dataDxfId="108" dataCellStyle="Valuta">
      <calculatedColumnFormula>(InvulGlas[[#This Row],[2025]]*Tariefsopbouw!$M$37)+InvulGlas[[#This Row],[2025]]</calculatedColumnFormula>
    </tableColumn>
    <tableColumn id="8" xr3:uid="{419C290D-2527-48A8-999A-C82B165194BA}" name="2027" dataDxfId="107" dataCellStyle="Valuta">
      <calculatedColumnFormula>(InvulGlas[[#This Row],[2026]]*Tariefsopbouw!$O$37)+InvulGlas[[#This Row],[2026]]</calculatedColumnFormula>
    </tableColumn>
    <tableColumn id="9" xr3:uid="{E4E2B8F8-E445-4912-8989-9751C8DD6970}" name="2028" dataDxfId="106" dataCellStyle="Valuta">
      <calculatedColumnFormula>(InvulGlas[[#This Row],[2027]]*Tariefsopbouw!$Q$37)+InvulGlas[[#This Row],[2027]]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0012B9-E2E3-462E-92FA-D2ECE74E3DC6}" name="OverzichtGlas" displayName="OverzichtGlas" ref="A23:I60" totalsRowCount="1" headerRowDxfId="105" dataDxfId="104" totalsRowDxfId="103">
  <autoFilter ref="A23:I59" xr:uid="{620012B9-E2E3-462E-92FA-D2ECE74E3DC6}"/>
  <sortState xmlns:xlrd2="http://schemas.microsoft.com/office/spreadsheetml/2017/richdata2" ref="A24:G59">
    <sortCondition ref="A55:A59"/>
  </sortState>
  <tableColumns count="9">
    <tableColumn id="1" xr3:uid="{2536BA71-4E9E-4699-B1D3-AD672C5D2A84}" name="Code Locatie" totalsRowLabel="Totaal" dataDxfId="102" totalsRowDxfId="101"/>
    <tableColumn id="2" xr3:uid="{50EE039F-714D-4763-852C-089B9B9C7380}" name="Locatie" dataDxfId="100" totalsRowDxfId="99">
      <calculatedColumnFormula>VLOOKUP(OverzichtGlas[[#This Row],[Code Locatie]],Samenvattingschoonmaak[[#All],[Code Locatie]:[Locatie]],2,FALSE)</calculatedColumnFormula>
    </tableColumn>
    <tableColumn id="3" xr3:uid="{D15C2F41-1594-45D7-9803-C8C7AEECECF7}" name="Code taak" dataDxfId="98" totalsRowDxfId="97"/>
    <tableColumn id="4" xr3:uid="{642A0D23-31BA-42AE-8CB0-DC6E3B12DFB6}" name="Glassoort/voorziening" dataDxfId="96" totalsRowDxfId="95"/>
    <tableColumn id="5" xr3:uid="{C9661328-A370-44DF-8207-78449C8D44D2}" name="Oppervlakte of dagen" dataDxfId="94" totalsRowDxfId="93"/>
    <tableColumn id="7" xr3:uid="{BDAD6D23-D82B-43C1-9D0E-6A2C6CAB4C1A}" name="Frequentie" dataDxfId="92" totalsRowDxfId="91"/>
    <tableColumn id="8" xr3:uid="{BDB7ACE8-E58D-4776-9BBB-A8732570A475}" name="Kosten/jaar excl. BTW" totalsRowFunction="sum" dataDxfId="90" totalsRowDxfId="89">
      <calculatedColumnFormula>IF(C24&gt;0,VLOOKUP(OverzichtGlas[[#This Row],[Code taak]],InvulGlas[],3,0)*E24*F24,0)</calculatedColumnFormula>
    </tableColumn>
    <tableColumn id="9" xr3:uid="{8F415E75-25DE-41FA-86DA-16C5EB0A9299}" name="Kosten/jaar incl. BTW" totalsRowFunction="sum" dataDxfId="88" totalsRowDxfId="87">
      <calculatedColumnFormula>OverzichtGlas[[#This Row],[Kosten/jaar excl. BTW]]*1.21</calculatedColumnFormula>
    </tableColumn>
    <tableColumn id="10" xr3:uid="{8B05202D-C69A-4C8D-9EBD-9530B2C0368D}" name="Kolom1" dataDxfId="86" totalsRowDxfId="8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CE46-F202-4A1D-B07B-90A3C17D5818}">
  <sheetPr>
    <tabColor theme="0" tint="-0.14999847407452621"/>
  </sheetPr>
  <dimension ref="A1:T54"/>
  <sheetViews>
    <sheetView topLeftCell="H1" workbookViewId="0">
      <pane ySplit="1" topLeftCell="A2" activePane="bottomLeft" state="frozen"/>
      <selection pane="bottomLeft" activeCell="O10" sqref="O10"/>
    </sheetView>
  </sheetViews>
  <sheetFormatPr defaultRowHeight="13.2"/>
  <cols>
    <col min="1" max="1" width="3.33203125" style="133" bestFit="1" customWidth="1"/>
    <col min="2" max="2" width="10.88671875" style="133" hidden="1" customWidth="1"/>
    <col min="3" max="3" width="9.6640625" style="133" bestFit="1" customWidth="1"/>
    <col min="4" max="4" width="9" style="133" bestFit="1" customWidth="1"/>
    <col min="5" max="5" width="14.44140625" style="133" bestFit="1" customWidth="1"/>
    <col min="6" max="6" width="14" style="133" bestFit="1" customWidth="1"/>
    <col min="7" max="7" width="59.5546875" style="230" bestFit="1" customWidth="1"/>
    <col min="8" max="8" width="28.33203125" style="133" bestFit="1" customWidth="1"/>
    <col min="9" max="9" width="8.109375" style="230" bestFit="1" customWidth="1"/>
    <col min="10" max="10" width="11.33203125" style="230" bestFit="1" customWidth="1"/>
    <col min="11" max="11" width="9" style="133" bestFit="1" customWidth="1"/>
    <col min="12" max="12" width="12.33203125" style="133" bestFit="1" customWidth="1"/>
    <col min="13" max="13" width="8.109375" style="133" bestFit="1" customWidth="1"/>
    <col min="14" max="14" width="16.44140625" style="133" bestFit="1" customWidth="1"/>
    <col min="15" max="15" width="18.109375" style="133" bestFit="1" customWidth="1"/>
    <col min="16" max="16" width="17.6640625" style="133" customWidth="1"/>
    <col min="17" max="17" width="15.88671875" style="230" bestFit="1" customWidth="1"/>
    <col min="18" max="18" width="21" style="230" customWidth="1"/>
    <col min="19" max="19" width="15.6640625" style="230" bestFit="1" customWidth="1"/>
    <col min="20" max="20" width="43.6640625" style="133" bestFit="1" customWidth="1"/>
  </cols>
  <sheetData>
    <row r="1" spans="1:20" ht="45.6">
      <c r="A1" s="218"/>
      <c r="B1" s="163" t="s">
        <v>0</v>
      </c>
      <c r="C1" s="163" t="s">
        <v>1</v>
      </c>
      <c r="D1" s="163" t="s">
        <v>2</v>
      </c>
      <c r="E1" s="163" t="s">
        <v>3</v>
      </c>
      <c r="F1" s="163" t="s">
        <v>4</v>
      </c>
      <c r="G1" s="163" t="s">
        <v>5</v>
      </c>
      <c r="H1" s="163" t="s">
        <v>6</v>
      </c>
      <c r="I1" s="163" t="s">
        <v>7</v>
      </c>
      <c r="J1" s="163" t="s">
        <v>8</v>
      </c>
      <c r="K1" s="163" t="s">
        <v>9</v>
      </c>
      <c r="L1" s="163" t="s">
        <v>10</v>
      </c>
      <c r="M1" s="163" t="s">
        <v>11</v>
      </c>
      <c r="N1" s="163" t="s">
        <v>12</v>
      </c>
      <c r="O1" s="163" t="s">
        <v>13</v>
      </c>
      <c r="P1" s="163" t="s">
        <v>14</v>
      </c>
      <c r="Q1" s="163" t="s">
        <v>15</v>
      </c>
      <c r="R1" s="163" t="s">
        <v>16</v>
      </c>
      <c r="S1" s="163" t="s">
        <v>17</v>
      </c>
      <c r="T1" s="163" t="s">
        <v>18</v>
      </c>
    </row>
    <row r="2" spans="1:20">
      <c r="A2" s="219">
        <v>1</v>
      </c>
      <c r="B2" s="220"/>
      <c r="C2" s="220">
        <v>42005</v>
      </c>
      <c r="D2" s="220">
        <v>37853</v>
      </c>
      <c r="E2" s="221" t="s">
        <v>19</v>
      </c>
      <c r="F2" s="222">
        <v>1.25</v>
      </c>
      <c r="G2" s="222" t="s">
        <v>20</v>
      </c>
      <c r="H2" s="221" t="s">
        <v>21</v>
      </c>
      <c r="I2" s="223">
        <v>651</v>
      </c>
      <c r="J2" s="221" t="s">
        <v>22</v>
      </c>
      <c r="K2" s="231">
        <v>13.5</v>
      </c>
      <c r="L2" s="225"/>
      <c r="M2" s="232">
        <v>0</v>
      </c>
      <c r="N2" s="226"/>
      <c r="O2" s="226"/>
      <c r="P2" s="226"/>
      <c r="Q2" s="226" t="s">
        <v>23</v>
      </c>
      <c r="R2" s="226"/>
      <c r="S2" s="226"/>
      <c r="T2" s="221" t="s">
        <v>24</v>
      </c>
    </row>
    <row r="3" spans="1:20">
      <c r="A3" s="219">
        <v>2</v>
      </c>
      <c r="B3" s="220"/>
      <c r="C3" s="220">
        <v>42005</v>
      </c>
      <c r="D3" s="220">
        <v>31698</v>
      </c>
      <c r="E3" s="221" t="s">
        <v>19</v>
      </c>
      <c r="F3" s="227">
        <v>6.25</v>
      </c>
      <c r="G3" s="228" t="s">
        <v>20</v>
      </c>
      <c r="H3" s="221" t="s">
        <v>21</v>
      </c>
      <c r="I3" s="223">
        <v>651</v>
      </c>
      <c r="J3" s="221" t="s">
        <v>22</v>
      </c>
      <c r="K3" s="231">
        <v>13.5</v>
      </c>
      <c r="L3" s="225"/>
      <c r="M3" s="232">
        <v>0.27</v>
      </c>
      <c r="N3" s="226"/>
      <c r="O3" s="226"/>
      <c r="P3" s="226"/>
      <c r="Q3" s="226" t="s">
        <v>23</v>
      </c>
      <c r="R3" s="226"/>
      <c r="S3" s="226"/>
      <c r="T3" s="221" t="s">
        <v>24</v>
      </c>
    </row>
    <row r="4" spans="1:20">
      <c r="A4" s="219">
        <v>3</v>
      </c>
      <c r="B4" s="220"/>
      <c r="C4" s="220">
        <v>44060</v>
      </c>
      <c r="D4" s="220">
        <v>44060</v>
      </c>
      <c r="E4" s="221" t="s">
        <v>19</v>
      </c>
      <c r="F4" s="227">
        <v>7.5</v>
      </c>
      <c r="G4" s="228" t="s">
        <v>20</v>
      </c>
      <c r="H4" s="221" t="s">
        <v>21</v>
      </c>
      <c r="I4" s="223">
        <v>651</v>
      </c>
      <c r="J4" s="221" t="s">
        <v>22</v>
      </c>
      <c r="K4" s="231">
        <v>12.25</v>
      </c>
      <c r="L4" s="225"/>
      <c r="M4" s="232">
        <v>0</v>
      </c>
      <c r="N4" s="226" t="s">
        <v>25</v>
      </c>
      <c r="O4" s="226"/>
      <c r="P4" s="226"/>
      <c r="Q4" s="226" t="s">
        <v>23</v>
      </c>
      <c r="R4" s="226"/>
      <c r="S4" s="226"/>
      <c r="T4" s="221" t="s">
        <v>26</v>
      </c>
    </row>
    <row r="5" spans="1:20">
      <c r="A5" s="219">
        <v>4</v>
      </c>
      <c r="B5" s="220"/>
      <c r="C5" s="220">
        <v>42005</v>
      </c>
      <c r="D5" s="220">
        <v>33903</v>
      </c>
      <c r="E5" s="221" t="s">
        <v>19</v>
      </c>
      <c r="F5" s="227">
        <v>5</v>
      </c>
      <c r="G5" s="222" t="s">
        <v>27</v>
      </c>
      <c r="H5" s="221" t="s">
        <v>21</v>
      </c>
      <c r="I5" s="223">
        <v>651</v>
      </c>
      <c r="J5" s="221" t="s">
        <v>22</v>
      </c>
      <c r="K5" s="231">
        <v>13.5</v>
      </c>
      <c r="L5" s="225"/>
      <c r="M5" s="232">
        <v>0</v>
      </c>
      <c r="N5" s="226"/>
      <c r="O5" s="226"/>
      <c r="P5" s="226"/>
      <c r="Q5" s="226" t="s">
        <v>23</v>
      </c>
      <c r="R5" s="226"/>
      <c r="S5" s="226"/>
      <c r="T5" s="229" t="s">
        <v>26</v>
      </c>
    </row>
    <row r="6" spans="1:20">
      <c r="A6" s="219">
        <v>5</v>
      </c>
      <c r="B6" s="220"/>
      <c r="C6" s="220">
        <v>44061</v>
      </c>
      <c r="D6" s="220">
        <v>43775</v>
      </c>
      <c r="E6" s="221" t="s">
        <v>19</v>
      </c>
      <c r="F6" s="227">
        <v>7.5</v>
      </c>
      <c r="G6" s="222" t="s">
        <v>20</v>
      </c>
      <c r="H6" s="221" t="s">
        <v>21</v>
      </c>
      <c r="I6" s="223">
        <v>651</v>
      </c>
      <c r="J6" s="221" t="s">
        <v>22</v>
      </c>
      <c r="K6" s="231">
        <v>12.7</v>
      </c>
      <c r="L6" s="225"/>
      <c r="M6" s="232">
        <v>0</v>
      </c>
      <c r="N6" s="226"/>
      <c r="O6" s="226"/>
      <c r="P6" s="226"/>
      <c r="Q6" s="226" t="s">
        <v>23</v>
      </c>
      <c r="R6" s="226"/>
      <c r="S6" s="226"/>
      <c r="T6" s="229" t="s">
        <v>26</v>
      </c>
    </row>
    <row r="7" spans="1:20">
      <c r="A7" s="219">
        <v>6</v>
      </c>
      <c r="B7" s="220"/>
      <c r="C7" s="220">
        <v>43047</v>
      </c>
      <c r="D7" s="220">
        <v>43047</v>
      </c>
      <c r="E7" s="221" t="s">
        <v>19</v>
      </c>
      <c r="F7" s="227">
        <v>15</v>
      </c>
      <c r="G7" s="222" t="s">
        <v>28</v>
      </c>
      <c r="H7" s="221" t="s">
        <v>21</v>
      </c>
      <c r="I7" s="223">
        <v>651</v>
      </c>
      <c r="J7" s="221" t="s">
        <v>22</v>
      </c>
      <c r="K7" s="231">
        <v>13.5</v>
      </c>
      <c r="L7" s="225"/>
      <c r="M7" s="232">
        <v>0</v>
      </c>
      <c r="N7" s="226"/>
      <c r="O7" s="226"/>
      <c r="P7" s="226"/>
      <c r="Q7" s="226" t="s">
        <v>23</v>
      </c>
      <c r="R7" s="226"/>
      <c r="S7" s="226"/>
      <c r="T7" s="229" t="s">
        <v>26</v>
      </c>
    </row>
    <row r="8" spans="1:20">
      <c r="A8" s="219">
        <v>7</v>
      </c>
      <c r="B8" s="220"/>
      <c r="C8" s="220">
        <v>44060</v>
      </c>
      <c r="D8" s="220">
        <v>44060</v>
      </c>
      <c r="E8" s="221" t="s">
        <v>19</v>
      </c>
      <c r="F8" s="227">
        <v>10</v>
      </c>
      <c r="G8" s="222" t="s">
        <v>20</v>
      </c>
      <c r="H8" s="221" t="s">
        <v>21</v>
      </c>
      <c r="I8" s="223">
        <v>651</v>
      </c>
      <c r="J8" s="221" t="s">
        <v>22</v>
      </c>
      <c r="K8" s="231">
        <v>12.25</v>
      </c>
      <c r="L8" s="225"/>
      <c r="M8" s="232">
        <v>0</v>
      </c>
      <c r="N8" s="226" t="s">
        <v>25</v>
      </c>
      <c r="O8" s="226"/>
      <c r="P8" s="226"/>
      <c r="Q8" s="226" t="s">
        <v>23</v>
      </c>
      <c r="R8" s="226"/>
      <c r="S8" s="226"/>
      <c r="T8" s="221" t="s">
        <v>29</v>
      </c>
    </row>
    <row r="9" spans="1:20">
      <c r="A9" s="219">
        <v>8</v>
      </c>
      <c r="B9" s="220"/>
      <c r="C9" s="220">
        <v>41974</v>
      </c>
      <c r="D9" s="220">
        <v>41974</v>
      </c>
      <c r="E9" s="221" t="s">
        <v>19</v>
      </c>
      <c r="F9" s="222">
        <v>7.5</v>
      </c>
      <c r="G9" s="222" t="s">
        <v>20</v>
      </c>
      <c r="H9" s="221" t="s">
        <v>30</v>
      </c>
      <c r="I9" s="223">
        <v>672</v>
      </c>
      <c r="J9" s="221" t="s">
        <v>31</v>
      </c>
      <c r="K9" s="231">
        <v>15.59</v>
      </c>
      <c r="L9" s="225"/>
      <c r="M9" s="232">
        <v>0</v>
      </c>
      <c r="N9" s="226"/>
      <c r="O9" s="226"/>
      <c r="P9" s="226"/>
      <c r="Q9" s="226" t="s">
        <v>23</v>
      </c>
      <c r="R9" s="226"/>
      <c r="S9" s="226"/>
      <c r="T9" s="221" t="s">
        <v>29</v>
      </c>
    </row>
    <row r="10" spans="1:20">
      <c r="A10" s="219">
        <v>9</v>
      </c>
      <c r="B10" s="220"/>
      <c r="C10" s="220">
        <v>42005</v>
      </c>
      <c r="D10" s="220">
        <v>37853</v>
      </c>
      <c r="E10" s="221" t="s">
        <v>19</v>
      </c>
      <c r="F10" s="222">
        <v>18.75</v>
      </c>
      <c r="G10" s="222" t="s">
        <v>20</v>
      </c>
      <c r="H10" s="221" t="s">
        <v>21</v>
      </c>
      <c r="I10" s="223">
        <v>651</v>
      </c>
      <c r="J10" s="221" t="s">
        <v>22</v>
      </c>
      <c r="K10" s="231">
        <v>13.5</v>
      </c>
      <c r="L10" s="225"/>
      <c r="M10" s="232">
        <v>0</v>
      </c>
      <c r="N10" s="226"/>
      <c r="O10" s="226"/>
      <c r="P10" s="226"/>
      <c r="Q10" s="226" t="s">
        <v>23</v>
      </c>
      <c r="R10" s="226"/>
      <c r="S10" s="226"/>
      <c r="T10" s="221" t="s">
        <v>29</v>
      </c>
    </row>
    <row r="11" spans="1:20">
      <c r="A11" s="219">
        <v>10</v>
      </c>
      <c r="B11" s="220"/>
      <c r="C11" s="220">
        <v>42005</v>
      </c>
      <c r="D11" s="220">
        <v>36922</v>
      </c>
      <c r="E11" s="221" t="s">
        <v>19</v>
      </c>
      <c r="F11" s="222">
        <v>10</v>
      </c>
      <c r="G11" s="222" t="s">
        <v>20</v>
      </c>
      <c r="H11" s="221" t="s">
        <v>21</v>
      </c>
      <c r="I11" s="223">
        <v>651</v>
      </c>
      <c r="J11" s="221" t="s">
        <v>22</v>
      </c>
      <c r="K11" s="231">
        <v>13.5</v>
      </c>
      <c r="L11" s="225"/>
      <c r="M11" s="232">
        <v>0</v>
      </c>
      <c r="N11" s="226"/>
      <c r="O11" s="226"/>
      <c r="P11" s="226"/>
      <c r="Q11" s="226"/>
      <c r="R11" s="226"/>
      <c r="S11" s="226"/>
      <c r="T11" s="221" t="s">
        <v>29</v>
      </c>
    </row>
    <row r="12" spans="1:20">
      <c r="A12" s="219">
        <v>11</v>
      </c>
      <c r="B12" s="220"/>
      <c r="C12" s="220">
        <v>42005</v>
      </c>
      <c r="D12" s="220">
        <v>31698</v>
      </c>
      <c r="E12" s="221" t="s">
        <v>19</v>
      </c>
      <c r="F12" s="222">
        <v>3.75</v>
      </c>
      <c r="G12" s="222" t="s">
        <v>20</v>
      </c>
      <c r="H12" s="221" t="s">
        <v>21</v>
      </c>
      <c r="I12" s="223">
        <v>651</v>
      </c>
      <c r="J12" s="221" t="s">
        <v>22</v>
      </c>
      <c r="K12" s="231">
        <v>13.5</v>
      </c>
      <c r="L12" s="225"/>
      <c r="M12" s="232">
        <v>0.27</v>
      </c>
      <c r="N12" s="226"/>
      <c r="O12" s="226"/>
      <c r="P12" s="226"/>
      <c r="Q12" s="226" t="s">
        <v>23</v>
      </c>
      <c r="R12" s="226"/>
      <c r="S12" s="233"/>
      <c r="T12" s="221" t="s">
        <v>29</v>
      </c>
    </row>
    <row r="13" spans="1:20">
      <c r="A13" s="219">
        <v>12</v>
      </c>
      <c r="B13" s="220"/>
      <c r="C13" s="220">
        <v>42005</v>
      </c>
      <c r="D13" s="220">
        <v>37271</v>
      </c>
      <c r="E13" s="221" t="s">
        <v>19</v>
      </c>
      <c r="F13" s="222">
        <v>13.5</v>
      </c>
      <c r="G13" s="222" t="s">
        <v>20</v>
      </c>
      <c r="H13" s="221" t="s">
        <v>21</v>
      </c>
      <c r="I13" s="223">
        <v>651</v>
      </c>
      <c r="J13" s="221" t="s">
        <v>22</v>
      </c>
      <c r="K13" s="231">
        <v>13.5</v>
      </c>
      <c r="L13" s="225"/>
      <c r="M13" s="232">
        <v>0</v>
      </c>
      <c r="N13" s="226"/>
      <c r="O13" s="226"/>
      <c r="P13" s="226"/>
      <c r="Q13" s="226" t="s">
        <v>23</v>
      </c>
      <c r="R13" s="226" t="s">
        <v>23</v>
      </c>
      <c r="S13" s="233">
        <v>44621</v>
      </c>
      <c r="T13" s="221" t="s">
        <v>29</v>
      </c>
    </row>
    <row r="14" spans="1:20">
      <c r="A14" s="219">
        <v>13</v>
      </c>
      <c r="B14" s="220"/>
      <c r="C14" s="220">
        <v>42005</v>
      </c>
      <c r="D14" s="220">
        <v>38604</v>
      </c>
      <c r="E14" s="221" t="s">
        <v>19</v>
      </c>
      <c r="F14" s="222">
        <v>12.5</v>
      </c>
      <c r="G14" s="222" t="s">
        <v>20</v>
      </c>
      <c r="H14" s="221" t="s">
        <v>21</v>
      </c>
      <c r="I14" s="223">
        <v>651</v>
      </c>
      <c r="J14" s="221" t="s">
        <v>22</v>
      </c>
      <c r="K14" s="231">
        <v>13.5</v>
      </c>
      <c r="L14" s="225"/>
      <c r="M14" s="232">
        <v>0</v>
      </c>
      <c r="N14" s="226"/>
      <c r="O14" s="226"/>
      <c r="P14" s="226"/>
      <c r="Q14" s="226" t="s">
        <v>23</v>
      </c>
      <c r="R14" s="226"/>
      <c r="S14" s="233"/>
      <c r="T14" s="221" t="s">
        <v>29</v>
      </c>
    </row>
    <row r="15" spans="1:20">
      <c r="A15" s="219">
        <v>14</v>
      </c>
      <c r="B15" s="220"/>
      <c r="C15" s="220">
        <v>44061</v>
      </c>
      <c r="D15" s="220">
        <v>43775</v>
      </c>
      <c r="E15" s="221" t="s">
        <v>19</v>
      </c>
      <c r="F15" s="222">
        <v>10</v>
      </c>
      <c r="G15" s="222" t="s">
        <v>20</v>
      </c>
      <c r="H15" s="221" t="s">
        <v>21</v>
      </c>
      <c r="I15" s="223">
        <v>651</v>
      </c>
      <c r="J15" s="221" t="s">
        <v>22</v>
      </c>
      <c r="K15" s="231">
        <v>12.7</v>
      </c>
      <c r="L15" s="225"/>
      <c r="M15" s="232">
        <v>0</v>
      </c>
      <c r="N15" s="226"/>
      <c r="O15" s="226"/>
      <c r="P15" s="226"/>
      <c r="Q15" s="226" t="s">
        <v>23</v>
      </c>
      <c r="R15" s="226"/>
      <c r="S15" s="233"/>
      <c r="T15" s="221" t="s">
        <v>29</v>
      </c>
    </row>
    <row r="16" spans="1:20">
      <c r="A16" s="219">
        <v>15</v>
      </c>
      <c r="B16" s="220"/>
      <c r="C16" s="220">
        <v>43047</v>
      </c>
      <c r="D16" s="220">
        <v>43047</v>
      </c>
      <c r="E16" s="221" t="s">
        <v>19</v>
      </c>
      <c r="F16" s="222">
        <v>6</v>
      </c>
      <c r="G16" s="222" t="s">
        <v>28</v>
      </c>
      <c r="H16" s="221" t="s">
        <v>21</v>
      </c>
      <c r="I16" s="223">
        <v>651</v>
      </c>
      <c r="J16" s="221" t="s">
        <v>22</v>
      </c>
      <c r="K16" s="231">
        <v>13.5</v>
      </c>
      <c r="L16" s="225"/>
      <c r="M16" s="232">
        <v>0</v>
      </c>
      <c r="N16" s="226"/>
      <c r="O16" s="226"/>
      <c r="P16" s="226"/>
      <c r="Q16" s="226" t="s">
        <v>23</v>
      </c>
      <c r="R16" s="226"/>
      <c r="S16" s="233"/>
      <c r="T16" s="221" t="s">
        <v>29</v>
      </c>
    </row>
    <row r="17" spans="1:20">
      <c r="A17" s="219">
        <v>16</v>
      </c>
      <c r="B17" s="220"/>
      <c r="C17" s="220">
        <v>43220</v>
      </c>
      <c r="D17" s="220">
        <v>43220</v>
      </c>
      <c r="E17" s="221" t="s">
        <v>19</v>
      </c>
      <c r="F17" s="222">
        <v>10</v>
      </c>
      <c r="G17" s="222" t="s">
        <v>20</v>
      </c>
      <c r="H17" s="221" t="s">
        <v>21</v>
      </c>
      <c r="I17" s="223">
        <v>651</v>
      </c>
      <c r="J17" s="221" t="s">
        <v>22</v>
      </c>
      <c r="K17" s="231">
        <v>13.5</v>
      </c>
      <c r="L17" s="225"/>
      <c r="M17" s="232">
        <v>0</v>
      </c>
      <c r="N17" s="226"/>
      <c r="O17" s="226"/>
      <c r="P17" s="226"/>
      <c r="Q17" s="226" t="s">
        <v>23</v>
      </c>
      <c r="R17" s="226"/>
      <c r="S17" s="233"/>
      <c r="T17" s="221" t="s">
        <v>32</v>
      </c>
    </row>
    <row r="18" spans="1:20">
      <c r="A18" s="219">
        <v>17</v>
      </c>
      <c r="B18" s="220"/>
      <c r="C18" s="220">
        <v>43346</v>
      </c>
      <c r="D18" s="220">
        <v>43346</v>
      </c>
      <c r="E18" s="221" t="s">
        <v>19</v>
      </c>
      <c r="F18" s="222">
        <v>10</v>
      </c>
      <c r="G18" s="222" t="s">
        <v>20</v>
      </c>
      <c r="H18" s="221" t="s">
        <v>21</v>
      </c>
      <c r="I18" s="223">
        <v>651</v>
      </c>
      <c r="J18" s="221" t="s">
        <v>22</v>
      </c>
      <c r="K18" s="231">
        <v>13.09</v>
      </c>
      <c r="L18" s="225"/>
      <c r="M18" s="232">
        <v>0</v>
      </c>
      <c r="N18" s="226"/>
      <c r="O18" s="226"/>
      <c r="P18" s="226"/>
      <c r="Q18" s="226" t="s">
        <v>23</v>
      </c>
      <c r="R18" s="226"/>
      <c r="S18" s="233"/>
      <c r="T18" s="221" t="s">
        <v>32</v>
      </c>
    </row>
    <row r="19" spans="1:20">
      <c r="A19" s="219">
        <v>18</v>
      </c>
      <c r="B19" s="220"/>
      <c r="C19" s="220">
        <v>43766</v>
      </c>
      <c r="D19" s="220">
        <v>43766</v>
      </c>
      <c r="E19" s="221" t="s">
        <v>19</v>
      </c>
      <c r="F19" s="222">
        <v>10</v>
      </c>
      <c r="G19" s="222" t="s">
        <v>20</v>
      </c>
      <c r="H19" s="221" t="s">
        <v>21</v>
      </c>
      <c r="I19" s="223">
        <v>651</v>
      </c>
      <c r="J19" s="221" t="s">
        <v>22</v>
      </c>
      <c r="K19" s="231">
        <v>12.7</v>
      </c>
      <c r="L19" s="225"/>
      <c r="M19" s="232">
        <v>0</v>
      </c>
      <c r="N19" s="226"/>
      <c r="O19" s="226"/>
      <c r="P19" s="226"/>
      <c r="Q19" s="226" t="s">
        <v>23</v>
      </c>
      <c r="R19" s="226"/>
      <c r="S19" s="233"/>
      <c r="T19" s="221" t="s">
        <v>32</v>
      </c>
    </row>
    <row r="20" spans="1:20">
      <c r="A20" s="219">
        <v>19</v>
      </c>
      <c r="B20" s="220"/>
      <c r="C20" s="220">
        <v>42005</v>
      </c>
      <c r="D20" s="220">
        <v>36922</v>
      </c>
      <c r="E20" s="221" t="s">
        <v>19</v>
      </c>
      <c r="F20" s="222">
        <v>10</v>
      </c>
      <c r="G20" s="222" t="s">
        <v>20</v>
      </c>
      <c r="H20" s="221" t="s">
        <v>21</v>
      </c>
      <c r="I20" s="223">
        <v>651</v>
      </c>
      <c r="J20" s="221" t="s">
        <v>22</v>
      </c>
      <c r="K20" s="231">
        <v>13.5</v>
      </c>
      <c r="L20" s="225"/>
      <c r="M20" s="232">
        <v>0</v>
      </c>
      <c r="N20" s="226"/>
      <c r="O20" s="226"/>
      <c r="P20" s="226"/>
      <c r="Q20" s="226"/>
      <c r="R20" s="226"/>
      <c r="S20" s="233"/>
      <c r="T20" s="221" t="s">
        <v>32</v>
      </c>
    </row>
    <row r="21" spans="1:20">
      <c r="A21" s="219">
        <v>20</v>
      </c>
      <c r="B21" s="220"/>
      <c r="C21" s="220">
        <v>42005</v>
      </c>
      <c r="D21" s="220">
        <v>38222</v>
      </c>
      <c r="E21" s="221" t="s">
        <v>19</v>
      </c>
      <c r="F21" s="222">
        <v>15</v>
      </c>
      <c r="G21" s="222" t="s">
        <v>20</v>
      </c>
      <c r="H21" s="221" t="s">
        <v>21</v>
      </c>
      <c r="I21" s="223">
        <v>651</v>
      </c>
      <c r="J21" s="221" t="s">
        <v>22</v>
      </c>
      <c r="K21" s="231">
        <v>13.5</v>
      </c>
      <c r="L21" s="225"/>
      <c r="M21" s="232">
        <v>0.04</v>
      </c>
      <c r="N21" s="226"/>
      <c r="O21" s="226"/>
      <c r="P21" s="226"/>
      <c r="Q21" s="226"/>
      <c r="R21" s="226" t="s">
        <v>23</v>
      </c>
      <c r="S21" s="233">
        <v>44620</v>
      </c>
      <c r="T21" s="221" t="s">
        <v>32</v>
      </c>
    </row>
    <row r="22" spans="1:20">
      <c r="A22" s="219">
        <v>21</v>
      </c>
      <c r="B22" s="220"/>
      <c r="C22" s="220">
        <v>42005</v>
      </c>
      <c r="D22" s="220">
        <v>37545</v>
      </c>
      <c r="E22" s="221" t="s">
        <v>19</v>
      </c>
      <c r="F22" s="222">
        <v>0.05</v>
      </c>
      <c r="G22" s="222" t="s">
        <v>27</v>
      </c>
      <c r="H22" s="221" t="s">
        <v>21</v>
      </c>
      <c r="I22" s="223">
        <v>651</v>
      </c>
      <c r="J22" s="221" t="s">
        <v>22</v>
      </c>
      <c r="K22" s="231">
        <v>13.5</v>
      </c>
      <c r="L22" s="225"/>
      <c r="M22" s="232">
        <v>0</v>
      </c>
      <c r="N22" s="226"/>
      <c r="O22" s="226"/>
      <c r="P22" s="226"/>
      <c r="Q22" s="226" t="s">
        <v>23</v>
      </c>
      <c r="R22" s="226"/>
      <c r="S22" s="233"/>
      <c r="T22" s="221" t="s">
        <v>32</v>
      </c>
    </row>
    <row r="23" spans="1:20">
      <c r="A23" s="219">
        <v>22</v>
      </c>
      <c r="B23" s="220"/>
      <c r="C23" s="220">
        <v>42005</v>
      </c>
      <c r="D23" s="220">
        <v>37271</v>
      </c>
      <c r="E23" s="221" t="s">
        <v>19</v>
      </c>
      <c r="F23" s="222">
        <v>21</v>
      </c>
      <c r="G23" s="222" t="s">
        <v>20</v>
      </c>
      <c r="H23" s="221" t="s">
        <v>21</v>
      </c>
      <c r="I23" s="223">
        <v>651</v>
      </c>
      <c r="J23" s="221" t="s">
        <v>22</v>
      </c>
      <c r="K23" s="231">
        <v>13.5</v>
      </c>
      <c r="L23" s="225"/>
      <c r="M23" s="232">
        <v>0</v>
      </c>
      <c r="N23" s="226"/>
      <c r="O23" s="226"/>
      <c r="P23" s="226"/>
      <c r="Q23" s="226" t="s">
        <v>23</v>
      </c>
      <c r="R23" s="226" t="s">
        <v>23</v>
      </c>
      <c r="S23" s="233">
        <v>44621</v>
      </c>
      <c r="T23" s="221" t="s">
        <v>2029</v>
      </c>
    </row>
    <row r="24" spans="1:20">
      <c r="A24" s="219">
        <v>23</v>
      </c>
      <c r="B24" s="220"/>
      <c r="C24" s="220">
        <v>42005</v>
      </c>
      <c r="D24" s="220">
        <v>39972</v>
      </c>
      <c r="E24" s="221" t="s">
        <v>19</v>
      </c>
      <c r="F24" s="222">
        <v>10</v>
      </c>
      <c r="G24" s="222" t="s">
        <v>20</v>
      </c>
      <c r="H24" s="221" t="s">
        <v>21</v>
      </c>
      <c r="I24" s="223">
        <v>651</v>
      </c>
      <c r="J24" s="221" t="s">
        <v>22</v>
      </c>
      <c r="K24" s="231">
        <v>13.5</v>
      </c>
      <c r="L24" s="225"/>
      <c r="M24" s="232">
        <v>0</v>
      </c>
      <c r="N24" s="226"/>
      <c r="O24" s="226"/>
      <c r="P24" s="226"/>
      <c r="Q24" s="226"/>
      <c r="R24" s="226"/>
      <c r="S24" s="233"/>
      <c r="T24" s="221" t="s">
        <v>32</v>
      </c>
    </row>
    <row r="25" spans="1:20">
      <c r="A25" s="219">
        <v>24</v>
      </c>
      <c r="B25" s="220"/>
      <c r="C25" s="220">
        <v>42005</v>
      </c>
      <c r="D25" s="220">
        <v>38604</v>
      </c>
      <c r="E25" s="221" t="s">
        <v>19</v>
      </c>
      <c r="F25" s="222">
        <v>10</v>
      </c>
      <c r="G25" s="222" t="s">
        <v>20</v>
      </c>
      <c r="H25" s="221" t="s">
        <v>21</v>
      </c>
      <c r="I25" s="223">
        <v>651</v>
      </c>
      <c r="J25" s="221" t="s">
        <v>22</v>
      </c>
      <c r="K25" s="231">
        <v>13.5</v>
      </c>
      <c r="L25" s="225"/>
      <c r="M25" s="232">
        <v>0</v>
      </c>
      <c r="N25" s="226"/>
      <c r="O25" s="226"/>
      <c r="P25" s="226"/>
      <c r="Q25" s="226" t="s">
        <v>23</v>
      </c>
      <c r="R25" s="226"/>
      <c r="S25" s="233"/>
      <c r="T25" s="221" t="s">
        <v>32</v>
      </c>
    </row>
    <row r="26" spans="1:20">
      <c r="A26" s="219">
        <v>25</v>
      </c>
      <c r="B26" s="220"/>
      <c r="C26" s="220">
        <v>42005</v>
      </c>
      <c r="D26" s="220">
        <v>36633</v>
      </c>
      <c r="E26" s="221" t="s">
        <v>19</v>
      </c>
      <c r="F26" s="222">
        <v>12.5</v>
      </c>
      <c r="G26" s="222" t="s">
        <v>20</v>
      </c>
      <c r="H26" s="221" t="s">
        <v>21</v>
      </c>
      <c r="I26" s="223">
        <v>651</v>
      </c>
      <c r="J26" s="221" t="s">
        <v>22</v>
      </c>
      <c r="K26" s="231">
        <v>13.5</v>
      </c>
      <c r="L26" s="225"/>
      <c r="M26" s="232">
        <v>0</v>
      </c>
      <c r="N26" s="226"/>
      <c r="O26" s="226"/>
      <c r="P26" s="226"/>
      <c r="Q26" s="226" t="s">
        <v>23</v>
      </c>
      <c r="R26" s="226"/>
      <c r="S26" s="233"/>
      <c r="T26" s="221" t="s">
        <v>32</v>
      </c>
    </row>
    <row r="27" spans="1:20">
      <c r="A27" s="219">
        <v>26</v>
      </c>
      <c r="B27" s="220"/>
      <c r="C27" s="220">
        <v>42181</v>
      </c>
      <c r="D27" s="220">
        <v>42181</v>
      </c>
      <c r="E27" s="221" t="s">
        <v>19</v>
      </c>
      <c r="F27" s="222">
        <v>5</v>
      </c>
      <c r="G27" s="222" t="s">
        <v>20</v>
      </c>
      <c r="H27" s="221" t="s">
        <v>33</v>
      </c>
      <c r="I27" s="223">
        <v>665</v>
      </c>
      <c r="J27" s="221" t="s">
        <v>34</v>
      </c>
      <c r="K27" s="231">
        <v>13.5</v>
      </c>
      <c r="L27" s="225"/>
      <c r="M27" s="232">
        <v>0</v>
      </c>
      <c r="N27" s="226"/>
      <c r="O27" s="226" t="s">
        <v>35</v>
      </c>
      <c r="P27" s="226"/>
      <c r="Q27" s="226" t="s">
        <v>23</v>
      </c>
      <c r="R27" s="226"/>
      <c r="S27" s="233"/>
      <c r="T27" s="221" t="s">
        <v>32</v>
      </c>
    </row>
    <row r="28" spans="1:20">
      <c r="A28" s="219">
        <v>27</v>
      </c>
      <c r="B28" s="220"/>
      <c r="C28" s="220">
        <v>44061</v>
      </c>
      <c r="D28" s="220">
        <v>43255</v>
      </c>
      <c r="E28" s="221" t="s">
        <v>19</v>
      </c>
      <c r="F28" s="222">
        <v>12.5</v>
      </c>
      <c r="G28" s="222" t="s">
        <v>20</v>
      </c>
      <c r="H28" s="221" t="s">
        <v>21</v>
      </c>
      <c r="I28" s="223">
        <v>651</v>
      </c>
      <c r="J28" s="221" t="s">
        <v>22</v>
      </c>
      <c r="K28" s="231">
        <v>13.5</v>
      </c>
      <c r="L28" s="225"/>
      <c r="M28" s="232">
        <v>0</v>
      </c>
      <c r="N28" s="226"/>
      <c r="O28" s="226"/>
      <c r="P28" s="226"/>
      <c r="Q28" s="226" t="s">
        <v>23</v>
      </c>
      <c r="R28" s="226"/>
      <c r="S28" s="233"/>
      <c r="T28" s="221" t="s">
        <v>36</v>
      </c>
    </row>
    <row r="29" spans="1:20">
      <c r="A29" s="219">
        <v>28</v>
      </c>
      <c r="B29" s="220"/>
      <c r="C29" s="220">
        <v>41974</v>
      </c>
      <c r="D29" s="220">
        <v>41974</v>
      </c>
      <c r="E29" s="221" t="s">
        <v>19</v>
      </c>
      <c r="F29" s="222">
        <v>7.5</v>
      </c>
      <c r="G29" s="222" t="s">
        <v>20</v>
      </c>
      <c r="H29" s="221" t="s">
        <v>30</v>
      </c>
      <c r="I29" s="223">
        <v>672</v>
      </c>
      <c r="J29" s="221" t="s">
        <v>31</v>
      </c>
      <c r="K29" s="231">
        <v>15.59</v>
      </c>
      <c r="L29" s="225"/>
      <c r="M29" s="232">
        <v>0</v>
      </c>
      <c r="N29" s="226"/>
      <c r="O29" s="226"/>
      <c r="P29" s="226"/>
      <c r="Q29" s="226" t="s">
        <v>23</v>
      </c>
      <c r="R29" s="226"/>
      <c r="S29" s="233"/>
      <c r="T29" s="221" t="s">
        <v>36</v>
      </c>
    </row>
    <row r="30" spans="1:20">
      <c r="A30" s="219">
        <v>29</v>
      </c>
      <c r="B30" s="220"/>
      <c r="C30" s="220">
        <v>42005</v>
      </c>
      <c r="D30" s="220">
        <v>37012</v>
      </c>
      <c r="E30" s="221" t="s">
        <v>19</v>
      </c>
      <c r="F30" s="222">
        <v>10</v>
      </c>
      <c r="G30" s="222" t="s">
        <v>20</v>
      </c>
      <c r="H30" s="221" t="s">
        <v>21</v>
      </c>
      <c r="I30" s="223">
        <v>651</v>
      </c>
      <c r="J30" s="221" t="s">
        <v>22</v>
      </c>
      <c r="K30" s="231">
        <v>13.5</v>
      </c>
      <c r="L30" s="225"/>
      <c r="M30" s="232">
        <v>0</v>
      </c>
      <c r="N30" s="226"/>
      <c r="O30" s="226"/>
      <c r="P30" s="226"/>
      <c r="Q30" s="226" t="s">
        <v>23</v>
      </c>
      <c r="R30" s="226"/>
      <c r="S30" s="233"/>
      <c r="T30" s="221" t="s">
        <v>36</v>
      </c>
    </row>
    <row r="31" spans="1:20">
      <c r="A31" s="219">
        <v>30</v>
      </c>
      <c r="B31" s="220"/>
      <c r="C31" s="220">
        <v>42005</v>
      </c>
      <c r="D31" s="220">
        <v>40051</v>
      </c>
      <c r="E31" s="221" t="s">
        <v>19</v>
      </c>
      <c r="F31" s="222">
        <v>12.5</v>
      </c>
      <c r="G31" s="222" t="s">
        <v>20</v>
      </c>
      <c r="H31" s="221" t="s">
        <v>21</v>
      </c>
      <c r="I31" s="223">
        <v>651</v>
      </c>
      <c r="J31" s="221" t="s">
        <v>22</v>
      </c>
      <c r="K31" s="231">
        <v>13.5</v>
      </c>
      <c r="L31" s="225"/>
      <c r="M31" s="232">
        <v>0</v>
      </c>
      <c r="N31" s="226"/>
      <c r="O31" s="226"/>
      <c r="P31" s="226"/>
      <c r="Q31" s="226" t="s">
        <v>23</v>
      </c>
      <c r="R31" s="226"/>
      <c r="S31" s="233"/>
      <c r="T31" s="221" t="s">
        <v>36</v>
      </c>
    </row>
    <row r="32" spans="1:20">
      <c r="A32" s="219">
        <v>31</v>
      </c>
      <c r="B32" s="220"/>
      <c r="C32" s="220">
        <v>42005</v>
      </c>
      <c r="D32" s="220">
        <v>37291</v>
      </c>
      <c r="E32" s="221" t="s">
        <v>19</v>
      </c>
      <c r="F32" s="222">
        <v>12.5</v>
      </c>
      <c r="G32" s="222" t="s">
        <v>20</v>
      </c>
      <c r="H32" s="221" t="s">
        <v>21</v>
      </c>
      <c r="I32" s="223">
        <v>651</v>
      </c>
      <c r="J32" s="221" t="s">
        <v>22</v>
      </c>
      <c r="K32" s="231">
        <v>13.5</v>
      </c>
      <c r="L32" s="225"/>
      <c r="M32" s="232">
        <v>0</v>
      </c>
      <c r="N32" s="226"/>
      <c r="O32" s="226"/>
      <c r="P32" s="226"/>
      <c r="Q32" s="226" t="s">
        <v>23</v>
      </c>
      <c r="R32" s="226"/>
      <c r="S32" s="233"/>
      <c r="T32" s="221" t="s">
        <v>36</v>
      </c>
    </row>
    <row r="33" spans="1:20">
      <c r="A33" s="219">
        <v>32</v>
      </c>
      <c r="B33" s="220"/>
      <c r="C33" s="220">
        <v>42044</v>
      </c>
      <c r="D33" s="220">
        <v>42044</v>
      </c>
      <c r="E33" s="221" t="s">
        <v>19</v>
      </c>
      <c r="F33" s="222">
        <v>18.25</v>
      </c>
      <c r="G33" s="222" t="s">
        <v>20</v>
      </c>
      <c r="H33" s="221" t="s">
        <v>21</v>
      </c>
      <c r="I33" s="223">
        <v>651</v>
      </c>
      <c r="J33" s="221" t="s">
        <v>22</v>
      </c>
      <c r="K33" s="231">
        <v>13.5</v>
      </c>
      <c r="L33" s="225"/>
      <c r="M33" s="232">
        <v>0</v>
      </c>
      <c r="N33" s="226"/>
      <c r="O33" s="226"/>
      <c r="P33" s="226"/>
      <c r="Q33" s="226" t="s">
        <v>23</v>
      </c>
      <c r="R33" s="226"/>
      <c r="S33" s="233"/>
      <c r="T33" s="221" t="s">
        <v>36</v>
      </c>
    </row>
    <row r="34" spans="1:20">
      <c r="A34" s="219">
        <v>33</v>
      </c>
      <c r="B34" s="220"/>
      <c r="C34" s="220">
        <v>42443</v>
      </c>
      <c r="D34" s="220">
        <v>42443</v>
      </c>
      <c r="E34" s="221" t="s">
        <v>19</v>
      </c>
      <c r="F34" s="222">
        <v>16.75</v>
      </c>
      <c r="G34" s="222" t="s">
        <v>20</v>
      </c>
      <c r="H34" s="221" t="s">
        <v>21</v>
      </c>
      <c r="I34" s="223">
        <v>651</v>
      </c>
      <c r="J34" s="221" t="s">
        <v>22</v>
      </c>
      <c r="K34" s="231">
        <v>13.5</v>
      </c>
      <c r="L34" s="225"/>
      <c r="M34" s="232">
        <v>0</v>
      </c>
      <c r="N34" s="226"/>
      <c r="O34" s="226"/>
      <c r="P34" s="226"/>
      <c r="Q34" s="226" t="s">
        <v>23</v>
      </c>
      <c r="R34" s="226"/>
      <c r="S34" s="233"/>
      <c r="T34" s="221" t="s">
        <v>36</v>
      </c>
    </row>
    <row r="35" spans="1:20">
      <c r="A35" s="219">
        <v>34</v>
      </c>
      <c r="B35" s="220"/>
      <c r="C35" s="220">
        <v>43047</v>
      </c>
      <c r="D35" s="220">
        <v>43047</v>
      </c>
      <c r="E35" s="221" t="s">
        <v>19</v>
      </c>
      <c r="F35" s="222">
        <v>4</v>
      </c>
      <c r="G35" s="222" t="s">
        <v>28</v>
      </c>
      <c r="H35" s="221" t="s">
        <v>21</v>
      </c>
      <c r="I35" s="223">
        <v>651</v>
      </c>
      <c r="J35" s="221" t="s">
        <v>22</v>
      </c>
      <c r="K35" s="231">
        <v>13.5</v>
      </c>
      <c r="L35" s="225"/>
      <c r="M35" s="232">
        <v>0</v>
      </c>
      <c r="N35" s="226"/>
      <c r="O35" s="226"/>
      <c r="P35" s="226"/>
      <c r="Q35" s="226" t="s">
        <v>23</v>
      </c>
      <c r="R35" s="226"/>
      <c r="S35" s="233"/>
      <c r="T35" s="221" t="s">
        <v>36</v>
      </c>
    </row>
    <row r="36" spans="1:20">
      <c r="A36" s="219">
        <v>35</v>
      </c>
      <c r="B36" s="220"/>
      <c r="C36" s="220">
        <v>43255</v>
      </c>
      <c r="D36" s="220">
        <v>43255</v>
      </c>
      <c r="E36" s="221" t="s">
        <v>19</v>
      </c>
      <c r="F36" s="222">
        <v>15</v>
      </c>
      <c r="G36" s="222" t="s">
        <v>20</v>
      </c>
      <c r="H36" s="221" t="s">
        <v>33</v>
      </c>
      <c r="I36" s="223">
        <v>665</v>
      </c>
      <c r="J36" s="221" t="s">
        <v>34</v>
      </c>
      <c r="K36" s="231">
        <v>13.5</v>
      </c>
      <c r="L36" s="225"/>
      <c r="M36" s="232">
        <v>0</v>
      </c>
      <c r="N36" s="226"/>
      <c r="O36" s="226"/>
      <c r="P36" s="226"/>
      <c r="Q36" s="226" t="s">
        <v>23</v>
      </c>
      <c r="R36" s="226" t="s">
        <v>23</v>
      </c>
      <c r="S36" s="233">
        <v>44539</v>
      </c>
      <c r="T36" s="221" t="s">
        <v>37</v>
      </c>
    </row>
    <row r="37" spans="1:20">
      <c r="A37" s="219">
        <v>36</v>
      </c>
      <c r="B37" s="220"/>
      <c r="C37" s="220">
        <v>43319</v>
      </c>
      <c r="D37" s="220">
        <v>43319</v>
      </c>
      <c r="E37" s="221" t="s">
        <v>19</v>
      </c>
      <c r="F37" s="222">
        <v>10</v>
      </c>
      <c r="G37" s="222" t="s">
        <v>20</v>
      </c>
      <c r="H37" s="221" t="s">
        <v>21</v>
      </c>
      <c r="I37" s="223">
        <v>651</v>
      </c>
      <c r="J37" s="221" t="s">
        <v>22</v>
      </c>
      <c r="K37" s="231">
        <v>13.09</v>
      </c>
      <c r="L37" s="225"/>
      <c r="M37" s="232">
        <v>0</v>
      </c>
      <c r="N37" s="226"/>
      <c r="O37" s="226"/>
      <c r="P37" s="226"/>
      <c r="Q37" s="226" t="s">
        <v>23</v>
      </c>
      <c r="R37" s="226"/>
      <c r="S37" s="233"/>
      <c r="T37" s="221" t="s">
        <v>37</v>
      </c>
    </row>
    <row r="38" spans="1:20">
      <c r="A38" s="219">
        <v>37</v>
      </c>
      <c r="B38" s="220"/>
      <c r="C38" s="220">
        <v>44432</v>
      </c>
      <c r="D38" s="220">
        <v>44432</v>
      </c>
      <c r="E38" s="221" t="s">
        <v>38</v>
      </c>
      <c r="F38" s="222">
        <v>15</v>
      </c>
      <c r="G38" s="222" t="s">
        <v>39</v>
      </c>
      <c r="H38" s="221" t="s">
        <v>21</v>
      </c>
      <c r="I38" s="223">
        <v>651</v>
      </c>
      <c r="J38" s="221" t="s">
        <v>22</v>
      </c>
      <c r="K38" s="231">
        <v>13.5</v>
      </c>
      <c r="L38" s="225"/>
      <c r="M38" s="232">
        <v>0</v>
      </c>
      <c r="N38" s="226"/>
      <c r="O38" s="226"/>
      <c r="P38" s="226"/>
      <c r="Q38" s="226"/>
      <c r="R38" s="226"/>
      <c r="S38" s="233"/>
      <c r="T38" s="221" t="s">
        <v>37</v>
      </c>
    </row>
    <row r="39" spans="1:20">
      <c r="A39" s="219">
        <v>38</v>
      </c>
      <c r="B39" s="220"/>
      <c r="C39" s="220">
        <v>44480</v>
      </c>
      <c r="D39" s="220">
        <v>44480</v>
      </c>
      <c r="E39" s="221" t="s">
        <v>38</v>
      </c>
      <c r="F39" s="222">
        <v>10</v>
      </c>
      <c r="G39" s="222" t="s">
        <v>39</v>
      </c>
      <c r="H39" s="221" t="s">
        <v>21</v>
      </c>
      <c r="I39" s="223">
        <v>651</v>
      </c>
      <c r="J39" s="221" t="s">
        <v>22</v>
      </c>
      <c r="K39" s="231">
        <v>11.83</v>
      </c>
      <c r="L39" s="225"/>
      <c r="M39" s="232">
        <v>0</v>
      </c>
      <c r="N39" s="226"/>
      <c r="O39" s="226"/>
      <c r="P39" s="226"/>
      <c r="Q39" s="226"/>
      <c r="R39" s="226"/>
      <c r="S39" s="233"/>
      <c r="T39" s="221" t="s">
        <v>37</v>
      </c>
    </row>
    <row r="40" spans="1:20">
      <c r="A40" s="219">
        <v>39</v>
      </c>
      <c r="B40" s="220"/>
      <c r="C40" s="220">
        <v>42005</v>
      </c>
      <c r="D40" s="220">
        <v>37235</v>
      </c>
      <c r="E40" s="221" t="s">
        <v>19</v>
      </c>
      <c r="F40" s="222">
        <v>10</v>
      </c>
      <c r="G40" s="222" t="s">
        <v>20</v>
      </c>
      <c r="H40" s="221" t="s">
        <v>21</v>
      </c>
      <c r="I40" s="223">
        <v>651</v>
      </c>
      <c r="J40" s="221" t="s">
        <v>22</v>
      </c>
      <c r="K40" s="231">
        <v>13.5</v>
      </c>
      <c r="L40" s="225"/>
      <c r="M40" s="232">
        <v>0</v>
      </c>
      <c r="N40" s="226"/>
      <c r="O40" s="226"/>
      <c r="P40" s="226"/>
      <c r="Q40" s="226"/>
      <c r="R40" s="226" t="s">
        <v>23</v>
      </c>
      <c r="S40" s="233">
        <v>44326</v>
      </c>
      <c r="T40" s="221" t="s">
        <v>37</v>
      </c>
    </row>
    <row r="41" spans="1:20">
      <c r="A41" s="219">
        <v>40</v>
      </c>
      <c r="B41" s="220"/>
      <c r="C41" s="220">
        <v>42005</v>
      </c>
      <c r="D41" s="220">
        <v>31698</v>
      </c>
      <c r="E41" s="221" t="s">
        <v>19</v>
      </c>
      <c r="F41" s="222">
        <v>7.5</v>
      </c>
      <c r="G41" s="222" t="s">
        <v>20</v>
      </c>
      <c r="H41" s="221" t="s">
        <v>21</v>
      </c>
      <c r="I41" s="223">
        <v>651</v>
      </c>
      <c r="J41" s="221" t="s">
        <v>22</v>
      </c>
      <c r="K41" s="231">
        <v>13.5</v>
      </c>
      <c r="L41" s="225"/>
      <c r="M41" s="232">
        <v>0.27</v>
      </c>
      <c r="N41" s="226"/>
      <c r="O41" s="226"/>
      <c r="P41" s="226"/>
      <c r="Q41" s="226" t="s">
        <v>23</v>
      </c>
      <c r="R41" s="226"/>
      <c r="S41" s="233"/>
      <c r="T41" s="221" t="s">
        <v>37</v>
      </c>
    </row>
    <row r="42" spans="1:20">
      <c r="A42" s="219">
        <v>41</v>
      </c>
      <c r="B42" s="220"/>
      <c r="C42" s="220">
        <v>42005</v>
      </c>
      <c r="D42" s="220">
        <v>36899</v>
      </c>
      <c r="E42" s="221" t="s">
        <v>19</v>
      </c>
      <c r="F42" s="222">
        <v>10</v>
      </c>
      <c r="G42" s="222" t="s">
        <v>20</v>
      </c>
      <c r="H42" s="221" t="s">
        <v>21</v>
      </c>
      <c r="I42" s="223">
        <v>651</v>
      </c>
      <c r="J42" s="221" t="s">
        <v>22</v>
      </c>
      <c r="K42" s="231">
        <v>13.5</v>
      </c>
      <c r="L42" s="225"/>
      <c r="M42" s="232">
        <v>0</v>
      </c>
      <c r="N42" s="226"/>
      <c r="O42" s="226"/>
      <c r="P42" s="226"/>
      <c r="Q42" s="226" t="s">
        <v>23</v>
      </c>
      <c r="R42" s="226"/>
      <c r="S42" s="233"/>
      <c r="T42" s="221" t="s">
        <v>37</v>
      </c>
    </row>
    <row r="43" spans="1:20">
      <c r="A43" s="219">
        <v>42</v>
      </c>
      <c r="B43" s="220"/>
      <c r="C43" s="220">
        <v>42005</v>
      </c>
      <c r="D43" s="220">
        <v>37890</v>
      </c>
      <c r="E43" s="221" t="s">
        <v>19</v>
      </c>
      <c r="F43" s="222">
        <v>10</v>
      </c>
      <c r="G43" s="222" t="s">
        <v>20</v>
      </c>
      <c r="H43" s="221" t="s">
        <v>21</v>
      </c>
      <c r="I43" s="223">
        <v>651</v>
      </c>
      <c r="J43" s="221" t="s">
        <v>22</v>
      </c>
      <c r="K43" s="231">
        <v>13.5</v>
      </c>
      <c r="L43" s="225"/>
      <c r="M43" s="232">
        <v>0</v>
      </c>
      <c r="N43" s="226"/>
      <c r="O43" s="226"/>
      <c r="P43" s="226"/>
      <c r="Q43" s="226" t="s">
        <v>23</v>
      </c>
      <c r="R43" s="226" t="s">
        <v>23</v>
      </c>
      <c r="S43" s="233">
        <v>44501</v>
      </c>
      <c r="T43" s="221" t="s">
        <v>37</v>
      </c>
    </row>
    <row r="44" spans="1:20">
      <c r="A44" s="219">
        <v>43</v>
      </c>
      <c r="B44" s="220"/>
      <c r="C44" s="220">
        <v>43047</v>
      </c>
      <c r="D44" s="220">
        <v>43047</v>
      </c>
      <c r="E44" s="221" t="s">
        <v>19</v>
      </c>
      <c r="F44" s="222">
        <v>12.5</v>
      </c>
      <c r="G44" s="222" t="s">
        <v>20</v>
      </c>
      <c r="H44" s="221" t="s">
        <v>21</v>
      </c>
      <c r="I44" s="223">
        <v>651</v>
      </c>
      <c r="J44" s="221" t="s">
        <v>22</v>
      </c>
      <c r="K44" s="231">
        <v>13.5</v>
      </c>
      <c r="L44" s="225"/>
      <c r="M44" s="232">
        <v>0</v>
      </c>
      <c r="N44" s="226"/>
      <c r="O44" s="226"/>
      <c r="P44" s="226"/>
      <c r="Q44" s="226" t="s">
        <v>23</v>
      </c>
      <c r="R44" s="226"/>
      <c r="S44" s="233"/>
      <c r="T44" s="221" t="s">
        <v>37</v>
      </c>
    </row>
    <row r="45" spans="1:20">
      <c r="A45" s="219">
        <v>44</v>
      </c>
      <c r="B45" s="220"/>
      <c r="C45" s="220">
        <v>43143</v>
      </c>
      <c r="D45" s="220">
        <v>43143</v>
      </c>
      <c r="E45" s="221" t="s">
        <v>19</v>
      </c>
      <c r="F45" s="222">
        <v>10</v>
      </c>
      <c r="G45" s="222" t="s">
        <v>20</v>
      </c>
      <c r="H45" s="221" t="s">
        <v>21</v>
      </c>
      <c r="I45" s="223">
        <v>651</v>
      </c>
      <c r="J45" s="221" t="s">
        <v>22</v>
      </c>
      <c r="K45" s="231">
        <v>13.5</v>
      </c>
      <c r="L45" s="225"/>
      <c r="M45" s="232">
        <v>0</v>
      </c>
      <c r="N45" s="226"/>
      <c r="O45" s="226"/>
      <c r="P45" s="226"/>
      <c r="Q45" s="226" t="s">
        <v>23</v>
      </c>
      <c r="R45" s="226"/>
      <c r="S45" s="233"/>
      <c r="T45" s="221" t="s">
        <v>40</v>
      </c>
    </row>
    <row r="46" spans="1:20">
      <c r="A46" s="219">
        <v>45</v>
      </c>
      <c r="B46" s="220"/>
      <c r="C46" s="220">
        <v>42005</v>
      </c>
      <c r="D46" s="220">
        <v>33903</v>
      </c>
      <c r="E46" s="221" t="s">
        <v>19</v>
      </c>
      <c r="F46" s="222">
        <v>12.5</v>
      </c>
      <c r="G46" s="222" t="s">
        <v>20</v>
      </c>
      <c r="H46" s="221" t="s">
        <v>21</v>
      </c>
      <c r="I46" s="223">
        <v>651</v>
      </c>
      <c r="J46" s="221" t="s">
        <v>22</v>
      </c>
      <c r="K46" s="231">
        <v>13.5</v>
      </c>
      <c r="L46" s="225"/>
      <c r="M46" s="232">
        <v>0</v>
      </c>
      <c r="N46" s="226"/>
      <c r="O46" s="226"/>
      <c r="P46" s="226"/>
      <c r="Q46" s="226" t="s">
        <v>23</v>
      </c>
      <c r="R46" s="226"/>
      <c r="S46" s="233"/>
      <c r="T46" s="221" t="s">
        <v>40</v>
      </c>
    </row>
    <row r="47" spans="1:20">
      <c r="A47" s="219">
        <v>46</v>
      </c>
      <c r="B47" s="220"/>
      <c r="C47" s="220">
        <v>42005</v>
      </c>
      <c r="D47" s="220">
        <v>37221</v>
      </c>
      <c r="E47" s="221" t="s">
        <v>19</v>
      </c>
      <c r="F47" s="222">
        <v>22.5</v>
      </c>
      <c r="G47" s="222" t="s">
        <v>20</v>
      </c>
      <c r="H47" s="221" t="s">
        <v>21</v>
      </c>
      <c r="I47" s="223">
        <v>651</v>
      </c>
      <c r="J47" s="221" t="s">
        <v>22</v>
      </c>
      <c r="K47" s="231">
        <v>13.5</v>
      </c>
      <c r="L47" s="225"/>
      <c r="M47" s="232">
        <v>0</v>
      </c>
      <c r="N47" s="226"/>
      <c r="O47" s="226"/>
      <c r="P47" s="226"/>
      <c r="Q47" s="226" t="s">
        <v>23</v>
      </c>
      <c r="R47" s="226"/>
      <c r="S47" s="233"/>
      <c r="T47" s="221" t="s">
        <v>40</v>
      </c>
    </row>
    <row r="48" spans="1:20">
      <c r="A48" s="219">
        <v>47</v>
      </c>
      <c r="B48" s="220"/>
      <c r="C48" s="220">
        <v>42005</v>
      </c>
      <c r="D48" s="220">
        <v>37012</v>
      </c>
      <c r="E48" s="221" t="s">
        <v>19</v>
      </c>
      <c r="F48" s="222">
        <v>12.5</v>
      </c>
      <c r="G48" s="222" t="s">
        <v>41</v>
      </c>
      <c r="H48" s="221" t="s">
        <v>21</v>
      </c>
      <c r="I48" s="223">
        <v>651</v>
      </c>
      <c r="J48" s="221" t="s">
        <v>22</v>
      </c>
      <c r="K48" s="231">
        <v>13.5</v>
      </c>
      <c r="L48" s="225"/>
      <c r="M48" s="232">
        <v>0</v>
      </c>
      <c r="N48" s="226"/>
      <c r="O48" s="226"/>
      <c r="P48" s="226"/>
      <c r="Q48" s="226" t="s">
        <v>23</v>
      </c>
      <c r="R48" s="226"/>
      <c r="S48" s="233"/>
      <c r="T48" s="221" t="s">
        <v>40</v>
      </c>
    </row>
    <row r="49" spans="1:20">
      <c r="A49" s="219">
        <v>48</v>
      </c>
      <c r="B49" s="220"/>
      <c r="C49" s="220">
        <v>42005</v>
      </c>
      <c r="D49" s="220">
        <v>39112</v>
      </c>
      <c r="E49" s="221" t="s">
        <v>19</v>
      </c>
      <c r="F49" s="222">
        <v>16.25</v>
      </c>
      <c r="G49" s="222" t="s">
        <v>20</v>
      </c>
      <c r="H49" s="221" t="s">
        <v>21</v>
      </c>
      <c r="I49" s="223">
        <v>651</v>
      </c>
      <c r="J49" s="221" t="s">
        <v>22</v>
      </c>
      <c r="K49" s="231">
        <v>13.5</v>
      </c>
      <c r="L49" s="225"/>
      <c r="M49" s="232">
        <v>0</v>
      </c>
      <c r="N49" s="226"/>
      <c r="O49" s="226"/>
      <c r="P49" s="226"/>
      <c r="Q49" s="226" t="s">
        <v>23</v>
      </c>
      <c r="R49" s="226"/>
      <c r="S49" s="233"/>
      <c r="T49" s="221" t="s">
        <v>40</v>
      </c>
    </row>
    <row r="50" spans="1:20">
      <c r="A50" s="219">
        <v>49</v>
      </c>
      <c r="B50" s="220"/>
      <c r="C50" s="220">
        <v>42181</v>
      </c>
      <c r="D50" s="220">
        <v>42181</v>
      </c>
      <c r="E50" s="221" t="s">
        <v>19</v>
      </c>
      <c r="F50" s="222">
        <v>12.5</v>
      </c>
      <c r="G50" s="222" t="s">
        <v>20</v>
      </c>
      <c r="H50" s="221" t="s">
        <v>33</v>
      </c>
      <c r="I50" s="223">
        <v>665</v>
      </c>
      <c r="J50" s="221" t="s">
        <v>34</v>
      </c>
      <c r="K50" s="231">
        <v>13.5</v>
      </c>
      <c r="L50" s="225"/>
      <c r="M50" s="232">
        <v>0</v>
      </c>
      <c r="N50" s="226"/>
      <c r="O50" s="226" t="s">
        <v>35</v>
      </c>
      <c r="P50" s="226"/>
      <c r="Q50" s="226" t="s">
        <v>23</v>
      </c>
      <c r="R50" s="226"/>
      <c r="S50" s="233"/>
      <c r="T50" s="221" t="s">
        <v>40</v>
      </c>
    </row>
    <row r="51" spans="1:20">
      <c r="A51" s="219">
        <v>50</v>
      </c>
      <c r="B51" s="220"/>
      <c r="C51" s="220">
        <v>42912</v>
      </c>
      <c r="D51" s="220">
        <v>42912</v>
      </c>
      <c r="E51" s="221" t="s">
        <v>19</v>
      </c>
      <c r="F51" s="222">
        <v>12.5</v>
      </c>
      <c r="G51" s="222" t="s">
        <v>20</v>
      </c>
      <c r="H51" s="221" t="s">
        <v>21</v>
      </c>
      <c r="I51" s="223">
        <v>651</v>
      </c>
      <c r="J51" s="221" t="s">
        <v>22</v>
      </c>
      <c r="K51" s="231">
        <v>13.5</v>
      </c>
      <c r="L51" s="225"/>
      <c r="M51" s="232">
        <v>0</v>
      </c>
      <c r="N51" s="226"/>
      <c r="O51" s="226"/>
      <c r="P51" s="226"/>
      <c r="Q51" s="226" t="s">
        <v>23</v>
      </c>
      <c r="R51" s="226"/>
      <c r="S51" s="233"/>
      <c r="T51" s="221" t="s">
        <v>40</v>
      </c>
    </row>
    <row r="52" spans="1:20">
      <c r="A52" s="219">
        <v>51</v>
      </c>
      <c r="B52" s="220"/>
      <c r="C52" s="220"/>
      <c r="D52" s="220"/>
      <c r="E52" s="221"/>
      <c r="F52" s="222"/>
      <c r="G52" s="222"/>
      <c r="H52" s="221"/>
      <c r="I52" s="223"/>
      <c r="J52" s="221"/>
      <c r="K52" s="224"/>
      <c r="L52" s="225"/>
      <c r="M52" s="226"/>
      <c r="N52" s="226"/>
      <c r="O52" s="226"/>
      <c r="P52" s="226"/>
      <c r="Q52" s="226"/>
      <c r="R52" s="226"/>
      <c r="S52" s="226"/>
      <c r="T52" s="221"/>
    </row>
    <row r="53" spans="1:20">
      <c r="A53" s="219">
        <v>52</v>
      </c>
      <c r="B53" s="220"/>
      <c r="C53" s="220"/>
      <c r="D53" s="220"/>
      <c r="E53" s="221"/>
      <c r="F53" s="222"/>
      <c r="G53" s="222"/>
      <c r="H53" s="221"/>
      <c r="I53" s="223"/>
      <c r="J53" s="221"/>
      <c r="K53" s="224"/>
      <c r="L53" s="225"/>
      <c r="M53" s="226"/>
      <c r="N53" s="226"/>
      <c r="O53" s="226"/>
      <c r="P53" s="226"/>
      <c r="Q53" s="226"/>
      <c r="R53" s="226"/>
      <c r="S53" s="226"/>
      <c r="T53" s="221"/>
    </row>
    <row r="54" spans="1:20">
      <c r="A54" s="219">
        <v>53</v>
      </c>
      <c r="B54" s="220"/>
      <c r="C54" s="220"/>
      <c r="D54" s="220"/>
      <c r="E54" s="221"/>
      <c r="F54" s="222"/>
      <c r="G54" s="222"/>
      <c r="H54" s="221"/>
      <c r="I54" s="223"/>
      <c r="J54" s="221"/>
      <c r="K54" s="224"/>
      <c r="L54" s="225"/>
      <c r="M54" s="226"/>
      <c r="N54" s="226"/>
      <c r="O54" s="226"/>
      <c r="P54" s="226"/>
      <c r="Q54" s="226"/>
      <c r="R54" s="226"/>
      <c r="S54" s="226"/>
      <c r="T54" s="221"/>
    </row>
  </sheetData>
  <autoFilter ref="A1:T54" xr:uid="{4B13CE46-F202-4A1D-B07B-90A3C17D5818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K86"/>
  <sheetViews>
    <sheetView showGridLines="0" zoomScaleNormal="100" zoomScaleSheetLayoutView="100" workbookViewId="0">
      <selection activeCell="B11" sqref="B11"/>
    </sheetView>
  </sheetViews>
  <sheetFormatPr defaultColWidth="9.109375" defaultRowHeight="15" customHeight="1"/>
  <cols>
    <col min="1" max="1" width="9.44140625" style="4" customWidth="1"/>
    <col min="2" max="2" width="55.44140625" style="4" customWidth="1"/>
    <col min="3" max="3" width="13" style="4" customWidth="1"/>
    <col min="4" max="4" width="23.44140625" style="24" bestFit="1" customWidth="1"/>
    <col min="5" max="5" width="16.6640625" style="4" customWidth="1"/>
    <col min="6" max="6" width="17.6640625" style="150" bestFit="1" customWidth="1"/>
    <col min="7" max="7" width="20.33203125" style="4" bestFit="1" customWidth="1"/>
    <col min="8" max="8" width="18" style="100" bestFit="1" customWidth="1"/>
    <col min="9" max="10" width="17.6640625" style="4" bestFit="1" customWidth="1"/>
    <col min="11" max="16384" width="9.109375" style="4"/>
  </cols>
  <sheetData>
    <row r="1" spans="1:11" s="7" customFormat="1" ht="22.5" customHeight="1">
      <c r="A1" s="293" t="s">
        <v>1940</v>
      </c>
      <c r="B1" s="293"/>
      <c r="C1" s="293"/>
      <c r="D1" s="293"/>
      <c r="E1" s="293"/>
      <c r="F1" s="293"/>
      <c r="G1" s="293"/>
      <c r="H1" s="293"/>
      <c r="I1" s="53"/>
    </row>
    <row r="2" spans="1:11" s="7" customFormat="1" ht="15" customHeight="1">
      <c r="A2" s="306" t="s">
        <v>1880</v>
      </c>
      <c r="B2" s="292"/>
      <c r="C2" s="292"/>
      <c r="D2" s="292"/>
      <c r="E2" s="292"/>
      <c r="F2" s="292"/>
      <c r="G2" s="292"/>
      <c r="H2" s="304"/>
    </row>
    <row r="3" spans="1:11" ht="15" customHeight="1">
      <c r="B3" s="24"/>
      <c r="D3" s="4"/>
    </row>
    <row r="4" spans="1:11" ht="15" customHeight="1">
      <c r="A4" s="4" t="s">
        <v>1912</v>
      </c>
      <c r="B4" s="24"/>
      <c r="D4" s="4"/>
    </row>
    <row r="5" spans="1:11" ht="15" customHeight="1">
      <c r="A5" s="4" t="s">
        <v>1882</v>
      </c>
      <c r="B5" s="24"/>
      <c r="D5" s="4"/>
    </row>
    <row r="6" spans="1:11" ht="15" customHeight="1">
      <c r="A6" s="4" t="s">
        <v>1913</v>
      </c>
      <c r="B6" s="24"/>
      <c r="D6" s="4"/>
    </row>
    <row r="7" spans="1:11" ht="15" customHeight="1">
      <c r="B7" s="28"/>
      <c r="C7" s="28"/>
      <c r="D7" s="23"/>
      <c r="E7" s="23"/>
      <c r="G7" s="29"/>
      <c r="H7" s="116"/>
    </row>
    <row r="8" spans="1:11" s="19" customFormat="1" ht="26.25" customHeight="1">
      <c r="A8" s="42" t="s">
        <v>1884</v>
      </c>
      <c r="B8" s="43" t="s">
        <v>1941</v>
      </c>
      <c r="C8" s="42" t="s">
        <v>1917</v>
      </c>
      <c r="D8" s="42" t="s">
        <v>1942</v>
      </c>
      <c r="E8" s="44" t="s">
        <v>1943</v>
      </c>
      <c r="F8" s="42" t="s">
        <v>1888</v>
      </c>
      <c r="G8" s="42" t="s">
        <v>1889</v>
      </c>
      <c r="H8" s="42" t="s">
        <v>1890</v>
      </c>
      <c r="I8" s="42" t="s">
        <v>1891</v>
      </c>
      <c r="J8" s="42" t="s">
        <v>1892</v>
      </c>
    </row>
    <row r="9" spans="1:11" ht="15" customHeight="1">
      <c r="A9" s="182">
        <v>1</v>
      </c>
      <c r="B9" s="204" t="s">
        <v>2017</v>
      </c>
      <c r="C9" s="145" t="s">
        <v>2023</v>
      </c>
      <c r="D9" s="145" t="s">
        <v>2028</v>
      </c>
      <c r="E9" s="45">
        <v>0</v>
      </c>
      <c r="F9" s="181" t="e">
        <f>InvulExtra[[#This Row],[Prijs
Excl. BTW]]*Tariefsopbouw!$I$37+InvulExtra[[#This Row],[Prijs
Excl. BTW]]</f>
        <v>#DIV/0!</v>
      </c>
      <c r="G9" s="181" t="e">
        <f>InvulExtra[[#This Row],[2024]]*Tariefsopbouw!$K$37+InvulExtra[[#This Row],[2024]]</f>
        <v>#DIV/0!</v>
      </c>
      <c r="H9" s="181" t="e">
        <f>InvulExtra[[#This Row],[2025]]*Tariefsopbouw!$M$37+InvulExtra[[#This Row],[2025]]</f>
        <v>#DIV/0!</v>
      </c>
      <c r="I9" s="181" t="e">
        <f>InvulExtra[[#This Row],[2026]]*Tariefsopbouw!$O$37+InvulExtra[[#This Row],[2026]]</f>
        <v>#DIV/0!</v>
      </c>
      <c r="J9" s="181" t="e">
        <f>InvulExtra[[#This Row],[2027]]*Tariefsopbouw!$Q$37+InvulExtra[[#This Row],[2027]]</f>
        <v>#DIV/0!</v>
      </c>
    </row>
    <row r="10" spans="1:11" ht="15" customHeight="1">
      <c r="A10" s="182">
        <v>2</v>
      </c>
      <c r="B10" s="145" t="s">
        <v>2025</v>
      </c>
      <c r="C10" s="145" t="s">
        <v>1962</v>
      </c>
      <c r="D10" s="145"/>
      <c r="E10" s="45">
        <v>0</v>
      </c>
      <c r="F10" s="181" t="e">
        <f>InvulExtra[[#This Row],[Prijs
Excl. BTW]]*Tariefsopbouw!$I$37+InvulExtra[[#This Row],[Prijs
Excl. BTW]]</f>
        <v>#DIV/0!</v>
      </c>
      <c r="G10" s="181" t="e">
        <f>InvulExtra[[#This Row],[2024]]*Tariefsopbouw!$K$37+InvulExtra[[#This Row],[2024]]</f>
        <v>#DIV/0!</v>
      </c>
      <c r="H10" s="181" t="e">
        <f>InvulExtra[[#This Row],[2025]]*Tariefsopbouw!$M$37+InvulExtra[[#This Row],[2025]]</f>
        <v>#DIV/0!</v>
      </c>
      <c r="I10" s="181" t="e">
        <f>InvulExtra[[#This Row],[2026]]*Tariefsopbouw!$O$37+InvulExtra[[#This Row],[2026]]</f>
        <v>#DIV/0!</v>
      </c>
      <c r="J10" s="181" t="e">
        <f>InvulExtra[[#This Row],[2027]]*Tariefsopbouw!$Q$37+InvulExtra[[#This Row],[2027]]</f>
        <v>#DIV/0!</v>
      </c>
    </row>
    <row r="11" spans="1:11" ht="15" customHeight="1">
      <c r="A11" s="182">
        <v>3</v>
      </c>
      <c r="B11" s="204" t="s">
        <v>2026</v>
      </c>
      <c r="C11" s="145" t="s">
        <v>1962</v>
      </c>
      <c r="D11" s="249"/>
      <c r="E11" s="45">
        <v>0</v>
      </c>
      <c r="F11" s="181" t="e">
        <f>InvulExtra[[#This Row],[Prijs
Excl. BTW]]*Tariefsopbouw!$I$37+InvulExtra[[#This Row],[Prijs
Excl. BTW]]</f>
        <v>#DIV/0!</v>
      </c>
      <c r="G11" s="181" t="e">
        <f>InvulExtra[[#This Row],[2024]]*Tariefsopbouw!$K$37+InvulExtra[[#This Row],[2024]]</f>
        <v>#DIV/0!</v>
      </c>
      <c r="H11" s="181" t="e">
        <f>InvulExtra[[#This Row],[2025]]*Tariefsopbouw!$M$37+InvulExtra[[#This Row],[2025]]</f>
        <v>#DIV/0!</v>
      </c>
      <c r="I11" s="181" t="e">
        <f>InvulExtra[[#This Row],[2026]]*Tariefsopbouw!$O$37+InvulExtra[[#This Row],[2026]]</f>
        <v>#DIV/0!</v>
      </c>
      <c r="J11" s="181" t="e">
        <f>InvulExtra[[#This Row],[2027]]*Tariefsopbouw!$Q$37+InvulExtra[[#This Row],[2027]]</f>
        <v>#DIV/0!</v>
      </c>
    </row>
    <row r="12" spans="1:11" ht="15" customHeight="1">
      <c r="A12" s="182">
        <v>4</v>
      </c>
      <c r="B12" s="204" t="s">
        <v>2027</v>
      </c>
      <c r="C12" s="145" t="s">
        <v>1962</v>
      </c>
      <c r="D12" s="249"/>
      <c r="E12" s="45">
        <v>0</v>
      </c>
      <c r="F12" s="181" t="e">
        <f>InvulExtra[[#This Row],[Prijs
Excl. BTW]]*Tariefsopbouw!$I$37+InvulExtra[[#This Row],[Prijs
Excl. BTW]]</f>
        <v>#DIV/0!</v>
      </c>
      <c r="G12" s="181" t="e">
        <f>InvulExtra[[#This Row],[2024]]*Tariefsopbouw!$K$37+InvulExtra[[#This Row],[2024]]</f>
        <v>#DIV/0!</v>
      </c>
      <c r="H12" s="181" t="e">
        <f>InvulExtra[[#This Row],[2025]]*Tariefsopbouw!$M$37+InvulExtra[[#This Row],[2025]]</f>
        <v>#DIV/0!</v>
      </c>
      <c r="I12" s="181" t="e">
        <f>InvulExtra[[#This Row],[2026]]*Tariefsopbouw!$O$37+InvulExtra[[#This Row],[2026]]</f>
        <v>#DIV/0!</v>
      </c>
      <c r="J12" s="181" t="e">
        <f>InvulExtra[[#This Row],[2027]]*Tariefsopbouw!$Q$37+InvulExtra[[#This Row],[2027]]</f>
        <v>#DIV/0!</v>
      </c>
    </row>
    <row r="13" spans="1:11" ht="15" customHeight="1">
      <c r="B13" s="24"/>
      <c r="C13" s="24"/>
      <c r="D13" s="4"/>
      <c r="E13" s="31"/>
      <c r="G13" s="30"/>
      <c r="H13" s="117"/>
      <c r="I13" s="31"/>
    </row>
    <row r="14" spans="1:11" ht="15" customHeight="1">
      <c r="C14" s="25"/>
      <c r="D14" s="25"/>
      <c r="K14" s="32"/>
    </row>
    <row r="15" spans="1:11" s="22" customFormat="1" ht="26.25" customHeight="1">
      <c r="A15" s="119" t="s">
        <v>1905</v>
      </c>
      <c r="B15" s="42" t="s">
        <v>18</v>
      </c>
      <c r="C15" s="42" t="s">
        <v>1884</v>
      </c>
      <c r="D15" s="46" t="s">
        <v>1941</v>
      </c>
      <c r="E15" s="46" t="s">
        <v>1917</v>
      </c>
      <c r="F15" s="151" t="s">
        <v>2024</v>
      </c>
      <c r="G15" s="46" t="s">
        <v>1944</v>
      </c>
      <c r="H15" s="118" t="s">
        <v>1909</v>
      </c>
      <c r="K15" s="33"/>
    </row>
    <row r="16" spans="1:11" ht="15" customHeight="1">
      <c r="A16" s="182">
        <v>1</v>
      </c>
      <c r="B16" s="145" t="str">
        <f>VLOOKUP(OverzichtExtra[[#This Row],[Code Locatie]],Locaties[],2,0)</f>
        <v>Boerhaave + buitenunits</v>
      </c>
      <c r="C16" s="182">
        <v>1</v>
      </c>
      <c r="D16" s="201" t="str">
        <f>IF('Extra werkzaamheden'!$C16&gt;0,VLOOKUP('Extra werkzaamheden'!$C16,$A$8:$B$12,2,0),"")</f>
        <v>Dieptereiniging keukens</v>
      </c>
      <c r="E16" s="154" t="str">
        <f>VLOOKUP(OverzichtExtra[[#This Row],[Code Taak]],InvulExtra[#All],3,0)</f>
        <v>prijs per m2</v>
      </c>
      <c r="F16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19.59</v>
      </c>
      <c r="G16" s="146">
        <v>1</v>
      </c>
      <c r="H16" s="184">
        <f>IF(G16&gt;0,VLOOKUP(OverzichtExtra[[#This Row],[Code Taak]],InvulExtra[],5,2)*F16*G16,0)</f>
        <v>0</v>
      </c>
      <c r="K16" s="32"/>
    </row>
    <row r="17" spans="1:11" ht="15" customHeight="1">
      <c r="A17" s="255">
        <v>1</v>
      </c>
      <c r="B17" s="254" t="str">
        <f>VLOOKUP(OverzichtExtra[[#This Row],[Code Locatie]],Locaties[],2,0)</f>
        <v>Boerhaave + buitenunits</v>
      </c>
      <c r="C17" s="182">
        <v>2</v>
      </c>
      <c r="D17" s="201" t="str">
        <f>IF('Extra werkzaamheden'!$C17&gt;0,VLOOKUP('Extra werkzaamheden'!$C17,$A$8:$B$12,2,0),"")</f>
        <v>Stoomreinigen Stoelen</v>
      </c>
      <c r="E17" s="154" t="str">
        <f>VLOOKUP(OverzichtExtra[[#This Row],[Code Taak]],InvulExtra[#All],3,0)</f>
        <v>prijs per stuk</v>
      </c>
      <c r="F17" s="152">
        <v>36</v>
      </c>
      <c r="G17" s="146">
        <v>2</v>
      </c>
      <c r="H17" s="184">
        <f>IF(G17&gt;0,VLOOKUP(OverzichtExtra[[#This Row],[Code Taak]],InvulExtra[],5,2)*F17*G17,0)</f>
        <v>0</v>
      </c>
      <c r="K17" s="32"/>
    </row>
    <row r="18" spans="1:11" ht="15" customHeight="1">
      <c r="A18" s="255">
        <v>1</v>
      </c>
      <c r="B18" s="254" t="str">
        <f>VLOOKUP(OverzichtExtra[[#This Row],[Code Locatie]],Locaties[],2,0)</f>
        <v>Boerhaave + buitenunits</v>
      </c>
      <c r="C18" s="182">
        <v>3</v>
      </c>
      <c r="D18" s="201" t="str">
        <f>IF('Extra werkzaamheden'!$C18&gt;0,VLOOKUP('Extra werkzaamheden'!$C18,$A$8:$B$12,2,0),"")</f>
        <v>Stoomreinigen Barkruk</v>
      </c>
      <c r="E18" s="154" t="str">
        <f>VLOOKUP(OverzichtExtra[[#This Row],[Code Taak]],InvulExtra[#All],3,0)</f>
        <v>prijs per stuk</v>
      </c>
      <c r="F18" s="152">
        <v>8</v>
      </c>
      <c r="G18" s="146">
        <v>2</v>
      </c>
      <c r="H18" s="184">
        <f>IF(G18&gt;0,VLOOKUP(OverzichtExtra[[#This Row],[Code Taak]],InvulExtra[],5,2)*F18*G18,0)</f>
        <v>0</v>
      </c>
      <c r="K18" s="32"/>
    </row>
    <row r="19" spans="1:11" ht="15" customHeight="1">
      <c r="A19" s="255">
        <v>1</v>
      </c>
      <c r="B19" s="254" t="str">
        <f>VLOOKUP(OverzichtExtra[[#This Row],[Code Locatie]],Locaties[],2,0)</f>
        <v>Boerhaave + buitenunits</v>
      </c>
      <c r="C19" s="182">
        <v>4</v>
      </c>
      <c r="D19" s="201" t="str">
        <f>IF('Extra werkzaamheden'!$C19&gt;0,VLOOKUP('Extra werkzaamheden'!$C19,$A$8:$B$12,2,0),"")</f>
        <v>Stoomreinigen bank</v>
      </c>
      <c r="E19" s="154" t="str">
        <f>VLOOKUP(OverzichtExtra[[#This Row],[Code Taak]],InvulExtra[#All],3,0)</f>
        <v>prijs per stuk</v>
      </c>
      <c r="F19" s="152">
        <v>6</v>
      </c>
      <c r="G19" s="146">
        <v>2</v>
      </c>
      <c r="H19" s="184">
        <f>IF(G19&gt;0,VLOOKUP(OverzichtExtra[[#This Row],[Code Taak]],InvulExtra[],5,2)*F19*G19,0)</f>
        <v>0</v>
      </c>
      <c r="K19" s="32"/>
    </row>
    <row r="20" spans="1:11" ht="15" customHeight="1">
      <c r="A20" s="182">
        <v>2</v>
      </c>
      <c r="B20" s="145" t="str">
        <f>VLOOKUP(OverzichtExtra[[#This Row],[Code Locatie]],Locaties[],2,0)</f>
        <v>Het Stormink</v>
      </c>
      <c r="C20" s="182">
        <v>1</v>
      </c>
      <c r="D20" s="201" t="str">
        <f>IF('Extra werkzaamheden'!$C20&gt;0,VLOOKUP('Extra werkzaamheden'!$C20,$A$8:$B$12,2,0),"")</f>
        <v>Dieptereiniging keukens</v>
      </c>
      <c r="E20" s="154" t="str">
        <f>VLOOKUP(OverzichtExtra[[#This Row],[Code Taak]],InvulExtra[#All],3,0)</f>
        <v>prijs per m2</v>
      </c>
      <c r="F20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179.33</v>
      </c>
      <c r="G20" s="146">
        <v>1</v>
      </c>
      <c r="H20" s="184">
        <f>IF(G20&gt;0,VLOOKUP(OverzichtExtra[[#This Row],[Code Taak]],InvulExtra[],5,2)*F20*G20,0)</f>
        <v>0</v>
      </c>
      <c r="K20" s="32"/>
    </row>
    <row r="21" spans="1:11" ht="15" customHeight="1">
      <c r="A21" s="182">
        <v>4</v>
      </c>
      <c r="B21" s="145" t="str">
        <f>VLOOKUP(OverzichtExtra[[#This Row],[Code Locatie]],Locaties[],2,0)</f>
        <v>Zwaluwenburg 10</v>
      </c>
      <c r="C21" s="182">
        <v>1</v>
      </c>
      <c r="D21" s="201" t="str">
        <f>IF('Extra werkzaamheden'!$C21&gt;0,VLOOKUP('Extra werkzaamheden'!$C21,$A$8:$B$12,2,0),"")</f>
        <v>Dieptereiniging keukens</v>
      </c>
      <c r="E21" s="154" t="str">
        <f>VLOOKUP(OverzichtExtra[[#This Row],[Code Taak]],InvulExtra[#All],3,0)</f>
        <v>prijs per m2</v>
      </c>
      <c r="F21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6.42</v>
      </c>
      <c r="G21" s="146">
        <v>1</v>
      </c>
      <c r="H21" s="184">
        <f>IF(G21&gt;0,VLOOKUP(OverzichtExtra[[#This Row],[Code Taak]],InvulExtra[],5,2)*F21*G21,0)</f>
        <v>0</v>
      </c>
      <c r="K21" s="32"/>
    </row>
    <row r="22" spans="1:11" ht="15" customHeight="1">
      <c r="A22" s="182">
        <v>5</v>
      </c>
      <c r="B22" s="145" t="str">
        <f>VLOOKUP(OverzichtExtra[[#This Row],[Code Locatie]],Locaties[],2,0)</f>
        <v>Marke Zuid</v>
      </c>
      <c r="C22" s="182">
        <v>1</v>
      </c>
      <c r="D22" s="201" t="str">
        <f>IF('Extra werkzaamheden'!$C22&gt;0,VLOOKUP('Extra werkzaamheden'!$C22,$A$8:$B$12,2,0),"")</f>
        <v>Dieptereiniging keukens</v>
      </c>
      <c r="E22" s="154" t="str">
        <f>VLOOKUP(OverzichtExtra[[#This Row],[Code Taak]],InvulExtra[#All],3,0)</f>
        <v>prijs per m2</v>
      </c>
      <c r="F22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580.09999999999991</v>
      </c>
      <c r="G22" s="146">
        <v>1</v>
      </c>
      <c r="H22" s="184">
        <f>IF(G22&gt;0,VLOOKUP(OverzichtExtra[[#This Row],[Code Taak]],InvulExtra[],5,2)*F22*G22,0)</f>
        <v>0</v>
      </c>
      <c r="K22" s="32"/>
    </row>
    <row r="23" spans="1:11" ht="15" customHeight="1">
      <c r="A23" s="182">
        <v>6</v>
      </c>
      <c r="B23" s="145" t="str">
        <f>VLOOKUP(OverzichtExtra[[#This Row],[Code Locatie]],Locaties[],2,0)</f>
        <v>Marke Noord</v>
      </c>
      <c r="C23" s="182">
        <v>1</v>
      </c>
      <c r="D23" s="201" t="str">
        <f>IF('Extra werkzaamheden'!$C23&gt;0,VLOOKUP('Extra werkzaamheden'!$C23,$A$8:$B$12,2,0),"")</f>
        <v>Dieptereiniging keukens</v>
      </c>
      <c r="E23" s="154" t="str">
        <f>VLOOKUP(OverzichtExtra[[#This Row],[Code Taak]],InvulExtra[#All],3,0)</f>
        <v>prijs per m2</v>
      </c>
      <c r="F23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261.46000000000004</v>
      </c>
      <c r="G23" s="146">
        <v>1</v>
      </c>
      <c r="H23" s="184">
        <f>IF(G23&gt;0,VLOOKUP(OverzichtExtra[[#This Row],[Code Taak]],InvulExtra[],5,2)*F23*G23,0)</f>
        <v>0</v>
      </c>
      <c r="K23" s="32"/>
    </row>
    <row r="24" spans="1:11" ht="15" customHeight="1">
      <c r="A24" s="182">
        <v>8</v>
      </c>
      <c r="B24" s="145" t="str">
        <f>VLOOKUP(OverzichtExtra[[#This Row],[Code Locatie]],Locaties[],2,0)</f>
        <v>Arkelstijn</v>
      </c>
      <c r="C24" s="182">
        <v>1</v>
      </c>
      <c r="D24" s="201" t="str">
        <f>IF('Extra werkzaamheden'!$C24&gt;0,VLOOKUP('Extra werkzaamheden'!$C24,$A$8:$B$12,2,0),"")</f>
        <v>Dieptereiniging keukens</v>
      </c>
      <c r="E24" s="154" t="str">
        <f>VLOOKUP(OverzichtExtra[[#This Row],[Code Taak]],InvulExtra[#All],3,0)</f>
        <v>prijs per m2</v>
      </c>
      <c r="F24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27.41</v>
      </c>
      <c r="G24" s="146">
        <v>1</v>
      </c>
      <c r="H24" s="184">
        <f>IF(G24&gt;0,VLOOKUP(OverzichtExtra[[#This Row],[Code Taak]],InvulExtra[],5,2)*F24*G24,0)</f>
        <v>0</v>
      </c>
      <c r="K24" s="32"/>
    </row>
    <row r="25" spans="1:11" ht="15" customHeight="1">
      <c r="A25" s="214"/>
      <c r="B25" s="215" t="s">
        <v>1910</v>
      </c>
      <c r="C25" s="214"/>
      <c r="D25" s="216"/>
      <c r="E25" s="214"/>
      <c r="F25" s="251"/>
      <c r="G25" s="214"/>
      <c r="H25" s="217">
        <f>SUBTOTAL(109,OverzichtExtra[Kosten/jaar excl. BTW])</f>
        <v>0</v>
      </c>
    </row>
    <row r="26" spans="1:11" ht="15" customHeight="1">
      <c r="C26" s="24"/>
      <c r="D26" s="4"/>
    </row>
    <row r="27" spans="1:11" ht="15" customHeight="1">
      <c r="C27" s="24"/>
      <c r="D27" s="4"/>
    </row>
    <row r="28" spans="1:11" ht="15" customHeight="1">
      <c r="C28" s="24"/>
      <c r="D28" s="4"/>
    </row>
    <row r="29" spans="1:11" ht="15" customHeight="1">
      <c r="C29" s="24"/>
      <c r="D29" s="4"/>
    </row>
    <row r="30" spans="1:11" ht="15" customHeight="1">
      <c r="C30" s="24"/>
      <c r="D30" s="4"/>
    </row>
    <row r="31" spans="1:11" ht="15" customHeight="1">
      <c r="C31" s="24"/>
      <c r="D31" s="4"/>
    </row>
    <row r="32" spans="1:11" ht="15" customHeight="1">
      <c r="C32" s="24"/>
      <c r="D32" s="4"/>
    </row>
    <row r="33" spans="3:4" ht="15" customHeight="1">
      <c r="C33" s="24"/>
      <c r="D33" s="4"/>
    </row>
    <row r="34" spans="3:4" ht="15" customHeight="1">
      <c r="C34" s="24"/>
      <c r="D34" s="4"/>
    </row>
    <row r="35" spans="3:4" ht="15" customHeight="1">
      <c r="C35" s="24"/>
      <c r="D35" s="4"/>
    </row>
    <row r="36" spans="3:4" ht="15" customHeight="1">
      <c r="C36" s="24"/>
      <c r="D36" s="4"/>
    </row>
    <row r="37" spans="3:4" ht="15" customHeight="1">
      <c r="C37" s="24"/>
      <c r="D37" s="4"/>
    </row>
    <row r="38" spans="3:4" ht="15" customHeight="1">
      <c r="C38" s="24"/>
      <c r="D38" s="4"/>
    </row>
    <row r="39" spans="3:4" ht="15" customHeight="1">
      <c r="C39" s="24"/>
      <c r="D39" s="4"/>
    </row>
    <row r="40" spans="3:4" ht="15" customHeight="1">
      <c r="C40" s="24"/>
      <c r="D40" s="4"/>
    </row>
    <row r="41" spans="3:4" ht="15" customHeight="1">
      <c r="C41" s="24"/>
      <c r="D41" s="4"/>
    </row>
    <row r="42" spans="3:4" ht="15" customHeight="1">
      <c r="C42" s="24"/>
      <c r="D42" s="4"/>
    </row>
    <row r="43" spans="3:4" ht="15" customHeight="1">
      <c r="C43" s="24"/>
      <c r="D43" s="4"/>
    </row>
    <row r="44" spans="3:4" ht="15" customHeight="1">
      <c r="C44" s="24"/>
      <c r="D44" s="4"/>
    </row>
    <row r="45" spans="3:4" ht="15" customHeight="1">
      <c r="C45" s="24"/>
      <c r="D45" s="4"/>
    </row>
    <row r="46" spans="3:4" ht="15" customHeight="1">
      <c r="C46" s="24"/>
      <c r="D46" s="4"/>
    </row>
    <row r="47" spans="3:4" ht="15" customHeight="1">
      <c r="C47" s="24"/>
      <c r="D47" s="4"/>
    </row>
    <row r="48" spans="3:4" ht="15" customHeight="1">
      <c r="C48" s="24"/>
      <c r="D48" s="4"/>
    </row>
    <row r="49" spans="3:4" ht="15" customHeight="1">
      <c r="C49" s="24"/>
      <c r="D49" s="4"/>
    </row>
    <row r="50" spans="3:4" ht="15" customHeight="1">
      <c r="C50" s="24"/>
      <c r="D50" s="4"/>
    </row>
    <row r="51" spans="3:4" ht="15" customHeight="1">
      <c r="C51" s="24"/>
      <c r="D51" s="4"/>
    </row>
    <row r="52" spans="3:4" ht="15" customHeight="1">
      <c r="C52" s="24"/>
      <c r="D52" s="4"/>
    </row>
    <row r="53" spans="3:4" ht="15" customHeight="1">
      <c r="C53" s="24"/>
      <c r="D53" s="4"/>
    </row>
    <row r="54" spans="3:4" ht="15" customHeight="1">
      <c r="C54" s="24"/>
      <c r="D54" s="4"/>
    </row>
    <row r="55" spans="3:4" ht="15" customHeight="1">
      <c r="C55" s="24"/>
      <c r="D55" s="4"/>
    </row>
    <row r="56" spans="3:4" ht="15" customHeight="1">
      <c r="C56" s="24"/>
      <c r="D56" s="4"/>
    </row>
    <row r="57" spans="3:4" ht="15" customHeight="1">
      <c r="C57" s="24"/>
      <c r="D57" s="4"/>
    </row>
    <row r="58" spans="3:4" ht="15" customHeight="1">
      <c r="C58" s="24"/>
      <c r="D58" s="4"/>
    </row>
    <row r="59" spans="3:4" ht="15" customHeight="1">
      <c r="C59" s="24"/>
      <c r="D59" s="4"/>
    </row>
    <row r="60" spans="3:4" ht="15" customHeight="1">
      <c r="C60" s="24"/>
      <c r="D60" s="4"/>
    </row>
    <row r="61" spans="3:4" ht="15" customHeight="1">
      <c r="C61" s="24"/>
      <c r="D61" s="4"/>
    </row>
    <row r="62" spans="3:4" ht="15" customHeight="1">
      <c r="C62" s="24"/>
      <c r="D62" s="4"/>
    </row>
    <row r="63" spans="3:4" ht="15" customHeight="1">
      <c r="C63" s="24"/>
      <c r="D63" s="4"/>
    </row>
    <row r="64" spans="3:4" ht="15" customHeight="1">
      <c r="C64" s="24"/>
      <c r="D64" s="4"/>
    </row>
    <row r="65" spans="3:4" ht="15" customHeight="1">
      <c r="C65" s="24"/>
      <c r="D65" s="4"/>
    </row>
    <row r="66" spans="3:4" ht="15" customHeight="1">
      <c r="C66" s="24"/>
      <c r="D66" s="4"/>
    </row>
    <row r="67" spans="3:4" ht="15" customHeight="1">
      <c r="C67" s="24"/>
      <c r="D67" s="4"/>
    </row>
    <row r="68" spans="3:4" ht="15" customHeight="1">
      <c r="C68" s="24"/>
      <c r="D68" s="4"/>
    </row>
    <row r="69" spans="3:4" ht="15" customHeight="1">
      <c r="C69" s="24"/>
      <c r="D69" s="4"/>
    </row>
    <row r="70" spans="3:4" ht="15" customHeight="1">
      <c r="C70" s="24"/>
      <c r="D70" s="4"/>
    </row>
    <row r="71" spans="3:4" ht="15" customHeight="1">
      <c r="C71" s="24"/>
      <c r="D71" s="4"/>
    </row>
    <row r="72" spans="3:4" ht="15" customHeight="1">
      <c r="C72" s="24"/>
      <c r="D72" s="4"/>
    </row>
    <row r="73" spans="3:4" ht="15" customHeight="1">
      <c r="C73" s="24"/>
      <c r="D73" s="4"/>
    </row>
    <row r="74" spans="3:4" ht="15" customHeight="1">
      <c r="C74" s="24"/>
      <c r="D74" s="4"/>
    </row>
    <row r="75" spans="3:4" ht="15" customHeight="1">
      <c r="C75" s="24"/>
      <c r="D75" s="4"/>
    </row>
    <row r="76" spans="3:4" ht="15" customHeight="1">
      <c r="C76" s="24"/>
      <c r="D76" s="4"/>
    </row>
    <row r="77" spans="3:4" ht="15" customHeight="1">
      <c r="C77" s="24"/>
      <c r="D77" s="4"/>
    </row>
    <row r="78" spans="3:4" ht="15" customHeight="1">
      <c r="C78" s="24"/>
      <c r="D78" s="4"/>
    </row>
    <row r="79" spans="3:4" ht="15" customHeight="1">
      <c r="C79" s="24"/>
      <c r="D79" s="4"/>
    </row>
    <row r="80" spans="3:4" ht="15" customHeight="1">
      <c r="C80" s="24"/>
      <c r="D80" s="4"/>
    </row>
    <row r="81" spans="3:4" ht="15" customHeight="1">
      <c r="C81" s="24"/>
      <c r="D81" s="4"/>
    </row>
    <row r="82" spans="3:4" ht="15" customHeight="1">
      <c r="C82" s="24"/>
      <c r="D82" s="4"/>
    </row>
    <row r="83" spans="3:4" ht="15" customHeight="1">
      <c r="C83" s="24"/>
      <c r="D83" s="4"/>
    </row>
    <row r="84" spans="3:4" ht="15" customHeight="1">
      <c r="C84" s="24"/>
      <c r="D84" s="4"/>
    </row>
    <row r="85" spans="3:4" ht="15" customHeight="1">
      <c r="C85" s="24"/>
      <c r="D85" s="4"/>
    </row>
    <row r="86" spans="3:4" ht="15" customHeight="1">
      <c r="C86" s="24"/>
      <c r="D86" s="4"/>
    </row>
  </sheetData>
  <mergeCells count="2">
    <mergeCell ref="A2:H2"/>
    <mergeCell ref="A1:H1"/>
  </mergeCells>
  <pageMargins left="0.70866141732283472" right="0.70866141732283472" top="0.35433070866141736" bottom="0.47244094488188981" header="0.31496062992125984" footer="0.31496062992125984"/>
  <pageSetup paperSize="9" scale="62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I88"/>
  <sheetViews>
    <sheetView zoomScaleNormal="100" zoomScaleSheetLayoutView="100" workbookViewId="0">
      <selection sqref="A1:D1"/>
    </sheetView>
  </sheetViews>
  <sheetFormatPr defaultColWidth="9.109375" defaultRowHeight="18.75" customHeight="1"/>
  <cols>
    <col min="1" max="1" width="9.109375" style="51"/>
    <col min="2" max="2" width="107.88671875" style="2" bestFit="1" customWidth="1"/>
    <col min="3" max="3" width="23.44140625" style="2" customWidth="1"/>
    <col min="4" max="4" width="15.109375" style="2" customWidth="1"/>
    <col min="5" max="9" width="17.6640625" style="2" bestFit="1" customWidth="1"/>
    <col min="10" max="16384" width="9.109375" style="2"/>
  </cols>
  <sheetData>
    <row r="1" spans="1:9" s="7" customFormat="1" ht="26.25" customHeight="1">
      <c r="A1" s="293" t="s">
        <v>1945</v>
      </c>
      <c r="B1" s="293"/>
      <c r="C1" s="293"/>
      <c r="D1" s="293"/>
    </row>
    <row r="2" spans="1:9" s="7" customFormat="1" ht="18.75" customHeight="1">
      <c r="A2" s="306" t="s">
        <v>1880</v>
      </c>
      <c r="B2" s="292"/>
      <c r="C2" s="292"/>
      <c r="D2" s="292"/>
    </row>
    <row r="3" spans="1:9" s="59" customFormat="1" ht="18.75" customHeight="1">
      <c r="A3" s="58"/>
    </row>
    <row r="4" spans="1:9" s="59" customFormat="1" ht="18.75" customHeight="1">
      <c r="A4" s="59" t="s">
        <v>1912</v>
      </c>
    </row>
    <row r="5" spans="1:9" s="59" customFormat="1" ht="18.75" customHeight="1">
      <c r="A5" s="59" t="s">
        <v>1946</v>
      </c>
    </row>
    <row r="6" spans="1:9" s="59" customFormat="1" ht="18.75" customHeight="1">
      <c r="A6" s="59" t="s">
        <v>1947</v>
      </c>
    </row>
    <row r="7" spans="1:9" s="59" customFormat="1" ht="18.75" customHeight="1">
      <c r="A7" s="58"/>
    </row>
    <row r="8" spans="1:9" s="20" customFormat="1" ht="26.25" customHeight="1">
      <c r="A8" s="56"/>
      <c r="B8" s="55" t="s">
        <v>1941</v>
      </c>
      <c r="C8" s="55" t="s">
        <v>1917</v>
      </c>
      <c r="D8" s="22" t="s">
        <v>1916</v>
      </c>
      <c r="E8" s="55" t="s">
        <v>1888</v>
      </c>
      <c r="F8" s="55" t="s">
        <v>1889</v>
      </c>
      <c r="G8" s="55" t="s">
        <v>1890</v>
      </c>
      <c r="H8" s="55" t="s">
        <v>1891</v>
      </c>
      <c r="I8" s="55" t="s">
        <v>1892</v>
      </c>
    </row>
    <row r="9" spans="1:9" ht="18.75" customHeight="1">
      <c r="A9" s="307" t="s">
        <v>1948</v>
      </c>
      <c r="B9" s="55" t="s">
        <v>1949</v>
      </c>
      <c r="C9" s="55" t="s">
        <v>1950</v>
      </c>
      <c r="D9" s="57">
        <v>0</v>
      </c>
      <c r="E9" s="186" t="e">
        <f>InvulRegie[[#This Row],[Prijs excl. BTW]]*Tariefsopbouw!$I$37+InvulRegie[[#This Row],[Prijs excl. BTW]]</f>
        <v>#DIV/0!</v>
      </c>
      <c r="F9" s="187" t="e">
        <f>InvulRegie[[#This Row],[2024]]*Tariefsopbouw!$K$37+InvulRegie[[#This Row],[2024]]</f>
        <v>#DIV/0!</v>
      </c>
      <c r="G9" s="187" t="e">
        <f>InvulRegie[[#This Row],[2025]]*Tariefsopbouw!$M$37+InvulRegie[[#This Row],[2025]]</f>
        <v>#DIV/0!</v>
      </c>
      <c r="H9" s="187" t="e">
        <f>InvulRegie[[#This Row],[2026]]*Tariefsopbouw!$O$37+InvulRegie[[#This Row],[2026]]</f>
        <v>#DIV/0!</v>
      </c>
      <c r="I9" s="187" t="e">
        <f>InvulRegie[[#This Row],[2027]]*Tariefsopbouw!$Q$37+InvulRegie[[#This Row],[2027]]</f>
        <v>#DIV/0!</v>
      </c>
    </row>
    <row r="10" spans="1:9" ht="18.75" customHeight="1">
      <c r="A10" s="308"/>
      <c r="B10" s="55" t="s">
        <v>1951</v>
      </c>
      <c r="C10" s="55" t="s">
        <v>1950</v>
      </c>
      <c r="D10" s="57">
        <v>0</v>
      </c>
      <c r="E10" s="186" t="e">
        <f>InvulRegie[[#This Row],[Prijs excl. BTW]]*Tariefsopbouw!$I$37+InvulRegie[[#This Row],[Prijs excl. BTW]]</f>
        <v>#DIV/0!</v>
      </c>
      <c r="F10" s="186" t="e">
        <f>InvulRegie[[#This Row],[2024]]*Tariefsopbouw!$K$37+InvulRegie[[#This Row],[2024]]</f>
        <v>#DIV/0!</v>
      </c>
      <c r="G10" s="186" t="e">
        <f>InvulRegie[[#This Row],[2025]]*Tariefsopbouw!$M$37+InvulRegie[[#This Row],[2025]]</f>
        <v>#DIV/0!</v>
      </c>
      <c r="H10" s="186" t="e">
        <f>InvulRegie[[#This Row],[2026]]*Tariefsopbouw!$O$37+InvulRegie[[#This Row],[2026]]</f>
        <v>#DIV/0!</v>
      </c>
      <c r="I10" s="186" t="e">
        <f>InvulRegie[[#This Row],[2027]]*Tariefsopbouw!$Q$37+InvulRegie[[#This Row],[2027]]</f>
        <v>#DIV/0!</v>
      </c>
    </row>
    <row r="11" spans="1:9" ht="18.75" customHeight="1">
      <c r="A11" s="308"/>
      <c r="B11" s="55" t="s">
        <v>1952</v>
      </c>
      <c r="C11" s="55" t="s">
        <v>1950</v>
      </c>
      <c r="D11" s="57">
        <v>0</v>
      </c>
      <c r="E11" s="186" t="e">
        <f>InvulRegie[[#This Row],[Prijs excl. BTW]]*Tariefsopbouw!$I$37+InvulRegie[[#This Row],[Prijs excl. BTW]]</f>
        <v>#DIV/0!</v>
      </c>
      <c r="F11" s="186" t="e">
        <f>InvulRegie[[#This Row],[2024]]*Tariefsopbouw!$K$37+InvulRegie[[#This Row],[2024]]</f>
        <v>#DIV/0!</v>
      </c>
      <c r="G11" s="186" t="e">
        <f>InvulRegie[[#This Row],[2025]]*Tariefsopbouw!$M$37+InvulRegie[[#This Row],[2025]]</f>
        <v>#DIV/0!</v>
      </c>
      <c r="H11" s="186" t="e">
        <f>InvulRegie[[#This Row],[2026]]*Tariefsopbouw!$O$37+InvulRegie[[#This Row],[2026]]</f>
        <v>#DIV/0!</v>
      </c>
      <c r="I11" s="186" t="e">
        <f>InvulRegie[[#This Row],[2027]]*Tariefsopbouw!$Q$37+InvulRegie[[#This Row],[2027]]</f>
        <v>#DIV/0!</v>
      </c>
    </row>
    <row r="12" spans="1:9" ht="18.75" customHeight="1">
      <c r="A12" s="308"/>
      <c r="B12" s="54" t="s">
        <v>1953</v>
      </c>
      <c r="C12" s="55" t="s">
        <v>1950</v>
      </c>
      <c r="D12" s="57">
        <v>0</v>
      </c>
      <c r="E12" s="186" t="e">
        <f>InvulRegie[[#This Row],[Prijs excl. BTW]]*Tariefsopbouw!$I$37+InvulRegie[[#This Row],[Prijs excl. BTW]]</f>
        <v>#DIV/0!</v>
      </c>
      <c r="F12" s="186" t="e">
        <f>InvulRegie[[#This Row],[2024]]*Tariefsopbouw!$K$37+InvulRegie[[#This Row],[2024]]</f>
        <v>#DIV/0!</v>
      </c>
      <c r="G12" s="186" t="e">
        <f>InvulRegie[[#This Row],[2025]]*Tariefsopbouw!$M$37+InvulRegie[[#This Row],[2025]]</f>
        <v>#DIV/0!</v>
      </c>
      <c r="H12" s="186" t="e">
        <f>InvulRegie[[#This Row],[2026]]*Tariefsopbouw!$O$37+InvulRegie[[#This Row],[2026]]</f>
        <v>#DIV/0!</v>
      </c>
      <c r="I12" s="186" t="e">
        <f>InvulRegie[[#This Row],[2027]]*Tariefsopbouw!$Q$37+InvulRegie[[#This Row],[2027]]</f>
        <v>#DIV/0!</v>
      </c>
    </row>
    <row r="13" spans="1:9" ht="18.75" customHeight="1">
      <c r="A13" s="308"/>
      <c r="B13" s="54" t="s">
        <v>1954</v>
      </c>
      <c r="C13" s="55" t="s">
        <v>1950</v>
      </c>
      <c r="D13" s="57">
        <v>0</v>
      </c>
      <c r="E13" s="189" t="e">
        <f>InvulRegie[[#This Row],[Prijs excl. BTW]]*Tariefsopbouw!$I$37+InvulRegie[[#This Row],[Prijs excl. BTW]]</f>
        <v>#DIV/0!</v>
      </c>
      <c r="F13" s="189" t="e">
        <f>InvulRegie[[#This Row],[2024]]*Tariefsopbouw!$K$37+InvulRegie[[#This Row],[2024]]</f>
        <v>#DIV/0!</v>
      </c>
      <c r="G13" s="189" t="e">
        <f>InvulRegie[[#This Row],[2025]]*Tariefsopbouw!$M$37+InvulRegie[[#This Row],[2025]]</f>
        <v>#DIV/0!</v>
      </c>
      <c r="H13" s="189" t="e">
        <f>InvulRegie[[#This Row],[2026]]*Tariefsopbouw!$O$37+InvulRegie[[#This Row],[2026]]</f>
        <v>#DIV/0!</v>
      </c>
      <c r="I13" s="189" t="e">
        <f>InvulRegie[[#This Row],[2027]]*Tariefsopbouw!$Q$37+InvulRegie[[#This Row],[2027]]</f>
        <v>#DIV/0!</v>
      </c>
    </row>
    <row r="14" spans="1:9" ht="18.75" customHeight="1">
      <c r="A14" s="309"/>
      <c r="B14" s="55" t="s">
        <v>1955</v>
      </c>
      <c r="C14" s="55" t="s">
        <v>1950</v>
      </c>
      <c r="D14" s="57">
        <v>0</v>
      </c>
      <c r="E14" s="189" t="e">
        <f>InvulRegie[[#This Row],[Prijs excl. BTW]]*Tariefsopbouw!$I$37+InvulRegie[[#This Row],[Prijs excl. BTW]]</f>
        <v>#DIV/0!</v>
      </c>
      <c r="F14" s="189" t="e">
        <f>InvulRegie[[#This Row],[2024]]*Tariefsopbouw!$K$37+InvulRegie[[#This Row],[2024]]</f>
        <v>#DIV/0!</v>
      </c>
      <c r="G14" s="189" t="e">
        <f>InvulRegie[[#This Row],[2025]]*Tariefsopbouw!$M$37+InvulRegie[[#This Row],[2025]]</f>
        <v>#DIV/0!</v>
      </c>
      <c r="H14" s="189" t="e">
        <f>InvulRegie[[#This Row],[2026]]*Tariefsopbouw!$O$37+InvulRegie[[#This Row],[2026]]</f>
        <v>#DIV/0!</v>
      </c>
      <c r="I14" s="189" t="e">
        <f>InvulRegie[[#This Row],[2027]]*Tariefsopbouw!$Q$37+InvulRegie[[#This Row],[2027]]</f>
        <v>#DIV/0!</v>
      </c>
    </row>
    <row r="15" spans="1:9" ht="18.75" customHeight="1">
      <c r="A15" s="307" t="s">
        <v>759</v>
      </c>
      <c r="B15" s="55" t="s">
        <v>1956</v>
      </c>
      <c r="C15" s="55" t="s">
        <v>1957</v>
      </c>
      <c r="D15" s="57">
        <v>0</v>
      </c>
      <c r="E15" s="189" t="e">
        <f>InvulRegie[[#This Row],[Prijs excl. BTW]]*Tariefsopbouw!$I$37+InvulRegie[[#This Row],[Prijs excl. BTW]]</f>
        <v>#DIV/0!</v>
      </c>
      <c r="F15" s="189" t="e">
        <f>InvulRegie[[#This Row],[2024]]*Tariefsopbouw!$K$37+InvulRegie[[#This Row],[2024]]</f>
        <v>#DIV/0!</v>
      </c>
      <c r="G15" s="189" t="e">
        <f>InvulRegie[[#This Row],[2025]]*Tariefsopbouw!$M$37+InvulRegie[[#This Row],[2025]]</f>
        <v>#DIV/0!</v>
      </c>
      <c r="H15" s="189" t="e">
        <f>InvulRegie[[#This Row],[2026]]*Tariefsopbouw!$O$37+InvulRegie[[#This Row],[2026]]</f>
        <v>#DIV/0!</v>
      </c>
      <c r="I15" s="189" t="e">
        <f>InvulRegie[[#This Row],[2027]]*Tariefsopbouw!$Q$37+InvulRegie[[#This Row],[2027]]</f>
        <v>#DIV/0!</v>
      </c>
    </row>
    <row r="16" spans="1:9" ht="18.75" customHeight="1">
      <c r="A16" s="308"/>
      <c r="B16" s="55" t="s">
        <v>1958</v>
      </c>
      <c r="C16" s="55" t="s">
        <v>1959</v>
      </c>
      <c r="D16" s="57">
        <v>0</v>
      </c>
      <c r="E16" s="189" t="e">
        <f>InvulRegie[[#This Row],[Prijs excl. BTW]]*Tariefsopbouw!$I$37+InvulRegie[[#This Row],[Prijs excl. BTW]]</f>
        <v>#DIV/0!</v>
      </c>
      <c r="F16" s="189" t="e">
        <f>InvulRegie[[#This Row],[2024]]*Tariefsopbouw!$K$37+InvulRegie[[#This Row],[2024]]</f>
        <v>#DIV/0!</v>
      </c>
      <c r="G16" s="189" t="e">
        <f>InvulRegie[[#This Row],[2025]]*Tariefsopbouw!$M$37+InvulRegie[[#This Row],[2025]]</f>
        <v>#DIV/0!</v>
      </c>
      <c r="H16" s="189" t="e">
        <f>InvulRegie[[#This Row],[2026]]*Tariefsopbouw!$O$37+InvulRegie[[#This Row],[2026]]</f>
        <v>#DIV/0!</v>
      </c>
      <c r="I16" s="189" t="e">
        <f>InvulRegie[[#This Row],[2027]]*Tariefsopbouw!$Q$37+InvulRegie[[#This Row],[2027]]</f>
        <v>#DIV/0!</v>
      </c>
    </row>
    <row r="17" spans="1:9" ht="18.75" customHeight="1">
      <c r="A17" s="308"/>
      <c r="B17" s="55" t="s">
        <v>1960</v>
      </c>
      <c r="C17" s="55" t="s">
        <v>1959</v>
      </c>
      <c r="D17" s="57">
        <v>0</v>
      </c>
      <c r="E17" s="189" t="e">
        <f>InvulRegie[[#This Row],[Prijs excl. BTW]]*Tariefsopbouw!$I$37+InvulRegie[[#This Row],[Prijs excl. BTW]]</f>
        <v>#DIV/0!</v>
      </c>
      <c r="F17" s="189" t="e">
        <f>InvulRegie[[#This Row],[2024]]*Tariefsopbouw!$K$37+InvulRegie[[#This Row],[2024]]</f>
        <v>#DIV/0!</v>
      </c>
      <c r="G17" s="189" t="e">
        <f>InvulRegie[[#This Row],[2025]]*Tariefsopbouw!$M$37+InvulRegie[[#This Row],[2025]]</f>
        <v>#DIV/0!</v>
      </c>
      <c r="H17" s="189" t="e">
        <f>InvulRegie[[#This Row],[2026]]*Tariefsopbouw!$O$37+InvulRegie[[#This Row],[2026]]</f>
        <v>#DIV/0!</v>
      </c>
      <c r="I17" s="189" t="e">
        <f>InvulRegie[[#This Row],[2027]]*Tariefsopbouw!$Q$37+InvulRegie[[#This Row],[2027]]</f>
        <v>#DIV/0!</v>
      </c>
    </row>
    <row r="18" spans="1:9" ht="18.75" customHeight="1">
      <c r="A18" s="308"/>
      <c r="B18" s="55" t="s">
        <v>1961</v>
      </c>
      <c r="C18" s="55" t="s">
        <v>1962</v>
      </c>
      <c r="D18" s="57">
        <v>0</v>
      </c>
      <c r="E18" s="189" t="e">
        <f>InvulRegie[[#This Row],[Prijs excl. BTW]]*Tariefsopbouw!$I$37+InvulRegie[[#This Row],[Prijs excl. BTW]]</f>
        <v>#DIV/0!</v>
      </c>
      <c r="F18" s="189" t="e">
        <f>InvulRegie[[#This Row],[2024]]*Tariefsopbouw!$K$37+InvulRegie[[#This Row],[2024]]</f>
        <v>#DIV/0!</v>
      </c>
      <c r="G18" s="189" t="e">
        <f>InvulRegie[[#This Row],[2025]]*Tariefsopbouw!$M$37+InvulRegie[[#This Row],[2025]]</f>
        <v>#DIV/0!</v>
      </c>
      <c r="H18" s="189" t="e">
        <f>InvulRegie[[#This Row],[2026]]*Tariefsopbouw!$O$37+InvulRegie[[#This Row],[2026]]</f>
        <v>#DIV/0!</v>
      </c>
      <c r="I18" s="189" t="e">
        <f>InvulRegie[[#This Row],[2027]]*Tariefsopbouw!$Q$37+InvulRegie[[#This Row],[2027]]</f>
        <v>#DIV/0!</v>
      </c>
    </row>
    <row r="19" spans="1:9" ht="18.75" customHeight="1">
      <c r="A19" s="308"/>
      <c r="B19" s="55" t="s">
        <v>1963</v>
      </c>
      <c r="C19" s="55" t="s">
        <v>1962</v>
      </c>
      <c r="D19" s="57">
        <v>0</v>
      </c>
      <c r="E19" s="189" t="e">
        <f>InvulRegie[[#This Row],[Prijs excl. BTW]]*Tariefsopbouw!$I$37+InvulRegie[[#This Row],[Prijs excl. BTW]]</f>
        <v>#DIV/0!</v>
      </c>
      <c r="F19" s="189" t="e">
        <f>InvulRegie[[#This Row],[2024]]*Tariefsopbouw!$K$37+InvulRegie[[#This Row],[2024]]</f>
        <v>#DIV/0!</v>
      </c>
      <c r="G19" s="189" t="e">
        <f>InvulRegie[[#This Row],[2025]]*Tariefsopbouw!$M$37+InvulRegie[[#This Row],[2025]]</f>
        <v>#DIV/0!</v>
      </c>
      <c r="H19" s="189" t="e">
        <f>InvulRegie[[#This Row],[2026]]*Tariefsopbouw!$O$37+InvulRegie[[#This Row],[2026]]</f>
        <v>#DIV/0!</v>
      </c>
      <c r="I19" s="189" t="e">
        <f>InvulRegie[[#This Row],[2027]]*Tariefsopbouw!$Q$37+InvulRegie[[#This Row],[2027]]</f>
        <v>#DIV/0!</v>
      </c>
    </row>
    <row r="20" spans="1:9" ht="18.75" customHeight="1">
      <c r="A20" s="308"/>
      <c r="B20" s="55" t="s">
        <v>1964</v>
      </c>
      <c r="C20" s="55" t="s">
        <v>1962</v>
      </c>
      <c r="D20" s="57">
        <v>0</v>
      </c>
      <c r="E20" s="189" t="e">
        <f>InvulRegie[[#This Row],[Prijs excl. BTW]]*Tariefsopbouw!$I$37+InvulRegie[[#This Row],[Prijs excl. BTW]]</f>
        <v>#DIV/0!</v>
      </c>
      <c r="F20" s="189" t="e">
        <f>InvulRegie[[#This Row],[2024]]*Tariefsopbouw!$K$37+InvulRegie[[#This Row],[2024]]</f>
        <v>#DIV/0!</v>
      </c>
      <c r="G20" s="189" t="e">
        <f>InvulRegie[[#This Row],[2025]]*Tariefsopbouw!$M$37+InvulRegie[[#This Row],[2025]]</f>
        <v>#DIV/0!</v>
      </c>
      <c r="H20" s="189" t="e">
        <f>InvulRegie[[#This Row],[2026]]*Tariefsopbouw!$O$37+InvulRegie[[#This Row],[2026]]</f>
        <v>#DIV/0!</v>
      </c>
      <c r="I20" s="189" t="e">
        <f>InvulRegie[[#This Row],[2027]]*Tariefsopbouw!$Q$37+InvulRegie[[#This Row],[2027]]</f>
        <v>#DIV/0!</v>
      </c>
    </row>
    <row r="21" spans="1:9" ht="18.75" customHeight="1">
      <c r="A21" s="309"/>
      <c r="B21" s="55" t="s">
        <v>1965</v>
      </c>
      <c r="C21" s="55" t="s">
        <v>1962</v>
      </c>
      <c r="D21" s="57">
        <v>0</v>
      </c>
      <c r="E21" s="189" t="e">
        <f>InvulRegie[[#This Row],[Prijs excl. BTW]]*Tariefsopbouw!$I$37+InvulRegie[[#This Row],[Prijs excl. BTW]]</f>
        <v>#DIV/0!</v>
      </c>
      <c r="F21" s="189" t="e">
        <f>InvulRegie[[#This Row],[2024]]*Tariefsopbouw!$K$37+InvulRegie[[#This Row],[2024]]</f>
        <v>#DIV/0!</v>
      </c>
      <c r="G21" s="189" t="e">
        <f>InvulRegie[[#This Row],[2025]]*Tariefsopbouw!$M$37+InvulRegie[[#This Row],[2025]]</f>
        <v>#DIV/0!</v>
      </c>
      <c r="H21" s="189" t="e">
        <f>InvulRegie[[#This Row],[2026]]*Tariefsopbouw!$O$37+InvulRegie[[#This Row],[2026]]</f>
        <v>#DIV/0!</v>
      </c>
      <c r="I21" s="189" t="e">
        <f>InvulRegie[[#This Row],[2027]]*Tariefsopbouw!$Q$37+InvulRegie[[#This Row],[2027]]</f>
        <v>#DIV/0!</v>
      </c>
    </row>
    <row r="22" spans="1:9" ht="18.75" customHeight="1">
      <c r="A22" s="307" t="s">
        <v>1966</v>
      </c>
      <c r="B22" s="55" t="s">
        <v>1967</v>
      </c>
      <c r="C22" s="55" t="s">
        <v>1968</v>
      </c>
      <c r="D22" s="57">
        <v>0</v>
      </c>
      <c r="E22" s="189" t="e">
        <f>InvulRegie[[#This Row],[Prijs excl. BTW]]*Tariefsopbouw!$I$37+InvulRegie[[#This Row],[Prijs excl. BTW]]</f>
        <v>#DIV/0!</v>
      </c>
      <c r="F22" s="189" t="e">
        <f>InvulRegie[[#This Row],[2024]]*Tariefsopbouw!$K$37+InvulRegie[[#This Row],[2024]]</f>
        <v>#DIV/0!</v>
      </c>
      <c r="G22" s="189" t="e">
        <f>InvulRegie[[#This Row],[2025]]*Tariefsopbouw!$M$37+InvulRegie[[#This Row],[2025]]</f>
        <v>#DIV/0!</v>
      </c>
      <c r="H22" s="189" t="e">
        <f>InvulRegie[[#This Row],[2026]]*Tariefsopbouw!$O$37+InvulRegie[[#This Row],[2026]]</f>
        <v>#DIV/0!</v>
      </c>
      <c r="I22" s="189" t="e">
        <f>InvulRegie[[#This Row],[2027]]*Tariefsopbouw!$Q$37+InvulRegie[[#This Row],[2027]]</f>
        <v>#DIV/0!</v>
      </c>
    </row>
    <row r="23" spans="1:9" ht="18.75" customHeight="1">
      <c r="A23" s="309"/>
      <c r="B23" s="55" t="s">
        <v>1969</v>
      </c>
      <c r="C23" s="55" t="s">
        <v>1970</v>
      </c>
      <c r="D23" s="57">
        <v>0</v>
      </c>
      <c r="E23" s="189" t="e">
        <f>InvulRegie[[#This Row],[Prijs excl. BTW]]*Tariefsopbouw!$I$37+InvulRegie[[#This Row],[Prijs excl. BTW]]</f>
        <v>#DIV/0!</v>
      </c>
      <c r="F23" s="189" t="e">
        <f>InvulRegie[[#This Row],[2024]]*Tariefsopbouw!$K$37+InvulRegie[[#This Row],[2024]]</f>
        <v>#DIV/0!</v>
      </c>
      <c r="G23" s="189" t="e">
        <f>InvulRegie[[#This Row],[2025]]*Tariefsopbouw!$M$37+InvulRegie[[#This Row],[2025]]</f>
        <v>#DIV/0!</v>
      </c>
      <c r="H23" s="189" t="e">
        <f>InvulRegie[[#This Row],[2026]]*Tariefsopbouw!$O$37+InvulRegie[[#This Row],[2026]]</f>
        <v>#DIV/0!</v>
      </c>
      <c r="I23" s="189" t="e">
        <f>InvulRegie[[#This Row],[2027]]*Tariefsopbouw!$Q$37+InvulRegie[[#This Row],[2027]]</f>
        <v>#DIV/0!</v>
      </c>
    </row>
    <row r="24" spans="1:9" ht="18.75" customHeight="1">
      <c r="A24" s="307" t="s">
        <v>1971</v>
      </c>
      <c r="B24" s="55" t="s">
        <v>1972</v>
      </c>
      <c r="C24" s="55" t="s">
        <v>1973</v>
      </c>
      <c r="D24" s="57">
        <v>0</v>
      </c>
      <c r="E24" s="189" t="e">
        <f>InvulRegie[[#This Row],[Prijs excl. BTW]]*Tariefsopbouw!$I$37+InvulRegie[[#This Row],[Prijs excl. BTW]]</f>
        <v>#DIV/0!</v>
      </c>
      <c r="F24" s="189" t="e">
        <f>InvulRegie[[#This Row],[2024]]*Tariefsopbouw!$K$37+InvulRegie[[#This Row],[2024]]</f>
        <v>#DIV/0!</v>
      </c>
      <c r="G24" s="189" t="e">
        <f>InvulRegie[[#This Row],[2025]]*Tariefsopbouw!$M$37+InvulRegie[[#This Row],[2025]]</f>
        <v>#DIV/0!</v>
      </c>
      <c r="H24" s="189" t="e">
        <f>InvulRegie[[#This Row],[2026]]*Tariefsopbouw!$O$37+InvulRegie[[#This Row],[2026]]</f>
        <v>#DIV/0!</v>
      </c>
      <c r="I24" s="189" t="e">
        <f>InvulRegie[[#This Row],[2027]]*Tariefsopbouw!$Q$37+InvulRegie[[#This Row],[2027]]</f>
        <v>#DIV/0!</v>
      </c>
    </row>
    <row r="25" spans="1:9" ht="18.75" customHeight="1">
      <c r="A25" s="308"/>
      <c r="B25" s="55" t="s">
        <v>1974</v>
      </c>
      <c r="C25" s="55" t="s">
        <v>1973</v>
      </c>
      <c r="D25" s="57">
        <v>0</v>
      </c>
      <c r="E25" s="189" t="e">
        <f>InvulRegie[[#This Row],[Prijs excl. BTW]]*Tariefsopbouw!$I$37+InvulRegie[[#This Row],[Prijs excl. BTW]]</f>
        <v>#DIV/0!</v>
      </c>
      <c r="F25" s="189" t="e">
        <f>InvulRegie[[#This Row],[2024]]*Tariefsopbouw!$K$37+InvulRegie[[#This Row],[2024]]</f>
        <v>#DIV/0!</v>
      </c>
      <c r="G25" s="189" t="e">
        <f>InvulRegie[[#This Row],[2025]]*Tariefsopbouw!$M$37+InvulRegie[[#This Row],[2025]]</f>
        <v>#DIV/0!</v>
      </c>
      <c r="H25" s="189" t="e">
        <f>InvulRegie[[#This Row],[2026]]*Tariefsopbouw!$O$37+InvulRegie[[#This Row],[2026]]</f>
        <v>#DIV/0!</v>
      </c>
      <c r="I25" s="189" t="e">
        <f>InvulRegie[[#This Row],[2027]]*Tariefsopbouw!$Q$37+InvulRegie[[#This Row],[2027]]</f>
        <v>#DIV/0!</v>
      </c>
    </row>
    <row r="26" spans="1:9" ht="18.75" customHeight="1">
      <c r="A26" s="308"/>
      <c r="B26" s="55" t="s">
        <v>1975</v>
      </c>
      <c r="C26" s="55" t="s">
        <v>1973</v>
      </c>
      <c r="D26" s="57">
        <v>0</v>
      </c>
      <c r="E26" s="189" t="e">
        <f>InvulRegie[[#This Row],[Prijs excl. BTW]]*Tariefsopbouw!$I$37+InvulRegie[[#This Row],[Prijs excl. BTW]]</f>
        <v>#DIV/0!</v>
      </c>
      <c r="F26" s="189" t="e">
        <f>InvulRegie[[#This Row],[2024]]*Tariefsopbouw!$K$37+InvulRegie[[#This Row],[2024]]</f>
        <v>#DIV/0!</v>
      </c>
      <c r="G26" s="189" t="e">
        <f>InvulRegie[[#This Row],[2025]]*Tariefsopbouw!$M$37+InvulRegie[[#This Row],[2025]]</f>
        <v>#DIV/0!</v>
      </c>
      <c r="H26" s="189" t="e">
        <f>InvulRegie[[#This Row],[2026]]*Tariefsopbouw!$O$37+InvulRegie[[#This Row],[2026]]</f>
        <v>#DIV/0!</v>
      </c>
      <c r="I26" s="189" t="e">
        <f>InvulRegie[[#This Row],[2027]]*Tariefsopbouw!$Q$37+InvulRegie[[#This Row],[2027]]</f>
        <v>#DIV/0!</v>
      </c>
    </row>
    <row r="27" spans="1:9" ht="18.75" customHeight="1">
      <c r="A27" s="308"/>
      <c r="B27" s="55" t="s">
        <v>1976</v>
      </c>
      <c r="C27" s="55" t="s">
        <v>1973</v>
      </c>
      <c r="D27" s="57">
        <v>0</v>
      </c>
      <c r="E27" s="189" t="e">
        <f>InvulRegie[[#This Row],[Prijs excl. BTW]]*Tariefsopbouw!$I$37+InvulRegie[[#This Row],[Prijs excl. BTW]]</f>
        <v>#DIV/0!</v>
      </c>
      <c r="F27" s="189" t="e">
        <f>InvulRegie[[#This Row],[2024]]*Tariefsopbouw!$K$37+InvulRegie[[#This Row],[2024]]</f>
        <v>#DIV/0!</v>
      </c>
      <c r="G27" s="189" t="e">
        <f>InvulRegie[[#This Row],[2025]]*Tariefsopbouw!$M$37+InvulRegie[[#This Row],[2025]]</f>
        <v>#DIV/0!</v>
      </c>
      <c r="H27" s="189" t="e">
        <f>InvulRegie[[#This Row],[2026]]*Tariefsopbouw!$O$37+InvulRegie[[#This Row],[2026]]</f>
        <v>#DIV/0!</v>
      </c>
      <c r="I27" s="189" t="e">
        <f>InvulRegie[[#This Row],[2027]]*Tariefsopbouw!$Q$37+InvulRegie[[#This Row],[2027]]</f>
        <v>#DIV/0!</v>
      </c>
    </row>
    <row r="28" spans="1:9" ht="18.75" customHeight="1">
      <c r="A28" s="309"/>
      <c r="B28" s="55" t="s">
        <v>1977</v>
      </c>
      <c r="C28" s="55" t="s">
        <v>1973</v>
      </c>
      <c r="D28" s="57">
        <v>0</v>
      </c>
      <c r="E28" s="189" t="e">
        <f>InvulRegie[[#This Row],[Prijs excl. BTW]]*Tariefsopbouw!$I$37+InvulRegie[[#This Row],[Prijs excl. BTW]]</f>
        <v>#DIV/0!</v>
      </c>
      <c r="F28" s="189" t="e">
        <f>InvulRegie[[#This Row],[2024]]*Tariefsopbouw!$K$37+InvulRegie[[#This Row],[2024]]</f>
        <v>#DIV/0!</v>
      </c>
      <c r="G28" s="189" t="e">
        <f>InvulRegie[[#This Row],[2025]]*Tariefsopbouw!$M$37+InvulRegie[[#This Row],[2025]]</f>
        <v>#DIV/0!</v>
      </c>
      <c r="H28" s="189" t="e">
        <f>InvulRegie[[#This Row],[2026]]*Tariefsopbouw!$O$37+InvulRegie[[#This Row],[2026]]</f>
        <v>#DIV/0!</v>
      </c>
      <c r="I28" s="189" t="e">
        <f>InvulRegie[[#This Row],[2027]]*Tariefsopbouw!$Q$37+InvulRegie[[#This Row],[2027]]</f>
        <v>#DIV/0!</v>
      </c>
    </row>
    <row r="29" spans="1:9" ht="18.75" customHeight="1">
      <c r="A29" s="307" t="s">
        <v>1978</v>
      </c>
      <c r="B29" s="54" t="s">
        <v>1979</v>
      </c>
      <c r="C29" s="55" t="s">
        <v>1980</v>
      </c>
      <c r="D29" s="57">
        <v>0</v>
      </c>
      <c r="E29" s="189" t="e">
        <f>InvulRegie[[#This Row],[Prijs excl. BTW]]*Tariefsopbouw!$I$37+InvulRegie[[#This Row],[Prijs excl. BTW]]</f>
        <v>#DIV/0!</v>
      </c>
      <c r="F29" s="188" t="e">
        <f>InvulRegie[[#This Row],[2024]]*Tariefsopbouw!$K$37+InvulRegie[[#This Row],[2024]]</f>
        <v>#DIV/0!</v>
      </c>
      <c r="G29" s="189" t="e">
        <f>InvulRegie[[#This Row],[2025]]*Tariefsopbouw!$M$37+InvulRegie[[#This Row],[2025]]</f>
        <v>#DIV/0!</v>
      </c>
      <c r="H29" s="189" t="e">
        <f>InvulRegie[[#This Row],[2026]]*Tariefsopbouw!$O$37+InvulRegie[[#This Row],[2026]]</f>
        <v>#DIV/0!</v>
      </c>
      <c r="I29" s="189" t="e">
        <f>InvulRegie[[#This Row],[2027]]*Tariefsopbouw!$Q$37+InvulRegie[[#This Row],[2027]]</f>
        <v>#DIV/0!</v>
      </c>
    </row>
    <row r="30" spans="1:9" ht="18.75" customHeight="1">
      <c r="A30" s="308"/>
      <c r="B30" s="54" t="s">
        <v>1981</v>
      </c>
      <c r="C30" s="55" t="s">
        <v>1980</v>
      </c>
      <c r="D30" s="57">
        <v>0</v>
      </c>
      <c r="E30" s="189" t="e">
        <f>InvulRegie[[#This Row],[Prijs excl. BTW]]*Tariefsopbouw!$I$37+InvulRegie[[#This Row],[Prijs excl. BTW]]</f>
        <v>#DIV/0!</v>
      </c>
      <c r="F30" s="188" t="e">
        <f>InvulRegie[[#This Row],[2024]]*Tariefsopbouw!$K$37+InvulRegie[[#This Row],[2024]]</f>
        <v>#DIV/0!</v>
      </c>
      <c r="G30" s="189" t="e">
        <f>InvulRegie[[#This Row],[2025]]*Tariefsopbouw!$M$37+InvulRegie[[#This Row],[2025]]</f>
        <v>#DIV/0!</v>
      </c>
      <c r="H30" s="189" t="e">
        <f>InvulRegie[[#This Row],[2026]]*Tariefsopbouw!$O$37+InvulRegie[[#This Row],[2026]]</f>
        <v>#DIV/0!</v>
      </c>
      <c r="I30" s="189" t="e">
        <f>InvulRegie[[#This Row],[2027]]*Tariefsopbouw!$Q$37+InvulRegie[[#This Row],[2027]]</f>
        <v>#DIV/0!</v>
      </c>
    </row>
    <row r="31" spans="1:9" ht="18.75" customHeight="1">
      <c r="A31" s="309"/>
      <c r="B31" s="54" t="s">
        <v>1982</v>
      </c>
      <c r="C31" s="55" t="s">
        <v>1980</v>
      </c>
      <c r="D31" s="57">
        <v>0</v>
      </c>
      <c r="E31" s="189" t="e">
        <f>InvulRegie[[#This Row],[Prijs excl. BTW]]*Tariefsopbouw!$I$37+InvulRegie[[#This Row],[Prijs excl. BTW]]</f>
        <v>#DIV/0!</v>
      </c>
      <c r="F31" s="188" t="e">
        <f>InvulRegie[[#This Row],[2024]]*Tariefsopbouw!$K$37+InvulRegie[[#This Row],[2024]]</f>
        <v>#DIV/0!</v>
      </c>
      <c r="G31" s="189" t="e">
        <f>InvulRegie[[#This Row],[2025]]*Tariefsopbouw!$M$37+InvulRegie[[#This Row],[2025]]</f>
        <v>#DIV/0!</v>
      </c>
      <c r="H31" s="189" t="e">
        <f>InvulRegie[[#This Row],[2026]]*Tariefsopbouw!$O$37+InvulRegie[[#This Row],[2026]]</f>
        <v>#DIV/0!</v>
      </c>
      <c r="I31" s="189" t="e">
        <f>InvulRegie[[#This Row],[2027]]*Tariefsopbouw!$Q$37+InvulRegie[[#This Row],[2027]]</f>
        <v>#DIV/0!</v>
      </c>
    </row>
    <row r="32" spans="1:9" ht="18.75" customHeight="1">
      <c r="A32" s="307" t="s">
        <v>1983</v>
      </c>
      <c r="B32" s="55" t="s">
        <v>1984</v>
      </c>
      <c r="C32" s="55" t="s">
        <v>1968</v>
      </c>
      <c r="D32" s="57">
        <v>0</v>
      </c>
      <c r="E32" s="189" t="e">
        <f>InvulRegie[[#This Row],[Prijs excl. BTW]]*Tariefsopbouw!$I$37+InvulRegie[[#This Row],[Prijs excl. BTW]]</f>
        <v>#DIV/0!</v>
      </c>
      <c r="F32" s="189" t="e">
        <f>InvulRegie[[#This Row],[2024]]*Tariefsopbouw!$K$37+InvulRegie[[#This Row],[2024]]</f>
        <v>#DIV/0!</v>
      </c>
      <c r="G32" s="189" t="e">
        <f>InvulRegie[[#This Row],[2025]]*Tariefsopbouw!$M$37+InvulRegie[[#This Row],[2025]]</f>
        <v>#DIV/0!</v>
      </c>
      <c r="H32" s="189" t="e">
        <f>InvulRegie[[#This Row],[2026]]*Tariefsopbouw!$O$37+InvulRegie[[#This Row],[2026]]</f>
        <v>#DIV/0!</v>
      </c>
      <c r="I32" s="189" t="e">
        <f>InvulRegie[[#This Row],[2027]]*Tariefsopbouw!$Q$37+InvulRegie[[#This Row],[2027]]</f>
        <v>#DIV/0!</v>
      </c>
    </row>
    <row r="33" spans="1:9" ht="18.75" customHeight="1">
      <c r="A33" s="308"/>
      <c r="B33" s="55" t="s">
        <v>1985</v>
      </c>
      <c r="C33" s="55" t="s">
        <v>1968</v>
      </c>
      <c r="D33" s="57">
        <v>0</v>
      </c>
      <c r="E33" s="189" t="e">
        <f>InvulRegie[[#This Row],[Prijs excl. BTW]]*Tariefsopbouw!$I$37+InvulRegie[[#This Row],[Prijs excl. BTW]]</f>
        <v>#DIV/0!</v>
      </c>
      <c r="F33" s="189" t="e">
        <f>InvulRegie[[#This Row],[2024]]*Tariefsopbouw!$K$37+InvulRegie[[#This Row],[2024]]</f>
        <v>#DIV/0!</v>
      </c>
      <c r="G33" s="189" t="e">
        <f>InvulRegie[[#This Row],[2025]]*Tariefsopbouw!$M$37+InvulRegie[[#This Row],[2025]]</f>
        <v>#DIV/0!</v>
      </c>
      <c r="H33" s="189" t="e">
        <f>InvulRegie[[#This Row],[2026]]*Tariefsopbouw!$O$37+InvulRegie[[#This Row],[2026]]</f>
        <v>#DIV/0!</v>
      </c>
      <c r="I33" s="189" t="e">
        <f>InvulRegie[[#This Row],[2027]]*Tariefsopbouw!$Q$37+InvulRegie[[#This Row],[2027]]</f>
        <v>#DIV/0!</v>
      </c>
    </row>
    <row r="34" spans="1:9" ht="18.75" customHeight="1">
      <c r="A34" s="308"/>
      <c r="B34" s="55" t="s">
        <v>1986</v>
      </c>
      <c r="C34" s="55" t="s">
        <v>1968</v>
      </c>
      <c r="D34" s="57">
        <v>0</v>
      </c>
      <c r="E34" s="189" t="e">
        <f>InvulRegie[[#This Row],[Prijs excl. BTW]]*Tariefsopbouw!$I$37+InvulRegie[[#This Row],[Prijs excl. BTW]]</f>
        <v>#DIV/0!</v>
      </c>
      <c r="F34" s="189" t="e">
        <f>InvulRegie[[#This Row],[2024]]*Tariefsopbouw!$K$37+InvulRegie[[#This Row],[2024]]</f>
        <v>#DIV/0!</v>
      </c>
      <c r="G34" s="189" t="e">
        <f>InvulRegie[[#This Row],[2025]]*Tariefsopbouw!$M$37+InvulRegie[[#This Row],[2025]]</f>
        <v>#DIV/0!</v>
      </c>
      <c r="H34" s="189" t="e">
        <f>InvulRegie[[#This Row],[2026]]*Tariefsopbouw!$O$37+InvulRegie[[#This Row],[2026]]</f>
        <v>#DIV/0!</v>
      </c>
      <c r="I34" s="189" t="e">
        <f>InvulRegie[[#This Row],[2027]]*Tariefsopbouw!$Q$37+InvulRegie[[#This Row],[2027]]</f>
        <v>#DIV/0!</v>
      </c>
    </row>
    <row r="35" spans="1:9" ht="18.75" customHeight="1">
      <c r="A35" s="308"/>
      <c r="B35" s="55" t="s">
        <v>1987</v>
      </c>
      <c r="C35" s="55" t="s">
        <v>1968</v>
      </c>
      <c r="D35" s="57">
        <v>0</v>
      </c>
      <c r="E35" s="189" t="e">
        <f>InvulRegie[[#This Row],[Prijs excl. BTW]]*Tariefsopbouw!$I$37+InvulRegie[[#This Row],[Prijs excl. BTW]]</f>
        <v>#DIV/0!</v>
      </c>
      <c r="F35" s="189" t="e">
        <f>InvulRegie[[#This Row],[2024]]*Tariefsopbouw!$K$37+InvulRegie[[#This Row],[2024]]</f>
        <v>#DIV/0!</v>
      </c>
      <c r="G35" s="189" t="e">
        <f>InvulRegie[[#This Row],[2025]]*Tariefsopbouw!$M$37+InvulRegie[[#This Row],[2025]]</f>
        <v>#DIV/0!</v>
      </c>
      <c r="H35" s="189" t="e">
        <f>InvulRegie[[#This Row],[2026]]*Tariefsopbouw!$O$37+InvulRegie[[#This Row],[2026]]</f>
        <v>#DIV/0!</v>
      </c>
      <c r="I35" s="189" t="e">
        <f>InvulRegie[[#This Row],[2027]]*Tariefsopbouw!$Q$37+InvulRegie[[#This Row],[2027]]</f>
        <v>#DIV/0!</v>
      </c>
    </row>
    <row r="36" spans="1:9" ht="18.75" customHeight="1">
      <c r="A36" s="309"/>
      <c r="B36" s="55" t="s">
        <v>1988</v>
      </c>
      <c r="C36" s="55" t="s">
        <v>1930</v>
      </c>
      <c r="D36" s="57">
        <v>0</v>
      </c>
      <c r="E36" s="189" t="e">
        <f>InvulRegie[[#This Row],[Prijs excl. BTW]]*Tariefsopbouw!$I$37+InvulRegie[[#This Row],[Prijs excl. BTW]]</f>
        <v>#DIV/0!</v>
      </c>
      <c r="F36" s="189" t="e">
        <f>InvulRegie[[#This Row],[2024]]*Tariefsopbouw!$K$37+InvulRegie[[#This Row],[2024]]</f>
        <v>#DIV/0!</v>
      </c>
      <c r="G36" s="189" t="e">
        <f>InvulRegie[[#This Row],[2025]]*Tariefsopbouw!$M$37+InvulRegie[[#This Row],[2025]]</f>
        <v>#DIV/0!</v>
      </c>
      <c r="H36" s="189" t="e">
        <f>InvulRegie[[#This Row],[2026]]*Tariefsopbouw!$O$37+InvulRegie[[#This Row],[2026]]</f>
        <v>#DIV/0!</v>
      </c>
      <c r="I36" s="189" t="e">
        <f>InvulRegie[[#This Row],[2027]]*Tariefsopbouw!$Q$37+InvulRegie[[#This Row],[2027]]</f>
        <v>#DIV/0!</v>
      </c>
    </row>
    <row r="37" spans="1:9" ht="18.75" customHeight="1">
      <c r="A37" s="310" t="s">
        <v>1989</v>
      </c>
      <c r="B37" s="55" t="s">
        <v>1990</v>
      </c>
      <c r="C37" s="55" t="s">
        <v>1991</v>
      </c>
      <c r="D37" s="57">
        <v>0</v>
      </c>
      <c r="E37" s="189" t="e">
        <f>InvulRegie[[#This Row],[Prijs excl. BTW]]*Tariefsopbouw!$I$37+InvulRegie[[#This Row],[Prijs excl. BTW]]</f>
        <v>#DIV/0!</v>
      </c>
      <c r="F37" s="189" t="e">
        <f>InvulRegie[[#This Row],[2024]]*Tariefsopbouw!$K$37+InvulRegie[[#This Row],[2024]]</f>
        <v>#DIV/0!</v>
      </c>
      <c r="G37" s="189" t="e">
        <f>InvulRegie[[#This Row],[2025]]*Tariefsopbouw!$M$37+InvulRegie[[#This Row],[2025]]</f>
        <v>#DIV/0!</v>
      </c>
      <c r="H37" s="189" t="e">
        <f>InvulRegie[[#This Row],[2026]]*Tariefsopbouw!$O$37+InvulRegie[[#This Row],[2026]]</f>
        <v>#DIV/0!</v>
      </c>
      <c r="I37" s="189" t="e">
        <f>InvulRegie[[#This Row],[2027]]*Tariefsopbouw!$Q$37+InvulRegie[[#This Row],[2027]]</f>
        <v>#DIV/0!</v>
      </c>
    </row>
    <row r="38" spans="1:9" ht="18.75" customHeight="1">
      <c r="A38" s="311"/>
      <c r="B38" s="55" t="s">
        <v>1992</v>
      </c>
      <c r="C38" s="55" t="s">
        <v>1993</v>
      </c>
      <c r="D38" s="57">
        <v>0</v>
      </c>
      <c r="E38" s="189" t="e">
        <f>InvulRegie[[#This Row],[Prijs excl. BTW]]*Tariefsopbouw!$I$37+InvulRegie[[#This Row],[Prijs excl. BTW]]</f>
        <v>#DIV/0!</v>
      </c>
      <c r="F38" s="189" t="e">
        <f>InvulRegie[[#This Row],[2024]]*Tariefsopbouw!$K$37+InvulRegie[[#This Row],[2024]]</f>
        <v>#DIV/0!</v>
      </c>
      <c r="G38" s="189" t="e">
        <f>InvulRegie[[#This Row],[2025]]*Tariefsopbouw!$M$37+InvulRegie[[#This Row],[2025]]</f>
        <v>#DIV/0!</v>
      </c>
      <c r="H38" s="189" t="e">
        <f>InvulRegie[[#This Row],[2026]]*Tariefsopbouw!$O$37+InvulRegie[[#This Row],[2026]]</f>
        <v>#DIV/0!</v>
      </c>
      <c r="I38" s="189" t="e">
        <f>InvulRegie[[#This Row],[2027]]*Tariefsopbouw!$Q$37+InvulRegie[[#This Row],[2027]]</f>
        <v>#DIV/0!</v>
      </c>
    </row>
    <row r="39" spans="1:9" ht="18.75" customHeight="1">
      <c r="A39" s="311"/>
      <c r="B39" s="55" t="s">
        <v>1994</v>
      </c>
      <c r="C39" s="55" t="s">
        <v>1993</v>
      </c>
      <c r="D39" s="57">
        <v>0</v>
      </c>
      <c r="E39" s="189" t="e">
        <f>InvulRegie[[#This Row],[Prijs excl. BTW]]*Tariefsopbouw!$I$37+InvulRegie[[#This Row],[Prijs excl. BTW]]</f>
        <v>#DIV/0!</v>
      </c>
      <c r="F39" s="189" t="e">
        <f>InvulRegie[[#This Row],[2024]]*Tariefsopbouw!$K$37+InvulRegie[[#This Row],[2024]]</f>
        <v>#DIV/0!</v>
      </c>
      <c r="G39" s="189" t="e">
        <f>InvulRegie[[#This Row],[2025]]*Tariefsopbouw!$M$37+InvulRegie[[#This Row],[2025]]</f>
        <v>#DIV/0!</v>
      </c>
      <c r="H39" s="189" t="e">
        <f>InvulRegie[[#This Row],[2026]]*Tariefsopbouw!$O$37+InvulRegie[[#This Row],[2026]]</f>
        <v>#DIV/0!</v>
      </c>
      <c r="I39" s="189" t="e">
        <f>InvulRegie[[#This Row],[2027]]*Tariefsopbouw!$Q$37+InvulRegie[[#This Row],[2027]]</f>
        <v>#DIV/0!</v>
      </c>
    </row>
    <row r="40" spans="1:9" ht="18.75" customHeight="1">
      <c r="A40" s="312"/>
      <c r="B40" s="55" t="s">
        <v>1995</v>
      </c>
      <c r="C40" s="55" t="s">
        <v>1993</v>
      </c>
      <c r="D40" s="57">
        <v>0</v>
      </c>
      <c r="E40" s="189" t="e">
        <f>InvulRegie[[#This Row],[Prijs excl. BTW]]*Tariefsopbouw!$I$37+InvulRegie[[#This Row],[Prijs excl. BTW]]</f>
        <v>#DIV/0!</v>
      </c>
      <c r="F40" s="189" t="e">
        <f>InvulRegie[[#This Row],[2024]]*Tariefsopbouw!$K$37+InvulRegie[[#This Row],[2024]]</f>
        <v>#DIV/0!</v>
      </c>
      <c r="G40" s="189" t="e">
        <f>InvulRegie[[#This Row],[2025]]*Tariefsopbouw!$M$37+InvulRegie[[#This Row],[2025]]</f>
        <v>#DIV/0!</v>
      </c>
      <c r="H40" s="189" t="e">
        <f>InvulRegie[[#This Row],[2026]]*Tariefsopbouw!$O$37+InvulRegie[[#This Row],[2026]]</f>
        <v>#DIV/0!</v>
      </c>
      <c r="I40" s="189" t="e">
        <f>InvulRegie[[#This Row],[2027]]*Tariefsopbouw!$Q$37+InvulRegie[[#This Row],[2027]]</f>
        <v>#DIV/0!</v>
      </c>
    </row>
    <row r="41" spans="1:9" s="133" customFormat="1" ht="26.25" customHeight="1">
      <c r="A41" s="132"/>
      <c r="B41" s="185" t="s">
        <v>1910</v>
      </c>
      <c r="C41" s="185"/>
      <c r="D41" s="185"/>
      <c r="E41" s="185"/>
      <c r="F41" s="185"/>
      <c r="G41" s="185"/>
      <c r="H41" s="185"/>
      <c r="I41" s="185"/>
    </row>
    <row r="76" spans="1:1" ht="18.75" customHeight="1">
      <c r="A76" s="52"/>
    </row>
    <row r="77" spans="1:1" ht="18.75" customHeight="1">
      <c r="A77" s="52"/>
    </row>
    <row r="78" spans="1:1" ht="18.75" customHeight="1">
      <c r="A78" s="52"/>
    </row>
    <row r="79" spans="1:1" ht="18.75" customHeight="1">
      <c r="A79" s="52"/>
    </row>
    <row r="80" spans="1:1" ht="18.75" customHeight="1">
      <c r="A80" s="52"/>
    </row>
    <row r="81" spans="1:1" ht="18.75" customHeight="1">
      <c r="A81" s="52"/>
    </row>
    <row r="82" spans="1:1" ht="18.75" customHeight="1">
      <c r="A82" s="52"/>
    </row>
    <row r="83" spans="1:1" ht="18.75" customHeight="1">
      <c r="A83" s="52"/>
    </row>
    <row r="84" spans="1:1" ht="18.75" customHeight="1">
      <c r="A84" s="52"/>
    </row>
    <row r="85" spans="1:1" ht="18.75" customHeight="1">
      <c r="A85" s="52"/>
    </row>
    <row r="86" spans="1:1" ht="18.75" customHeight="1">
      <c r="A86" s="52"/>
    </row>
    <row r="87" spans="1:1" ht="18.75" customHeight="1">
      <c r="A87" s="52"/>
    </row>
    <row r="88" spans="1:1" ht="18.75" customHeight="1">
      <c r="A88" s="52"/>
    </row>
  </sheetData>
  <mergeCells count="9">
    <mergeCell ref="A9:A14"/>
    <mergeCell ref="A1:D1"/>
    <mergeCell ref="A2:D2"/>
    <mergeCell ref="A32:A36"/>
    <mergeCell ref="A37:A40"/>
    <mergeCell ref="A24:A28"/>
    <mergeCell ref="A29:A31"/>
    <mergeCell ref="A15:A21"/>
    <mergeCell ref="A22:A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alignWithMargins="0">
    <oddFooter>&amp;L&amp;F&amp;C&amp;D&amp;R&amp;A</oddFooter>
  </headerFooter>
  <rowBreaks count="1" manualBreakCount="1">
    <brk id="90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61">
    <tabColor theme="0" tint="-0.14999847407452621"/>
    <pageSetUpPr fitToPage="1"/>
  </sheetPr>
  <dimension ref="A1:I34"/>
  <sheetViews>
    <sheetView showGridLines="0" tabSelected="1" zoomScaleNormal="100" zoomScaleSheetLayoutView="100" workbookViewId="0">
      <selection sqref="A1:H1"/>
    </sheetView>
  </sheetViews>
  <sheetFormatPr defaultColWidth="9.109375" defaultRowHeight="18.75" customHeight="1"/>
  <cols>
    <col min="1" max="1" width="13.6640625" style="3" customWidth="1"/>
    <col min="2" max="2" width="40.5546875" style="124" customWidth="1"/>
    <col min="3" max="7" width="23.33203125" style="3" customWidth="1"/>
    <col min="8" max="8" width="18.33203125" style="3" bestFit="1" customWidth="1"/>
    <col min="9" max="10" width="15.88671875" style="3" customWidth="1"/>
    <col min="11" max="16384" width="9.109375" style="3"/>
  </cols>
  <sheetData>
    <row r="1" spans="1:8" s="7" customFormat="1" ht="25.5" customHeight="1">
      <c r="A1" s="275" t="s">
        <v>1996</v>
      </c>
      <c r="B1" s="275"/>
      <c r="C1" s="275"/>
      <c r="D1" s="275"/>
      <c r="E1" s="275"/>
      <c r="F1" s="275"/>
      <c r="G1" s="275"/>
      <c r="H1" s="275"/>
    </row>
    <row r="2" spans="1:8" s="7" customFormat="1" ht="15" customHeight="1">
      <c r="A2" s="303" t="s">
        <v>1997</v>
      </c>
      <c r="B2" s="276"/>
      <c r="C2" s="276"/>
      <c r="D2" s="276"/>
      <c r="E2" s="276"/>
      <c r="F2" s="276"/>
      <c r="G2" s="276"/>
      <c r="H2" s="276"/>
    </row>
    <row r="3" spans="1:8" s="4" customFormat="1" ht="15" customHeight="1">
      <c r="B3" s="24"/>
    </row>
    <row r="4" spans="1:8" ht="18" customHeight="1">
      <c r="A4" s="65" t="s">
        <v>1998</v>
      </c>
      <c r="B4" s="3"/>
    </row>
    <row r="5" spans="1:8" s="36" customFormat="1" ht="25.5" customHeight="1">
      <c r="A5" s="120" t="s">
        <v>1905</v>
      </c>
      <c r="B5" s="121" t="s">
        <v>18</v>
      </c>
      <c r="C5" s="120" t="s">
        <v>1999</v>
      </c>
      <c r="D5" s="122" t="s">
        <v>364</v>
      </c>
      <c r="E5" s="122" t="s">
        <v>2000</v>
      </c>
      <c r="F5" s="120" t="s">
        <v>2001</v>
      </c>
      <c r="G5" s="123" t="s">
        <v>2002</v>
      </c>
      <c r="H5" s="37" t="s">
        <v>2003</v>
      </c>
    </row>
    <row r="6" spans="1:8" ht="18.75" customHeight="1">
      <c r="A6" s="237">
        <v>1</v>
      </c>
      <c r="B6" s="238" t="str">
        <f>VLOOKUP(Samenvattingschoonmaak[[#This Row],[Code Locatie]],Locaties[],2,0)</f>
        <v>Boerhaave + buitenunits</v>
      </c>
      <c r="C6" s="239">
        <f>SUMIF('Ruimtestaat'!$A:$A,Totalisatie!$A6,'Ruimtestaat'!$N:$N)</f>
        <v>6866.28</v>
      </c>
      <c r="D6" s="239">
        <f>SUMIF('Ruimtestaat'!$A:$A,Totalisatie!$A6,'Ruimtestaat'!$AE:$AE)</f>
        <v>1363764.9000000006</v>
      </c>
      <c r="E6" s="240">
        <f>SUMIF('Ruimtestaat'!$A:$A,Totalisatie!$A6,'Ruimtestaat'!$AF:$AF)</f>
        <v>0</v>
      </c>
      <c r="F6" s="241" t="e">
        <f t="shared" ref="F6:F11" si="0">D6/E6</f>
        <v>#DIV/0!</v>
      </c>
      <c r="G6" s="242">
        <f>SUMIF('Ruimtestaat'!$A:$A,Totalisatie!$A6,'Ruimtestaat'!$AG:$AG)</f>
        <v>0</v>
      </c>
      <c r="H6" s="243">
        <f t="shared" ref="H6:H11" si="1">G6/C6</f>
        <v>0</v>
      </c>
    </row>
    <row r="7" spans="1:8" ht="18.75" customHeight="1">
      <c r="A7" s="237">
        <v>2</v>
      </c>
      <c r="B7" s="238" t="str">
        <f>VLOOKUP(Samenvattingschoonmaak[[#This Row],[Code Locatie]],Locaties[],2,0)</f>
        <v>Het Stormink</v>
      </c>
      <c r="C7" s="239">
        <f>SUMIF('Ruimtestaat'!$A:$A,Totalisatie!$A7,'Ruimtestaat'!$N:$N)</f>
        <v>8556.5200000000041</v>
      </c>
      <c r="D7" s="239">
        <f>SUMIF('Ruimtestaat'!$A:$A,Totalisatie!$A7,'Ruimtestaat'!$AE:$AE)</f>
        <v>1728267.2199999997</v>
      </c>
      <c r="E7" s="240">
        <f>SUMIF('Ruimtestaat'!$A:$A,Totalisatie!$A7,'Ruimtestaat'!$AF:$AF)</f>
        <v>0</v>
      </c>
      <c r="F7" s="241" t="e">
        <f t="shared" si="0"/>
        <v>#DIV/0!</v>
      </c>
      <c r="G7" s="242">
        <f>SUMIF('Ruimtestaat'!$A:$A,Totalisatie!$A7,'Ruimtestaat'!$AG:$AG)</f>
        <v>0</v>
      </c>
      <c r="H7" s="243">
        <f t="shared" si="1"/>
        <v>0</v>
      </c>
    </row>
    <row r="8" spans="1:8" ht="18.75" customHeight="1">
      <c r="A8" s="237">
        <v>3</v>
      </c>
      <c r="B8" s="238" t="str">
        <f>VLOOKUP(Samenvattingschoonmaak[[#This Row],[Code Locatie]],Locaties[],2,0)</f>
        <v>Zwaluwenburg 8</v>
      </c>
      <c r="C8" s="239">
        <f>SUMIF('Ruimtestaat'!$A:$A,Totalisatie!$A8,'Ruimtestaat'!$N:$N)</f>
        <v>533.78</v>
      </c>
      <c r="D8" s="239">
        <f>SUMIF('Ruimtestaat'!$A:$A,Totalisatie!$A8,'Ruimtestaat'!$AE:$AE)</f>
        <v>107894.70000000001</v>
      </c>
      <c r="E8" s="240">
        <f>SUMIF('Ruimtestaat'!$A:$A,Totalisatie!$A8,'Ruimtestaat'!$AF:$AF)</f>
        <v>0</v>
      </c>
      <c r="F8" s="241" t="e">
        <f t="shared" si="0"/>
        <v>#DIV/0!</v>
      </c>
      <c r="G8" s="242">
        <f>SUMIF('Ruimtestaat'!$A:$A,Totalisatie!$A8,'Ruimtestaat'!$AG:$AG)</f>
        <v>0</v>
      </c>
      <c r="H8" s="243">
        <f t="shared" si="1"/>
        <v>0</v>
      </c>
    </row>
    <row r="9" spans="1:8" ht="18.75" customHeight="1">
      <c r="A9" s="237">
        <v>4</v>
      </c>
      <c r="B9" s="238" t="str">
        <f>VLOOKUP(Samenvattingschoonmaak[[#This Row],[Code Locatie]],Locaties[],2,0)</f>
        <v>Zwaluwenburg 10</v>
      </c>
      <c r="C9" s="239">
        <f>SUMIF('Ruimtestaat'!$A:$A,Totalisatie!$A9,'Ruimtestaat'!$N:$N)</f>
        <v>1147.8900000000003</v>
      </c>
      <c r="D9" s="239">
        <f>SUMIF('Ruimtestaat'!$A:$A,Totalisatie!$A9,'Ruimtestaat'!$AE:$AE)</f>
        <v>233744.2</v>
      </c>
      <c r="E9" s="240">
        <f>SUMIF('Ruimtestaat'!$A:$A,Totalisatie!$A9,'Ruimtestaat'!$AF:$AF)</f>
        <v>0</v>
      </c>
      <c r="F9" s="241" t="e">
        <f t="shared" si="0"/>
        <v>#DIV/0!</v>
      </c>
      <c r="G9" s="242">
        <f>SUMIF('Ruimtestaat'!$A:$A,Totalisatie!$A9,'Ruimtestaat'!$AG:$AG)</f>
        <v>0</v>
      </c>
      <c r="H9" s="243">
        <f t="shared" si="1"/>
        <v>0</v>
      </c>
    </row>
    <row r="10" spans="1:8" ht="18.75" customHeight="1">
      <c r="A10" s="237">
        <v>5</v>
      </c>
      <c r="B10" s="238" t="str">
        <f>VLOOKUP(Samenvattingschoonmaak[[#This Row],[Code Locatie]],Locaties[],2,0)</f>
        <v>Marke Zuid</v>
      </c>
      <c r="C10" s="239">
        <f>SUMIF('Ruimtestaat'!$A:$A,Totalisatie!$A10,'Ruimtestaat'!$N:$N)</f>
        <v>10593.38</v>
      </c>
      <c r="D10" s="239">
        <f>SUMIF('Ruimtestaat'!$A:$A,Totalisatie!$A10,'Ruimtestaat'!$AE:$AE)</f>
        <v>2106340.62</v>
      </c>
      <c r="E10" s="240">
        <f>SUMIF('Ruimtestaat'!$A:$A,Totalisatie!$A10,'Ruimtestaat'!$AF:$AF)</f>
        <v>0</v>
      </c>
      <c r="F10" s="241" t="e">
        <f t="shared" si="0"/>
        <v>#DIV/0!</v>
      </c>
      <c r="G10" s="242">
        <f>SUMIF('Ruimtestaat'!$A:$A,Totalisatie!$A10,'Ruimtestaat'!$AG:$AG)</f>
        <v>0</v>
      </c>
      <c r="H10" s="243">
        <f t="shared" si="1"/>
        <v>0</v>
      </c>
    </row>
    <row r="11" spans="1:8" ht="18.75" customHeight="1">
      <c r="A11" s="237">
        <v>6</v>
      </c>
      <c r="B11" s="238" t="str">
        <f>VLOOKUP(Samenvattingschoonmaak[[#This Row],[Code Locatie]],Locaties[],2,0)</f>
        <v>Marke Noord</v>
      </c>
      <c r="C11" s="239">
        <f>SUMIF('Ruimtestaat'!$A:$A,Totalisatie!$A11,'Ruimtestaat'!$N:$N)</f>
        <v>8429.6699999999983</v>
      </c>
      <c r="D11" s="239">
        <f>SUMIF('Ruimtestaat'!$A:$A,Totalisatie!$A11,'Ruimtestaat'!$AE:$AE)</f>
        <v>1665465.1199999996</v>
      </c>
      <c r="E11" s="240">
        <f>SUMIF('Ruimtestaat'!$A:$A,Totalisatie!$A11,'Ruimtestaat'!$AF:$AF)</f>
        <v>0</v>
      </c>
      <c r="F11" s="241" t="e">
        <f t="shared" si="0"/>
        <v>#DIV/0!</v>
      </c>
      <c r="G11" s="242">
        <f>SUMIF('Ruimtestaat'!$A:$A,Totalisatie!$A11,'Ruimtestaat'!$AG:$AG)</f>
        <v>0</v>
      </c>
      <c r="H11" s="243">
        <f t="shared" si="1"/>
        <v>0</v>
      </c>
    </row>
    <row r="12" spans="1:8" ht="19.5" customHeight="1">
      <c r="A12" s="237">
        <v>7</v>
      </c>
      <c r="B12" s="238" t="str">
        <f>VLOOKUP(Samenvattingschoonmaak[[#This Row],[Code Locatie]],Locaties[],2,0)</f>
        <v>Het Vlier</v>
      </c>
      <c r="C12" s="239">
        <f>SUMIF('Ruimtestaat'!$A:$A,Totalisatie!$A12,'Ruimtestaat'!$N:$N)</f>
        <v>10670.319999999998</v>
      </c>
      <c r="D12" s="239">
        <f>SUMIF('Ruimtestaat'!$A:$A,Totalisatie!$A12,'Ruimtestaat'!$AE:$AE)</f>
        <v>2122428.2999999993</v>
      </c>
      <c r="E12" s="240">
        <f>SUMIF('Ruimtestaat'!$A:$A,Totalisatie!$A12,'Ruimtestaat'!$AF:$AF)</f>
        <v>0</v>
      </c>
      <c r="F12" s="241" t="e">
        <f t="shared" ref="F12" si="2">D12/E12</f>
        <v>#DIV/0!</v>
      </c>
      <c r="G12" s="242">
        <f>SUMIF('Ruimtestaat'!$A:$A,Totalisatie!$A12,'Ruimtestaat'!$AG:$AG)</f>
        <v>0</v>
      </c>
      <c r="H12" s="243">
        <f t="shared" ref="H12" si="3">G12/C12</f>
        <v>0</v>
      </c>
    </row>
    <row r="13" spans="1:8" ht="19.5" customHeight="1">
      <c r="A13" s="237">
        <v>8</v>
      </c>
      <c r="B13" s="238" t="str">
        <f>VLOOKUP(Samenvattingschoonmaak[[#This Row],[Code Locatie]],Locaties[],2,0)</f>
        <v>Arkelstijn</v>
      </c>
      <c r="C13" s="239">
        <f>SUMIF('Ruimtestaat'!$A:$A,Totalisatie!$A13,'Ruimtestaat'!$N:$N)</f>
        <v>2724.2099999999987</v>
      </c>
      <c r="D13" s="239">
        <f>SUMIF('Ruimtestaat'!$A:$A,Totalisatie!$A13,'Ruimtestaat'!$AE:$AE)</f>
        <v>558198.31999999983</v>
      </c>
      <c r="E13" s="240">
        <f>SUMIF('Ruimtestaat'!$A:$A,Totalisatie!$A13,'Ruimtestaat'!$AF:$AF)</f>
        <v>0</v>
      </c>
      <c r="F13" s="241" t="e">
        <f t="shared" ref="F13" si="4">D13/E13</f>
        <v>#DIV/0!</v>
      </c>
      <c r="G13" s="242">
        <f>SUMIF('Ruimtestaat'!$A:$A,Totalisatie!$A13,'Ruimtestaat'!$AG:$AG)</f>
        <v>0</v>
      </c>
      <c r="H13" s="243">
        <f t="shared" ref="H13" si="5">G13/C13</f>
        <v>0</v>
      </c>
    </row>
    <row r="14" spans="1:8" s="36" customFormat="1" ht="25.5" customHeight="1">
      <c r="A14" s="142"/>
      <c r="B14" s="143" t="s">
        <v>1910</v>
      </c>
      <c r="C14" s="234">
        <f>SUBTOTAL(109,Samenvattingschoonmaak[Oppervlakte i/o])</f>
        <v>49522.05</v>
      </c>
      <c r="D14" s="234">
        <f>SUBTOTAL(109,Samenvattingschoonmaak[Prest. (m2 /jaar)])</f>
        <v>9886103.379999999</v>
      </c>
      <c r="E14" s="235">
        <f>SUBTOTAL(109,Samenvattingschoonmaak[Uren / jaar])</f>
        <v>0</v>
      </c>
      <c r="F14" s="234" t="e">
        <f>Samenvattingschoonmaak[[#Totals],[Prest. (m2 /jaar)]]/Samenvattingschoonmaak[[#Totals],[Uren / jaar]]</f>
        <v>#DIV/0!</v>
      </c>
      <c r="G14" s="144">
        <f>SUBTOTAL(109,Samenvattingschoonmaak[Kosten / jaar
excl btw])</f>
        <v>0</v>
      </c>
      <c r="H14" s="236">
        <f>Samenvattingschoonmaak[[#Totals],[Kosten / jaar
excl btw]]/Samenvattingschoonmaak[[#Totals],[Oppervlakte i/o]]</f>
        <v>0</v>
      </c>
    </row>
    <row r="15" spans="1:8" ht="18.75" customHeight="1">
      <c r="A15" s="124"/>
      <c r="B15" s="3"/>
    </row>
    <row r="16" spans="1:8" ht="18.75" customHeight="1">
      <c r="A16" s="65" t="s">
        <v>2004</v>
      </c>
      <c r="B16" s="35"/>
      <c r="C16" s="35"/>
      <c r="D16" s="35"/>
      <c r="E16" s="35"/>
      <c r="F16" s="35"/>
      <c r="G16" s="35"/>
      <c r="H16" s="35"/>
    </row>
    <row r="17" spans="1:9" ht="25.5" customHeight="1">
      <c r="A17" s="120" t="s">
        <v>1905</v>
      </c>
      <c r="B17" s="121" t="s">
        <v>2005</v>
      </c>
      <c r="C17" s="120" t="s">
        <v>2006</v>
      </c>
      <c r="D17" s="123" t="s">
        <v>2007</v>
      </c>
      <c r="E17" s="123" t="s">
        <v>2008</v>
      </c>
      <c r="F17" s="123" t="s">
        <v>2009</v>
      </c>
      <c r="G17" s="123" t="s">
        <v>2010</v>
      </c>
    </row>
    <row r="18" spans="1:9" ht="18.75" customHeight="1">
      <c r="A18" s="237">
        <v>1</v>
      </c>
      <c r="B18" s="238" t="str">
        <f>VLOOKUP(Totalisatie[[#This Row],[Code Locatie]],Locaties[],2,0)</f>
        <v>Boerhaave + buitenunits</v>
      </c>
      <c r="C18" s="242">
        <f>SUMIF('Ruimtestaat'!A:A,Totalisatie[[#This Row],[Code Locatie]],'Ruimtestaat'!AG:AG)</f>
        <v>0</v>
      </c>
      <c r="D18" s="244">
        <f>SUMIF(Vloeronderhoud!$A$22:$A$54,Totalisatie[[#This Row],[Code Locatie]],Vloeronderhoud!$H$22:$H$54)</f>
        <v>0</v>
      </c>
      <c r="E18" s="244">
        <f ca="1">SUMIF(OverzichtGlas[[Code Locatie]:[Kosten/jaar excl. BTW]],Totalisatie[[#This Row],[Code Locatie]],OverzichtGlas[Kosten/jaar excl. BTW])</f>
        <v>0</v>
      </c>
      <c r="F18" s="242">
        <f>SUMIF(OverzichtExtra[Code Locatie],Totalisatie[[#This Row],[Code Locatie]],OverzichtExtra[Kosten/jaar excl. BTW])</f>
        <v>0</v>
      </c>
      <c r="G18" s="242">
        <f ca="1">SUM(Totalisatie[[#This Row],[Schoonmaakonderhoud
Kosten / jaar excl btw]:[Extra Werkzaamheden
Kosten / jaar excl btw]])</f>
        <v>0</v>
      </c>
      <c r="I18" s="155"/>
    </row>
    <row r="19" spans="1:9" ht="18.75" customHeight="1">
      <c r="A19" s="237">
        <v>2</v>
      </c>
      <c r="B19" s="238" t="str">
        <f>VLOOKUP(Totalisatie[[#This Row],[Code Locatie]],Locaties[],2,0)</f>
        <v>Het Stormink</v>
      </c>
      <c r="C19" s="242">
        <f>SUMIF('Ruimtestaat'!A:A,Totalisatie[[#This Row],[Code Locatie]],'Ruimtestaat'!AG:AG)</f>
        <v>0</v>
      </c>
      <c r="D19" s="244">
        <f>SUMIF(Vloeronderhoud!$A$22:$A$54,Totalisatie[[#This Row],[Code Locatie]],Vloeronderhoud!$H$22:$H$54)</f>
        <v>0</v>
      </c>
      <c r="E19" s="244">
        <f ca="1">SUMIF(OverzichtGlas[[Code Locatie]:[Kosten/jaar excl. BTW]],Totalisatie[[#This Row],[Code Locatie]],OverzichtGlas[Kosten/jaar excl. BTW])</f>
        <v>0</v>
      </c>
      <c r="F19" s="242">
        <f>SUMIF(OverzichtExtra[Code Locatie],Totalisatie[[#This Row],[Code Locatie]],OverzichtExtra[Kosten/jaar excl. BTW])</f>
        <v>0</v>
      </c>
      <c r="G19" s="242">
        <f ca="1">SUM(Totalisatie[[#This Row],[Schoonmaakonderhoud
Kosten / jaar excl btw]:[Extra Werkzaamheden
Kosten / jaar excl btw]])</f>
        <v>0</v>
      </c>
      <c r="I19" s="155"/>
    </row>
    <row r="20" spans="1:9" ht="18.75" customHeight="1">
      <c r="A20" s="237">
        <v>3</v>
      </c>
      <c r="B20" s="238" t="str">
        <f>VLOOKUP(Totalisatie[[#This Row],[Code Locatie]],Locaties[],2,0)</f>
        <v>Zwaluwenburg 8</v>
      </c>
      <c r="C20" s="242">
        <f>SUMIF('Ruimtestaat'!A:A,Totalisatie[[#This Row],[Code Locatie]],'Ruimtestaat'!AG:AG)</f>
        <v>0</v>
      </c>
      <c r="D20" s="244">
        <f>SUMIF(Vloeronderhoud!$A$22:$A$54,Totalisatie[[#This Row],[Code Locatie]],Vloeronderhoud!$H$22:$H$54)</f>
        <v>0</v>
      </c>
      <c r="E20" s="244">
        <f ca="1">SUMIF(OverzichtGlas[[Code Locatie]:[Kosten/jaar excl. BTW]],Totalisatie[[#This Row],[Code Locatie]],OverzichtGlas[Kosten/jaar excl. BTW])</f>
        <v>0</v>
      </c>
      <c r="F20" s="242">
        <f>SUMIF(OverzichtExtra[Code Locatie],Totalisatie[[#This Row],[Code Locatie]],OverzichtExtra[Kosten/jaar excl. BTW])</f>
        <v>0</v>
      </c>
      <c r="G20" s="242">
        <f ca="1">SUM(Totalisatie[[#This Row],[Schoonmaakonderhoud
Kosten / jaar excl btw]:[Extra Werkzaamheden
Kosten / jaar excl btw]])</f>
        <v>0</v>
      </c>
      <c r="I20" s="155"/>
    </row>
    <row r="21" spans="1:9" ht="18.75" customHeight="1">
      <c r="A21" s="237">
        <v>4</v>
      </c>
      <c r="B21" s="238" t="str">
        <f>VLOOKUP(Totalisatie[[#This Row],[Code Locatie]],Locaties[],2,0)</f>
        <v>Zwaluwenburg 10</v>
      </c>
      <c r="C21" s="242">
        <f>SUMIF('Ruimtestaat'!A:A,Totalisatie[[#This Row],[Code Locatie]],'Ruimtestaat'!AG:AG)</f>
        <v>0</v>
      </c>
      <c r="D21" s="244">
        <f>SUMIF(Vloeronderhoud!$A$22:$A$54,Totalisatie[[#This Row],[Code Locatie]],Vloeronderhoud!$H$22:$H$54)</f>
        <v>0</v>
      </c>
      <c r="E21" s="244">
        <f ca="1">SUMIF(OverzichtGlas[[Code Locatie]:[Kosten/jaar excl. BTW]],Totalisatie[[#This Row],[Code Locatie]],OverzichtGlas[Kosten/jaar excl. BTW])</f>
        <v>0</v>
      </c>
      <c r="F21" s="242">
        <f>SUMIF(OverzichtExtra[Code Locatie],Totalisatie[[#This Row],[Code Locatie]],OverzichtExtra[Kosten/jaar excl. BTW])</f>
        <v>0</v>
      </c>
      <c r="G21" s="242">
        <f ca="1">SUM(Totalisatie[[#This Row],[Schoonmaakonderhoud
Kosten / jaar excl btw]:[Extra Werkzaamheden
Kosten / jaar excl btw]])</f>
        <v>0</v>
      </c>
      <c r="I21" s="155"/>
    </row>
    <row r="22" spans="1:9" ht="18.75" customHeight="1">
      <c r="A22" s="237">
        <v>5</v>
      </c>
      <c r="B22" s="238" t="str">
        <f>VLOOKUP(Totalisatie[[#This Row],[Code Locatie]],Locaties[],2,0)</f>
        <v>Marke Zuid</v>
      </c>
      <c r="C22" s="242">
        <f>SUMIF('Ruimtestaat'!A:A,Totalisatie[[#This Row],[Code Locatie]],'Ruimtestaat'!AG:AG)</f>
        <v>0</v>
      </c>
      <c r="D22" s="244">
        <f>SUMIF(Vloeronderhoud!$A$22:$A$54,Totalisatie[[#This Row],[Code Locatie]],Vloeronderhoud!$H$22:$H$54)</f>
        <v>0</v>
      </c>
      <c r="E22" s="244">
        <f ca="1">SUMIF(OverzichtGlas[[Code Locatie]:[Kosten/jaar excl. BTW]],Totalisatie[[#This Row],[Code Locatie]],OverzichtGlas[Kosten/jaar excl. BTW])</f>
        <v>0</v>
      </c>
      <c r="F22" s="242">
        <f>SUMIF(OverzichtExtra[Code Locatie],Totalisatie[[#This Row],[Code Locatie]],OverzichtExtra[Kosten/jaar excl. BTW])</f>
        <v>0</v>
      </c>
      <c r="G22" s="242">
        <f ca="1">SUM(Totalisatie[[#This Row],[Schoonmaakonderhoud
Kosten / jaar excl btw]:[Extra Werkzaamheden
Kosten / jaar excl btw]])</f>
        <v>0</v>
      </c>
      <c r="I22" s="155"/>
    </row>
    <row r="23" spans="1:9" ht="18.75" customHeight="1">
      <c r="A23" s="237">
        <v>6</v>
      </c>
      <c r="B23" s="238" t="str">
        <f>VLOOKUP(Totalisatie[[#This Row],[Code Locatie]],Locaties[],2,0)</f>
        <v>Marke Noord</v>
      </c>
      <c r="C23" s="242">
        <f>SUMIF('Ruimtestaat'!A:A,Totalisatie[[#This Row],[Code Locatie]],'Ruimtestaat'!AG:AG)</f>
        <v>0</v>
      </c>
      <c r="D23" s="244">
        <f>SUMIF(Vloeronderhoud!$A$22:$A$54,Totalisatie[[#This Row],[Code Locatie]],Vloeronderhoud!$H$22:$H$54)</f>
        <v>0</v>
      </c>
      <c r="E23" s="244">
        <f ca="1">SUMIF(OverzichtGlas[[Code Locatie]:[Kosten/jaar excl. BTW]],Totalisatie[[#This Row],[Code Locatie]],OverzichtGlas[Kosten/jaar excl. BTW])</f>
        <v>0</v>
      </c>
      <c r="F23" s="242">
        <f>SUMIF(OverzichtExtra[Code Locatie],Totalisatie[[#This Row],[Code Locatie]],OverzichtExtra[Kosten/jaar excl. BTW])</f>
        <v>0</v>
      </c>
      <c r="G23" s="242">
        <f ca="1">SUM(Totalisatie[[#This Row],[Schoonmaakonderhoud
Kosten / jaar excl btw]:[Extra Werkzaamheden
Kosten / jaar excl btw]])</f>
        <v>0</v>
      </c>
      <c r="I23" s="155"/>
    </row>
    <row r="24" spans="1:9" ht="18.75" customHeight="1">
      <c r="A24" s="237">
        <v>7</v>
      </c>
      <c r="B24" s="238" t="str">
        <f>VLOOKUP(Totalisatie[[#This Row],[Code Locatie]],Locaties[],2,0)</f>
        <v>Het Vlier</v>
      </c>
      <c r="C24" s="242">
        <f>SUMIF('Ruimtestaat'!A:A,Totalisatie[[#This Row],[Code Locatie]],'Ruimtestaat'!AG:AG)</f>
        <v>0</v>
      </c>
      <c r="D24" s="244">
        <f>SUMIF(Vloeronderhoud!$A$22:$A$54,Totalisatie[[#This Row],[Code Locatie]],Vloeronderhoud!$H$22:$H$54)</f>
        <v>0</v>
      </c>
      <c r="E24" s="244">
        <f ca="1">SUMIF(OverzichtGlas[[Code Locatie]:[Kosten/jaar excl. BTW]],Totalisatie[[#This Row],[Code Locatie]],OverzichtGlas[Kosten/jaar excl. BTW])</f>
        <v>0</v>
      </c>
      <c r="F24" s="242">
        <f>SUMIF(OverzichtExtra[Code Locatie],Totalisatie[[#This Row],[Code Locatie]],OverzichtExtra[Kosten/jaar excl. BTW])</f>
        <v>0</v>
      </c>
      <c r="G24" s="242">
        <f ca="1">SUM(Totalisatie[[#This Row],[Schoonmaakonderhoud
Kosten / jaar excl btw]:[Extra Werkzaamheden
Kosten / jaar excl btw]])</f>
        <v>0</v>
      </c>
      <c r="I24" s="155"/>
    </row>
    <row r="25" spans="1:9" ht="18.75" customHeight="1">
      <c r="A25" s="237">
        <v>8</v>
      </c>
      <c r="B25" s="238" t="str">
        <f>VLOOKUP(Totalisatie[[#This Row],[Code Locatie]],Locaties[],2,0)</f>
        <v>Arkelstijn</v>
      </c>
      <c r="C25" s="242">
        <f>SUMIF('Ruimtestaat'!A:A,Totalisatie[[#This Row],[Code Locatie]],'Ruimtestaat'!AG:AG)</f>
        <v>0</v>
      </c>
      <c r="D25" s="244">
        <f>SUMIF(Vloeronderhoud!$A$22:$A$54,Totalisatie[[#This Row],[Code Locatie]],Vloeronderhoud!$H$22:$H$54)</f>
        <v>0</v>
      </c>
      <c r="E25" s="244">
        <f ca="1">SUMIF(OverzichtGlas[[Code Locatie]:[Kosten/jaar excl. BTW]],Totalisatie[[#This Row],[Code Locatie]],OverzichtGlas[Kosten/jaar excl. BTW])</f>
        <v>0</v>
      </c>
      <c r="F25" s="242">
        <f>SUMIF(OverzichtExtra[Code Locatie],Totalisatie[[#This Row],[Code Locatie]],OverzichtExtra[Kosten/jaar excl. BTW])</f>
        <v>0</v>
      </c>
      <c r="G25" s="242">
        <f ca="1">SUM(Totalisatie[[#This Row],[Schoonmaakonderhoud
Kosten / jaar excl btw]:[Extra Werkzaamheden
Kosten / jaar excl btw]])</f>
        <v>0</v>
      </c>
      <c r="I25" s="155"/>
    </row>
    <row r="26" spans="1:9" ht="18.75" customHeight="1">
      <c r="A26" s="142"/>
      <c r="B26" s="143" t="s">
        <v>1910</v>
      </c>
      <c r="C26" s="144">
        <f>SUBTOTAL(109,Totalisatie[Schoonmaakonderhoud
Kosten / jaar excl btw])</f>
        <v>0</v>
      </c>
      <c r="D26" s="144">
        <f>SUBTOTAL(109,Totalisatie[Vloeronderhoud
Kosten / jaar excl btw])</f>
        <v>0</v>
      </c>
      <c r="E26" s="144">
        <f ca="1">SUBTOTAL(109,Totalisatie[Glasbewassing
Kosten / jaar excl btw])</f>
        <v>0</v>
      </c>
      <c r="F26" s="144">
        <f>SUBTOTAL(109,Totalisatie[Extra Werkzaamheden
Kosten / jaar excl btw])</f>
        <v>0</v>
      </c>
      <c r="G26" s="144">
        <f ca="1">SUBTOTAL(109,Totalisatie[Totaalprijs
Kosten / jaar excl btw])</f>
        <v>0</v>
      </c>
    </row>
    <row r="27" spans="1:9" ht="18.75" customHeight="1">
      <c r="A27" s="124"/>
      <c r="B27" s="3"/>
      <c r="H27" s="35"/>
    </row>
    <row r="28" spans="1:9" ht="26.25" customHeight="1">
      <c r="A28" s="65" t="s">
        <v>2011</v>
      </c>
      <c r="B28" s="3"/>
      <c r="H28" s="140"/>
    </row>
    <row r="29" spans="1:9" ht="26.25" customHeight="1">
      <c r="A29" s="316" t="s">
        <v>2012</v>
      </c>
      <c r="B29" s="317"/>
      <c r="C29" s="318"/>
      <c r="D29" s="318"/>
      <c r="E29" s="318"/>
      <c r="F29" s="318"/>
      <c r="G29" s="319"/>
    </row>
    <row r="30" spans="1:9" ht="18.75" customHeight="1">
      <c r="A30" s="125" t="s">
        <v>296</v>
      </c>
      <c r="B30" s="320"/>
      <c r="C30" s="321"/>
      <c r="D30" s="125" t="s">
        <v>296</v>
      </c>
      <c r="E30" s="320" t="s">
        <v>2013</v>
      </c>
      <c r="F30" s="324"/>
      <c r="G30" s="321"/>
    </row>
    <row r="31" spans="1:9" ht="18.75" customHeight="1">
      <c r="A31" s="126" t="s">
        <v>6</v>
      </c>
      <c r="B31" s="322"/>
      <c r="C31" s="323"/>
      <c r="D31" s="126" t="s">
        <v>6</v>
      </c>
      <c r="E31" s="322" t="s">
        <v>2013</v>
      </c>
      <c r="F31" s="325"/>
      <c r="G31" s="323"/>
    </row>
    <row r="32" spans="1:9" ht="18.75" customHeight="1">
      <c r="A32" s="125" t="s">
        <v>2014</v>
      </c>
      <c r="B32" s="320"/>
      <c r="C32" s="321"/>
      <c r="D32" s="125" t="s">
        <v>2014</v>
      </c>
      <c r="E32" s="320" t="s">
        <v>2013</v>
      </c>
      <c r="F32" s="324"/>
      <c r="G32" s="321"/>
    </row>
    <row r="33" spans="1:7" ht="84.75" customHeight="1">
      <c r="A33" s="126" t="s">
        <v>2015</v>
      </c>
      <c r="B33" s="322" t="s">
        <v>2013</v>
      </c>
      <c r="C33" s="323"/>
      <c r="D33" s="126" t="s">
        <v>2015</v>
      </c>
      <c r="E33" s="313" t="s">
        <v>2013</v>
      </c>
      <c r="F33" s="314"/>
      <c r="G33" s="315"/>
    </row>
    <row r="34" spans="1:7" ht="18.75" customHeight="1">
      <c r="A34" s="125" t="s">
        <v>2016</v>
      </c>
      <c r="B34" s="127"/>
      <c r="C34" s="128"/>
      <c r="D34" s="129"/>
      <c r="E34" s="130"/>
      <c r="F34" s="130"/>
      <c r="G34" s="131"/>
    </row>
  </sheetData>
  <mergeCells count="12">
    <mergeCell ref="A1:H1"/>
    <mergeCell ref="A2:H2"/>
    <mergeCell ref="E30:G30"/>
    <mergeCell ref="E31:G31"/>
    <mergeCell ref="E32:G32"/>
    <mergeCell ref="E33:G33"/>
    <mergeCell ref="A29:B29"/>
    <mergeCell ref="C29:G29"/>
    <mergeCell ref="B30:C30"/>
    <mergeCell ref="B31:C31"/>
    <mergeCell ref="B32:C32"/>
    <mergeCell ref="B33:C3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D90"/>
  <sheetViews>
    <sheetView showGridLines="0" view="pageBreakPreview" zoomScale="85" zoomScaleNormal="100" zoomScaleSheetLayoutView="85" workbookViewId="0">
      <selection sqref="A1:D1"/>
    </sheetView>
  </sheetViews>
  <sheetFormatPr defaultColWidth="9" defaultRowHeight="15" customHeight="1"/>
  <cols>
    <col min="1" max="1" width="29.5546875" style="196" customWidth="1"/>
    <col min="2" max="2" width="33.33203125" style="196" customWidth="1"/>
    <col min="3" max="3" width="45.44140625" style="196" bestFit="1" customWidth="1"/>
    <col min="4" max="4" width="54" style="196" customWidth="1"/>
    <col min="5" max="16384" width="9" style="190"/>
  </cols>
  <sheetData>
    <row r="1" spans="1:4" ht="45" customHeight="1">
      <c r="A1" s="260" t="s">
        <v>42</v>
      </c>
      <c r="B1" s="261"/>
      <c r="C1" s="261"/>
      <c r="D1" s="262"/>
    </row>
    <row r="2" spans="1:4" ht="13.2">
      <c r="A2" s="163" t="s">
        <v>43</v>
      </c>
      <c r="B2" s="163" t="s">
        <v>44</v>
      </c>
      <c r="C2" s="163" t="s">
        <v>45</v>
      </c>
      <c r="D2" s="163" t="s">
        <v>46</v>
      </c>
    </row>
    <row r="3" spans="1:4" ht="13.2">
      <c r="A3" s="163"/>
      <c r="B3" s="163"/>
      <c r="C3" s="163"/>
      <c r="D3" s="163" t="s">
        <v>47</v>
      </c>
    </row>
    <row r="4" spans="1:4" ht="13.2">
      <c r="A4" s="163" t="s">
        <v>48</v>
      </c>
      <c r="B4" s="163"/>
      <c r="C4" s="163"/>
      <c r="D4" s="163"/>
    </row>
    <row r="5" spans="1:4" ht="26.4">
      <c r="A5" s="191" t="s">
        <v>49</v>
      </c>
      <c r="B5" s="191"/>
      <c r="C5" s="192" t="s">
        <v>50</v>
      </c>
      <c r="D5" s="192"/>
    </row>
    <row r="6" spans="1:4" ht="26.4">
      <c r="A6" s="191" t="s">
        <v>51</v>
      </c>
      <c r="B6" s="191" t="s">
        <v>52</v>
      </c>
      <c r="C6" s="192" t="s">
        <v>53</v>
      </c>
      <c r="D6" s="192" t="s">
        <v>54</v>
      </c>
    </row>
    <row r="7" spans="1:4" ht="26.4">
      <c r="A7" s="191" t="s">
        <v>55</v>
      </c>
      <c r="B7" s="191" t="s">
        <v>56</v>
      </c>
      <c r="C7" s="192" t="s">
        <v>53</v>
      </c>
      <c r="D7" s="192" t="s">
        <v>57</v>
      </c>
    </row>
    <row r="8" spans="1:4" ht="26.4">
      <c r="A8" s="191" t="s">
        <v>58</v>
      </c>
      <c r="B8" s="191" t="s">
        <v>59</v>
      </c>
      <c r="C8" s="192" t="s">
        <v>60</v>
      </c>
      <c r="D8" s="192" t="s">
        <v>61</v>
      </c>
    </row>
    <row r="9" spans="1:4" ht="26.4">
      <c r="A9" s="191" t="s">
        <v>58</v>
      </c>
      <c r="B9" s="191" t="s">
        <v>52</v>
      </c>
      <c r="C9" s="192" t="s">
        <v>62</v>
      </c>
      <c r="D9" s="192" t="s">
        <v>61</v>
      </c>
    </row>
    <row r="10" spans="1:4" ht="13.2">
      <c r="A10" s="191" t="s">
        <v>63</v>
      </c>
      <c r="B10" s="191" t="s">
        <v>52</v>
      </c>
      <c r="C10" s="192" t="s">
        <v>64</v>
      </c>
      <c r="D10" s="192"/>
    </row>
    <row r="11" spans="1:4" ht="30" customHeight="1">
      <c r="A11" s="191" t="s">
        <v>65</v>
      </c>
      <c r="B11" s="191" t="s">
        <v>56</v>
      </c>
      <c r="C11" s="192" t="s">
        <v>53</v>
      </c>
      <c r="D11" s="192" t="s">
        <v>66</v>
      </c>
    </row>
    <row r="12" spans="1:4" ht="13.2">
      <c r="A12" s="191" t="s">
        <v>67</v>
      </c>
      <c r="B12" s="191" t="s">
        <v>56</v>
      </c>
      <c r="C12" s="192" t="s">
        <v>53</v>
      </c>
      <c r="D12" s="191" t="s">
        <v>68</v>
      </c>
    </row>
    <row r="13" spans="1:4" ht="13.2">
      <c r="A13" s="193" t="s">
        <v>69</v>
      </c>
      <c r="B13" s="193" t="s">
        <v>56</v>
      </c>
      <c r="C13" s="194" t="s">
        <v>53</v>
      </c>
      <c r="D13" s="194" t="s">
        <v>70</v>
      </c>
    </row>
    <row r="14" spans="1:4" ht="26.4">
      <c r="A14" s="191" t="s">
        <v>71</v>
      </c>
      <c r="B14" s="191" t="s">
        <v>56</v>
      </c>
      <c r="C14" s="192" t="s">
        <v>53</v>
      </c>
      <c r="D14" s="192" t="s">
        <v>72</v>
      </c>
    </row>
    <row r="15" spans="1:4" ht="26.4">
      <c r="A15" s="191" t="s">
        <v>73</v>
      </c>
      <c r="B15" s="191" t="s">
        <v>52</v>
      </c>
      <c r="C15" s="192" t="s">
        <v>53</v>
      </c>
      <c r="D15" s="192" t="s">
        <v>74</v>
      </c>
    </row>
    <row r="16" spans="1:4" ht="26.4">
      <c r="A16" s="191" t="s">
        <v>75</v>
      </c>
      <c r="B16" s="191" t="s">
        <v>56</v>
      </c>
      <c r="C16" s="192" t="s">
        <v>53</v>
      </c>
      <c r="D16" s="195" t="s">
        <v>76</v>
      </c>
    </row>
    <row r="17" spans="1:4" ht="13.2">
      <c r="A17" s="191" t="s">
        <v>77</v>
      </c>
      <c r="B17" s="191" t="s">
        <v>56</v>
      </c>
      <c r="C17" s="192" t="s">
        <v>53</v>
      </c>
      <c r="D17" s="195" t="s">
        <v>78</v>
      </c>
    </row>
    <row r="18" spans="1:4" ht="26.4">
      <c r="A18" s="191" t="s">
        <v>79</v>
      </c>
      <c r="B18" s="191" t="s">
        <v>52</v>
      </c>
      <c r="C18" s="192" t="s">
        <v>53</v>
      </c>
      <c r="D18" s="195" t="s">
        <v>72</v>
      </c>
    </row>
    <row r="19" spans="1:4" ht="13.2">
      <c r="A19" s="191" t="s">
        <v>80</v>
      </c>
      <c r="B19" s="191" t="s">
        <v>56</v>
      </c>
      <c r="C19" s="192" t="s">
        <v>53</v>
      </c>
      <c r="D19" s="195" t="s">
        <v>78</v>
      </c>
    </row>
    <row r="20" spans="1:4" ht="13.2">
      <c r="A20" s="191" t="s">
        <v>81</v>
      </c>
      <c r="B20" s="191" t="s">
        <v>82</v>
      </c>
      <c r="C20" s="192" t="s">
        <v>83</v>
      </c>
      <c r="D20" s="195"/>
    </row>
    <row r="21" spans="1:4" ht="26.4">
      <c r="A21" s="191" t="s">
        <v>81</v>
      </c>
      <c r="B21" s="191" t="s">
        <v>52</v>
      </c>
      <c r="C21" s="192" t="s">
        <v>53</v>
      </c>
      <c r="D21" s="195" t="s">
        <v>76</v>
      </c>
    </row>
    <row r="22" spans="1:4" ht="26.4">
      <c r="A22" s="191" t="s">
        <v>85</v>
      </c>
      <c r="B22" s="191" t="s">
        <v>56</v>
      </c>
      <c r="C22" s="192" t="s">
        <v>53</v>
      </c>
      <c r="D22" s="195" t="s">
        <v>86</v>
      </c>
    </row>
    <row r="23" spans="1:4" ht="26.4">
      <c r="A23" s="191" t="s">
        <v>87</v>
      </c>
      <c r="B23" s="191" t="s">
        <v>56</v>
      </c>
      <c r="C23" s="192" t="s">
        <v>53</v>
      </c>
      <c r="D23" s="195" t="s">
        <v>88</v>
      </c>
    </row>
    <row r="24" spans="1:4" ht="26.4">
      <c r="A24" s="191" t="s">
        <v>89</v>
      </c>
      <c r="B24" s="191" t="s">
        <v>56</v>
      </c>
      <c r="C24" s="192" t="s">
        <v>53</v>
      </c>
      <c r="D24" s="195" t="s">
        <v>84</v>
      </c>
    </row>
    <row r="25" spans="1:4" ht="26.4">
      <c r="A25" s="191" t="s">
        <v>90</v>
      </c>
      <c r="B25" s="191" t="s">
        <v>52</v>
      </c>
      <c r="C25" s="192" t="s">
        <v>53</v>
      </c>
      <c r="D25" s="195" t="s">
        <v>91</v>
      </c>
    </row>
    <row r="26" spans="1:4" ht="26.4">
      <c r="A26" s="191" t="s">
        <v>92</v>
      </c>
      <c r="B26" s="191" t="s">
        <v>52</v>
      </c>
      <c r="C26" s="192" t="s">
        <v>53</v>
      </c>
      <c r="D26" s="195" t="s">
        <v>76</v>
      </c>
    </row>
    <row r="27" spans="1:4" ht="26.4">
      <c r="A27" s="191" t="s">
        <v>93</v>
      </c>
      <c r="B27" s="191" t="s">
        <v>56</v>
      </c>
      <c r="C27" s="192" t="s">
        <v>53</v>
      </c>
      <c r="D27" s="195" t="s">
        <v>76</v>
      </c>
    </row>
    <row r="28" spans="1:4" ht="26.4">
      <c r="A28" s="191" t="s">
        <v>94</v>
      </c>
      <c r="B28" s="191" t="s">
        <v>52</v>
      </c>
      <c r="C28" s="192" t="s">
        <v>53</v>
      </c>
      <c r="D28" s="195" t="s">
        <v>76</v>
      </c>
    </row>
    <row r="29" spans="1:4" ht="13.2">
      <c r="A29" s="163" t="s">
        <v>43</v>
      </c>
      <c r="B29" s="163" t="s">
        <v>44</v>
      </c>
      <c r="C29" s="163" t="s">
        <v>45</v>
      </c>
      <c r="D29" s="163" t="s">
        <v>46</v>
      </c>
    </row>
    <row r="30" spans="1:4" ht="13.2">
      <c r="A30" s="163"/>
      <c r="B30" s="163"/>
      <c r="C30" s="163"/>
      <c r="D30" s="163" t="s">
        <v>47</v>
      </c>
    </row>
    <row r="31" spans="1:4" ht="13.2">
      <c r="A31" s="163" t="s">
        <v>95</v>
      </c>
      <c r="B31" s="163"/>
      <c r="C31" s="163"/>
      <c r="D31" s="163"/>
    </row>
    <row r="32" spans="1:4" ht="26.4">
      <c r="A32" s="191" t="s">
        <v>49</v>
      </c>
      <c r="B32" s="191"/>
      <c r="C32" s="192" t="s">
        <v>96</v>
      </c>
      <c r="D32" s="195"/>
    </row>
    <row r="33" spans="1:4" ht="26.4">
      <c r="A33" s="191" t="s">
        <v>97</v>
      </c>
      <c r="B33" s="191" t="s">
        <v>52</v>
      </c>
      <c r="C33" s="192" t="s">
        <v>53</v>
      </c>
      <c r="D33" s="195" t="s">
        <v>98</v>
      </c>
    </row>
    <row r="34" spans="1:4" ht="13.2">
      <c r="A34" s="191" t="s">
        <v>99</v>
      </c>
      <c r="B34" s="191" t="s">
        <v>52</v>
      </c>
      <c r="C34" s="192" t="s">
        <v>53</v>
      </c>
      <c r="D34" s="195" t="s">
        <v>100</v>
      </c>
    </row>
    <row r="35" spans="1:4" ht="26.4">
      <c r="A35" s="191" t="s">
        <v>101</v>
      </c>
      <c r="B35" s="191" t="s">
        <v>56</v>
      </c>
      <c r="C35" s="192" t="s">
        <v>53</v>
      </c>
      <c r="D35" s="195" t="s">
        <v>102</v>
      </c>
    </row>
    <row r="36" spans="1:4" ht="26.4">
      <c r="A36" s="191" t="s">
        <v>73</v>
      </c>
      <c r="B36" s="191" t="s">
        <v>52</v>
      </c>
      <c r="C36" s="192" t="s">
        <v>53</v>
      </c>
      <c r="D36" s="192" t="s">
        <v>74</v>
      </c>
    </row>
    <row r="37" spans="1:4" ht="26.4">
      <c r="A37" s="191" t="s">
        <v>103</v>
      </c>
      <c r="B37" s="191" t="s">
        <v>52</v>
      </c>
      <c r="C37" s="192" t="s">
        <v>53</v>
      </c>
      <c r="D37" s="192" t="s">
        <v>98</v>
      </c>
    </row>
    <row r="38" spans="1:4" ht="26.4">
      <c r="A38" s="191" t="s">
        <v>104</v>
      </c>
      <c r="B38" s="191" t="s">
        <v>52</v>
      </c>
      <c r="C38" s="192" t="s">
        <v>53</v>
      </c>
      <c r="D38" s="192" t="s">
        <v>105</v>
      </c>
    </row>
    <row r="39" spans="1:4" ht="26.4">
      <c r="A39" s="191" t="s">
        <v>106</v>
      </c>
      <c r="B39" s="191" t="s">
        <v>52</v>
      </c>
      <c r="C39" s="192" t="s">
        <v>53</v>
      </c>
      <c r="D39" s="192" t="s">
        <v>107</v>
      </c>
    </row>
    <row r="40" spans="1:4" ht="13.2">
      <c r="A40" s="191" t="s">
        <v>108</v>
      </c>
      <c r="B40" s="191" t="s">
        <v>56</v>
      </c>
      <c r="C40" s="192" t="s">
        <v>53</v>
      </c>
      <c r="D40" s="195" t="s">
        <v>68</v>
      </c>
    </row>
    <row r="41" spans="1:4" ht="26.4">
      <c r="A41" s="191" t="s">
        <v>109</v>
      </c>
      <c r="B41" s="191" t="s">
        <v>56</v>
      </c>
      <c r="C41" s="192" t="s">
        <v>53</v>
      </c>
      <c r="D41" s="195" t="s">
        <v>76</v>
      </c>
    </row>
    <row r="42" spans="1:4" ht="26.4">
      <c r="A42" s="191" t="s">
        <v>110</v>
      </c>
      <c r="B42" s="191" t="s">
        <v>52</v>
      </c>
      <c r="C42" s="192" t="s">
        <v>53</v>
      </c>
      <c r="D42" s="195" t="s">
        <v>111</v>
      </c>
    </row>
    <row r="43" spans="1:4" ht="26.4">
      <c r="A43" s="191" t="s">
        <v>112</v>
      </c>
      <c r="B43" s="191" t="s">
        <v>52</v>
      </c>
      <c r="C43" s="192" t="s">
        <v>53</v>
      </c>
      <c r="D43" s="195" t="s">
        <v>113</v>
      </c>
    </row>
    <row r="44" spans="1:4" ht="26.4">
      <c r="A44" s="191" t="s">
        <v>114</v>
      </c>
      <c r="B44" s="191" t="s">
        <v>52</v>
      </c>
      <c r="C44" s="192" t="s">
        <v>53</v>
      </c>
      <c r="D44" s="192" t="s">
        <v>115</v>
      </c>
    </row>
    <row r="45" spans="1:4" ht="26.4">
      <c r="A45" s="191" t="s">
        <v>116</v>
      </c>
      <c r="B45" s="191" t="s">
        <v>52</v>
      </c>
      <c r="C45" s="192" t="s">
        <v>53</v>
      </c>
      <c r="D45" s="195" t="s">
        <v>76</v>
      </c>
    </row>
    <row r="46" spans="1:4" ht="13.2">
      <c r="A46" s="191" t="s">
        <v>117</v>
      </c>
      <c r="B46" s="191" t="s">
        <v>56</v>
      </c>
      <c r="C46" s="192" t="s">
        <v>53</v>
      </c>
      <c r="D46" s="195" t="s">
        <v>68</v>
      </c>
    </row>
    <row r="47" spans="1:4" ht="26.4">
      <c r="A47" s="191" t="s">
        <v>118</v>
      </c>
      <c r="B47" s="191" t="s">
        <v>56</v>
      </c>
      <c r="C47" s="192" t="s">
        <v>53</v>
      </c>
      <c r="D47" s="195" t="s">
        <v>74</v>
      </c>
    </row>
    <row r="48" spans="1:4" ht="26.4">
      <c r="A48" s="191" t="s">
        <v>119</v>
      </c>
      <c r="B48" s="191" t="s">
        <v>52</v>
      </c>
      <c r="C48" s="192" t="s">
        <v>120</v>
      </c>
      <c r="D48" s="195" t="s">
        <v>121</v>
      </c>
    </row>
    <row r="49" spans="1:4" ht="39.6">
      <c r="A49" s="191" t="s">
        <v>122</v>
      </c>
      <c r="B49" s="191" t="s">
        <v>52</v>
      </c>
      <c r="C49" s="192" t="s">
        <v>53</v>
      </c>
      <c r="D49" s="195" t="s">
        <v>123</v>
      </c>
    </row>
    <row r="50" spans="1:4" ht="13.2">
      <c r="A50" s="163" t="s">
        <v>43</v>
      </c>
      <c r="B50" s="163" t="s">
        <v>44</v>
      </c>
      <c r="C50" s="163" t="s">
        <v>45</v>
      </c>
      <c r="D50" s="163" t="s">
        <v>46</v>
      </c>
    </row>
    <row r="51" spans="1:4" ht="13.2">
      <c r="A51" s="163"/>
      <c r="B51" s="163"/>
      <c r="C51" s="163"/>
      <c r="D51" s="163" t="s">
        <v>47</v>
      </c>
    </row>
    <row r="52" spans="1:4" ht="13.2">
      <c r="A52" s="163" t="s">
        <v>124</v>
      </c>
      <c r="B52" s="163"/>
      <c r="C52" s="163"/>
      <c r="D52" s="163"/>
    </row>
    <row r="53" spans="1:4" ht="39.6">
      <c r="A53" s="191" t="s">
        <v>49</v>
      </c>
      <c r="B53" s="191"/>
      <c r="C53" s="192" t="s">
        <v>125</v>
      </c>
      <c r="D53" s="192"/>
    </row>
    <row r="54" spans="1:4" ht="26.4">
      <c r="A54" s="191" t="s">
        <v>126</v>
      </c>
      <c r="B54" s="191" t="s">
        <v>52</v>
      </c>
      <c r="C54" s="192" t="s">
        <v>127</v>
      </c>
      <c r="D54" s="195" t="s">
        <v>128</v>
      </c>
    </row>
    <row r="55" spans="1:4" ht="26.4">
      <c r="A55" s="191" t="s">
        <v>129</v>
      </c>
      <c r="B55" s="191" t="s">
        <v>52</v>
      </c>
      <c r="C55" s="192" t="s">
        <v>53</v>
      </c>
      <c r="D55" s="195" t="s">
        <v>130</v>
      </c>
    </row>
    <row r="56" spans="1:4" ht="13.2">
      <c r="A56" s="191" t="s">
        <v>131</v>
      </c>
      <c r="B56" s="191" t="s">
        <v>52</v>
      </c>
      <c r="C56" s="192" t="s">
        <v>53</v>
      </c>
      <c r="D56" s="195" t="s">
        <v>132</v>
      </c>
    </row>
    <row r="57" spans="1:4" ht="13.2">
      <c r="A57" s="191" t="s">
        <v>131</v>
      </c>
      <c r="B57" s="191" t="s">
        <v>52</v>
      </c>
      <c r="C57" s="192" t="s">
        <v>133</v>
      </c>
      <c r="D57" s="195"/>
    </row>
    <row r="58" spans="1:4" ht="13.2">
      <c r="A58" s="191" t="s">
        <v>134</v>
      </c>
      <c r="B58" s="191" t="s">
        <v>52</v>
      </c>
      <c r="C58" s="192" t="s">
        <v>53</v>
      </c>
      <c r="D58" s="195" t="s">
        <v>132</v>
      </c>
    </row>
    <row r="59" spans="1:4" ht="26.4">
      <c r="A59" s="191" t="s">
        <v>135</v>
      </c>
      <c r="B59" s="191" t="s">
        <v>52</v>
      </c>
      <c r="C59" s="192" t="s">
        <v>53</v>
      </c>
      <c r="D59" s="195" t="s">
        <v>76</v>
      </c>
    </row>
    <row r="60" spans="1:4" ht="13.2">
      <c r="A60" s="191" t="s">
        <v>136</v>
      </c>
      <c r="B60" s="191" t="s">
        <v>52</v>
      </c>
      <c r="C60" s="192" t="s">
        <v>53</v>
      </c>
      <c r="D60" s="195" t="s">
        <v>132</v>
      </c>
    </row>
    <row r="61" spans="1:4" ht="13.2">
      <c r="A61" s="191" t="s">
        <v>136</v>
      </c>
      <c r="B61" s="191" t="s">
        <v>52</v>
      </c>
      <c r="C61" s="192" t="s">
        <v>133</v>
      </c>
      <c r="D61" s="195"/>
    </row>
    <row r="62" spans="1:4" ht="26.4">
      <c r="A62" s="191" t="s">
        <v>137</v>
      </c>
      <c r="B62" s="191" t="s">
        <v>52</v>
      </c>
      <c r="C62" s="192" t="s">
        <v>53</v>
      </c>
      <c r="D62" s="195" t="s">
        <v>138</v>
      </c>
    </row>
    <row r="63" spans="1:4" ht="13.2">
      <c r="A63" s="191" t="s">
        <v>137</v>
      </c>
      <c r="B63" s="191" t="s">
        <v>52</v>
      </c>
      <c r="C63" s="192" t="s">
        <v>133</v>
      </c>
      <c r="D63" s="195"/>
    </row>
    <row r="64" spans="1:4" ht="13.2">
      <c r="A64" s="191" t="s">
        <v>139</v>
      </c>
      <c r="B64" s="191" t="s">
        <v>52</v>
      </c>
      <c r="C64" s="192" t="s">
        <v>53</v>
      </c>
      <c r="D64" s="195" t="s">
        <v>140</v>
      </c>
    </row>
    <row r="65" spans="1:4" ht="13.2">
      <c r="A65" s="191" t="s">
        <v>139</v>
      </c>
      <c r="B65" s="191" t="s">
        <v>52</v>
      </c>
      <c r="C65" s="192" t="s">
        <v>133</v>
      </c>
      <c r="D65" s="195"/>
    </row>
    <row r="66" spans="1:4" ht="26.4">
      <c r="A66" s="191" t="s">
        <v>141</v>
      </c>
      <c r="B66" s="191" t="s">
        <v>52</v>
      </c>
      <c r="C66" s="192" t="s">
        <v>53</v>
      </c>
      <c r="D66" s="195" t="s">
        <v>142</v>
      </c>
    </row>
    <row r="67" spans="1:4" ht="26.4">
      <c r="A67" s="191" t="s">
        <v>143</v>
      </c>
      <c r="B67" s="191" t="s">
        <v>52</v>
      </c>
      <c r="C67" s="192" t="s">
        <v>53</v>
      </c>
      <c r="D67" s="195" t="s">
        <v>86</v>
      </c>
    </row>
    <row r="68" spans="1:4" ht="13.2">
      <c r="A68" s="191" t="s">
        <v>143</v>
      </c>
      <c r="B68" s="191" t="s">
        <v>52</v>
      </c>
      <c r="C68" s="192" t="s">
        <v>133</v>
      </c>
      <c r="D68" s="195"/>
    </row>
    <row r="69" spans="1:4" ht="13.2">
      <c r="A69" s="191" t="s">
        <v>144</v>
      </c>
      <c r="B69" s="191" t="s">
        <v>52</v>
      </c>
      <c r="C69" s="192" t="s">
        <v>145</v>
      </c>
      <c r="D69" s="195" t="s">
        <v>100</v>
      </c>
    </row>
    <row r="70" spans="1:4" ht="13.2">
      <c r="A70" s="191" t="s">
        <v>144</v>
      </c>
      <c r="B70" s="191" t="s">
        <v>52</v>
      </c>
      <c r="C70" s="192" t="s">
        <v>133</v>
      </c>
      <c r="D70" s="195"/>
    </row>
    <row r="71" spans="1:4" ht="13.2">
      <c r="A71" s="163" t="s">
        <v>43</v>
      </c>
      <c r="B71" s="163" t="s">
        <v>44</v>
      </c>
      <c r="C71" s="163" t="s">
        <v>45</v>
      </c>
      <c r="D71" s="163" t="s">
        <v>46</v>
      </c>
    </row>
    <row r="72" spans="1:4" ht="13.2">
      <c r="A72" s="163"/>
      <c r="B72" s="163"/>
      <c r="C72" s="163"/>
      <c r="D72" s="163" t="s">
        <v>47</v>
      </c>
    </row>
    <row r="73" spans="1:4" ht="13.2">
      <c r="A73" s="163" t="s">
        <v>146</v>
      </c>
      <c r="B73" s="163"/>
      <c r="C73" s="163"/>
      <c r="D73" s="163"/>
    </row>
    <row r="74" spans="1:4" ht="26.4">
      <c r="A74" s="191" t="s">
        <v>49</v>
      </c>
      <c r="B74" s="191"/>
      <c r="C74" s="192" t="s">
        <v>147</v>
      </c>
      <c r="D74" s="192"/>
    </row>
    <row r="75" spans="1:4" ht="13.2">
      <c r="A75" s="163" t="s">
        <v>148</v>
      </c>
      <c r="B75" s="163"/>
      <c r="C75" s="163"/>
      <c r="D75" s="163"/>
    </row>
    <row r="76" spans="1:4" ht="26.4">
      <c r="A76" s="191" t="s">
        <v>149</v>
      </c>
      <c r="B76" s="191" t="s">
        <v>52</v>
      </c>
      <c r="C76" s="192" t="s">
        <v>150</v>
      </c>
      <c r="D76" s="195" t="s">
        <v>121</v>
      </c>
    </row>
    <row r="77" spans="1:4" ht="26.4">
      <c r="A77" s="191" t="s">
        <v>151</v>
      </c>
      <c r="B77" s="191" t="s">
        <v>52</v>
      </c>
      <c r="C77" s="192" t="s">
        <v>150</v>
      </c>
      <c r="D77" s="195" t="s">
        <v>121</v>
      </c>
    </row>
    <row r="78" spans="1:4" ht="26.4">
      <c r="A78" s="191" t="s">
        <v>152</v>
      </c>
      <c r="B78" s="191" t="s">
        <v>52</v>
      </c>
      <c r="C78" s="192" t="s">
        <v>150</v>
      </c>
      <c r="D78" s="195" t="s">
        <v>153</v>
      </c>
    </row>
    <row r="79" spans="1:4" ht="26.4">
      <c r="A79" s="191" t="s">
        <v>154</v>
      </c>
      <c r="B79" s="191" t="s">
        <v>52</v>
      </c>
      <c r="C79" s="192" t="s">
        <v>150</v>
      </c>
      <c r="D79" s="195" t="s">
        <v>155</v>
      </c>
    </row>
    <row r="80" spans="1:4" ht="26.4">
      <c r="A80" s="191" t="s">
        <v>156</v>
      </c>
      <c r="B80" s="191" t="s">
        <v>52</v>
      </c>
      <c r="C80" s="192" t="s">
        <v>150</v>
      </c>
      <c r="D80" s="195" t="s">
        <v>155</v>
      </c>
    </row>
    <row r="81" spans="1:4" ht="13.2">
      <c r="A81" s="163" t="s">
        <v>157</v>
      </c>
      <c r="B81" s="163"/>
      <c r="C81" s="163"/>
      <c r="D81" s="163"/>
    </row>
    <row r="82" spans="1:4" ht="26.4">
      <c r="A82" s="191" t="s">
        <v>149</v>
      </c>
      <c r="B82" s="191" t="s">
        <v>52</v>
      </c>
      <c r="C82" s="192" t="s">
        <v>150</v>
      </c>
      <c r="D82" s="195" t="s">
        <v>121</v>
      </c>
    </row>
    <row r="83" spans="1:4" ht="26.4">
      <c r="A83" s="191" t="s">
        <v>151</v>
      </c>
      <c r="B83" s="191" t="s">
        <v>52</v>
      </c>
      <c r="C83" s="192" t="s">
        <v>150</v>
      </c>
      <c r="D83" s="195" t="s">
        <v>121</v>
      </c>
    </row>
    <row r="84" spans="1:4" ht="26.4">
      <c r="A84" s="191" t="s">
        <v>152</v>
      </c>
      <c r="B84" s="191" t="s">
        <v>52</v>
      </c>
      <c r="C84" s="192" t="s">
        <v>150</v>
      </c>
      <c r="D84" s="195" t="s">
        <v>153</v>
      </c>
    </row>
    <row r="85" spans="1:4" ht="26.4">
      <c r="A85" s="191" t="s">
        <v>154</v>
      </c>
      <c r="B85" s="191" t="s">
        <v>52</v>
      </c>
      <c r="C85" s="192" t="s">
        <v>150</v>
      </c>
      <c r="D85" s="195" t="s">
        <v>155</v>
      </c>
    </row>
    <row r="86" spans="1:4" ht="26.4">
      <c r="A86" s="191" t="s">
        <v>156</v>
      </c>
      <c r="B86" s="191" t="s">
        <v>52</v>
      </c>
      <c r="C86" s="192" t="s">
        <v>150</v>
      </c>
      <c r="D86" s="195" t="s">
        <v>155</v>
      </c>
    </row>
    <row r="87" spans="1:4" ht="13.2">
      <c r="A87" s="163" t="s">
        <v>158</v>
      </c>
      <c r="B87" s="163"/>
      <c r="C87" s="163"/>
      <c r="D87" s="163"/>
    </row>
    <row r="88" spans="1:4" ht="26.4">
      <c r="A88" s="191" t="s">
        <v>149</v>
      </c>
      <c r="B88" s="191" t="s">
        <v>52</v>
      </c>
      <c r="C88" s="192" t="s">
        <v>159</v>
      </c>
      <c r="D88" s="195" t="s">
        <v>121</v>
      </c>
    </row>
    <row r="89" spans="1:4" ht="26.4">
      <c r="A89" s="191" t="s">
        <v>151</v>
      </c>
      <c r="B89" s="191" t="s">
        <v>52</v>
      </c>
      <c r="C89" s="192" t="s">
        <v>159</v>
      </c>
      <c r="D89" s="195" t="s">
        <v>121</v>
      </c>
    </row>
    <row r="90" spans="1:4" ht="26.4">
      <c r="A90" s="191" t="s">
        <v>152</v>
      </c>
      <c r="B90" s="191" t="s">
        <v>52</v>
      </c>
      <c r="C90" s="192" t="s">
        <v>159</v>
      </c>
      <c r="D90" s="195" t="s">
        <v>153</v>
      </c>
    </row>
  </sheetData>
  <dataConsolidate/>
  <mergeCells count="1">
    <mergeCell ref="A1:D1"/>
  </mergeCells>
  <phoneticPr fontId="17" type="noConversion"/>
  <pageMargins left="0.2" right="0.21" top="0.57999999999999996" bottom="0.59" header="0.5" footer="0.5"/>
  <pageSetup paperSize="9" scale="62" fitToHeight="0" orientation="portrait" r:id="rId1"/>
  <headerFooter alignWithMargins="0"/>
  <rowBreaks count="2" manualBreakCount="2">
    <brk id="49" max="16383" man="1"/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F394-4871-4C89-B206-F8B668D86E02}">
  <sheetPr>
    <tabColor theme="0" tint="-0.14999847407452621"/>
  </sheetPr>
  <dimension ref="A1:C44"/>
  <sheetViews>
    <sheetView view="pageBreakPreview" zoomScaleNormal="100" zoomScaleSheetLayoutView="100" workbookViewId="0">
      <selection activeCell="A15" sqref="A15"/>
    </sheetView>
  </sheetViews>
  <sheetFormatPr defaultColWidth="9" defaultRowHeight="13.2"/>
  <cols>
    <col min="1" max="1" width="52" style="196" customWidth="1"/>
    <col min="2" max="2" width="16.44140625" style="196" bestFit="1" customWidth="1"/>
    <col min="3" max="3" width="37.44140625" style="196" bestFit="1" customWidth="1"/>
    <col min="4" max="16384" width="9" style="190"/>
  </cols>
  <sheetData>
    <row r="1" spans="1:3" ht="22.8">
      <c r="A1" s="163" t="s">
        <v>160</v>
      </c>
      <c r="B1" s="163"/>
      <c r="C1" s="163"/>
    </row>
    <row r="2" spans="1:3">
      <c r="A2" s="163" t="s">
        <v>43</v>
      </c>
      <c r="B2" s="163" t="s">
        <v>44</v>
      </c>
      <c r="C2" s="163" t="s">
        <v>161</v>
      </c>
    </row>
    <row r="3" spans="1:3">
      <c r="A3" s="163" t="s">
        <v>48</v>
      </c>
      <c r="B3" s="163"/>
      <c r="C3" s="163"/>
    </row>
    <row r="4" spans="1:3">
      <c r="A4" s="191" t="s">
        <v>55</v>
      </c>
      <c r="B4" s="191" t="s">
        <v>56</v>
      </c>
      <c r="C4" s="192" t="s">
        <v>162</v>
      </c>
    </row>
    <row r="5" spans="1:3">
      <c r="A5" s="191" t="s">
        <v>58</v>
      </c>
      <c r="B5" s="191" t="s">
        <v>56</v>
      </c>
      <c r="C5" s="192" t="s">
        <v>162</v>
      </c>
    </row>
    <row r="6" spans="1:3">
      <c r="A6" s="191" t="s">
        <v>65</v>
      </c>
      <c r="B6" s="191" t="s">
        <v>56</v>
      </c>
      <c r="C6" s="192" t="s">
        <v>162</v>
      </c>
    </row>
    <row r="7" spans="1:3">
      <c r="A7" s="191" t="s">
        <v>67</v>
      </c>
      <c r="B7" s="191" t="s">
        <v>56</v>
      </c>
      <c r="C7" s="192" t="s">
        <v>162</v>
      </c>
    </row>
    <row r="8" spans="1:3">
      <c r="A8" s="193" t="s">
        <v>69</v>
      </c>
      <c r="B8" s="193" t="s">
        <v>56</v>
      </c>
      <c r="C8" s="194" t="s">
        <v>162</v>
      </c>
    </row>
    <row r="9" spans="1:3">
      <c r="A9" s="191" t="s">
        <v>71</v>
      </c>
      <c r="B9" s="191" t="s">
        <v>56</v>
      </c>
      <c r="C9" s="192" t="s">
        <v>162</v>
      </c>
    </row>
    <row r="10" spans="1:3">
      <c r="A10" s="191" t="s">
        <v>73</v>
      </c>
      <c r="B10" s="191" t="s">
        <v>52</v>
      </c>
      <c r="C10" s="192" t="s">
        <v>162</v>
      </c>
    </row>
    <row r="11" spans="1:3">
      <c r="A11" s="191" t="s">
        <v>75</v>
      </c>
      <c r="B11" s="191" t="s">
        <v>56</v>
      </c>
      <c r="C11" s="192" t="s">
        <v>162</v>
      </c>
    </row>
    <row r="12" spans="1:3">
      <c r="A12" s="191" t="s">
        <v>77</v>
      </c>
      <c r="B12" s="191" t="s">
        <v>56</v>
      </c>
      <c r="C12" s="192" t="s">
        <v>162</v>
      </c>
    </row>
    <row r="13" spans="1:3">
      <c r="A13" s="191" t="s">
        <v>79</v>
      </c>
      <c r="B13" s="191" t="s">
        <v>52</v>
      </c>
      <c r="C13" s="192" t="s">
        <v>162</v>
      </c>
    </row>
    <row r="14" spans="1:3">
      <c r="A14" s="191" t="s">
        <v>80</v>
      </c>
      <c r="B14" s="191" t="s">
        <v>56</v>
      </c>
      <c r="C14" s="192" t="s">
        <v>162</v>
      </c>
    </row>
    <row r="15" spans="1:3">
      <c r="A15" s="191" t="s">
        <v>81</v>
      </c>
      <c r="B15" s="191" t="s">
        <v>56</v>
      </c>
      <c r="C15" s="192" t="s">
        <v>162</v>
      </c>
    </row>
    <row r="16" spans="1:3">
      <c r="A16" s="191" t="s">
        <v>85</v>
      </c>
      <c r="B16" s="191" t="s">
        <v>56</v>
      </c>
      <c r="C16" s="192" t="s">
        <v>162</v>
      </c>
    </row>
    <row r="17" spans="1:3">
      <c r="A17" s="191" t="s">
        <v>87</v>
      </c>
      <c r="B17" s="191" t="s">
        <v>52</v>
      </c>
      <c r="C17" s="192" t="s">
        <v>162</v>
      </c>
    </row>
    <row r="18" spans="1:3">
      <c r="A18" s="191" t="s">
        <v>163</v>
      </c>
      <c r="B18" s="191" t="s">
        <v>52</v>
      </c>
      <c r="C18" s="192" t="s">
        <v>162</v>
      </c>
    </row>
    <row r="19" spans="1:3">
      <c r="A19" s="191" t="s">
        <v>90</v>
      </c>
      <c r="B19" s="191" t="s">
        <v>52</v>
      </c>
      <c r="C19" s="192" t="s">
        <v>162</v>
      </c>
    </row>
    <row r="20" spans="1:3">
      <c r="A20" s="191" t="s">
        <v>92</v>
      </c>
      <c r="B20" s="191" t="s">
        <v>52</v>
      </c>
      <c r="C20" s="192" t="s">
        <v>162</v>
      </c>
    </row>
    <row r="21" spans="1:3">
      <c r="A21" s="191" t="s">
        <v>93</v>
      </c>
      <c r="B21" s="191" t="s">
        <v>56</v>
      </c>
      <c r="C21" s="192" t="s">
        <v>162</v>
      </c>
    </row>
    <row r="22" spans="1:3">
      <c r="A22" s="191" t="s">
        <v>94</v>
      </c>
      <c r="B22" s="191" t="s">
        <v>52</v>
      </c>
      <c r="C22" s="192" t="s">
        <v>162</v>
      </c>
    </row>
    <row r="23" spans="1:3">
      <c r="A23" s="191" t="s">
        <v>104</v>
      </c>
      <c r="B23" s="191" t="s">
        <v>52</v>
      </c>
      <c r="C23" s="192" t="s">
        <v>162</v>
      </c>
    </row>
    <row r="24" spans="1:3">
      <c r="A24" s="191" t="s">
        <v>108</v>
      </c>
      <c r="B24" s="191" t="s">
        <v>56</v>
      </c>
      <c r="C24" s="192" t="s">
        <v>162</v>
      </c>
    </row>
    <row r="25" spans="1:3">
      <c r="A25" s="191" t="s">
        <v>110</v>
      </c>
      <c r="B25" s="191" t="s">
        <v>52</v>
      </c>
      <c r="C25" s="192" t="s">
        <v>162</v>
      </c>
    </row>
    <row r="26" spans="1:3">
      <c r="A26" s="191" t="s">
        <v>122</v>
      </c>
      <c r="B26" s="191" t="s">
        <v>52</v>
      </c>
      <c r="C26" s="192" t="s">
        <v>162</v>
      </c>
    </row>
    <row r="27" spans="1:3">
      <c r="A27" s="191" t="s">
        <v>112</v>
      </c>
      <c r="B27" s="191" t="s">
        <v>52</v>
      </c>
      <c r="C27" s="192" t="s">
        <v>162</v>
      </c>
    </row>
    <row r="28" spans="1:3" ht="26.4">
      <c r="A28" s="191" t="s">
        <v>2018</v>
      </c>
      <c r="B28" s="191" t="s">
        <v>56</v>
      </c>
      <c r="C28" s="192" t="s">
        <v>162</v>
      </c>
    </row>
    <row r="29" spans="1:3">
      <c r="A29" s="163" t="s">
        <v>124</v>
      </c>
      <c r="B29" s="163"/>
      <c r="C29" s="163"/>
    </row>
    <row r="30" spans="1:3">
      <c r="A30" s="191" t="s">
        <v>131</v>
      </c>
      <c r="B30" s="191" t="s">
        <v>52</v>
      </c>
      <c r="C30" s="192" t="s">
        <v>162</v>
      </c>
    </row>
    <row r="31" spans="1:3">
      <c r="A31" s="191" t="s">
        <v>134</v>
      </c>
      <c r="B31" s="191" t="s">
        <v>52</v>
      </c>
      <c r="C31" s="192" t="s">
        <v>162</v>
      </c>
    </row>
    <row r="32" spans="1:3">
      <c r="A32" s="191" t="s">
        <v>136</v>
      </c>
      <c r="B32" s="191" t="s">
        <v>52</v>
      </c>
      <c r="C32" s="192" t="s">
        <v>162</v>
      </c>
    </row>
    <row r="33" spans="1:3">
      <c r="A33" s="191" t="s">
        <v>137</v>
      </c>
      <c r="B33" s="191" t="s">
        <v>52</v>
      </c>
      <c r="C33" s="192" t="s">
        <v>162</v>
      </c>
    </row>
    <row r="34" spans="1:3">
      <c r="A34" s="191" t="s">
        <v>139</v>
      </c>
      <c r="B34" s="191" t="s">
        <v>52</v>
      </c>
      <c r="C34" s="192" t="s">
        <v>162</v>
      </c>
    </row>
    <row r="35" spans="1:3">
      <c r="A35" s="191" t="s">
        <v>141</v>
      </c>
      <c r="B35" s="191" t="s">
        <v>52</v>
      </c>
      <c r="C35" s="192" t="s">
        <v>162</v>
      </c>
    </row>
    <row r="36" spans="1:3">
      <c r="A36" s="191" t="s">
        <v>164</v>
      </c>
      <c r="B36" s="191" t="s">
        <v>52</v>
      </c>
      <c r="C36" s="192" t="s">
        <v>162</v>
      </c>
    </row>
    <row r="37" spans="1:3">
      <c r="A37" s="191" t="s">
        <v>143</v>
      </c>
      <c r="B37" s="191" t="s">
        <v>52</v>
      </c>
      <c r="C37" s="192" t="s">
        <v>162</v>
      </c>
    </row>
    <row r="38" spans="1:3">
      <c r="A38" s="191" t="s">
        <v>144</v>
      </c>
      <c r="B38" s="191" t="s">
        <v>52</v>
      </c>
      <c r="C38" s="192" t="s">
        <v>162</v>
      </c>
    </row>
    <row r="39" spans="1:3">
      <c r="A39" s="191" t="s">
        <v>165</v>
      </c>
      <c r="B39" s="191" t="s">
        <v>52</v>
      </c>
      <c r="C39" s="192" t="s">
        <v>166</v>
      </c>
    </row>
    <row r="40" spans="1:3">
      <c r="A40" s="163" t="s">
        <v>146</v>
      </c>
      <c r="B40" s="163"/>
      <c r="C40" s="163"/>
    </row>
    <row r="41" spans="1:3">
      <c r="A41" s="191" t="s">
        <v>148</v>
      </c>
      <c r="B41" s="191" t="s">
        <v>52</v>
      </c>
      <c r="C41" s="192" t="s">
        <v>167</v>
      </c>
    </row>
    <row r="42" spans="1:3">
      <c r="A42" s="191" t="s">
        <v>157</v>
      </c>
      <c r="B42" s="191" t="s">
        <v>52</v>
      </c>
      <c r="C42" s="192" t="s">
        <v>167</v>
      </c>
    </row>
    <row r="43" spans="1:3">
      <c r="A43" s="191" t="s">
        <v>158</v>
      </c>
      <c r="B43" s="191" t="s">
        <v>52</v>
      </c>
      <c r="C43" s="192" t="s">
        <v>167</v>
      </c>
    </row>
    <row r="44" spans="1:3">
      <c r="A44" s="191"/>
      <c r="B44" s="191"/>
      <c r="C44" s="192"/>
    </row>
  </sheetData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BF67-0A91-4693-8B0B-161CF46DB58A}">
  <sheetPr>
    <tabColor theme="0" tint="-0.14999847407452621"/>
  </sheetPr>
  <dimension ref="A1:A15"/>
  <sheetViews>
    <sheetView view="pageBreakPreview" zoomScaleNormal="100" zoomScaleSheetLayoutView="100" workbookViewId="0">
      <selection activeCell="A40" sqref="A40"/>
    </sheetView>
  </sheetViews>
  <sheetFormatPr defaultColWidth="9.109375" defaultRowHeight="15" customHeight="1"/>
  <cols>
    <col min="1" max="1" width="126.6640625" style="7" bestFit="1" customWidth="1"/>
    <col min="2" max="2" width="17.88671875" style="7" bestFit="1" customWidth="1"/>
    <col min="3" max="5" width="9.109375" style="7"/>
    <col min="6" max="6" width="19.6640625" style="7" customWidth="1"/>
    <col min="7" max="16384" width="9.109375" style="7"/>
  </cols>
  <sheetData>
    <row r="1" spans="1:1" ht="15" customHeight="1">
      <c r="A1" s="67"/>
    </row>
    <row r="2" spans="1:1" ht="11.4">
      <c r="A2" s="263" t="s">
        <v>168</v>
      </c>
    </row>
    <row r="3" spans="1:1" ht="11.4">
      <c r="A3" s="264"/>
    </row>
    <row r="4" spans="1:1" ht="11.4">
      <c r="A4" s="197" t="s">
        <v>169</v>
      </c>
    </row>
    <row r="5" spans="1:1" ht="11.4">
      <c r="A5" s="197" t="s">
        <v>170</v>
      </c>
    </row>
    <row r="6" spans="1:1" ht="11.4">
      <c r="A6" s="197" t="s">
        <v>171</v>
      </c>
    </row>
    <row r="7" spans="1:1" ht="11.4">
      <c r="A7" s="197" t="s">
        <v>172</v>
      </c>
    </row>
    <row r="8" spans="1:1" ht="11.4">
      <c r="A8" s="197" t="s">
        <v>173</v>
      </c>
    </row>
    <row r="9" spans="1:1" ht="11.4">
      <c r="A9" s="198" t="s">
        <v>174</v>
      </c>
    </row>
    <row r="10" spans="1:1" ht="11.4">
      <c r="A10" s="198" t="s">
        <v>175</v>
      </c>
    </row>
    <row r="11" spans="1:1" ht="11.4">
      <c r="A11" s="198" t="s">
        <v>176</v>
      </c>
    </row>
    <row r="12" spans="1:1" ht="11.4">
      <c r="A12" s="198" t="s">
        <v>177</v>
      </c>
    </row>
    <row r="13" spans="1:1" ht="11.4">
      <c r="A13" s="197" t="s">
        <v>178</v>
      </c>
    </row>
    <row r="14" spans="1:1" ht="11.4">
      <c r="A14" s="7" t="s">
        <v>179</v>
      </c>
    </row>
    <row r="15" spans="1:1" ht="11.4">
      <c r="A15" s="199" t="s">
        <v>180</v>
      </c>
    </row>
  </sheetData>
  <mergeCells count="1">
    <mergeCell ref="A2:A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tabColor theme="0" tint="-0.14999847407452621"/>
  </sheetPr>
  <dimension ref="A1:Q54"/>
  <sheetViews>
    <sheetView showGridLines="0" view="pageBreakPreview" zoomScaleNormal="100" zoomScaleSheetLayoutView="100" workbookViewId="0">
      <selection sqref="A1:E1"/>
    </sheetView>
  </sheetViews>
  <sheetFormatPr defaultColWidth="7.88671875" defaultRowHeight="15" customHeight="1"/>
  <cols>
    <col min="1" max="1" width="15.109375" style="4" bestFit="1" customWidth="1"/>
    <col min="2" max="2" width="26" style="4" customWidth="1"/>
    <col min="3" max="3" width="18.33203125" style="4" customWidth="1"/>
    <col min="4" max="4" width="17.6640625" style="4" bestFit="1" customWidth="1"/>
    <col min="5" max="5" width="18.33203125" style="166" customWidth="1"/>
    <col min="6" max="6" width="2.88671875" style="4" customWidth="1"/>
    <col min="7" max="7" width="11" style="4" bestFit="1" customWidth="1"/>
    <col min="8" max="8" width="12" style="4" bestFit="1" customWidth="1"/>
    <col min="9" max="9" width="17.6640625" style="4" bestFit="1" customWidth="1"/>
    <col min="10" max="10" width="12" style="4" bestFit="1" customWidth="1"/>
    <col min="11" max="11" width="17.6640625" style="4" bestFit="1" customWidth="1"/>
    <col min="12" max="12" width="12" style="4" bestFit="1" customWidth="1"/>
    <col min="13" max="13" width="17.6640625" style="4" bestFit="1" customWidth="1"/>
    <col min="14" max="14" width="12" style="4" bestFit="1" customWidth="1"/>
    <col min="15" max="15" width="17.6640625" style="4" bestFit="1" customWidth="1"/>
    <col min="16" max="16" width="12" style="4" bestFit="1" customWidth="1"/>
    <col min="17" max="17" width="15.88671875" style="4" customWidth="1"/>
    <col min="18" max="16384" width="7.88671875" style="4"/>
  </cols>
  <sheetData>
    <row r="1" spans="1:17" s="7" customFormat="1" ht="26.25" customHeight="1">
      <c r="A1" s="275" t="s">
        <v>181</v>
      </c>
      <c r="B1" s="275"/>
      <c r="C1" s="275"/>
      <c r="D1" s="275"/>
      <c r="E1" s="275"/>
    </row>
    <row r="2" spans="1:17" s="7" customFormat="1" ht="15" customHeight="1">
      <c r="A2" s="276" t="s">
        <v>182</v>
      </c>
      <c r="B2" s="276"/>
      <c r="C2" s="276"/>
      <c r="D2" s="276"/>
      <c r="E2" s="276"/>
      <c r="G2" s="265" t="s">
        <v>183</v>
      </c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7" ht="15" customHeight="1">
      <c r="E3" s="4"/>
      <c r="G3" s="163"/>
      <c r="H3" s="266">
        <v>2024</v>
      </c>
      <c r="I3" s="266"/>
      <c r="J3" s="267">
        <v>2025</v>
      </c>
      <c r="K3" s="268"/>
      <c r="L3" s="267">
        <v>2026</v>
      </c>
      <c r="M3" s="268"/>
      <c r="N3" s="267">
        <v>2027</v>
      </c>
      <c r="O3" s="268"/>
      <c r="P3" s="267">
        <v>2028</v>
      </c>
      <c r="Q3" s="268"/>
    </row>
    <row r="4" spans="1:17" s="19" customFormat="1" ht="26.25" customHeight="1">
      <c r="A4" s="277" t="s">
        <v>184</v>
      </c>
      <c r="B4" s="278"/>
      <c r="C4" s="68" t="s">
        <v>185</v>
      </c>
      <c r="D4" s="68" t="s">
        <v>186</v>
      </c>
      <c r="E4" s="68" t="s">
        <v>187</v>
      </c>
      <c r="G4" s="163" t="s">
        <v>188</v>
      </c>
      <c r="H4" s="163" t="s">
        <v>189</v>
      </c>
      <c r="I4" s="163" t="s">
        <v>190</v>
      </c>
      <c r="J4" s="163" t="s">
        <v>189</v>
      </c>
      <c r="K4" s="163" t="s">
        <v>190</v>
      </c>
      <c r="L4" s="163" t="s">
        <v>189</v>
      </c>
      <c r="M4" s="163" t="s">
        <v>190</v>
      </c>
      <c r="N4" s="163" t="s">
        <v>189</v>
      </c>
      <c r="O4" s="163" t="s">
        <v>190</v>
      </c>
      <c r="P4" s="163" t="s">
        <v>189</v>
      </c>
      <c r="Q4" s="163" t="s">
        <v>190</v>
      </c>
    </row>
    <row r="5" spans="1:17" ht="15" customHeight="1">
      <c r="A5" s="269" t="s">
        <v>191</v>
      </c>
      <c r="B5" s="270"/>
      <c r="C5" s="8">
        <v>0</v>
      </c>
      <c r="D5" s="9">
        <v>0</v>
      </c>
      <c r="E5" s="11">
        <f>C5*D5</f>
        <v>0</v>
      </c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</row>
    <row r="6" spans="1:17" ht="15" customHeight="1">
      <c r="A6" s="269" t="s">
        <v>192</v>
      </c>
      <c r="B6" s="270"/>
      <c r="C6" s="8">
        <v>0</v>
      </c>
      <c r="D6" s="9">
        <v>0</v>
      </c>
      <c r="E6" s="11">
        <f>C6*D6</f>
        <v>0</v>
      </c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</row>
    <row r="7" spans="1:17" ht="15" customHeight="1">
      <c r="A7" s="272"/>
      <c r="B7" s="273"/>
      <c r="C7" s="8">
        <v>0</v>
      </c>
      <c r="D7" s="9">
        <v>0</v>
      </c>
      <c r="E7" s="11">
        <f>C7*D7</f>
        <v>0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5" customHeight="1">
      <c r="A8" s="285" t="s">
        <v>193</v>
      </c>
      <c r="B8" s="286"/>
      <c r="C8" s="8">
        <v>0</v>
      </c>
      <c r="D8" s="9">
        <v>0</v>
      </c>
      <c r="E8" s="11">
        <f>C8*D8</f>
        <v>0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</row>
    <row r="9" spans="1:17" ht="15" customHeight="1">
      <c r="A9" s="280" t="s">
        <v>194</v>
      </c>
      <c r="B9" s="281"/>
      <c r="C9" s="282"/>
      <c r="D9" s="10">
        <f>SUM(D5:D8)</f>
        <v>0</v>
      </c>
      <c r="E9" s="11" t="str">
        <f>IF(SUM($D$5:$D$8)=100%,SUM(E5:E8),"    GEEN 100%")</f>
        <v xml:space="preserve">    GEEN 100%</v>
      </c>
      <c r="G9" s="156"/>
      <c r="H9" s="164"/>
      <c r="I9" s="156"/>
      <c r="J9" s="156"/>
      <c r="K9" s="156"/>
      <c r="L9" s="156"/>
      <c r="M9" s="156"/>
      <c r="N9" s="156"/>
      <c r="O9" s="156"/>
      <c r="P9" s="156"/>
      <c r="Q9" s="156"/>
    </row>
    <row r="10" spans="1:17" ht="15" customHeight="1">
      <c r="A10" s="274" t="s">
        <v>195</v>
      </c>
      <c r="B10" s="274"/>
      <c r="C10" s="274"/>
      <c r="D10" s="135" t="s">
        <v>196</v>
      </c>
      <c r="E10" s="137">
        <f>SUM(E9:E9)</f>
        <v>0</v>
      </c>
      <c r="G10" s="156" t="s">
        <v>197</v>
      </c>
      <c r="H10" s="164"/>
      <c r="I10" s="137">
        <f>(E10*H10)+E10</f>
        <v>0</v>
      </c>
      <c r="J10" s="164">
        <v>0</v>
      </c>
      <c r="K10" s="137">
        <f>(I10*J10)+I10</f>
        <v>0</v>
      </c>
      <c r="L10" s="164">
        <v>0</v>
      </c>
      <c r="M10" s="137">
        <f>(K10*L10)+K10</f>
        <v>0</v>
      </c>
      <c r="N10" s="164">
        <v>0</v>
      </c>
      <c r="O10" s="137">
        <f>(M10*N10)+M10</f>
        <v>0</v>
      </c>
      <c r="P10" s="164">
        <v>0</v>
      </c>
      <c r="Q10" s="137">
        <f>(O10*P10)+O10</f>
        <v>0</v>
      </c>
    </row>
    <row r="11" spans="1:17" ht="15" customHeight="1">
      <c r="A11" s="165"/>
      <c r="B11" s="12"/>
      <c r="C11" s="12"/>
      <c r="D11" s="12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</row>
    <row r="12" spans="1:17" s="19" customFormat="1" ht="26.25" customHeight="1">
      <c r="A12" s="277" t="s">
        <v>198</v>
      </c>
      <c r="B12" s="279"/>
      <c r="C12" s="278"/>
      <c r="D12" s="69" t="s">
        <v>199</v>
      </c>
      <c r="E12" s="68" t="s">
        <v>187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 ht="15" customHeight="1">
      <c r="A13" s="284" t="s">
        <v>200</v>
      </c>
      <c r="B13" s="271"/>
      <c r="C13" s="271"/>
      <c r="D13" s="157">
        <v>0</v>
      </c>
      <c r="E13" s="167">
        <f>SUM($E$10*D13)</f>
        <v>0</v>
      </c>
      <c r="G13" s="156" t="s">
        <v>197</v>
      </c>
      <c r="H13" s="164"/>
      <c r="I13" s="168">
        <f>(E13*H13)+E13</f>
        <v>0</v>
      </c>
      <c r="J13" s="169"/>
      <c r="K13" s="168">
        <f>(I13*J13)+I13</f>
        <v>0</v>
      </c>
      <c r="L13" s="169"/>
      <c r="M13" s="168">
        <f>(K13*L13)+K13</f>
        <v>0</v>
      </c>
      <c r="N13" s="169"/>
      <c r="O13" s="168">
        <f>(M13*N13)+M13</f>
        <v>0</v>
      </c>
      <c r="P13" s="169"/>
      <c r="Q13" s="168">
        <f>(O13*P13)+O13</f>
        <v>0</v>
      </c>
    </row>
    <row r="14" spans="1:17" ht="15" customHeight="1">
      <c r="A14" s="271" t="s">
        <v>201</v>
      </c>
      <c r="B14" s="271"/>
      <c r="C14" s="271"/>
      <c r="D14" s="157">
        <v>0</v>
      </c>
      <c r="E14" s="167">
        <f>SUM($E$10*D14)</f>
        <v>0</v>
      </c>
      <c r="G14" s="156" t="s">
        <v>197</v>
      </c>
      <c r="H14" s="164"/>
      <c r="I14" s="168">
        <f>(E14*H14)+E14</f>
        <v>0</v>
      </c>
      <c r="J14" s="169"/>
      <c r="K14" s="168">
        <f>(I14*J14)+I14</f>
        <v>0</v>
      </c>
      <c r="L14" s="169"/>
      <c r="M14" s="168">
        <f>(K14*L14)+K14</f>
        <v>0</v>
      </c>
      <c r="N14" s="169"/>
      <c r="O14" s="168">
        <f>(M14*N14)+M14</f>
        <v>0</v>
      </c>
      <c r="P14" s="169"/>
      <c r="Q14" s="168">
        <f>(O14*P14)+O14</f>
        <v>0</v>
      </c>
    </row>
    <row r="15" spans="1:17" ht="15" customHeight="1">
      <c r="A15" s="271" t="s">
        <v>202</v>
      </c>
      <c r="B15" s="271"/>
      <c r="C15" s="271"/>
      <c r="D15" s="157">
        <v>0</v>
      </c>
      <c r="E15" s="167">
        <f>SUM($E$10*D15)</f>
        <v>0</v>
      </c>
      <c r="G15" s="156" t="s">
        <v>197</v>
      </c>
      <c r="H15" s="164"/>
      <c r="I15" s="168">
        <f>(E15*H15)+E15</f>
        <v>0</v>
      </c>
      <c r="J15" s="169"/>
      <c r="K15" s="168">
        <f>(I15*J15)+I15</f>
        <v>0</v>
      </c>
      <c r="L15" s="169"/>
      <c r="M15" s="168">
        <f>(K15*L15)+K15</f>
        <v>0</v>
      </c>
      <c r="N15" s="169"/>
      <c r="O15" s="168">
        <f>(M15*N15)+M15</f>
        <v>0</v>
      </c>
      <c r="P15" s="169"/>
      <c r="Q15" s="168">
        <f>(O15*P15)+O15</f>
        <v>0</v>
      </c>
    </row>
    <row r="16" spans="1:17" ht="15" customHeight="1">
      <c r="A16" s="271" t="s">
        <v>203</v>
      </c>
      <c r="B16" s="271"/>
      <c r="C16" s="271"/>
      <c r="D16" s="157">
        <v>0</v>
      </c>
      <c r="E16" s="167">
        <f>SUM($E$10*D16)</f>
        <v>0</v>
      </c>
      <c r="G16" s="156" t="s">
        <v>197</v>
      </c>
      <c r="H16" s="164"/>
      <c r="I16" s="168">
        <f>(E16*H16)+E16</f>
        <v>0</v>
      </c>
      <c r="J16" s="169"/>
      <c r="K16" s="168">
        <f>(I16*J16)+I16</f>
        <v>0</v>
      </c>
      <c r="L16" s="169"/>
      <c r="M16" s="168">
        <f>(K16*L16)+K16</f>
        <v>0</v>
      </c>
      <c r="N16" s="169"/>
      <c r="O16" s="168">
        <f>(M16*N16)+M16</f>
        <v>0</v>
      </c>
      <c r="P16" s="169"/>
      <c r="Q16" s="168">
        <f>(O16*P16)+O16</f>
        <v>0</v>
      </c>
    </row>
    <row r="17" spans="1:17" ht="15" customHeight="1">
      <c r="A17" s="272" t="s">
        <v>204</v>
      </c>
      <c r="B17" s="283"/>
      <c r="C17" s="273"/>
      <c r="D17" s="157">
        <v>0</v>
      </c>
      <c r="E17" s="167">
        <f>SUM($E$10*D17)</f>
        <v>0</v>
      </c>
      <c r="G17" s="156" t="s">
        <v>205</v>
      </c>
      <c r="H17" s="164"/>
      <c r="I17" s="168">
        <f>(E17*H17)+E17</f>
        <v>0</v>
      </c>
      <c r="J17" s="169"/>
      <c r="K17" s="168">
        <f>(I17*J17)+I17</f>
        <v>0</v>
      </c>
      <c r="L17" s="169"/>
      <c r="M17" s="168">
        <f>(K17*L17)+K17</f>
        <v>0</v>
      </c>
      <c r="N17" s="169"/>
      <c r="O17" s="168">
        <f>(M17*N17)+M17</f>
        <v>0</v>
      </c>
      <c r="P17" s="169"/>
      <c r="Q17" s="168">
        <f>(O17*P17)+O17</f>
        <v>0</v>
      </c>
    </row>
    <row r="18" spans="1:17" ht="15" customHeight="1">
      <c r="A18" s="274" t="s">
        <v>206</v>
      </c>
      <c r="B18" s="274"/>
      <c r="C18" s="274"/>
      <c r="D18" s="138"/>
      <c r="E18" s="139">
        <f>SUM(E13:E17)</f>
        <v>0</v>
      </c>
      <c r="G18" s="156"/>
      <c r="H18" s="156"/>
      <c r="I18" s="139">
        <f>SUM(I13:I17)</f>
        <v>0</v>
      </c>
      <c r="J18" s="156"/>
      <c r="K18" s="139">
        <f>SUM(K13:K17)</f>
        <v>0</v>
      </c>
      <c r="L18" s="156"/>
      <c r="M18" s="139">
        <f>SUM(M13:M17)</f>
        <v>0</v>
      </c>
      <c r="N18" s="156"/>
      <c r="O18" s="139">
        <f>SUM(O13:O17)</f>
        <v>0</v>
      </c>
      <c r="P18" s="156"/>
      <c r="Q18" s="139">
        <f>SUM(Q13:Q17)</f>
        <v>0</v>
      </c>
    </row>
    <row r="19" spans="1:17" ht="15" customHeight="1">
      <c r="D19" s="170"/>
      <c r="E19" s="171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</row>
    <row r="20" spans="1:17" s="19" customFormat="1" ht="26.25" customHeight="1">
      <c r="A20" s="277" t="s">
        <v>207</v>
      </c>
      <c r="B20" s="279"/>
      <c r="C20" s="278"/>
      <c r="D20" s="69" t="s">
        <v>208</v>
      </c>
      <c r="E20" s="68" t="s">
        <v>187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1:17" ht="15" customHeight="1">
      <c r="A21" s="271" t="s">
        <v>209</v>
      </c>
      <c r="B21" s="271"/>
      <c r="C21" s="271"/>
      <c r="D21" s="172" t="e">
        <f>E21/$E$35</f>
        <v>#DIV/0!</v>
      </c>
      <c r="E21" s="173">
        <v>0</v>
      </c>
      <c r="G21" s="156" t="s">
        <v>205</v>
      </c>
      <c r="H21" s="164"/>
      <c r="I21" s="168">
        <f>(E21*H21)+E21</f>
        <v>0</v>
      </c>
      <c r="J21" s="169"/>
      <c r="K21" s="168">
        <f>(I21*J21)+I21</f>
        <v>0</v>
      </c>
      <c r="L21" s="169"/>
      <c r="M21" s="168">
        <f>(K21*L21)+K21</f>
        <v>0</v>
      </c>
      <c r="N21" s="169"/>
      <c r="O21" s="168">
        <f>(M21*N21)+M21</f>
        <v>0</v>
      </c>
      <c r="P21" s="169"/>
      <c r="Q21" s="168">
        <f>(O21*P21)+O21</f>
        <v>0</v>
      </c>
    </row>
    <row r="22" spans="1:17" ht="15" customHeight="1">
      <c r="A22" s="284" t="s">
        <v>210</v>
      </c>
      <c r="B22" s="271"/>
      <c r="C22" s="271"/>
      <c r="D22" s="172" t="e">
        <f>E22/$E$35</f>
        <v>#DIV/0!</v>
      </c>
      <c r="E22" s="173">
        <v>0</v>
      </c>
      <c r="G22" s="156" t="s">
        <v>205</v>
      </c>
      <c r="H22" s="164"/>
      <c r="I22" s="168">
        <f>(E22*H22)+E22</f>
        <v>0</v>
      </c>
      <c r="J22" s="169"/>
      <c r="K22" s="168">
        <f>(I22*J22)+I22</f>
        <v>0</v>
      </c>
      <c r="L22" s="169"/>
      <c r="M22" s="168">
        <f>(K22*L22)+K22</f>
        <v>0</v>
      </c>
      <c r="N22" s="169"/>
      <c r="O22" s="168">
        <f>(M22*N22)+M22</f>
        <v>0</v>
      </c>
      <c r="P22" s="169"/>
      <c r="Q22" s="168">
        <f>(O22*P22)+O22</f>
        <v>0</v>
      </c>
    </row>
    <row r="23" spans="1:17" ht="15" customHeight="1">
      <c r="A23" s="271" t="s">
        <v>211</v>
      </c>
      <c r="B23" s="271"/>
      <c r="C23" s="271"/>
      <c r="D23" s="172" t="e">
        <f>E23/$E$35</f>
        <v>#DIV/0!</v>
      </c>
      <c r="E23" s="173">
        <v>0</v>
      </c>
      <c r="G23" s="156" t="s">
        <v>205</v>
      </c>
      <c r="H23" s="164"/>
      <c r="I23" s="174">
        <f>(E23*H23)+E23</f>
        <v>0</v>
      </c>
      <c r="J23" s="169"/>
      <c r="K23" s="168">
        <f>(I23*J23)+I23</f>
        <v>0</v>
      </c>
      <c r="L23" s="169"/>
      <c r="M23" s="168">
        <f>(K23*L23)+K23</f>
        <v>0</v>
      </c>
      <c r="N23" s="169"/>
      <c r="O23" s="168">
        <f>(M23*N23)+M23</f>
        <v>0</v>
      </c>
      <c r="P23" s="169"/>
      <c r="Q23" s="168">
        <f>(O23*P23)+O23</f>
        <v>0</v>
      </c>
    </row>
    <row r="24" spans="1:17" ht="15" customHeight="1">
      <c r="A24" s="285" t="s">
        <v>212</v>
      </c>
      <c r="B24" s="287"/>
      <c r="C24" s="286"/>
      <c r="D24" s="157">
        <v>0</v>
      </c>
      <c r="E24" s="175">
        <f>D24*$E$10</f>
        <v>0</v>
      </c>
      <c r="G24" s="156" t="s">
        <v>197</v>
      </c>
      <c r="H24" s="164"/>
      <c r="I24" s="168">
        <f>(E24*H24)+E24</f>
        <v>0</v>
      </c>
      <c r="J24" s="169"/>
      <c r="K24" s="168">
        <f>(I24*J24)+I24</f>
        <v>0</v>
      </c>
      <c r="L24" s="169"/>
      <c r="M24" s="168">
        <f>(K24*L24)+K24</f>
        <v>0</v>
      </c>
      <c r="N24" s="169"/>
      <c r="O24" s="168">
        <f>(M24*N24)+M24</f>
        <v>0</v>
      </c>
      <c r="P24" s="169"/>
      <c r="Q24" s="168">
        <f>(O24*P24)+O24</f>
        <v>0</v>
      </c>
    </row>
    <row r="25" spans="1:17" ht="15" customHeight="1">
      <c r="A25" s="272" t="s">
        <v>213</v>
      </c>
      <c r="B25" s="283"/>
      <c r="C25" s="273"/>
      <c r="D25" s="172" t="e">
        <f>E25/$E$35</f>
        <v>#DIV/0!</v>
      </c>
      <c r="E25" s="173">
        <v>0</v>
      </c>
      <c r="G25" s="156" t="s">
        <v>205</v>
      </c>
      <c r="H25" s="164"/>
      <c r="I25" s="174">
        <f>(E25*H25)+E25</f>
        <v>0</v>
      </c>
      <c r="J25" s="169"/>
      <c r="K25" s="168">
        <f>(I25*J25)+I25</f>
        <v>0</v>
      </c>
      <c r="L25" s="169"/>
      <c r="M25" s="168">
        <f>(K25*L25)+K25</f>
        <v>0</v>
      </c>
      <c r="N25" s="169"/>
      <c r="O25" s="168">
        <f>(M25*N25)+M25</f>
        <v>0</v>
      </c>
      <c r="P25" s="169"/>
      <c r="Q25" s="168">
        <f>(O25*P25)+O25</f>
        <v>0</v>
      </c>
    </row>
    <row r="26" spans="1:17" ht="15" customHeight="1">
      <c r="A26" s="274" t="s">
        <v>214</v>
      </c>
      <c r="B26" s="274"/>
      <c r="C26" s="274"/>
      <c r="D26" s="135" t="s">
        <v>196</v>
      </c>
      <c r="E26" s="137">
        <f>SUM(E21:E25)</f>
        <v>0</v>
      </c>
      <c r="G26" s="156"/>
      <c r="H26" s="156"/>
      <c r="I26" s="137">
        <f>SUM(I21:I25)</f>
        <v>0</v>
      </c>
      <c r="J26" s="156"/>
      <c r="K26" s="137">
        <f>SUM(K21:K25)</f>
        <v>0</v>
      </c>
      <c r="L26" s="156"/>
      <c r="M26" s="137">
        <f>SUM(M21:M25)</f>
        <v>0</v>
      </c>
      <c r="N26" s="156"/>
      <c r="O26" s="137">
        <f>SUM(O21:O25)</f>
        <v>0</v>
      </c>
      <c r="P26" s="156"/>
      <c r="Q26" s="137">
        <f>SUM(Q21:Q25)</f>
        <v>0</v>
      </c>
    </row>
    <row r="27" spans="1:17" ht="15" customHeight="1">
      <c r="A27" s="24"/>
      <c r="B27" s="24"/>
      <c r="C27" s="24"/>
      <c r="D27" s="176"/>
      <c r="E27" s="177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</row>
    <row r="28" spans="1:17" s="19" customFormat="1" ht="26.25" customHeight="1">
      <c r="A28" s="277" t="s">
        <v>215</v>
      </c>
      <c r="B28" s="279"/>
      <c r="C28" s="278"/>
      <c r="D28" s="69" t="s">
        <v>208</v>
      </c>
      <c r="E28" s="68" t="s">
        <v>187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1:17" ht="15" customHeight="1">
      <c r="A29" s="284" t="s">
        <v>216</v>
      </c>
      <c r="B29" s="271"/>
      <c r="C29" s="271"/>
      <c r="D29" s="157">
        <v>0</v>
      </c>
      <c r="E29" s="175">
        <f>D29*($E$18+$E$10)</f>
        <v>0</v>
      </c>
      <c r="G29" s="156" t="s">
        <v>205</v>
      </c>
      <c r="H29" s="164"/>
      <c r="I29" s="168">
        <f>(E29*H29)+E29</f>
        <v>0</v>
      </c>
      <c r="J29" s="169"/>
      <c r="K29" s="168">
        <f>(I29*J29)+I29</f>
        <v>0</v>
      </c>
      <c r="L29" s="169"/>
      <c r="M29" s="168">
        <f>(K29*L29)+K29</f>
        <v>0</v>
      </c>
      <c r="N29" s="169"/>
      <c r="O29" s="168">
        <f>(M29*N29)+M29</f>
        <v>0</v>
      </c>
      <c r="P29" s="169"/>
      <c r="Q29" s="168">
        <f>(O29*P29)+O29</f>
        <v>0</v>
      </c>
    </row>
    <row r="30" spans="1:17" ht="15" customHeight="1">
      <c r="A30" s="284" t="s">
        <v>217</v>
      </c>
      <c r="B30" s="271"/>
      <c r="C30" s="271"/>
      <c r="D30" s="178" t="e">
        <f>E30/$E$35</f>
        <v>#DIV/0!</v>
      </c>
      <c r="E30" s="173">
        <v>0</v>
      </c>
      <c r="G30" s="156" t="s">
        <v>205</v>
      </c>
      <c r="H30" s="164"/>
      <c r="I30" s="174">
        <f>(E30*H30)+E30</f>
        <v>0</v>
      </c>
      <c r="J30" s="169"/>
      <c r="K30" s="168">
        <f>(I30*J30)+I30</f>
        <v>0</v>
      </c>
      <c r="L30" s="169"/>
      <c r="M30" s="168">
        <f>(K30*L30)+K30</f>
        <v>0</v>
      </c>
      <c r="N30" s="169"/>
      <c r="O30" s="168">
        <f>(M30*N30)+M30</f>
        <v>0</v>
      </c>
      <c r="P30" s="169"/>
      <c r="Q30" s="168">
        <f>(O30*P30)+O30</f>
        <v>0</v>
      </c>
    </row>
    <row r="31" spans="1:17" ht="15" customHeight="1">
      <c r="A31" s="272" t="s">
        <v>218</v>
      </c>
      <c r="B31" s="283"/>
      <c r="C31" s="273"/>
      <c r="D31" s="172" t="e">
        <f>E31/$E$35</f>
        <v>#DIV/0!</v>
      </c>
      <c r="E31" s="173">
        <v>0</v>
      </c>
      <c r="G31" s="156" t="s">
        <v>205</v>
      </c>
      <c r="H31" s="164"/>
      <c r="I31" s="174">
        <f>(E31*H31)+E31</f>
        <v>0</v>
      </c>
      <c r="J31" s="169"/>
      <c r="K31" s="168">
        <f>(I31*J31)+I31</f>
        <v>0</v>
      </c>
      <c r="L31" s="169"/>
      <c r="M31" s="168">
        <f>(K31*L31)+K31</f>
        <v>0</v>
      </c>
      <c r="N31" s="169"/>
      <c r="O31" s="168">
        <f>(M31*N31)+M31</f>
        <v>0</v>
      </c>
      <c r="P31" s="169"/>
      <c r="Q31" s="168">
        <f>(O31*P31)+O31</f>
        <v>0</v>
      </c>
    </row>
    <row r="32" spans="1:17" ht="15" customHeight="1">
      <c r="A32" s="271" t="s">
        <v>219</v>
      </c>
      <c r="B32" s="271"/>
      <c r="C32" s="271"/>
      <c r="D32" s="178" t="e">
        <f>E32/$E$35</f>
        <v>#DIV/0!</v>
      </c>
      <c r="E32" s="173">
        <v>0</v>
      </c>
      <c r="G32" s="156" t="s">
        <v>205</v>
      </c>
      <c r="H32" s="156"/>
      <c r="I32" s="174">
        <f>(E32*H32)+E32</f>
        <v>0</v>
      </c>
      <c r="J32" s="169"/>
      <c r="K32" s="168">
        <f>(I32*J32)+I32</f>
        <v>0</v>
      </c>
      <c r="L32" s="169"/>
      <c r="M32" s="168">
        <f>(K32*L32)+K32</f>
        <v>0</v>
      </c>
      <c r="N32" s="169"/>
      <c r="O32" s="168">
        <f>(M32*N32)+M32</f>
        <v>0</v>
      </c>
      <c r="P32" s="169"/>
      <c r="Q32" s="168">
        <f>(O32*P32)+O32</f>
        <v>0</v>
      </c>
    </row>
    <row r="33" spans="1:17" ht="15" customHeight="1">
      <c r="A33" s="274" t="s">
        <v>220</v>
      </c>
      <c r="B33" s="274"/>
      <c r="C33" s="274"/>
      <c r="D33" s="135"/>
      <c r="E33" s="136">
        <f>SUM(E29:E32)</f>
        <v>0</v>
      </c>
      <c r="G33" s="156"/>
      <c r="H33" s="156"/>
      <c r="I33" s="136">
        <f>SUM(I29:I32)</f>
        <v>0</v>
      </c>
      <c r="J33" s="156"/>
      <c r="K33" s="136">
        <f>SUM(K29:K32)</f>
        <v>0</v>
      </c>
      <c r="L33" s="156"/>
      <c r="M33" s="136">
        <f>SUM(M29:M32)</f>
        <v>0</v>
      </c>
      <c r="N33" s="156"/>
      <c r="O33" s="136">
        <f>SUM(O29:O32)</f>
        <v>0</v>
      </c>
      <c r="P33" s="156"/>
      <c r="Q33" s="136">
        <f>SUM(Q29:Q32)</f>
        <v>0</v>
      </c>
    </row>
    <row r="34" spans="1:17" ht="15" customHeight="1">
      <c r="A34" s="24"/>
      <c r="B34" s="24"/>
      <c r="C34" s="24"/>
      <c r="D34" s="176"/>
      <c r="E34" s="179"/>
      <c r="H34" s="156"/>
      <c r="I34" s="156"/>
      <c r="J34" s="156"/>
      <c r="K34" s="156"/>
      <c r="L34" s="156"/>
      <c r="M34" s="156"/>
      <c r="N34" s="156"/>
      <c r="O34" s="156"/>
      <c r="P34" s="156"/>
      <c r="Q34" s="156"/>
    </row>
    <row r="35" spans="1:17" ht="26.25" customHeight="1">
      <c r="A35" s="288" t="s">
        <v>221</v>
      </c>
      <c r="B35" s="289"/>
      <c r="C35" s="289"/>
      <c r="D35" s="290"/>
      <c r="E35" s="134">
        <f>E33+E26+E18+E10</f>
        <v>0</v>
      </c>
      <c r="G35" s="100"/>
      <c r="H35" s="156"/>
      <c r="I35" s="134">
        <f>I33+I26+I18+I10</f>
        <v>0</v>
      </c>
      <c r="J35" s="156"/>
      <c r="K35" s="134">
        <f>K33+K26+K18+K10</f>
        <v>0</v>
      </c>
      <c r="L35" s="156"/>
      <c r="M35" s="134">
        <f>M33+M26+M18+M10</f>
        <v>0</v>
      </c>
      <c r="N35" s="156"/>
      <c r="O35" s="134">
        <f>O33+O26+O18+O10</f>
        <v>0</v>
      </c>
      <c r="P35" s="156"/>
      <c r="Q35" s="134">
        <f>Q33+Q26+Q18+Q10</f>
        <v>0</v>
      </c>
    </row>
    <row r="36" spans="1:17" ht="15" customHeight="1">
      <c r="D36" s="170"/>
      <c r="E36" s="171"/>
    </row>
    <row r="37" spans="1:17" ht="26.25" customHeight="1">
      <c r="A37" s="70" t="s">
        <v>222</v>
      </c>
      <c r="B37" s="71"/>
      <c r="C37" s="69" t="s">
        <v>223</v>
      </c>
      <c r="D37" s="69" t="s">
        <v>224</v>
      </c>
      <c r="E37" s="69" t="s">
        <v>225</v>
      </c>
      <c r="H37" s="69" t="s">
        <v>226</v>
      </c>
      <c r="I37" s="180" t="e">
        <f>(I35/E35)-100%</f>
        <v>#DIV/0!</v>
      </c>
      <c r="J37" s="69"/>
      <c r="K37" s="180" t="e">
        <f>(K35/I35)-100%</f>
        <v>#DIV/0!</v>
      </c>
      <c r="L37" s="69"/>
      <c r="M37" s="180" t="e">
        <f>(M35/K35)-100%</f>
        <v>#DIV/0!</v>
      </c>
      <c r="N37" s="69"/>
      <c r="O37" s="180" t="e">
        <f>(O35/M35)-100%</f>
        <v>#DIV/0!</v>
      </c>
      <c r="P37" s="69"/>
      <c r="Q37" s="180" t="e">
        <f>(Q35/O35)-100%</f>
        <v>#DIV/0!</v>
      </c>
    </row>
    <row r="38" spans="1:17" ht="15" customHeight="1">
      <c r="A38" s="156" t="s">
        <v>227</v>
      </c>
      <c r="B38" s="156" t="s">
        <v>228</v>
      </c>
      <c r="C38" s="13">
        <v>0</v>
      </c>
      <c r="D38" s="14">
        <f>+E35</f>
        <v>0</v>
      </c>
      <c r="E38" s="15">
        <f>D38*121%</f>
        <v>0</v>
      </c>
      <c r="F38" s="100"/>
      <c r="H38" s="156"/>
      <c r="I38" s="11" t="e">
        <f>(D38*$I$37)+D38</f>
        <v>#DIV/0!</v>
      </c>
      <c r="J38" s="156"/>
      <c r="K38" s="11" t="e">
        <f>(I38*$K$37)+I38</f>
        <v>#DIV/0!</v>
      </c>
      <c r="L38" s="156"/>
      <c r="M38" s="11" t="e">
        <f>(K38*$M$37)+K38</f>
        <v>#DIV/0!</v>
      </c>
      <c r="N38" s="156"/>
      <c r="O38" s="11" t="e">
        <f>(M38*$O$37)+M38</f>
        <v>#DIV/0!</v>
      </c>
      <c r="P38" s="156"/>
      <c r="Q38" s="11" t="e">
        <f>(O38*$Q$37)+O38</f>
        <v>#DIV/0!</v>
      </c>
    </row>
    <row r="39" spans="1:17" ht="15" customHeight="1">
      <c r="A39" s="156" t="s">
        <v>229</v>
      </c>
      <c r="B39" s="156" t="s">
        <v>230</v>
      </c>
      <c r="C39" s="13">
        <v>0.3</v>
      </c>
      <c r="D39" s="14">
        <f>SUM($E$10,$E$18,$E$26,$E$33)+(C39*($E$18+$E$10))</f>
        <v>0</v>
      </c>
      <c r="E39" s="15">
        <f>D39*121%</f>
        <v>0</v>
      </c>
      <c r="F39" s="100"/>
      <c r="H39" s="11"/>
      <c r="I39" s="11" t="e">
        <f>(D39*$I$37)+D39</f>
        <v>#DIV/0!</v>
      </c>
      <c r="J39" s="156"/>
      <c r="K39" s="11" t="e">
        <f>(I39*$K$37)+I39</f>
        <v>#DIV/0!</v>
      </c>
      <c r="L39" s="156"/>
      <c r="M39" s="11" t="e">
        <f>(K39*$M$37)+K39</f>
        <v>#DIV/0!</v>
      </c>
      <c r="N39" s="156"/>
      <c r="O39" s="11" t="e">
        <f>(M39*$O$37)+M39</f>
        <v>#DIV/0!</v>
      </c>
      <c r="P39" s="156"/>
      <c r="Q39" s="11" t="e">
        <f>(O39*$Q$37)+O39</f>
        <v>#DIV/0!</v>
      </c>
    </row>
    <row r="40" spans="1:17" ht="15" customHeight="1">
      <c r="A40" s="156" t="s">
        <v>231</v>
      </c>
      <c r="B40" s="156" t="s">
        <v>232</v>
      </c>
      <c r="C40" s="13">
        <v>0.5</v>
      </c>
      <c r="D40" s="14">
        <f>SUM($E$10,$E$18,$E$26,$E$33)+(C40*($E$18+$E$10))</f>
        <v>0</v>
      </c>
      <c r="E40" s="15">
        <f>D40*121%</f>
        <v>0</v>
      </c>
      <c r="F40" s="100"/>
      <c r="H40" s="156"/>
      <c r="I40" s="11" t="e">
        <f>(D40*$I$37)+D40</f>
        <v>#DIV/0!</v>
      </c>
      <c r="J40" s="156"/>
      <c r="K40" s="11" t="e">
        <f>(I40*$K$37)+I40</f>
        <v>#DIV/0!</v>
      </c>
      <c r="L40" s="156"/>
      <c r="M40" s="11" t="e">
        <f>(K40*$M$37)+K40</f>
        <v>#DIV/0!</v>
      </c>
      <c r="N40" s="156"/>
      <c r="O40" s="11" t="e">
        <f>(M40*$O$37)+M40</f>
        <v>#DIV/0!</v>
      </c>
      <c r="P40" s="156"/>
      <c r="Q40" s="11" t="e">
        <f>(O40*$Q$37)+O40</f>
        <v>#DIV/0!</v>
      </c>
    </row>
    <row r="41" spans="1:17" ht="15" customHeight="1">
      <c r="A41" s="156" t="s">
        <v>233</v>
      </c>
      <c r="B41" s="16" t="s">
        <v>234</v>
      </c>
      <c r="C41" s="13">
        <v>1.5</v>
      </c>
      <c r="D41" s="14">
        <f>SUM($E$10,$E$18,$E$26,$E$33)+(C41*($E$18+$E$10))</f>
        <v>0</v>
      </c>
      <c r="E41" s="15">
        <f>D41*121%</f>
        <v>0</v>
      </c>
      <c r="F41" s="100"/>
      <c r="H41" s="156"/>
      <c r="I41" s="11" t="e">
        <f>(D41*$I$37)+D41</f>
        <v>#DIV/0!</v>
      </c>
      <c r="J41" s="156"/>
      <c r="K41" s="11" t="e">
        <f>(I41*$K$37)+I41</f>
        <v>#DIV/0!</v>
      </c>
      <c r="L41" s="156"/>
      <c r="M41" s="11" t="e">
        <f>(K41*$M$37)+K41</f>
        <v>#DIV/0!</v>
      </c>
      <c r="N41" s="156"/>
      <c r="O41" s="11" t="e">
        <f>(M41*$O$37)+M41</f>
        <v>#DIV/0!</v>
      </c>
      <c r="P41" s="156"/>
      <c r="Q41" s="11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</sheetData>
  <mergeCells count="36">
    <mergeCell ref="A24:C24"/>
    <mergeCell ref="A30:C30"/>
    <mergeCell ref="A35:D35"/>
    <mergeCell ref="A28:C28"/>
    <mergeCell ref="A31:C31"/>
    <mergeCell ref="A29:C29"/>
    <mergeCell ref="A32:C32"/>
    <mergeCell ref="A33:C33"/>
    <mergeCell ref="A13:C13"/>
    <mergeCell ref="A8:B8"/>
    <mergeCell ref="A12:C12"/>
    <mergeCell ref="A14:C14"/>
    <mergeCell ref="A22:C22"/>
    <mergeCell ref="A17:C17"/>
    <mergeCell ref="A6:B6"/>
    <mergeCell ref="A23:C23"/>
    <mergeCell ref="A7:B7"/>
    <mergeCell ref="A26:C26"/>
    <mergeCell ref="A1:E1"/>
    <mergeCell ref="A21:C21"/>
    <mergeCell ref="A2:E2"/>
    <mergeCell ref="A4:B4"/>
    <mergeCell ref="A15:C15"/>
    <mergeCell ref="A16:C16"/>
    <mergeCell ref="A18:C18"/>
    <mergeCell ref="A20:C20"/>
    <mergeCell ref="A10:C10"/>
    <mergeCell ref="A5:B5"/>
    <mergeCell ref="A9:C9"/>
    <mergeCell ref="A25:C25"/>
    <mergeCell ref="G2:Q2"/>
    <mergeCell ref="H3:I3"/>
    <mergeCell ref="J3:K3"/>
    <mergeCell ref="L3:M3"/>
    <mergeCell ref="N3:O3"/>
    <mergeCell ref="P3:Q3"/>
  </mergeCells>
  <phoneticPr fontId="4" type="noConversion"/>
  <conditionalFormatting sqref="E9">
    <cfRule type="containsText" dxfId="206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80" orientation="portrait" r:id="rId1"/>
  <headerFooter alignWithMargins="0">
    <oddFooter>&amp;L&amp;F&amp;C&amp;D&amp;R&amp;A</oddFooter>
  </headerFooter>
  <colBreaks count="1" manualBreakCount="1">
    <brk id="5" max="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0" tint="-0.14999847407452621"/>
    <pageSetUpPr fitToPage="1"/>
  </sheetPr>
  <dimension ref="A1:L163"/>
  <sheetViews>
    <sheetView view="pageBreakPreview" zoomScaleNormal="100" zoomScaleSheetLayoutView="100" workbookViewId="0">
      <selection activeCell="H33" sqref="H33"/>
    </sheetView>
  </sheetViews>
  <sheetFormatPr defaultColWidth="14.109375" defaultRowHeight="15" customHeight="1"/>
  <cols>
    <col min="1" max="1" width="14.109375" style="5"/>
    <col min="2" max="2" width="31.109375" style="2" bestFit="1" customWidth="1"/>
    <col min="3" max="3" width="14.109375" style="2"/>
    <col min="4" max="4" width="32" style="6" customWidth="1"/>
    <col min="5" max="6" width="23.6640625" style="2" customWidth="1"/>
    <col min="7" max="7" width="14.109375" style="1"/>
    <col min="8" max="16384" width="14.109375" style="2"/>
  </cols>
  <sheetData>
    <row r="1" spans="1:8" s="7" customFormat="1" ht="26.25" customHeight="1">
      <c r="A1" s="293" t="s">
        <v>235</v>
      </c>
      <c r="B1" s="293"/>
      <c r="C1" s="293"/>
      <c r="D1" s="293"/>
      <c r="E1" s="293"/>
      <c r="F1" s="293"/>
    </row>
    <row r="2" spans="1:8" s="7" customFormat="1" ht="15" customHeight="1">
      <c r="A2" s="291" t="s">
        <v>236</v>
      </c>
      <c r="B2" s="292"/>
      <c r="C2" s="292"/>
      <c r="D2" s="292"/>
      <c r="E2" s="292"/>
      <c r="F2" s="292"/>
    </row>
    <row r="3" spans="1:8" s="48" customFormat="1" ht="15" customHeight="1">
      <c r="A3" s="49"/>
      <c r="E3" s="64"/>
      <c r="F3" s="64"/>
      <c r="G3" s="49"/>
      <c r="H3" s="49"/>
    </row>
    <row r="4" spans="1:8" s="48" customFormat="1" ht="15" customHeight="1">
      <c r="A4" s="49"/>
      <c r="E4" s="64"/>
      <c r="F4" s="64"/>
      <c r="G4" s="49"/>
      <c r="H4" s="49"/>
    </row>
    <row r="5" spans="1:8" s="48" customFormat="1" ht="26.25" customHeight="1">
      <c r="A5" s="65" t="s">
        <v>237</v>
      </c>
      <c r="B5" s="65"/>
      <c r="C5" s="65"/>
      <c r="D5" s="65"/>
      <c r="E5" s="59"/>
      <c r="F5" s="59"/>
      <c r="G5" s="49"/>
      <c r="H5" s="49"/>
    </row>
    <row r="6" spans="1:8" s="48" customFormat="1" ht="26.25" customHeight="1" thickBot="1">
      <c r="A6" s="103" t="s">
        <v>238</v>
      </c>
      <c r="B6" s="104" t="s">
        <v>18</v>
      </c>
      <c r="C6" s="101" t="s">
        <v>239</v>
      </c>
      <c r="D6" s="105" t="s">
        <v>240</v>
      </c>
      <c r="E6" s="106" t="s">
        <v>241</v>
      </c>
      <c r="F6" s="4" t="s">
        <v>242</v>
      </c>
      <c r="G6" s="49"/>
      <c r="H6" s="49"/>
    </row>
    <row r="7" spans="1:8" s="48" customFormat="1" ht="15" customHeight="1" thickTop="1">
      <c r="A7" s="108">
        <v>1</v>
      </c>
      <c r="B7" s="107" t="s">
        <v>243</v>
      </c>
      <c r="C7" s="102">
        <v>1</v>
      </c>
      <c r="D7" s="107" t="s">
        <v>244</v>
      </c>
      <c r="E7" s="153" t="s">
        <v>245</v>
      </c>
      <c r="F7" s="153" t="s">
        <v>246</v>
      </c>
      <c r="G7" s="49"/>
      <c r="H7" s="49"/>
    </row>
    <row r="8" spans="1:8" s="48" customFormat="1" ht="15" customHeight="1">
      <c r="A8" s="108">
        <v>2</v>
      </c>
      <c r="B8" s="107" t="s">
        <v>247</v>
      </c>
      <c r="C8" s="102">
        <v>1</v>
      </c>
      <c r="D8" s="107" t="s">
        <v>248</v>
      </c>
      <c r="E8" s="153" t="s">
        <v>249</v>
      </c>
      <c r="F8" s="153" t="s">
        <v>246</v>
      </c>
      <c r="G8" s="49"/>
      <c r="H8" s="49"/>
    </row>
    <row r="9" spans="1:8" s="48" customFormat="1" ht="15" customHeight="1">
      <c r="A9" s="108">
        <v>3</v>
      </c>
      <c r="B9" s="107" t="s">
        <v>2019</v>
      </c>
      <c r="C9" s="102">
        <v>1</v>
      </c>
      <c r="D9" s="107" t="s">
        <v>2020</v>
      </c>
      <c r="E9" s="153" t="s">
        <v>251</v>
      </c>
      <c r="F9" s="153" t="s">
        <v>246</v>
      </c>
      <c r="G9" s="49"/>
      <c r="H9" s="49"/>
    </row>
    <row r="10" spans="1:8" s="48" customFormat="1" ht="15" customHeight="1">
      <c r="A10" s="108">
        <v>4</v>
      </c>
      <c r="B10" s="107" t="s">
        <v>2021</v>
      </c>
      <c r="C10" s="102">
        <v>1</v>
      </c>
      <c r="D10" s="107" t="s">
        <v>250</v>
      </c>
      <c r="E10" s="153" t="s">
        <v>251</v>
      </c>
      <c r="F10" s="153" t="s">
        <v>246</v>
      </c>
      <c r="G10" s="49"/>
      <c r="H10" s="49"/>
    </row>
    <row r="11" spans="1:8" s="48" customFormat="1" ht="15" customHeight="1">
      <c r="A11" s="108">
        <v>5</v>
      </c>
      <c r="B11" s="107" t="s">
        <v>252</v>
      </c>
      <c r="C11" s="102">
        <v>1</v>
      </c>
      <c r="D11" s="107" t="s">
        <v>253</v>
      </c>
      <c r="E11" s="153" t="s">
        <v>254</v>
      </c>
      <c r="F11" s="153" t="s">
        <v>246</v>
      </c>
      <c r="G11" s="49"/>
      <c r="H11" s="49"/>
    </row>
    <row r="12" spans="1:8" s="48" customFormat="1" ht="15" customHeight="1">
      <c r="A12" s="108">
        <v>6</v>
      </c>
      <c r="B12" s="107" t="s">
        <v>255</v>
      </c>
      <c r="C12" s="102">
        <v>1</v>
      </c>
      <c r="D12" s="107" t="s">
        <v>256</v>
      </c>
      <c r="E12" s="153" t="s">
        <v>257</v>
      </c>
      <c r="F12" s="153" t="s">
        <v>246</v>
      </c>
      <c r="G12" s="49"/>
      <c r="H12" s="49"/>
    </row>
    <row r="13" spans="1:8" s="48" customFormat="1" ht="15" customHeight="1">
      <c r="A13" s="108">
        <v>7</v>
      </c>
      <c r="B13" s="107" t="s">
        <v>258</v>
      </c>
      <c r="C13" s="102">
        <v>1</v>
      </c>
      <c r="D13" s="107" t="s">
        <v>259</v>
      </c>
      <c r="E13" s="153" t="s">
        <v>260</v>
      </c>
      <c r="F13" s="153" t="s">
        <v>246</v>
      </c>
      <c r="G13" s="49"/>
      <c r="H13" s="49"/>
    </row>
    <row r="14" spans="1:8" s="48" customFormat="1" ht="15" customHeight="1">
      <c r="A14" s="108">
        <v>8</v>
      </c>
      <c r="B14" s="107" t="s">
        <v>261</v>
      </c>
      <c r="C14" s="102">
        <v>1</v>
      </c>
      <c r="D14" s="107" t="s">
        <v>262</v>
      </c>
      <c r="E14" s="153" t="s">
        <v>263</v>
      </c>
      <c r="F14" s="153" t="s">
        <v>246</v>
      </c>
      <c r="G14" s="49"/>
      <c r="H14" s="49"/>
    </row>
    <row r="15" spans="1:8" s="48" customFormat="1" ht="15" customHeight="1">
      <c r="A15" s="49"/>
      <c r="E15" s="64"/>
      <c r="F15" s="64"/>
      <c r="G15" s="49"/>
      <c r="H15" s="49"/>
    </row>
    <row r="16" spans="1:8" s="48" customFormat="1" ht="26.25" customHeight="1">
      <c r="A16" s="73" t="s">
        <v>264</v>
      </c>
      <c r="B16" s="59"/>
      <c r="C16" s="59"/>
      <c r="D16" s="59"/>
      <c r="E16" s="64"/>
      <c r="F16" s="64"/>
      <c r="G16" s="49"/>
      <c r="H16" s="49"/>
    </row>
    <row r="17" spans="1:10" s="48" customFormat="1" ht="26.25" customHeight="1">
      <c r="A17" s="72" t="s">
        <v>238</v>
      </c>
      <c r="B17" s="17" t="s">
        <v>265</v>
      </c>
      <c r="C17" s="19" t="s">
        <v>266</v>
      </c>
      <c r="D17" s="72" t="s">
        <v>267</v>
      </c>
      <c r="E17" s="64"/>
      <c r="F17" s="64"/>
      <c r="G17" s="49"/>
      <c r="H17" s="49"/>
    </row>
    <row r="18" spans="1:10" s="48" customFormat="1" ht="15" customHeight="1">
      <c r="A18" s="18">
        <v>1</v>
      </c>
      <c r="B18" s="7" t="s">
        <v>268</v>
      </c>
      <c r="C18" s="74">
        <v>0</v>
      </c>
      <c r="D18" s="141" t="s">
        <v>269</v>
      </c>
      <c r="E18" s="64"/>
      <c r="F18" s="64"/>
      <c r="G18" s="49"/>
      <c r="H18" s="49"/>
    </row>
    <row r="19" spans="1:10" s="59" customFormat="1" ht="15" customHeight="1">
      <c r="A19" s="18">
        <v>2</v>
      </c>
      <c r="B19" s="7" t="s">
        <v>270</v>
      </c>
      <c r="C19" s="74">
        <v>0</v>
      </c>
      <c r="D19" s="141" t="s">
        <v>271</v>
      </c>
      <c r="G19" s="66"/>
      <c r="H19" s="66"/>
      <c r="I19" s="66"/>
    </row>
    <row r="20" spans="1:10" s="20" customFormat="1" ht="15" customHeight="1">
      <c r="A20" s="18">
        <v>3</v>
      </c>
      <c r="B20" s="7" t="s">
        <v>272</v>
      </c>
      <c r="C20" s="74">
        <v>0</v>
      </c>
      <c r="D20" s="141" t="s">
        <v>269</v>
      </c>
      <c r="E20" s="50"/>
      <c r="F20" s="50"/>
      <c r="G20" s="111"/>
      <c r="H20" s="111"/>
      <c r="I20" s="111"/>
      <c r="J20" s="111"/>
    </row>
    <row r="21" spans="1:10" s="4" customFormat="1" ht="15" customHeight="1">
      <c r="A21" s="18">
        <v>4</v>
      </c>
      <c r="B21" s="7" t="s">
        <v>273</v>
      </c>
      <c r="C21" s="74">
        <v>0</v>
      </c>
      <c r="D21" s="141" t="s">
        <v>271</v>
      </c>
      <c r="E21" s="76"/>
      <c r="F21" s="59"/>
      <c r="G21" s="66"/>
      <c r="H21" s="66"/>
      <c r="I21" s="66"/>
      <c r="J21" s="66"/>
    </row>
    <row r="22" spans="1:10" s="4" customFormat="1" ht="15" customHeight="1">
      <c r="A22" s="18">
        <v>5</v>
      </c>
      <c r="B22" s="7" t="s">
        <v>274</v>
      </c>
      <c r="C22" s="74">
        <v>0</v>
      </c>
      <c r="D22" s="141" t="s">
        <v>275</v>
      </c>
      <c r="E22" s="76"/>
      <c r="F22" s="59"/>
      <c r="G22" s="66"/>
      <c r="H22" s="66"/>
      <c r="I22" s="66"/>
      <c r="J22" s="66"/>
    </row>
    <row r="23" spans="1:10" s="4" customFormat="1" ht="15" customHeight="1">
      <c r="A23" s="18">
        <v>6</v>
      </c>
      <c r="B23" s="7" t="s">
        <v>276</v>
      </c>
      <c r="C23" s="74">
        <v>0</v>
      </c>
      <c r="D23" s="141" t="s">
        <v>269</v>
      </c>
      <c r="E23" s="76"/>
      <c r="F23" s="59"/>
      <c r="G23" s="66"/>
      <c r="H23" s="66"/>
      <c r="I23" s="66"/>
      <c r="J23" s="66"/>
    </row>
    <row r="24" spans="1:10" s="4" customFormat="1" ht="15" customHeight="1">
      <c r="A24" s="18">
        <v>7</v>
      </c>
      <c r="B24" s="7" t="s">
        <v>277</v>
      </c>
      <c r="C24" s="74">
        <v>0</v>
      </c>
      <c r="D24" s="141" t="s">
        <v>269</v>
      </c>
      <c r="E24" s="76"/>
      <c r="F24" s="59"/>
      <c r="G24" s="66"/>
      <c r="H24" s="66"/>
      <c r="I24" s="66"/>
      <c r="J24" s="66"/>
    </row>
    <row r="25" spans="1:10" s="4" customFormat="1" ht="15" customHeight="1">
      <c r="A25" s="18">
        <v>8</v>
      </c>
      <c r="B25" s="7" t="s">
        <v>278</v>
      </c>
      <c r="C25" s="74">
        <v>0</v>
      </c>
      <c r="D25" s="141" t="s">
        <v>279</v>
      </c>
      <c r="E25" s="76"/>
      <c r="F25" s="79"/>
      <c r="G25" s="66"/>
      <c r="H25" s="66"/>
      <c r="I25" s="66"/>
      <c r="J25" s="66"/>
    </row>
    <row r="26" spans="1:10" s="4" customFormat="1" ht="15" customHeight="1">
      <c r="A26" s="18">
        <v>9</v>
      </c>
      <c r="B26" s="7" t="s">
        <v>280</v>
      </c>
      <c r="C26" s="74">
        <v>0</v>
      </c>
      <c r="D26" s="141" t="s">
        <v>269</v>
      </c>
      <c r="E26" s="76"/>
      <c r="F26" s="79"/>
      <c r="G26" s="66"/>
      <c r="H26" s="66"/>
      <c r="I26" s="66"/>
      <c r="J26" s="66"/>
    </row>
    <row r="27" spans="1:10" s="4" customFormat="1" ht="15" customHeight="1">
      <c r="A27" s="18">
        <v>10</v>
      </c>
      <c r="B27" s="7" t="s">
        <v>281</v>
      </c>
      <c r="C27" s="74">
        <v>0</v>
      </c>
      <c r="D27" s="141" t="s">
        <v>269</v>
      </c>
      <c r="E27" s="79"/>
      <c r="F27" s="59"/>
      <c r="G27" s="66"/>
      <c r="H27" s="66"/>
      <c r="I27" s="66"/>
      <c r="J27" s="59"/>
    </row>
    <row r="28" spans="1:10" s="4" customFormat="1" ht="15" customHeight="1">
      <c r="A28" s="18">
        <v>11</v>
      </c>
      <c r="B28" s="7" t="s">
        <v>282</v>
      </c>
      <c r="C28" s="74">
        <v>0</v>
      </c>
      <c r="D28" s="141" t="s">
        <v>279</v>
      </c>
      <c r="E28" s="79"/>
      <c r="F28" s="59"/>
      <c r="G28" s="66"/>
      <c r="H28" s="66"/>
      <c r="I28" s="66"/>
      <c r="J28" s="59"/>
    </row>
    <row r="29" spans="1:10" s="4" customFormat="1" ht="15" customHeight="1">
      <c r="A29" s="18">
        <v>12</v>
      </c>
      <c r="B29" s="7" t="s">
        <v>283</v>
      </c>
      <c r="C29" s="74">
        <v>0</v>
      </c>
      <c r="D29" s="141" t="s">
        <v>269</v>
      </c>
      <c r="E29" s="79"/>
      <c r="F29" s="59"/>
      <c r="G29" s="66"/>
      <c r="H29" s="66"/>
      <c r="I29" s="66"/>
      <c r="J29" s="59"/>
    </row>
    <row r="30" spans="1:10" s="4" customFormat="1" ht="15" customHeight="1">
      <c r="A30" s="18">
        <v>13</v>
      </c>
      <c r="B30" s="7" t="s">
        <v>284</v>
      </c>
      <c r="C30" s="74">
        <v>0</v>
      </c>
      <c r="D30" s="141" t="s">
        <v>279</v>
      </c>
      <c r="E30" s="79"/>
      <c r="F30" s="59"/>
      <c r="G30" s="66"/>
      <c r="H30" s="66"/>
      <c r="I30" s="66"/>
      <c r="J30" s="59"/>
    </row>
    <row r="31" spans="1:10" s="4" customFormat="1" ht="15" customHeight="1">
      <c r="A31" s="18">
        <v>14</v>
      </c>
      <c r="B31" s="7" t="s">
        <v>285</v>
      </c>
      <c r="C31" s="74">
        <v>0</v>
      </c>
      <c r="D31" s="141" t="s">
        <v>279</v>
      </c>
      <c r="E31" s="79"/>
      <c r="F31" s="59"/>
      <c r="G31" s="66"/>
      <c r="H31" s="66"/>
      <c r="I31" s="59"/>
      <c r="J31" s="59"/>
    </row>
    <row r="32" spans="1:10" s="4" customFormat="1" ht="15" customHeight="1">
      <c r="A32" s="18">
        <v>15</v>
      </c>
      <c r="B32" s="7" t="s">
        <v>286</v>
      </c>
      <c r="C32" s="74">
        <v>0</v>
      </c>
      <c r="D32" s="141" t="s">
        <v>269</v>
      </c>
      <c r="E32" s="79"/>
      <c r="F32" s="59"/>
      <c r="G32" s="66"/>
      <c r="H32" s="66"/>
      <c r="I32" s="59"/>
      <c r="J32" s="59"/>
    </row>
    <row r="33" spans="1:12" s="4" customFormat="1" ht="15" customHeight="1">
      <c r="A33" s="18">
        <v>16</v>
      </c>
      <c r="B33" s="7" t="s">
        <v>287</v>
      </c>
      <c r="C33" s="74">
        <v>0</v>
      </c>
      <c r="D33" s="141" t="s">
        <v>279</v>
      </c>
      <c r="E33" s="79"/>
      <c r="F33" s="59"/>
      <c r="G33" s="66"/>
      <c r="H33" s="66"/>
      <c r="I33" s="59"/>
      <c r="J33" s="59"/>
    </row>
    <row r="34" spans="1:12" s="4" customFormat="1" ht="15" customHeight="1">
      <c r="A34" s="18">
        <v>17</v>
      </c>
      <c r="B34" s="7" t="s">
        <v>288</v>
      </c>
      <c r="C34" s="74">
        <v>0</v>
      </c>
      <c r="D34" s="141" t="s">
        <v>269</v>
      </c>
      <c r="E34" s="79"/>
      <c r="F34" s="59"/>
      <c r="G34" s="66"/>
      <c r="H34" s="66"/>
      <c r="I34" s="59"/>
      <c r="J34" s="59"/>
    </row>
    <row r="35" spans="1:12" s="4" customFormat="1" ht="15" customHeight="1">
      <c r="A35" s="18">
        <v>18</v>
      </c>
      <c r="B35" s="7" t="s">
        <v>289</v>
      </c>
      <c r="C35" s="74">
        <v>0</v>
      </c>
      <c r="D35" s="141" t="s">
        <v>290</v>
      </c>
      <c r="E35" s="79"/>
      <c r="F35" s="59"/>
      <c r="G35" s="66"/>
      <c r="H35" s="66"/>
      <c r="I35" s="59"/>
      <c r="J35" s="59"/>
    </row>
    <row r="36" spans="1:12" s="4" customFormat="1" ht="15" customHeight="1">
      <c r="A36" s="18">
        <v>19</v>
      </c>
      <c r="B36" s="7" t="s">
        <v>291</v>
      </c>
      <c r="C36" s="74">
        <v>0</v>
      </c>
      <c r="D36" s="141" t="s">
        <v>269</v>
      </c>
      <c r="E36" s="79"/>
      <c r="F36" s="59"/>
      <c r="G36" s="66"/>
      <c r="H36" s="66"/>
      <c r="I36" s="59"/>
      <c r="J36" s="59"/>
    </row>
    <row r="37" spans="1:12" s="4" customFormat="1" ht="15" customHeight="1">
      <c r="A37" s="18">
        <v>20</v>
      </c>
      <c r="B37" s="7" t="s">
        <v>292</v>
      </c>
      <c r="C37" s="74">
        <v>0</v>
      </c>
      <c r="D37" s="141" t="s">
        <v>269</v>
      </c>
      <c r="E37" s="79"/>
      <c r="F37" s="59"/>
      <c r="G37" s="66"/>
      <c r="H37" s="66"/>
      <c r="I37" s="59"/>
      <c r="J37" s="59"/>
    </row>
    <row r="38" spans="1:12" s="4" customFormat="1" ht="15" customHeight="1">
      <c r="A38" s="18">
        <v>21</v>
      </c>
      <c r="B38" s="7" t="s">
        <v>293</v>
      </c>
      <c r="C38" s="74">
        <v>0</v>
      </c>
      <c r="D38" s="141" t="s">
        <v>269</v>
      </c>
      <c r="E38" s="79"/>
      <c r="F38" s="59"/>
      <c r="G38" s="66"/>
      <c r="H38" s="66"/>
      <c r="I38" s="59"/>
      <c r="J38" s="59"/>
    </row>
    <row r="39" spans="1:12" s="4" customFormat="1" ht="15" customHeight="1">
      <c r="A39" s="18">
        <v>22</v>
      </c>
      <c r="B39" s="7" t="s">
        <v>294</v>
      </c>
      <c r="C39" s="75"/>
      <c r="D39" s="75"/>
      <c r="E39" s="79"/>
      <c r="F39" s="59"/>
      <c r="G39" s="66"/>
      <c r="H39" s="66"/>
      <c r="I39" s="59"/>
      <c r="J39" s="59"/>
    </row>
    <row r="40" spans="1:12" s="4" customFormat="1" ht="15" customHeight="1">
      <c r="A40" s="59"/>
      <c r="B40" s="59"/>
      <c r="C40" s="59"/>
      <c r="D40" s="59"/>
      <c r="E40" s="79"/>
      <c r="F40" s="59"/>
      <c r="G40" s="66"/>
      <c r="H40" s="66"/>
      <c r="I40" s="59"/>
      <c r="J40" s="59"/>
    </row>
    <row r="41" spans="1:12" s="4" customFormat="1" ht="26.25" customHeight="1">
      <c r="A41" s="65" t="s">
        <v>295</v>
      </c>
      <c r="B41" s="65"/>
      <c r="C41" s="59"/>
      <c r="D41" s="59"/>
      <c r="E41" s="79"/>
      <c r="F41" s="59"/>
      <c r="G41" s="66"/>
      <c r="H41" s="66"/>
      <c r="I41" s="59"/>
      <c r="J41" s="59"/>
    </row>
    <row r="42" spans="1:12" s="4" customFormat="1" ht="26.25" customHeight="1">
      <c r="A42" s="21" t="s">
        <v>238</v>
      </c>
      <c r="B42" s="109" t="s">
        <v>296</v>
      </c>
      <c r="C42" s="22" t="s">
        <v>239</v>
      </c>
      <c r="D42" s="19" t="s">
        <v>297</v>
      </c>
      <c r="E42" s="114" t="s">
        <v>298</v>
      </c>
      <c r="F42" s="115" t="s">
        <v>299</v>
      </c>
      <c r="G42" s="66"/>
      <c r="H42" s="66"/>
      <c r="I42" s="66"/>
      <c r="J42" s="66"/>
      <c r="K42" s="59"/>
      <c r="L42" s="59"/>
    </row>
    <row r="43" spans="1:12" s="4" customFormat="1" ht="15" customHeight="1">
      <c r="A43" s="77" t="s">
        <v>300</v>
      </c>
      <c r="B43" s="18" t="s">
        <v>301</v>
      </c>
      <c r="C43" s="78">
        <v>1</v>
      </c>
      <c r="D43" s="7" t="s">
        <v>302</v>
      </c>
      <c r="E43" s="7"/>
      <c r="F43" s="7"/>
      <c r="G43" s="66"/>
      <c r="H43" s="66"/>
      <c r="I43" s="66"/>
      <c r="J43" s="66"/>
      <c r="K43" s="59"/>
      <c r="L43" s="59"/>
    </row>
    <row r="44" spans="1:12" s="4" customFormat="1" ht="15" customHeight="1">
      <c r="A44" s="77" t="s">
        <v>303</v>
      </c>
      <c r="B44" s="18" t="s">
        <v>158</v>
      </c>
      <c r="C44" s="78">
        <v>1</v>
      </c>
      <c r="D44" s="7" t="s">
        <v>304</v>
      </c>
      <c r="E44" s="7"/>
      <c r="F44" s="7"/>
      <c r="G44" s="66"/>
      <c r="H44" s="66"/>
      <c r="I44" s="66"/>
      <c r="J44" s="66"/>
      <c r="K44" s="59"/>
      <c r="L44" s="59"/>
    </row>
    <row r="45" spans="1:12" s="4" customFormat="1" ht="15" customHeight="1">
      <c r="A45" s="77" t="s">
        <v>305</v>
      </c>
      <c r="B45" s="18" t="s">
        <v>306</v>
      </c>
      <c r="C45" s="78">
        <v>1</v>
      </c>
      <c r="D45" s="7" t="s">
        <v>307</v>
      </c>
      <c r="E45" s="7"/>
      <c r="F45" s="7"/>
      <c r="G45" s="66"/>
      <c r="H45" s="66"/>
      <c r="I45" s="66"/>
      <c r="J45" s="66"/>
      <c r="K45" s="59"/>
      <c r="L45" s="59"/>
    </row>
    <row r="46" spans="1:12" s="4" customFormat="1" ht="15" customHeight="1">
      <c r="A46" s="77" t="s">
        <v>308</v>
      </c>
      <c r="B46" s="18" t="s">
        <v>309</v>
      </c>
      <c r="C46" s="78">
        <v>1</v>
      </c>
      <c r="D46" s="7" t="s">
        <v>310</v>
      </c>
      <c r="E46" s="7"/>
      <c r="F46" s="7"/>
      <c r="G46" s="66"/>
      <c r="H46" s="66"/>
      <c r="I46" s="66"/>
      <c r="J46" s="66"/>
      <c r="K46" s="59"/>
      <c r="L46" s="59"/>
    </row>
    <row r="47" spans="1:12" s="4" customFormat="1" ht="15" customHeight="1">
      <c r="A47" s="77" t="s">
        <v>311</v>
      </c>
      <c r="B47" s="18" t="s">
        <v>312</v>
      </c>
      <c r="C47" s="78">
        <v>1</v>
      </c>
      <c r="D47" s="7" t="s">
        <v>313</v>
      </c>
      <c r="E47" s="7"/>
      <c r="F47" s="7"/>
      <c r="G47" s="66"/>
      <c r="H47" s="66"/>
      <c r="I47" s="66"/>
      <c r="J47" s="66"/>
      <c r="K47" s="59"/>
      <c r="L47" s="59"/>
    </row>
    <row r="48" spans="1:12" s="4" customFormat="1" ht="15" customHeight="1">
      <c r="A48" s="59"/>
      <c r="B48" s="59"/>
      <c r="C48" s="59"/>
      <c r="D48" s="59"/>
      <c r="E48" s="79"/>
      <c r="F48" s="59"/>
      <c r="G48" s="66"/>
      <c r="H48" s="66"/>
      <c r="I48" s="59"/>
      <c r="J48" s="59"/>
    </row>
    <row r="49" spans="1:10" s="48" customFormat="1" ht="26.25" customHeight="1">
      <c r="A49" s="65" t="s">
        <v>314</v>
      </c>
      <c r="B49" s="59"/>
      <c r="C49" s="59"/>
      <c r="D49" s="66"/>
      <c r="G49" s="49"/>
    </row>
    <row r="50" spans="1:10" ht="26.25" customHeight="1">
      <c r="A50" s="21" t="s">
        <v>238</v>
      </c>
      <c r="B50" s="19" t="s">
        <v>315</v>
      </c>
      <c r="C50" s="22" t="s">
        <v>239</v>
      </c>
      <c r="D50" s="48"/>
      <c r="E50" s="48"/>
      <c r="F50" s="112"/>
      <c r="G50" s="48"/>
      <c r="H50" s="48"/>
    </row>
    <row r="51" spans="1:10" ht="15" customHeight="1">
      <c r="A51" s="38" t="s">
        <v>316</v>
      </c>
      <c r="B51" s="39" t="s">
        <v>317</v>
      </c>
      <c r="C51" s="78">
        <v>1</v>
      </c>
      <c r="D51" s="48"/>
      <c r="E51" s="48"/>
      <c r="F51" s="112"/>
      <c r="G51" s="48"/>
      <c r="H51" s="48"/>
    </row>
    <row r="52" spans="1:10" ht="15" customHeight="1">
      <c r="A52" s="40" t="s">
        <v>318</v>
      </c>
      <c r="B52" s="41" t="s">
        <v>319</v>
      </c>
      <c r="C52" s="78">
        <v>1</v>
      </c>
      <c r="D52" s="48"/>
      <c r="E52" s="48"/>
      <c r="F52" s="112"/>
      <c r="G52" s="48"/>
      <c r="H52" s="48"/>
    </row>
    <row r="53" spans="1:10" ht="15" customHeight="1">
      <c r="A53" s="38" t="s">
        <v>320</v>
      </c>
      <c r="B53" s="39" t="s">
        <v>321</v>
      </c>
      <c r="C53" s="78">
        <v>1</v>
      </c>
      <c r="D53" s="48"/>
      <c r="E53" s="48"/>
      <c r="F53" s="112"/>
      <c r="G53" s="48"/>
      <c r="H53" s="48"/>
    </row>
    <row r="54" spans="1:10" ht="15" customHeight="1">
      <c r="A54" s="40" t="s">
        <v>322</v>
      </c>
      <c r="B54" s="41" t="s">
        <v>323</v>
      </c>
      <c r="C54" s="78">
        <v>1</v>
      </c>
      <c r="D54" s="48"/>
      <c r="E54" s="48"/>
      <c r="F54" s="112"/>
      <c r="G54" s="48"/>
      <c r="H54" s="48"/>
    </row>
    <row r="55" spans="1:10" ht="15" customHeight="1">
      <c r="A55" s="38" t="s">
        <v>324</v>
      </c>
      <c r="B55" s="39" t="s">
        <v>325</v>
      </c>
      <c r="C55" s="78">
        <v>1</v>
      </c>
      <c r="D55" s="48"/>
      <c r="E55" s="48"/>
      <c r="F55" s="112"/>
      <c r="G55" s="48"/>
      <c r="H55" s="48"/>
    </row>
    <row r="56" spans="1:10" ht="15" customHeight="1">
      <c r="A56" s="40" t="s">
        <v>326</v>
      </c>
      <c r="B56" s="41" t="s">
        <v>327</v>
      </c>
      <c r="C56" s="78">
        <v>1</v>
      </c>
      <c r="D56" s="48"/>
      <c r="E56" s="48"/>
      <c r="F56" s="112"/>
      <c r="G56" s="48"/>
      <c r="H56" s="48"/>
    </row>
    <row r="57" spans="1:10" ht="15" customHeight="1">
      <c r="A57" s="38" t="s">
        <v>328</v>
      </c>
      <c r="B57" s="39" t="s">
        <v>329</v>
      </c>
      <c r="C57" s="78">
        <v>1</v>
      </c>
      <c r="D57" s="48"/>
      <c r="E57" s="48"/>
      <c r="F57" s="112"/>
      <c r="G57" s="48"/>
      <c r="H57" s="48"/>
    </row>
    <row r="58" spans="1:10" ht="15" customHeight="1">
      <c r="A58" s="40" t="s">
        <v>330</v>
      </c>
      <c r="B58" s="41" t="s">
        <v>331</v>
      </c>
      <c r="C58" s="78">
        <v>1</v>
      </c>
      <c r="D58" s="48"/>
      <c r="E58" s="48"/>
      <c r="F58" s="112"/>
      <c r="G58" s="48"/>
      <c r="H58" s="48"/>
    </row>
    <row r="59" spans="1:10" ht="15" customHeight="1">
      <c r="A59" s="38" t="s">
        <v>332</v>
      </c>
      <c r="B59" s="39" t="s">
        <v>333</v>
      </c>
      <c r="C59" s="78">
        <v>1</v>
      </c>
      <c r="D59" s="48"/>
      <c r="E59" s="48"/>
      <c r="F59" s="112"/>
      <c r="G59" s="48"/>
      <c r="H59" s="48"/>
    </row>
    <row r="60" spans="1:10" ht="15" customHeight="1">
      <c r="A60" s="40" t="s">
        <v>334</v>
      </c>
      <c r="B60" s="41" t="s">
        <v>335</v>
      </c>
      <c r="C60" s="78">
        <v>1</v>
      </c>
      <c r="D60" s="48"/>
      <c r="E60" s="48"/>
      <c r="F60" s="112"/>
      <c r="G60" s="48"/>
      <c r="H60" s="48"/>
    </row>
    <row r="61" spans="1:10" ht="15" customHeight="1">
      <c r="A61" s="80"/>
      <c r="B61" s="66"/>
      <c r="C61" s="66"/>
      <c r="D61" s="66"/>
      <c r="E61" s="48"/>
      <c r="F61" s="48"/>
      <c r="G61" s="49"/>
      <c r="H61" s="48"/>
      <c r="I61" s="48"/>
      <c r="J61" s="48"/>
    </row>
    <row r="62" spans="1:10" ht="15" customHeight="1">
      <c r="A62" s="113"/>
      <c r="B62" s="48"/>
      <c r="C62" s="48"/>
      <c r="D62" s="64"/>
      <c r="E62" s="48"/>
      <c r="F62" s="48"/>
      <c r="G62" s="49"/>
      <c r="H62" s="48"/>
      <c r="I62" s="48"/>
      <c r="J62" s="48"/>
    </row>
    <row r="63" spans="1:10" ht="15" customHeight="1">
      <c r="A63" s="113"/>
      <c r="B63" s="48"/>
      <c r="C63" s="48"/>
      <c r="D63" s="64"/>
      <c r="E63" s="48"/>
      <c r="F63" s="48"/>
      <c r="G63" s="49"/>
      <c r="H63" s="48"/>
      <c r="I63" s="48"/>
      <c r="J63" s="48"/>
    </row>
    <row r="64" spans="1:10" ht="15" customHeight="1">
      <c r="A64" s="113"/>
      <c r="B64" s="48"/>
      <c r="C64" s="48"/>
      <c r="D64" s="64"/>
      <c r="E64" s="48"/>
      <c r="F64" s="48"/>
      <c r="G64" s="49"/>
      <c r="H64" s="48"/>
      <c r="I64" s="48"/>
      <c r="J64" s="48"/>
    </row>
    <row r="65" spans="1:10" ht="15" customHeight="1">
      <c r="A65" s="113"/>
      <c r="B65" s="48"/>
      <c r="C65" s="48"/>
      <c r="D65" s="64"/>
      <c r="E65" s="48"/>
      <c r="F65" s="48"/>
      <c r="G65" s="49"/>
      <c r="H65" s="48"/>
      <c r="I65" s="48"/>
      <c r="J65" s="48"/>
    </row>
    <row r="66" spans="1:10" ht="15" customHeight="1">
      <c r="F66" s="48"/>
      <c r="G66" s="49"/>
      <c r="H66" s="48"/>
      <c r="I66" s="48"/>
      <c r="J66" s="48"/>
    </row>
    <row r="67" spans="1:10" ht="15" customHeight="1">
      <c r="F67" s="48"/>
      <c r="G67" s="49"/>
      <c r="H67" s="48"/>
      <c r="I67" s="48"/>
      <c r="J67" s="48"/>
    </row>
    <row r="68" spans="1:10" ht="15" customHeight="1">
      <c r="F68" s="48"/>
      <c r="G68" s="49"/>
      <c r="H68" s="48"/>
      <c r="I68" s="48"/>
      <c r="J68" s="48"/>
    </row>
    <row r="69" spans="1:10" ht="15" customHeight="1">
      <c r="F69" s="48"/>
      <c r="G69" s="49"/>
      <c r="H69" s="48"/>
      <c r="I69" s="48"/>
      <c r="J69" s="48"/>
    </row>
    <row r="70" spans="1:10" ht="15" customHeight="1">
      <c r="F70" s="48"/>
      <c r="G70" s="49"/>
      <c r="H70" s="48"/>
      <c r="I70" s="48"/>
      <c r="J70" s="48"/>
    </row>
    <row r="71" spans="1:10" ht="15" customHeight="1">
      <c r="F71" s="48"/>
      <c r="G71" s="49"/>
      <c r="H71" s="48"/>
      <c r="I71" s="48"/>
      <c r="J71" s="48"/>
    </row>
    <row r="72" spans="1:10" ht="15" customHeight="1">
      <c r="F72" s="48"/>
      <c r="G72" s="49"/>
      <c r="H72" s="48"/>
      <c r="I72" s="48"/>
      <c r="J72" s="48"/>
    </row>
    <row r="73" spans="1:10" ht="15" customHeight="1">
      <c r="F73" s="48"/>
      <c r="G73" s="49"/>
      <c r="H73" s="48"/>
      <c r="I73" s="48"/>
      <c r="J73" s="48"/>
    </row>
    <row r="74" spans="1:10" ht="15" customHeight="1">
      <c r="F74" s="48"/>
      <c r="G74" s="49"/>
      <c r="H74" s="48"/>
      <c r="I74" s="48"/>
      <c r="J74" s="48"/>
    </row>
    <row r="75" spans="1:10" ht="15" customHeight="1">
      <c r="F75" s="48"/>
      <c r="G75" s="49"/>
      <c r="H75" s="48"/>
      <c r="I75" s="48"/>
      <c r="J75" s="48"/>
    </row>
    <row r="76" spans="1:10" ht="15" customHeight="1">
      <c r="F76" s="48"/>
      <c r="G76" s="49"/>
      <c r="H76" s="48"/>
      <c r="I76" s="48"/>
      <c r="J76" s="48"/>
    </row>
    <row r="77" spans="1:10" ht="15" customHeight="1">
      <c r="F77" s="48"/>
      <c r="G77" s="49"/>
      <c r="H77" s="48"/>
      <c r="I77" s="48"/>
      <c r="J77" s="48"/>
    </row>
    <row r="78" spans="1:10" ht="15" customHeight="1">
      <c r="F78" s="48"/>
      <c r="G78" s="49"/>
      <c r="H78" s="48"/>
      <c r="I78" s="48"/>
      <c r="J78" s="48"/>
    </row>
    <row r="79" spans="1:10" ht="15" customHeight="1">
      <c r="F79" s="48"/>
      <c r="G79" s="49"/>
      <c r="H79" s="48"/>
      <c r="I79" s="48"/>
      <c r="J79" s="48"/>
    </row>
    <row r="80" spans="1:10" ht="15" customHeight="1">
      <c r="F80" s="48"/>
      <c r="G80" s="49"/>
      <c r="H80" s="48"/>
      <c r="I80" s="48"/>
      <c r="J80" s="48"/>
    </row>
    <row r="81" spans="6:10" ht="15" customHeight="1">
      <c r="F81" s="48"/>
      <c r="G81" s="49"/>
      <c r="H81" s="48"/>
      <c r="I81" s="48"/>
      <c r="J81" s="48"/>
    </row>
    <row r="82" spans="6:10" ht="15" customHeight="1">
      <c r="F82" s="48"/>
      <c r="G82" s="49"/>
      <c r="H82" s="48"/>
      <c r="I82" s="48"/>
      <c r="J82" s="48"/>
    </row>
    <row r="83" spans="6:10" ht="15" customHeight="1">
      <c r="F83" s="48"/>
      <c r="G83" s="49"/>
      <c r="H83" s="48"/>
      <c r="I83" s="48"/>
      <c r="J83" s="48"/>
    </row>
    <row r="84" spans="6:10" ht="15" customHeight="1">
      <c r="F84" s="48"/>
      <c r="G84" s="49"/>
      <c r="H84" s="48"/>
      <c r="I84" s="48"/>
      <c r="J84" s="48"/>
    </row>
    <row r="85" spans="6:10" ht="15" customHeight="1">
      <c r="F85" s="48"/>
      <c r="G85" s="49"/>
      <c r="H85" s="48"/>
      <c r="I85" s="48"/>
      <c r="J85" s="48"/>
    </row>
    <row r="86" spans="6:10" ht="15" customHeight="1">
      <c r="F86" s="48"/>
      <c r="G86" s="49"/>
      <c r="H86" s="48"/>
      <c r="I86" s="48"/>
      <c r="J86" s="48"/>
    </row>
    <row r="87" spans="6:10" ht="15" customHeight="1">
      <c r="F87" s="48"/>
      <c r="G87" s="49"/>
      <c r="H87" s="48"/>
      <c r="I87" s="48"/>
      <c r="J87" s="48"/>
    </row>
    <row r="88" spans="6:10" ht="15" customHeight="1">
      <c r="F88" s="48"/>
      <c r="G88" s="49"/>
      <c r="H88" s="48"/>
      <c r="I88" s="48"/>
      <c r="J88" s="48"/>
    </row>
    <row r="89" spans="6:10" ht="15" customHeight="1">
      <c r="F89" s="48"/>
      <c r="G89" s="49"/>
      <c r="H89" s="48"/>
      <c r="I89" s="48"/>
      <c r="J89" s="48"/>
    </row>
    <row r="90" spans="6:10" ht="15" customHeight="1">
      <c r="F90" s="48"/>
      <c r="G90" s="49"/>
      <c r="H90" s="48"/>
      <c r="I90" s="48"/>
      <c r="J90" s="48"/>
    </row>
    <row r="91" spans="6:10" ht="15" customHeight="1">
      <c r="F91" s="48"/>
      <c r="G91" s="49"/>
      <c r="H91" s="48"/>
      <c r="I91" s="48"/>
      <c r="J91" s="48"/>
    </row>
    <row r="92" spans="6:10" ht="15" customHeight="1">
      <c r="F92" s="48"/>
      <c r="G92" s="49"/>
      <c r="H92" s="48"/>
      <c r="I92" s="48"/>
      <c r="J92" s="48"/>
    </row>
    <row r="93" spans="6:10" ht="15" customHeight="1">
      <c r="F93" s="48"/>
      <c r="G93" s="49"/>
      <c r="H93" s="48"/>
      <c r="I93" s="48"/>
      <c r="J93" s="48"/>
    </row>
    <row r="94" spans="6:10" ht="15" customHeight="1">
      <c r="F94" s="48"/>
      <c r="G94" s="49"/>
      <c r="H94" s="48"/>
      <c r="I94" s="48"/>
      <c r="J94" s="48"/>
    </row>
    <row r="95" spans="6:10" ht="15" customHeight="1">
      <c r="F95" s="48"/>
      <c r="G95" s="49"/>
      <c r="H95" s="48"/>
      <c r="I95" s="48"/>
      <c r="J95" s="48"/>
    </row>
    <row r="96" spans="6:10" ht="15" customHeight="1">
      <c r="F96" s="48"/>
      <c r="G96" s="49"/>
      <c r="H96" s="48"/>
      <c r="I96" s="48"/>
      <c r="J96" s="48"/>
    </row>
    <row r="97" spans="6:10" ht="15" customHeight="1">
      <c r="F97" s="48"/>
      <c r="G97" s="49"/>
      <c r="H97" s="48"/>
      <c r="I97" s="48"/>
      <c r="J97" s="48"/>
    </row>
    <row r="98" spans="6:10" ht="15" customHeight="1">
      <c r="F98" s="48"/>
      <c r="G98" s="49"/>
      <c r="H98" s="48"/>
      <c r="I98" s="48"/>
      <c r="J98" s="48"/>
    </row>
    <row r="99" spans="6:10" ht="15" customHeight="1">
      <c r="F99" s="48"/>
      <c r="G99" s="49"/>
      <c r="H99" s="48"/>
      <c r="I99" s="48"/>
      <c r="J99" s="48"/>
    </row>
    <row r="100" spans="6:10" ht="15" customHeight="1">
      <c r="F100" s="48"/>
      <c r="G100" s="49"/>
      <c r="H100" s="48"/>
      <c r="I100" s="48"/>
      <c r="J100" s="48"/>
    </row>
    <row r="101" spans="6:10" ht="15" customHeight="1">
      <c r="F101" s="48"/>
      <c r="G101" s="49"/>
      <c r="H101" s="48"/>
      <c r="I101" s="48"/>
      <c r="J101" s="48"/>
    </row>
    <row r="102" spans="6:10" ht="15" customHeight="1">
      <c r="F102" s="48"/>
      <c r="G102" s="49"/>
      <c r="H102" s="48"/>
      <c r="I102" s="48"/>
      <c r="J102" s="48"/>
    </row>
    <row r="103" spans="6:10" ht="15" customHeight="1">
      <c r="F103" s="48"/>
      <c r="G103" s="49"/>
      <c r="H103" s="48"/>
      <c r="I103" s="48"/>
      <c r="J103" s="48"/>
    </row>
    <row r="104" spans="6:10" ht="15" customHeight="1">
      <c r="F104" s="48"/>
      <c r="G104" s="49"/>
      <c r="H104" s="48"/>
      <c r="I104" s="48"/>
      <c r="J104" s="48"/>
    </row>
    <row r="105" spans="6:10" ht="15" customHeight="1">
      <c r="F105" s="48"/>
      <c r="G105" s="49"/>
      <c r="H105" s="48"/>
      <c r="I105" s="48"/>
      <c r="J105" s="48"/>
    </row>
    <row r="106" spans="6:10" ht="15" customHeight="1">
      <c r="F106" s="48"/>
      <c r="G106" s="49"/>
      <c r="H106" s="48"/>
      <c r="I106" s="48"/>
      <c r="J106" s="48"/>
    </row>
    <row r="107" spans="6:10" ht="15" customHeight="1">
      <c r="F107" s="48"/>
      <c r="G107" s="49"/>
      <c r="H107" s="48"/>
      <c r="I107" s="48"/>
      <c r="J107" s="48"/>
    </row>
    <row r="108" spans="6:10" ht="15" customHeight="1">
      <c r="F108" s="48"/>
      <c r="G108" s="49"/>
      <c r="H108" s="48"/>
      <c r="I108" s="48"/>
      <c r="J108" s="48"/>
    </row>
    <row r="109" spans="6:10" ht="15" customHeight="1">
      <c r="F109" s="48"/>
      <c r="G109" s="49"/>
      <c r="H109" s="48"/>
      <c r="I109" s="48"/>
      <c r="J109" s="48"/>
    </row>
    <row r="110" spans="6:10" ht="15" customHeight="1">
      <c r="F110" s="48"/>
      <c r="G110" s="49"/>
      <c r="H110" s="48"/>
      <c r="I110" s="48"/>
      <c r="J110" s="48"/>
    </row>
    <row r="111" spans="6:10" ht="15" customHeight="1">
      <c r="F111" s="48"/>
      <c r="G111" s="49"/>
      <c r="H111" s="48"/>
      <c r="I111" s="48"/>
      <c r="J111" s="48"/>
    </row>
    <row r="112" spans="6:10" ht="15" customHeight="1">
      <c r="F112" s="48"/>
      <c r="G112" s="49"/>
      <c r="H112" s="48"/>
      <c r="I112" s="48"/>
      <c r="J112" s="48"/>
    </row>
    <row r="113" spans="6:10" ht="15" customHeight="1">
      <c r="F113" s="48"/>
      <c r="G113" s="49"/>
      <c r="H113" s="48"/>
      <c r="I113" s="48"/>
      <c r="J113" s="48"/>
    </row>
    <row r="114" spans="6:10" ht="15" customHeight="1">
      <c r="F114" s="48"/>
      <c r="G114" s="49"/>
      <c r="H114" s="48"/>
      <c r="I114" s="48"/>
      <c r="J114" s="48"/>
    </row>
    <row r="115" spans="6:10" ht="15" customHeight="1">
      <c r="F115" s="48"/>
      <c r="G115" s="49"/>
      <c r="H115" s="48"/>
      <c r="I115" s="48"/>
      <c r="J115" s="48"/>
    </row>
    <row r="116" spans="6:10" ht="15" customHeight="1">
      <c r="F116" s="48"/>
      <c r="G116" s="49"/>
      <c r="H116" s="48"/>
      <c r="I116" s="48"/>
      <c r="J116" s="48"/>
    </row>
    <row r="117" spans="6:10" ht="15" customHeight="1">
      <c r="F117" s="48"/>
      <c r="G117" s="49"/>
      <c r="H117" s="48"/>
      <c r="I117" s="48"/>
      <c r="J117" s="48"/>
    </row>
    <row r="118" spans="6:10" ht="15" customHeight="1">
      <c r="F118" s="48"/>
      <c r="G118" s="49"/>
      <c r="H118" s="48"/>
      <c r="I118" s="48"/>
      <c r="J118" s="48"/>
    </row>
    <row r="119" spans="6:10" ht="15" customHeight="1">
      <c r="F119" s="48"/>
      <c r="G119" s="49"/>
      <c r="H119" s="48"/>
      <c r="I119" s="48"/>
      <c r="J119" s="48"/>
    </row>
    <row r="120" spans="6:10" ht="15" customHeight="1">
      <c r="F120" s="48"/>
      <c r="G120" s="49"/>
      <c r="H120" s="48"/>
      <c r="I120" s="48"/>
      <c r="J120" s="48"/>
    </row>
    <row r="121" spans="6:10" ht="15" customHeight="1">
      <c r="F121" s="48"/>
      <c r="G121" s="49"/>
      <c r="H121" s="48"/>
      <c r="I121" s="48"/>
      <c r="J121" s="48"/>
    </row>
    <row r="122" spans="6:10" ht="15" customHeight="1">
      <c r="F122" s="48"/>
      <c r="G122" s="49"/>
      <c r="H122" s="48"/>
      <c r="I122" s="48"/>
      <c r="J122" s="48"/>
    </row>
    <row r="123" spans="6:10" ht="15" customHeight="1">
      <c r="F123" s="48"/>
      <c r="G123" s="49"/>
      <c r="H123" s="48"/>
      <c r="I123" s="48"/>
      <c r="J123" s="48"/>
    </row>
    <row r="124" spans="6:10" ht="15" customHeight="1">
      <c r="F124" s="48"/>
      <c r="G124" s="49"/>
      <c r="H124" s="48"/>
      <c r="I124" s="48"/>
      <c r="J124" s="48"/>
    </row>
    <row r="125" spans="6:10" ht="15" customHeight="1">
      <c r="F125" s="48"/>
      <c r="G125" s="49"/>
      <c r="H125" s="48"/>
      <c r="I125" s="48"/>
      <c r="J125" s="48"/>
    </row>
    <row r="126" spans="6:10" ht="15" customHeight="1">
      <c r="F126" s="48"/>
      <c r="G126" s="49"/>
      <c r="H126" s="48"/>
      <c r="I126" s="48"/>
      <c r="J126" s="48"/>
    </row>
    <row r="127" spans="6:10" ht="15" customHeight="1">
      <c r="F127" s="48"/>
      <c r="G127" s="49"/>
      <c r="H127" s="48"/>
      <c r="I127" s="48"/>
      <c r="J127" s="48"/>
    </row>
    <row r="128" spans="6:10" ht="15" customHeight="1">
      <c r="F128" s="48"/>
      <c r="G128" s="49"/>
      <c r="H128" s="48"/>
      <c r="I128" s="48"/>
      <c r="J128" s="48"/>
    </row>
    <row r="129" spans="6:10" ht="15" customHeight="1">
      <c r="F129" s="48"/>
      <c r="G129" s="49"/>
      <c r="H129" s="48"/>
      <c r="I129" s="48"/>
      <c r="J129" s="48"/>
    </row>
    <row r="130" spans="6:10" ht="15" customHeight="1">
      <c r="F130" s="48"/>
      <c r="G130" s="49"/>
      <c r="H130" s="48"/>
      <c r="I130" s="48"/>
      <c r="J130" s="48"/>
    </row>
    <row r="131" spans="6:10" ht="15" customHeight="1">
      <c r="F131" s="48"/>
      <c r="G131" s="49"/>
      <c r="H131" s="48"/>
      <c r="I131" s="48"/>
      <c r="J131" s="48"/>
    </row>
    <row r="132" spans="6:10" ht="15" customHeight="1">
      <c r="F132" s="48"/>
      <c r="G132" s="49"/>
      <c r="H132" s="48"/>
      <c r="I132" s="48"/>
      <c r="J132" s="48"/>
    </row>
    <row r="133" spans="6:10" ht="15" customHeight="1">
      <c r="F133" s="48"/>
      <c r="G133" s="49"/>
      <c r="H133" s="48"/>
      <c r="I133" s="48"/>
      <c r="J133" s="48"/>
    </row>
    <row r="134" spans="6:10" ht="15" customHeight="1">
      <c r="F134" s="48"/>
      <c r="G134" s="49"/>
      <c r="H134" s="48"/>
      <c r="I134" s="48"/>
      <c r="J134" s="48"/>
    </row>
    <row r="135" spans="6:10" ht="15" customHeight="1">
      <c r="F135" s="48"/>
      <c r="G135" s="49"/>
      <c r="H135" s="48"/>
      <c r="I135" s="48"/>
      <c r="J135" s="48"/>
    </row>
    <row r="136" spans="6:10" ht="15" customHeight="1">
      <c r="F136" s="48"/>
      <c r="G136" s="49"/>
      <c r="H136" s="48"/>
      <c r="I136" s="48"/>
      <c r="J136" s="48"/>
    </row>
    <row r="137" spans="6:10" ht="15" customHeight="1">
      <c r="F137" s="48"/>
      <c r="G137" s="49"/>
      <c r="H137" s="48"/>
      <c r="I137" s="48"/>
      <c r="J137" s="48"/>
    </row>
    <row r="138" spans="6:10" ht="15" customHeight="1">
      <c r="F138" s="48"/>
      <c r="G138" s="49"/>
      <c r="H138" s="48"/>
      <c r="I138" s="48"/>
      <c r="J138" s="48"/>
    </row>
    <row r="139" spans="6:10" ht="15" customHeight="1">
      <c r="F139" s="48"/>
      <c r="G139" s="49"/>
      <c r="H139" s="48"/>
      <c r="I139" s="48"/>
      <c r="J139" s="48"/>
    </row>
    <row r="140" spans="6:10" ht="15" customHeight="1">
      <c r="F140" s="48"/>
      <c r="G140" s="49"/>
      <c r="H140" s="48"/>
      <c r="I140" s="48"/>
      <c r="J140" s="48"/>
    </row>
    <row r="141" spans="6:10" ht="15" customHeight="1">
      <c r="F141" s="48"/>
      <c r="G141" s="49"/>
      <c r="H141" s="48"/>
      <c r="I141" s="48"/>
      <c r="J141" s="48"/>
    </row>
    <row r="142" spans="6:10" ht="15" customHeight="1">
      <c r="F142" s="48"/>
      <c r="G142" s="49"/>
      <c r="H142" s="48"/>
      <c r="I142" s="48"/>
      <c r="J142" s="48"/>
    </row>
    <row r="143" spans="6:10" ht="15" customHeight="1">
      <c r="F143" s="48"/>
      <c r="G143" s="49"/>
      <c r="H143" s="48"/>
      <c r="I143" s="48"/>
      <c r="J143" s="48"/>
    </row>
    <row r="144" spans="6:10" ht="15" customHeight="1">
      <c r="F144" s="48"/>
      <c r="G144" s="49"/>
      <c r="H144" s="48"/>
      <c r="I144" s="48"/>
      <c r="J144" s="48"/>
    </row>
    <row r="145" spans="6:10" ht="15" customHeight="1">
      <c r="F145" s="48"/>
      <c r="G145" s="49"/>
      <c r="H145" s="48"/>
      <c r="I145" s="48"/>
      <c r="J145" s="48"/>
    </row>
    <row r="146" spans="6:10" ht="15" customHeight="1">
      <c r="F146" s="48"/>
      <c r="G146" s="49"/>
      <c r="H146" s="48"/>
      <c r="I146" s="48"/>
      <c r="J146" s="48"/>
    </row>
    <row r="147" spans="6:10" ht="15" customHeight="1">
      <c r="F147" s="48"/>
      <c r="G147" s="49"/>
      <c r="H147" s="48"/>
      <c r="I147" s="48"/>
      <c r="J147" s="48"/>
    </row>
    <row r="148" spans="6:10" ht="15" customHeight="1">
      <c r="F148" s="48"/>
      <c r="G148" s="49"/>
      <c r="H148" s="48"/>
      <c r="I148" s="48"/>
      <c r="J148" s="48"/>
    </row>
    <row r="149" spans="6:10" ht="15" customHeight="1">
      <c r="F149" s="48"/>
      <c r="G149" s="49"/>
      <c r="H149" s="48"/>
      <c r="I149" s="48"/>
      <c r="J149" s="48"/>
    </row>
    <row r="150" spans="6:10" ht="15" customHeight="1">
      <c r="F150" s="48"/>
      <c r="G150" s="49"/>
      <c r="H150" s="48"/>
      <c r="I150" s="48"/>
      <c r="J150" s="48"/>
    </row>
    <row r="151" spans="6:10" ht="15" customHeight="1">
      <c r="F151" s="48"/>
      <c r="G151" s="49"/>
      <c r="H151" s="48"/>
      <c r="I151" s="48"/>
      <c r="J151" s="48"/>
    </row>
    <row r="152" spans="6:10" ht="15" customHeight="1">
      <c r="F152" s="48"/>
      <c r="G152" s="49"/>
      <c r="H152" s="48"/>
      <c r="I152" s="48"/>
      <c r="J152" s="48"/>
    </row>
    <row r="153" spans="6:10" ht="15" customHeight="1">
      <c r="F153" s="48"/>
      <c r="G153" s="49"/>
      <c r="H153" s="48"/>
      <c r="I153" s="48"/>
      <c r="J153" s="48"/>
    </row>
    <row r="154" spans="6:10" ht="15" customHeight="1">
      <c r="F154" s="48"/>
      <c r="G154" s="49"/>
      <c r="H154" s="48"/>
      <c r="I154" s="48"/>
      <c r="J154" s="48"/>
    </row>
    <row r="155" spans="6:10" ht="15" customHeight="1">
      <c r="F155" s="48"/>
      <c r="G155" s="49"/>
      <c r="H155" s="48"/>
      <c r="I155" s="48"/>
      <c r="J155" s="48"/>
    </row>
    <row r="156" spans="6:10" ht="15" customHeight="1">
      <c r="F156" s="48"/>
      <c r="G156" s="49"/>
      <c r="H156" s="48"/>
      <c r="I156" s="48"/>
      <c r="J156" s="48"/>
    </row>
    <row r="157" spans="6:10" ht="15" customHeight="1">
      <c r="F157" s="48"/>
      <c r="G157" s="49"/>
      <c r="H157" s="48"/>
      <c r="I157" s="48"/>
      <c r="J157" s="48"/>
    </row>
    <row r="158" spans="6:10" ht="15" customHeight="1">
      <c r="F158" s="48"/>
      <c r="G158" s="49"/>
      <c r="H158" s="48"/>
      <c r="I158" s="48"/>
      <c r="J158" s="48"/>
    </row>
    <row r="159" spans="6:10" ht="15" customHeight="1">
      <c r="F159" s="48"/>
      <c r="G159" s="49"/>
      <c r="H159" s="48"/>
      <c r="I159" s="48"/>
      <c r="J159" s="48"/>
    </row>
    <row r="160" spans="6:10" ht="15" customHeight="1">
      <c r="F160" s="48"/>
      <c r="G160" s="49"/>
      <c r="H160" s="48"/>
      <c r="I160" s="48"/>
      <c r="J160" s="48"/>
    </row>
    <row r="161" spans="6:10" ht="15" customHeight="1">
      <c r="F161" s="48"/>
      <c r="G161" s="49"/>
      <c r="H161" s="48"/>
      <c r="I161" s="48"/>
      <c r="J161" s="48"/>
    </row>
    <row r="162" spans="6:10" ht="15" customHeight="1">
      <c r="F162" s="48"/>
      <c r="G162" s="49"/>
      <c r="H162" s="48"/>
      <c r="I162" s="48"/>
      <c r="J162" s="48"/>
    </row>
    <row r="163" spans="6:10" ht="15" customHeight="1">
      <c r="F163" s="48"/>
      <c r="G163" s="49"/>
      <c r="H163" s="48"/>
      <c r="I163" s="48"/>
      <c r="J163" s="48"/>
    </row>
  </sheetData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0" tint="-0.14999847407452621"/>
  </sheetPr>
  <dimension ref="A1:HL1421"/>
  <sheetViews>
    <sheetView view="pageBreakPreview" zoomScale="90" zoomScaleNormal="40" zoomScaleSheetLayoutView="90" workbookViewId="0">
      <pane ySplit="4" topLeftCell="A5" activePane="bottomLeft" state="frozen"/>
      <selection pane="bottomLeft" activeCell="B2" sqref="B2"/>
    </sheetView>
  </sheetViews>
  <sheetFormatPr defaultColWidth="10.33203125" defaultRowHeight="11.4"/>
  <cols>
    <col min="1" max="1" width="6.109375" style="4" customWidth="1"/>
    <col min="2" max="2" width="24" style="4" bestFit="1" customWidth="1"/>
    <col min="3" max="3" width="24.6640625" style="4" bestFit="1" customWidth="1"/>
    <col min="4" max="4" width="12" style="4" customWidth="1"/>
    <col min="5" max="5" width="11.6640625" style="4" bestFit="1" customWidth="1"/>
    <col min="6" max="6" width="11.33203125" style="4" customWidth="1"/>
    <col min="7" max="7" width="7.33203125" style="4" customWidth="1"/>
    <col min="8" max="8" width="11.44140625" style="24" customWidth="1"/>
    <col min="9" max="9" width="26.44140625" style="54" bestFit="1" customWidth="1"/>
    <col min="10" max="10" width="9.33203125" style="24" customWidth="1"/>
    <col min="11" max="11" width="23.109375" style="54" bestFit="1" customWidth="1"/>
    <col min="12" max="12" width="9.33203125" style="24" customWidth="1"/>
    <col min="13" max="13" width="19.6640625" style="94" customWidth="1"/>
    <col min="14" max="14" width="14.5546875" style="94" customWidth="1"/>
    <col min="15" max="15" width="14.5546875" style="95" customWidth="1"/>
    <col min="16" max="16" width="13.6640625" style="95" customWidth="1"/>
    <col min="17" max="17" width="17.44140625" style="4" bestFit="1" customWidth="1"/>
    <col min="18" max="18" width="12.88671875" style="4" customWidth="1"/>
    <col min="19" max="19" width="12.5546875" style="12" customWidth="1"/>
    <col min="20" max="20" width="15" style="12" customWidth="1"/>
    <col min="21" max="21" width="16.44140625" style="97" customWidth="1"/>
    <col min="22" max="22" width="18" style="98" customWidth="1"/>
    <col min="23" max="23" width="16.44140625" style="96" customWidth="1"/>
    <col min="24" max="24" width="16.44140625" style="12" customWidth="1"/>
    <col min="25" max="25" width="16.44140625" style="97" customWidth="1"/>
    <col min="26" max="26" width="16.44140625" style="98" customWidth="1"/>
    <col min="27" max="27" width="16.44140625" style="96" customWidth="1"/>
    <col min="28" max="29" width="16.44140625" style="4" customWidth="1"/>
    <col min="30" max="31" width="16.44140625" style="99" customWidth="1"/>
    <col min="32" max="32" width="16.44140625" style="100" customWidth="1"/>
    <col min="33" max="33" width="16.44140625" style="59" customWidth="1"/>
    <col min="34" max="219" width="10.33203125" style="59"/>
    <col min="220" max="16384" width="10.33203125" style="4"/>
  </cols>
  <sheetData>
    <row r="1" spans="1:220" ht="16.2">
      <c r="A1" s="275" t="s">
        <v>336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 t="s">
        <v>336</v>
      </c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</row>
    <row r="2" spans="1:220">
      <c r="A2" s="59"/>
      <c r="B2" s="59"/>
      <c r="C2" s="59"/>
      <c r="D2" s="59"/>
      <c r="E2" s="59"/>
      <c r="F2" s="59"/>
      <c r="G2" s="59"/>
      <c r="H2" s="66"/>
      <c r="I2" s="110"/>
      <c r="J2" s="66"/>
      <c r="K2" s="110"/>
      <c r="L2" s="66"/>
      <c r="M2" s="81"/>
      <c r="N2" s="81"/>
      <c r="O2" s="82"/>
      <c r="P2" s="82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220" s="59" customFormat="1">
      <c r="H3" s="66"/>
      <c r="I3" s="110"/>
      <c r="J3" s="66"/>
      <c r="K3" s="110"/>
      <c r="L3" s="66"/>
      <c r="M3" s="81"/>
      <c r="N3" s="81"/>
      <c r="O3" s="82"/>
      <c r="P3" s="82"/>
      <c r="S3" s="294" t="s">
        <v>337</v>
      </c>
      <c r="T3" s="295"/>
      <c r="U3" s="295"/>
      <c r="V3" s="295"/>
      <c r="W3" s="295"/>
      <c r="X3" s="296"/>
      <c r="Y3" s="297" t="s">
        <v>338</v>
      </c>
      <c r="Z3" s="298"/>
      <c r="AA3" s="298"/>
      <c r="AB3" s="298"/>
      <c r="AC3" s="298"/>
      <c r="AD3" s="299"/>
      <c r="AE3" s="300" t="s">
        <v>339</v>
      </c>
      <c r="AF3" s="301"/>
      <c r="AG3" s="302"/>
    </row>
    <row r="4" spans="1:220" s="19" customFormat="1" ht="22.8">
      <c r="A4" s="22" t="s">
        <v>238</v>
      </c>
      <c r="B4" s="22" t="s">
        <v>18</v>
      </c>
      <c r="C4" s="22" t="s">
        <v>240</v>
      </c>
      <c r="D4" s="22" t="s">
        <v>241</v>
      </c>
      <c r="E4" s="22" t="s">
        <v>242</v>
      </c>
      <c r="F4" s="22" t="s">
        <v>340</v>
      </c>
      <c r="G4" s="22" t="s">
        <v>341</v>
      </c>
      <c r="H4" s="22" t="s">
        <v>342</v>
      </c>
      <c r="I4" s="55" t="s">
        <v>265</v>
      </c>
      <c r="J4" s="22" t="s">
        <v>343</v>
      </c>
      <c r="K4" s="55" t="s">
        <v>344</v>
      </c>
      <c r="L4" s="22" t="s">
        <v>345</v>
      </c>
      <c r="M4" s="22" t="s">
        <v>346</v>
      </c>
      <c r="N4" s="22" t="s">
        <v>347</v>
      </c>
      <c r="O4" s="22" t="s">
        <v>348</v>
      </c>
      <c r="P4" s="22" t="s">
        <v>349</v>
      </c>
      <c r="Q4" s="22" t="s">
        <v>350</v>
      </c>
      <c r="R4" s="22" t="s">
        <v>351</v>
      </c>
      <c r="S4" s="22" t="s">
        <v>352</v>
      </c>
      <c r="T4" s="22" t="s">
        <v>353</v>
      </c>
      <c r="U4" s="22" t="s">
        <v>354</v>
      </c>
      <c r="V4" s="22" t="s">
        <v>355</v>
      </c>
      <c r="W4" s="22" t="s">
        <v>356</v>
      </c>
      <c r="X4" s="22" t="s">
        <v>357</v>
      </c>
      <c r="Y4" s="22" t="s">
        <v>358</v>
      </c>
      <c r="Z4" s="22" t="s">
        <v>359</v>
      </c>
      <c r="AA4" s="22" t="s">
        <v>360</v>
      </c>
      <c r="AB4" s="22" t="s">
        <v>361</v>
      </c>
      <c r="AC4" s="22" t="s">
        <v>362</v>
      </c>
      <c r="AD4" s="22" t="s">
        <v>363</v>
      </c>
      <c r="AE4" s="60" t="s">
        <v>364</v>
      </c>
      <c r="AF4" s="60" t="s">
        <v>365</v>
      </c>
      <c r="AG4" s="61" t="s">
        <v>366</v>
      </c>
      <c r="AH4" s="62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</row>
    <row r="5" spans="1:220">
      <c r="A5" s="24">
        <v>1</v>
      </c>
      <c r="B5" s="24" t="str">
        <f>VLOOKUP(Ruimtestaat[[#This Row],[Code]],Locaties[#All],2,FALSE)</f>
        <v>Boerhaave + buitenunits</v>
      </c>
      <c r="C5" s="24" t="str">
        <f>VLOOKUP(Ruimtestaat[[#This Row],[Code]],Locaties[#All],4,FALSE)</f>
        <v>Herman Boerhaavelaan 1</v>
      </c>
      <c r="D5" s="24" t="str">
        <f>VLOOKUP(Ruimtestaat[[#This Row],[Code]],Locaties[#All],5,FALSE)</f>
        <v>7415 ES</v>
      </c>
      <c r="E5" s="24" t="str">
        <f>VLOOKUP(Ruimtestaat[[#This Row],[Code]],Locaties[#All],6,FALSE)</f>
        <v>Deventer</v>
      </c>
      <c r="F5" s="54"/>
      <c r="G5" s="24" t="s">
        <v>367</v>
      </c>
      <c r="H5" s="24" t="s">
        <v>368</v>
      </c>
      <c r="I5" s="4" t="s">
        <v>369</v>
      </c>
      <c r="J5" s="24">
        <v>16</v>
      </c>
      <c r="K5" s="54" t="str">
        <f>VLOOKUP(J5,Ruimtegroepen[],2,FALSE)</f>
        <v>Leslokalen theorie</v>
      </c>
      <c r="L5" s="24" t="s">
        <v>311</v>
      </c>
      <c r="M5" s="24" t="s">
        <v>370</v>
      </c>
      <c r="N5" s="83">
        <v>78.05</v>
      </c>
      <c r="O5" s="83"/>
      <c r="P5" s="93" t="str">
        <f>LEFT(VLOOKUP(Ruimtestaat[[#This Row],[Ruimte code]],Ruimtegroepen[#All],4,1),2)</f>
        <v>Le</v>
      </c>
      <c r="Q5" s="83"/>
      <c r="R5" s="84">
        <v>40</v>
      </c>
      <c r="S5" s="84" t="s">
        <v>318</v>
      </c>
      <c r="T5" s="85">
        <f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" s="85">
        <f>IF(T5&gt;0,VLOOKUP($J5,Ruimtegroepen[],3,FALSE)*VLOOKUP($L5,Vloersoorten[],3,FALSE)*VLOOKUP($S5,Frequenties[],3,FALSE)*VLOOKUP($A5,Locaties[],3,FALSE),0)</f>
        <v>0</v>
      </c>
      <c r="V5" s="86">
        <f>Ruimtestaat[[#This Row],[Uitvoeringen werkdagen]]*Ruimtestaat[[#This Row],[Oppervlak (netto)]]</f>
        <v>15610</v>
      </c>
      <c r="W5" s="87">
        <f>IF(U5&gt;0,Ruimtestaat[[#This Row],[Prest. (m2 /jaar) werkdagen]]/Ruimtestaat[[#This Row],[Norm (m2/uur) werkdagen]],0)</f>
        <v>0</v>
      </c>
      <c r="X5" s="88">
        <f>Ruimtestaat[[#This Row],[uren / jaar werkdagen]]*Tariefsopbouw!$E$35</f>
        <v>0</v>
      </c>
      <c r="Y5" s="85"/>
      <c r="Z5" s="89">
        <f>IF(Ruimtestaat[[#This Row],[Frequentie weekend]]&gt;0,VALUE(LEFT(Y5,1))*R5,0)</f>
        <v>0</v>
      </c>
      <c r="AA5" s="85">
        <f>IF($Z5&gt;0,VLOOKUP($J5,Ruimtegroepen[],3,FALSE)*VLOOKUP($L5,Vloersoorten[],3,FALSE)*VLOOKUP($Y5,Frequenties[],3,FALSE)*VLOOKUP(#REF!,Locaties[],3,FALSE),0)</f>
        <v>0</v>
      </c>
      <c r="AB5" s="87">
        <f>Ruimtestaat[[#This Row],[Uitvoeringen weekend]]*Ruimtestaat[[#This Row],[Oppervlak (netto)]]</f>
        <v>0</v>
      </c>
      <c r="AC5" s="90">
        <f>IF(AB5&gt;0,Ruimtestaat[[#This Row],[Prest. (m2 /jaar) weekend]]/Ruimtestaat[[#This Row],[Norm (m2/uur) weekend]],0)</f>
        <v>0</v>
      </c>
      <c r="AD5" s="91">
        <f>Ruimtestaat[[#This Row],[uren / jaar weekend]]*Tariefsopbouw!$D$40</f>
        <v>0</v>
      </c>
      <c r="AE5" s="60">
        <f>Ruimtestaat[[#This Row],[Prest. (m2 /jaar) weekend]]+Ruimtestaat[[#This Row],[Prest. (m2 /jaar) werkdagen]]</f>
        <v>15610</v>
      </c>
      <c r="AF5" s="60">
        <f>Ruimtestaat[[#This Row],[uren / jaar weekend]]+Ruimtestaat[[#This Row],[uren / jaar werkdagen]]</f>
        <v>0</v>
      </c>
      <c r="AG5" s="61">
        <f>Ruimtestaat[[#This Row],[kosten / jaar weekend]]+Ruimtestaat[[#This Row],[kosten / jaar werkdagen]]</f>
        <v>0</v>
      </c>
      <c r="AH5" s="92"/>
      <c r="HL5" s="59"/>
    </row>
    <row r="6" spans="1:220">
      <c r="A6" s="24">
        <v>1</v>
      </c>
      <c r="B6" s="24" t="str">
        <f>VLOOKUP(Ruimtestaat[[#This Row],[Code]],Locaties[#All],2,FALSE)</f>
        <v>Boerhaave + buitenunits</v>
      </c>
      <c r="C6" s="24" t="str">
        <f>VLOOKUP(Ruimtestaat[[#This Row],[Code]],Locaties[#All],4,FALSE)</f>
        <v>Herman Boerhaavelaan 1</v>
      </c>
      <c r="D6" s="24" t="str">
        <f>VLOOKUP(Ruimtestaat[[#This Row],[Code]],Locaties[#All],5,FALSE)</f>
        <v>7415 ES</v>
      </c>
      <c r="E6" s="24" t="str">
        <f>VLOOKUP(Ruimtestaat[[#This Row],[Code]],Locaties[#All],6,FALSE)</f>
        <v>Deventer</v>
      </c>
      <c r="F6" s="54"/>
      <c r="G6" s="24" t="s">
        <v>367</v>
      </c>
      <c r="H6" s="24" t="s">
        <v>371</v>
      </c>
      <c r="I6" s="4" t="s">
        <v>372</v>
      </c>
      <c r="J6" s="24">
        <v>10</v>
      </c>
      <c r="K6" s="54" t="str">
        <f>VLOOKUP(J6,Ruimtegroepen[],2,FALSE)</f>
        <v>Trappenhuizen/lift</v>
      </c>
      <c r="L6" s="24" t="s">
        <v>305</v>
      </c>
      <c r="M6" s="24" t="s">
        <v>373</v>
      </c>
      <c r="N6" s="83">
        <v>2.99</v>
      </c>
      <c r="O6" s="83"/>
      <c r="P6" s="93" t="str">
        <f>LEFT(VLOOKUP(Ruimtestaat[[#This Row],[Ruimte code]],Ruimtegroepen[#All],4,1),2)</f>
        <v>Ve</v>
      </c>
      <c r="Q6" s="83"/>
      <c r="R6" s="84">
        <v>40</v>
      </c>
      <c r="S6" s="84" t="s">
        <v>318</v>
      </c>
      <c r="T6" s="85">
        <f>IF(R6&gt;0,IF(RIGHT(Ruimtestaat[[#This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" s="85">
        <f>IF(T6&gt;0,VLOOKUP($J6,Ruimtegroepen[],3,FALSE)*VLOOKUP($L6,Vloersoorten[],3,FALSE)*VLOOKUP($S6,Frequenties[],3,FALSE)*VLOOKUP($A6,Locaties[],3,FALSE),0)</f>
        <v>0</v>
      </c>
      <c r="V6" s="86">
        <f>Ruimtestaat[[#This Row],[Uitvoeringen werkdagen]]*Ruimtestaat[[#This Row],[Oppervlak (netto)]]</f>
        <v>598</v>
      </c>
      <c r="W6" s="87">
        <f>IF(U6&gt;0,Ruimtestaat[[#This Row],[Prest. (m2 /jaar) werkdagen]]/Ruimtestaat[[#This Row],[Norm (m2/uur) werkdagen]],0)</f>
        <v>0</v>
      </c>
      <c r="X6" s="88">
        <f>Ruimtestaat[[#This Row],[uren / jaar werkdagen]]*Tariefsopbouw!$E$35</f>
        <v>0</v>
      </c>
      <c r="Y6" s="85"/>
      <c r="Z6" s="89">
        <f>IF(Ruimtestaat[[#This Row],[Frequentie weekend]]&gt;0,VALUE(LEFT(Y6,1))*R6,0)</f>
        <v>0</v>
      </c>
      <c r="AA6" s="85">
        <f>IF($Z6&gt;0,VLOOKUP($J6,Ruimtegroepen[],3,FALSE)*VLOOKUP($L6,Vloersoorten[],3,FALSE)*VLOOKUP($Y6,Frequenties[],3,FALSE)*VLOOKUP($A1,Locaties[],3,FALSE),0)</f>
        <v>0</v>
      </c>
      <c r="AB6" s="87">
        <f>Ruimtestaat[[#This Row],[Uitvoeringen weekend]]*Ruimtestaat[[#This Row],[Oppervlak (netto)]]</f>
        <v>0</v>
      </c>
      <c r="AC6" s="90">
        <f>IF(AB6&gt;0,Ruimtestaat[[#This Row],[Prest. (m2 /jaar) weekend]]/Ruimtestaat[[#This Row],[Norm (m2/uur) weekend]],0)</f>
        <v>0</v>
      </c>
      <c r="AD6" s="91">
        <f>Ruimtestaat[[#This Row],[uren / jaar weekend]]*Tariefsopbouw!$D$40</f>
        <v>0</v>
      </c>
      <c r="AE6" s="60">
        <f>Ruimtestaat[[#This Row],[Prest. (m2 /jaar) weekend]]+Ruimtestaat[[#This Row],[Prest. (m2 /jaar) werkdagen]]</f>
        <v>598</v>
      </c>
      <c r="AF6" s="60">
        <f>Ruimtestaat[[#This Row],[uren / jaar weekend]]+Ruimtestaat[[#This Row],[uren / jaar werkdagen]]</f>
        <v>0</v>
      </c>
      <c r="AG6" s="61">
        <f>Ruimtestaat[[#This Row],[kosten / jaar weekend]]+Ruimtestaat[[#This Row],[kosten / jaar werkdagen]]</f>
        <v>0</v>
      </c>
      <c r="AH6" s="92"/>
      <c r="HL6" s="59"/>
    </row>
    <row r="7" spans="1:220">
      <c r="A7" s="24">
        <v>1</v>
      </c>
      <c r="B7" s="24" t="str">
        <f>VLOOKUP(Ruimtestaat[[#This Row],[Code]],Locaties[#All],2,FALSE)</f>
        <v>Boerhaave + buitenunits</v>
      </c>
      <c r="C7" s="24" t="str">
        <f>VLOOKUP(Ruimtestaat[[#This Row],[Code]],Locaties[#All],4,FALSE)</f>
        <v>Herman Boerhaavelaan 1</v>
      </c>
      <c r="D7" s="24" t="str">
        <f>VLOOKUP(Ruimtestaat[[#This Row],[Code]],Locaties[#All],5,FALSE)</f>
        <v>7415 ES</v>
      </c>
      <c r="E7" s="24" t="str">
        <f>VLOOKUP(Ruimtestaat[[#This Row],[Code]],Locaties[#All],6,FALSE)</f>
        <v>Deventer</v>
      </c>
      <c r="F7" s="54"/>
      <c r="G7" s="24" t="s">
        <v>367</v>
      </c>
      <c r="H7" s="24" t="s">
        <v>374</v>
      </c>
      <c r="I7" s="4" t="s">
        <v>375</v>
      </c>
      <c r="J7" s="24">
        <v>22</v>
      </c>
      <c r="K7" s="54" t="str">
        <f>VLOOKUP(J7,Ruimtegroepen[],2,FALSE)</f>
        <v>Niet in onderhoud</v>
      </c>
      <c r="L7" s="24" t="s">
        <v>305</v>
      </c>
      <c r="M7" s="24" t="s">
        <v>376</v>
      </c>
      <c r="N7" s="83"/>
      <c r="O7" s="83">
        <v>1.35</v>
      </c>
      <c r="P7" s="93" t="str">
        <f>LEFT(VLOOKUP(Ruimtestaat[[#This Row],[Ruimte code]],Ruimtegroepen[#All],4,1),2)</f>
        <v/>
      </c>
      <c r="Q7" s="83"/>
      <c r="R7" s="84"/>
      <c r="S7" s="84"/>
      <c r="T7" s="85">
        <f>IF(R7&gt;0,IF(RIGHT(Ruimtestaat[[#This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" s="85">
        <f>IF(T7&gt;0,VLOOKUP($J7,Ruimtegroepen[],3,FALSE)*VLOOKUP($L7,Vloersoorten[],3,FALSE)*VLOOKUP($S7,Frequenties[],3,FALSE)*VLOOKUP($A7,Locaties[],3,FALSE),0)</f>
        <v>0</v>
      </c>
      <c r="V7" s="86">
        <f>Ruimtestaat[[#This Row],[Uitvoeringen werkdagen]]*Ruimtestaat[[#This Row],[Oppervlak (netto)]]</f>
        <v>0</v>
      </c>
      <c r="W7" s="87">
        <f>IF(U7&gt;0,Ruimtestaat[[#This Row],[Prest. (m2 /jaar) werkdagen]]/Ruimtestaat[[#This Row],[Norm (m2/uur) werkdagen]],0)</f>
        <v>0</v>
      </c>
      <c r="X7" s="88">
        <f>Ruimtestaat[[#This Row],[uren / jaar werkdagen]]*Tariefsopbouw!$E$35</f>
        <v>0</v>
      </c>
      <c r="Y7" s="85"/>
      <c r="Z7" s="89">
        <f>IF(Ruimtestaat[[#This Row],[Frequentie weekend]]&gt;0,VALUE(LEFT(Y7,1))*R7,0)</f>
        <v>0</v>
      </c>
      <c r="AA7" s="85">
        <f>IF($Z7&gt;0,VLOOKUP($J7,Ruimtegroepen[],3,FALSE)*VLOOKUP($L7,Vloersoorten[],3,FALSE)*VLOOKUP($Y7,Frequenties[],3,FALSE)*VLOOKUP($A2,Locaties[],3,FALSE),0)</f>
        <v>0</v>
      </c>
      <c r="AB7" s="87">
        <f>Ruimtestaat[[#This Row],[Uitvoeringen weekend]]*Ruimtestaat[[#This Row],[Oppervlak (netto)]]</f>
        <v>0</v>
      </c>
      <c r="AC7" s="90">
        <f>IF(AB7&gt;0,Ruimtestaat[[#This Row],[Prest. (m2 /jaar) weekend]]/Ruimtestaat[[#This Row],[Norm (m2/uur) weekend]],0)</f>
        <v>0</v>
      </c>
      <c r="AD7" s="91">
        <f>Ruimtestaat[[#This Row],[uren / jaar weekend]]*Tariefsopbouw!$D$40</f>
        <v>0</v>
      </c>
      <c r="AE7" s="60">
        <f>Ruimtestaat[[#This Row],[Prest. (m2 /jaar) weekend]]+Ruimtestaat[[#This Row],[Prest. (m2 /jaar) werkdagen]]</f>
        <v>0</v>
      </c>
      <c r="AF7" s="60">
        <f>Ruimtestaat[[#This Row],[uren / jaar weekend]]+Ruimtestaat[[#This Row],[uren / jaar werkdagen]]</f>
        <v>0</v>
      </c>
      <c r="AG7" s="61">
        <f>Ruimtestaat[[#This Row],[kosten / jaar weekend]]+Ruimtestaat[[#This Row],[kosten / jaar werkdagen]]</f>
        <v>0</v>
      </c>
      <c r="AH7" s="92"/>
      <c r="HL7" s="59"/>
    </row>
    <row r="8" spans="1:220">
      <c r="A8" s="24">
        <v>1</v>
      </c>
      <c r="B8" s="24" t="str">
        <f>VLOOKUP(Ruimtestaat[[#This Row],[Code]],Locaties[#All],2,FALSE)</f>
        <v>Boerhaave + buitenunits</v>
      </c>
      <c r="C8" s="24" t="str">
        <f>VLOOKUP(Ruimtestaat[[#This Row],[Code]],Locaties[#All],4,FALSE)</f>
        <v>Herman Boerhaavelaan 1</v>
      </c>
      <c r="D8" s="24" t="str">
        <f>VLOOKUP(Ruimtestaat[[#This Row],[Code]],Locaties[#All],5,FALSE)</f>
        <v>7415 ES</v>
      </c>
      <c r="E8" s="24" t="str">
        <f>VLOOKUP(Ruimtestaat[[#This Row],[Code]],Locaties[#All],6,FALSE)</f>
        <v>Deventer</v>
      </c>
      <c r="F8" s="54"/>
      <c r="G8" s="24" t="s">
        <v>367</v>
      </c>
      <c r="H8" s="24" t="s">
        <v>377</v>
      </c>
      <c r="I8" s="4" t="s">
        <v>378</v>
      </c>
      <c r="J8" s="24">
        <v>2</v>
      </c>
      <c r="K8" s="54" t="str">
        <f>VLOOKUP(J8,Ruimtegroepen[],2,FALSE)</f>
        <v>Kantoren</v>
      </c>
      <c r="L8" s="24" t="s">
        <v>311</v>
      </c>
      <c r="M8" s="24" t="s">
        <v>370</v>
      </c>
      <c r="N8" s="83">
        <v>22.62</v>
      </c>
      <c r="O8" s="83"/>
      <c r="P8" s="93" t="str">
        <f>LEFT(VLOOKUP(Ruimtestaat[[#This Row],[Ruimte code]],Ruimtegroepen[#All],4,1),2)</f>
        <v>Bu</v>
      </c>
      <c r="Q8" s="83"/>
      <c r="R8" s="84">
        <v>42</v>
      </c>
      <c r="S8" s="84" t="s">
        <v>322</v>
      </c>
      <c r="T8" s="85">
        <f>IF(R8&gt;0,IF(RIGHT(Ruimtestaat[[#This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" s="85">
        <f>IF(T8&gt;0,VLOOKUP($J8,Ruimtegroepen[],3,FALSE)*VLOOKUP($L8,Vloersoorten[],3,FALSE)*VLOOKUP($S8,Frequenties[],3,FALSE)*VLOOKUP($A8,Locaties[],3,FALSE),0)</f>
        <v>0</v>
      </c>
      <c r="V8" s="86">
        <f>Ruimtestaat[[#This Row],[Uitvoeringen werkdagen]]*Ruimtestaat[[#This Row],[Oppervlak (netto)]]</f>
        <v>2850.1200000000003</v>
      </c>
      <c r="W8" s="87">
        <f>IF(U8&gt;0,Ruimtestaat[[#This Row],[Prest. (m2 /jaar) werkdagen]]/Ruimtestaat[[#This Row],[Norm (m2/uur) werkdagen]],0)</f>
        <v>0</v>
      </c>
      <c r="X8" s="88">
        <f>Ruimtestaat[[#This Row],[uren / jaar werkdagen]]*Tariefsopbouw!$E$35</f>
        <v>0</v>
      </c>
      <c r="Y8" s="85"/>
      <c r="Z8" s="89">
        <f>IF(Ruimtestaat[[#This Row],[Frequentie weekend]]&gt;0,VALUE(LEFT(Y8,1))*R8,0)</f>
        <v>0</v>
      </c>
      <c r="AA8" s="85">
        <f>IF($Z8&gt;0,VLOOKUP($J8,Ruimtegroepen[],3,FALSE)*VLOOKUP($L8,Vloersoorten[],3,FALSE)*VLOOKUP($Y8,Frequenties[],3,FALSE)*VLOOKUP($A3,Locaties[],3,FALSE),0)</f>
        <v>0</v>
      </c>
      <c r="AB8" s="87">
        <f>Ruimtestaat[[#This Row],[Uitvoeringen weekend]]*Ruimtestaat[[#This Row],[Oppervlak (netto)]]</f>
        <v>0</v>
      </c>
      <c r="AC8" s="90">
        <f>IF(AB8&gt;0,Ruimtestaat[[#This Row],[Prest. (m2 /jaar) weekend]]/Ruimtestaat[[#This Row],[Norm (m2/uur) weekend]],0)</f>
        <v>0</v>
      </c>
      <c r="AD8" s="91">
        <f>Ruimtestaat[[#This Row],[uren / jaar weekend]]*Tariefsopbouw!$D$40</f>
        <v>0</v>
      </c>
      <c r="AE8" s="60">
        <f>Ruimtestaat[[#This Row],[Prest. (m2 /jaar) weekend]]+Ruimtestaat[[#This Row],[Prest. (m2 /jaar) werkdagen]]</f>
        <v>2850.1200000000003</v>
      </c>
      <c r="AF8" s="60">
        <f>Ruimtestaat[[#This Row],[uren / jaar weekend]]+Ruimtestaat[[#This Row],[uren / jaar werkdagen]]</f>
        <v>0</v>
      </c>
      <c r="AG8" s="61">
        <f>Ruimtestaat[[#This Row],[kosten / jaar weekend]]+Ruimtestaat[[#This Row],[kosten / jaar werkdagen]]</f>
        <v>0</v>
      </c>
      <c r="AH8" s="92"/>
      <c r="HL8" s="59"/>
    </row>
    <row r="9" spans="1:220">
      <c r="A9" s="24">
        <v>1</v>
      </c>
      <c r="B9" s="24" t="str">
        <f>VLOOKUP(Ruimtestaat[[#This Row],[Code]],Locaties[#All],2,FALSE)</f>
        <v>Boerhaave + buitenunits</v>
      </c>
      <c r="C9" s="24" t="str">
        <f>VLOOKUP(Ruimtestaat[[#This Row],[Code]],Locaties[#All],4,FALSE)</f>
        <v>Herman Boerhaavelaan 1</v>
      </c>
      <c r="D9" s="24" t="str">
        <f>VLOOKUP(Ruimtestaat[[#This Row],[Code]],Locaties[#All],5,FALSE)</f>
        <v>7415 ES</v>
      </c>
      <c r="E9" s="24" t="str">
        <f>VLOOKUP(Ruimtestaat[[#This Row],[Code]],Locaties[#All],6,FALSE)</f>
        <v>Deventer</v>
      </c>
      <c r="F9" s="54"/>
      <c r="G9" s="24" t="s">
        <v>367</v>
      </c>
      <c r="H9" s="24" t="s">
        <v>379</v>
      </c>
      <c r="I9" s="4" t="s">
        <v>380</v>
      </c>
      <c r="J9" s="24">
        <v>2</v>
      </c>
      <c r="K9" s="54" t="str">
        <f>VLOOKUP(J9,Ruimtegroepen[],2,FALSE)</f>
        <v>Kantoren</v>
      </c>
      <c r="L9" s="24" t="s">
        <v>311</v>
      </c>
      <c r="M9" s="24" t="s">
        <v>370</v>
      </c>
      <c r="N9" s="83">
        <v>22.49</v>
      </c>
      <c r="O9" s="83"/>
      <c r="P9" s="93" t="str">
        <f>LEFT(VLOOKUP(Ruimtestaat[[#This Row],[Ruimte code]],Ruimtegroepen[#All],4,1),2)</f>
        <v>Bu</v>
      </c>
      <c r="Q9" s="83"/>
      <c r="R9" s="84">
        <v>42</v>
      </c>
      <c r="S9" s="84" t="s">
        <v>322</v>
      </c>
      <c r="T9" s="85">
        <f>IF(R9&gt;0,IF(RIGHT(Ruimtestaat[[#This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" s="85">
        <f>IF(T9&gt;0,VLOOKUP($J9,Ruimtegroepen[],3,FALSE)*VLOOKUP($L9,Vloersoorten[],3,FALSE)*VLOOKUP($S9,Frequenties[],3,FALSE)*VLOOKUP($A9,Locaties[],3,FALSE),0)</f>
        <v>0</v>
      </c>
      <c r="V9" s="86">
        <f>Ruimtestaat[[#This Row],[Uitvoeringen werkdagen]]*Ruimtestaat[[#This Row],[Oppervlak (netto)]]</f>
        <v>2833.74</v>
      </c>
      <c r="W9" s="87">
        <f>IF(U9&gt;0,Ruimtestaat[[#This Row],[Prest. (m2 /jaar) werkdagen]]/Ruimtestaat[[#This Row],[Norm (m2/uur) werkdagen]],0)</f>
        <v>0</v>
      </c>
      <c r="X9" s="88">
        <f>Ruimtestaat[[#This Row],[uren / jaar werkdagen]]*Tariefsopbouw!$E$35</f>
        <v>0</v>
      </c>
      <c r="Y9" s="85"/>
      <c r="Z9" s="89">
        <f>IF(Ruimtestaat[[#This Row],[Frequentie weekend]]&gt;0,VALUE(LEFT(Y9,1))*R9,0)</f>
        <v>0</v>
      </c>
      <c r="AA9" s="85">
        <f>IF($Z9&gt;0,VLOOKUP($J9,Ruimtegroepen[],3,FALSE)*VLOOKUP($L9,Vloersoorten[],3,FALSE)*VLOOKUP($Y9,Frequenties[],3,FALSE)*VLOOKUP($A4,Locaties[],3,FALSE),0)</f>
        <v>0</v>
      </c>
      <c r="AB9" s="87">
        <f>Ruimtestaat[[#This Row],[Uitvoeringen weekend]]*Ruimtestaat[[#This Row],[Oppervlak (netto)]]</f>
        <v>0</v>
      </c>
      <c r="AC9" s="90">
        <f>IF(AB9&gt;0,Ruimtestaat[[#This Row],[Prest. (m2 /jaar) weekend]]/Ruimtestaat[[#This Row],[Norm (m2/uur) weekend]],0)</f>
        <v>0</v>
      </c>
      <c r="AD9" s="91">
        <f>Ruimtestaat[[#This Row],[uren / jaar weekend]]*Tariefsopbouw!$D$40</f>
        <v>0</v>
      </c>
      <c r="AE9" s="60">
        <f>Ruimtestaat[[#This Row],[Prest. (m2 /jaar) weekend]]+Ruimtestaat[[#This Row],[Prest. (m2 /jaar) werkdagen]]</f>
        <v>2833.74</v>
      </c>
      <c r="AF9" s="60">
        <f>Ruimtestaat[[#This Row],[uren / jaar weekend]]+Ruimtestaat[[#This Row],[uren / jaar werkdagen]]</f>
        <v>0</v>
      </c>
      <c r="AG9" s="61">
        <f>Ruimtestaat[[#This Row],[kosten / jaar weekend]]+Ruimtestaat[[#This Row],[kosten / jaar werkdagen]]</f>
        <v>0</v>
      </c>
      <c r="AH9" s="92"/>
      <c r="HL9" s="59"/>
    </row>
    <row r="10" spans="1:220">
      <c r="A10" s="24">
        <v>1</v>
      </c>
      <c r="B10" s="24" t="str">
        <f>VLOOKUP(Ruimtestaat[[#This Row],[Code]],Locaties[#All],2,FALSE)</f>
        <v>Boerhaave + buitenunits</v>
      </c>
      <c r="C10" s="24" t="str">
        <f>VLOOKUP(Ruimtestaat[[#This Row],[Code]],Locaties[#All],4,FALSE)</f>
        <v>Herman Boerhaavelaan 1</v>
      </c>
      <c r="D10" s="24" t="str">
        <f>VLOOKUP(Ruimtestaat[[#This Row],[Code]],Locaties[#All],5,FALSE)</f>
        <v>7415 ES</v>
      </c>
      <c r="E10" s="24" t="str">
        <f>VLOOKUP(Ruimtestaat[[#This Row],[Code]],Locaties[#All],6,FALSE)</f>
        <v>Deventer</v>
      </c>
      <c r="F10" s="54"/>
      <c r="G10" s="24" t="s">
        <v>367</v>
      </c>
      <c r="H10" s="24" t="s">
        <v>381</v>
      </c>
      <c r="I10" s="4" t="s">
        <v>382</v>
      </c>
      <c r="J10" s="24">
        <v>22</v>
      </c>
      <c r="K10" s="54" t="str">
        <f>VLOOKUP(J10,Ruimtegroepen[],2,FALSE)</f>
        <v>Niet in onderhoud</v>
      </c>
      <c r="L10" s="24" t="s">
        <v>305</v>
      </c>
      <c r="M10" s="24" t="s">
        <v>376</v>
      </c>
      <c r="N10" s="83"/>
      <c r="O10" s="83">
        <v>12.47</v>
      </c>
      <c r="P10" s="93" t="str">
        <f>LEFT(VLOOKUP(Ruimtestaat[[#This Row],[Ruimte code]],Ruimtegroepen[#All],4,1),2)</f>
        <v/>
      </c>
      <c r="Q10" s="83"/>
      <c r="R10" s="84"/>
      <c r="S10" s="84"/>
      <c r="T10" s="85">
        <f>IF(R10&gt;0,IF(RIGHT(Ruimtestaat[[#This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" s="85">
        <f>IF(T10&gt;0,VLOOKUP($J10,Ruimtegroepen[],3,FALSE)*VLOOKUP($L10,Vloersoorten[],3,FALSE)*VLOOKUP($S10,Frequenties[],3,FALSE)*VLOOKUP($A10,Locaties[],3,FALSE),0)</f>
        <v>0</v>
      </c>
      <c r="V10" s="86">
        <f>Ruimtestaat[[#This Row],[Uitvoeringen werkdagen]]*Ruimtestaat[[#This Row],[Oppervlak (netto)]]</f>
        <v>0</v>
      </c>
      <c r="W10" s="87">
        <f>IF(U10&gt;0,Ruimtestaat[[#This Row],[Prest. (m2 /jaar) werkdagen]]/Ruimtestaat[[#This Row],[Norm (m2/uur) werkdagen]],0)</f>
        <v>0</v>
      </c>
      <c r="X10" s="88">
        <f>Ruimtestaat[[#This Row],[uren / jaar werkdagen]]*Tariefsopbouw!$E$35</f>
        <v>0</v>
      </c>
      <c r="Y10" s="85"/>
      <c r="Z10" s="89">
        <f>IF(Ruimtestaat[[#This Row],[Frequentie weekend]]&gt;0,VALUE(LEFT(Y10,1))*R10,0)</f>
        <v>0</v>
      </c>
      <c r="AA10" s="85">
        <f>IF($Z10&gt;0,VLOOKUP($J10,Ruimtegroepen[],3,FALSE)*VLOOKUP($L10,Vloersoorten[],3,FALSE)*VLOOKUP($Y10,Frequenties[],3,FALSE)*VLOOKUP($A6,Locaties[],3,FALSE),0)</f>
        <v>0</v>
      </c>
      <c r="AB10" s="87">
        <f>Ruimtestaat[[#This Row],[Uitvoeringen weekend]]*Ruimtestaat[[#This Row],[Oppervlak (netto)]]</f>
        <v>0</v>
      </c>
      <c r="AC10" s="90">
        <f>IF(AB10&gt;0,Ruimtestaat[[#This Row],[Prest. (m2 /jaar) weekend]]/Ruimtestaat[[#This Row],[Norm (m2/uur) weekend]],0)</f>
        <v>0</v>
      </c>
      <c r="AD10" s="91">
        <f>Ruimtestaat[[#This Row],[uren / jaar weekend]]*Tariefsopbouw!$D$40</f>
        <v>0</v>
      </c>
      <c r="AE10" s="60">
        <f>Ruimtestaat[[#This Row],[Prest. (m2 /jaar) weekend]]+Ruimtestaat[[#This Row],[Prest. (m2 /jaar) werkdagen]]</f>
        <v>0</v>
      </c>
      <c r="AF10" s="60">
        <f>Ruimtestaat[[#This Row],[uren / jaar weekend]]+Ruimtestaat[[#This Row],[uren / jaar werkdagen]]</f>
        <v>0</v>
      </c>
      <c r="AG10" s="61">
        <f>Ruimtestaat[[#This Row],[kosten / jaar weekend]]+Ruimtestaat[[#This Row],[kosten / jaar werkdagen]]</f>
        <v>0</v>
      </c>
      <c r="AH10" s="92"/>
      <c r="HL10" s="59"/>
    </row>
    <row r="11" spans="1:220">
      <c r="A11" s="24">
        <v>1</v>
      </c>
      <c r="B11" s="24" t="str">
        <f>VLOOKUP(Ruimtestaat[[#This Row],[Code]],Locaties[#All],2,FALSE)</f>
        <v>Boerhaave + buitenunits</v>
      </c>
      <c r="C11" s="24" t="str">
        <f>VLOOKUP(Ruimtestaat[[#This Row],[Code]],Locaties[#All],4,FALSE)</f>
        <v>Herman Boerhaavelaan 1</v>
      </c>
      <c r="D11" s="24" t="str">
        <f>VLOOKUP(Ruimtestaat[[#This Row],[Code]],Locaties[#All],5,FALSE)</f>
        <v>7415 ES</v>
      </c>
      <c r="E11" s="24" t="str">
        <f>VLOOKUP(Ruimtestaat[[#This Row],[Code]],Locaties[#All],6,FALSE)</f>
        <v>Deventer</v>
      </c>
      <c r="F11" s="54"/>
      <c r="G11" s="24" t="s">
        <v>367</v>
      </c>
      <c r="H11" s="24" t="s">
        <v>383</v>
      </c>
      <c r="I11" s="4" t="s">
        <v>384</v>
      </c>
      <c r="J11" s="24">
        <v>4</v>
      </c>
      <c r="K11" s="54" t="str">
        <f>VLOOKUP(J11,Ruimtegroepen[],2,FALSE)</f>
        <v>Vergader/spreekkamers</v>
      </c>
      <c r="L11" s="24" t="s">
        <v>311</v>
      </c>
      <c r="M11" s="24" t="s">
        <v>370</v>
      </c>
      <c r="N11" s="83">
        <v>15.6</v>
      </c>
      <c r="O11" s="83"/>
      <c r="P11" s="93" t="str">
        <f>LEFT(VLOOKUP(Ruimtestaat[[#This Row],[Ruimte code]],Ruimtegroepen[#All],4,1),2)</f>
        <v>Bu</v>
      </c>
      <c r="Q11" s="83"/>
      <c r="R11" s="84">
        <v>40</v>
      </c>
      <c r="S11" s="84" t="s">
        <v>322</v>
      </c>
      <c r="T11" s="85">
        <f>IF(R11&gt;0,IF(RIGHT(Ruimtestaat[[#This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1" s="85">
        <f>IF(T11&gt;0,VLOOKUP($J11,Ruimtegroepen[],3,FALSE)*VLOOKUP($L11,Vloersoorten[],3,FALSE)*VLOOKUP($S11,Frequenties[],3,FALSE)*VLOOKUP($A11,Locaties[],3,FALSE),0)</f>
        <v>0</v>
      </c>
      <c r="V11" s="86">
        <f>Ruimtestaat[[#This Row],[Uitvoeringen werkdagen]]*Ruimtestaat[[#This Row],[Oppervlak (netto)]]</f>
        <v>1872</v>
      </c>
      <c r="W11" s="87">
        <f>IF(U11&gt;0,Ruimtestaat[[#This Row],[Prest. (m2 /jaar) werkdagen]]/Ruimtestaat[[#This Row],[Norm (m2/uur) werkdagen]],0)</f>
        <v>0</v>
      </c>
      <c r="X11" s="88">
        <f>Ruimtestaat[[#This Row],[uren / jaar werkdagen]]*Tariefsopbouw!$E$35</f>
        <v>0</v>
      </c>
      <c r="Y11" s="85"/>
      <c r="Z11" s="89">
        <f>IF(Ruimtestaat[[#This Row],[Frequentie weekend]]&gt;0,VALUE(LEFT(Y11,1))*R11,0)</f>
        <v>0</v>
      </c>
      <c r="AA11" s="85">
        <f>IF($Z11&gt;0,VLOOKUP($J11,Ruimtegroepen[],3,FALSE)*VLOOKUP($L11,Vloersoorten[],3,FALSE)*VLOOKUP($Y11,Frequenties[],3,FALSE)*VLOOKUP($A7,Locaties[],3,FALSE),0)</f>
        <v>0</v>
      </c>
      <c r="AB11" s="87">
        <f>Ruimtestaat[[#This Row],[Uitvoeringen weekend]]*Ruimtestaat[[#This Row],[Oppervlak (netto)]]</f>
        <v>0</v>
      </c>
      <c r="AC11" s="90">
        <f>IF(AB11&gt;0,Ruimtestaat[[#This Row],[Prest. (m2 /jaar) weekend]]/Ruimtestaat[[#This Row],[Norm (m2/uur) weekend]],0)</f>
        <v>0</v>
      </c>
      <c r="AD11" s="91">
        <f>Ruimtestaat[[#This Row],[uren / jaar weekend]]*Tariefsopbouw!$D$40</f>
        <v>0</v>
      </c>
      <c r="AE11" s="60">
        <f>Ruimtestaat[[#This Row],[Prest. (m2 /jaar) weekend]]+Ruimtestaat[[#This Row],[Prest. (m2 /jaar) werkdagen]]</f>
        <v>1872</v>
      </c>
      <c r="AF11" s="60">
        <f>Ruimtestaat[[#This Row],[uren / jaar weekend]]+Ruimtestaat[[#This Row],[uren / jaar werkdagen]]</f>
        <v>0</v>
      </c>
      <c r="AG11" s="61">
        <f>Ruimtestaat[[#This Row],[kosten / jaar weekend]]+Ruimtestaat[[#This Row],[kosten / jaar werkdagen]]</f>
        <v>0</v>
      </c>
      <c r="AH11" s="92"/>
      <c r="HL11" s="59"/>
    </row>
    <row r="12" spans="1:220">
      <c r="A12" s="24">
        <v>1</v>
      </c>
      <c r="B12" s="24" t="str">
        <f>VLOOKUP(Ruimtestaat[[#This Row],[Code]],Locaties[#All],2,FALSE)</f>
        <v>Boerhaave + buitenunits</v>
      </c>
      <c r="C12" s="24" t="str">
        <f>VLOOKUP(Ruimtestaat[[#This Row],[Code]],Locaties[#All],4,FALSE)</f>
        <v>Herman Boerhaavelaan 1</v>
      </c>
      <c r="D12" s="24" t="str">
        <f>VLOOKUP(Ruimtestaat[[#This Row],[Code]],Locaties[#All],5,FALSE)</f>
        <v>7415 ES</v>
      </c>
      <c r="E12" s="24" t="str">
        <f>VLOOKUP(Ruimtestaat[[#This Row],[Code]],Locaties[#All],6,FALSE)</f>
        <v>Deventer</v>
      </c>
      <c r="F12" s="54"/>
      <c r="G12" s="24" t="s">
        <v>367</v>
      </c>
      <c r="H12" s="24" t="s">
        <v>385</v>
      </c>
      <c r="I12" s="4" t="s">
        <v>386</v>
      </c>
      <c r="J12" s="24">
        <v>2</v>
      </c>
      <c r="K12" s="54" t="str">
        <f>VLOOKUP(J12,Ruimtegroepen[],2,FALSE)</f>
        <v>Kantoren</v>
      </c>
      <c r="L12" s="24" t="s">
        <v>303</v>
      </c>
      <c r="M12" s="24" t="s">
        <v>387</v>
      </c>
      <c r="N12" s="83">
        <v>43.59</v>
      </c>
      <c r="O12" s="83"/>
      <c r="P12" s="93" t="str">
        <f>LEFT(VLOOKUP(Ruimtestaat[[#This Row],[Ruimte code]],Ruimtegroepen[#All],4,1),2)</f>
        <v>Bu</v>
      </c>
      <c r="Q12" s="83"/>
      <c r="R12" s="84">
        <v>42</v>
      </c>
      <c r="S12" s="84" t="s">
        <v>322</v>
      </c>
      <c r="T12" s="85">
        <f>IF(R12&gt;0,IF(RIGHT(Ruimtestaat[[#This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2" s="85">
        <f>IF(T12&gt;0,VLOOKUP($J12,Ruimtegroepen[],3,FALSE)*VLOOKUP($L12,Vloersoorten[],3,FALSE)*VLOOKUP($S12,Frequenties[],3,FALSE)*VLOOKUP($A12,Locaties[],3,FALSE),0)</f>
        <v>0</v>
      </c>
      <c r="V12" s="86">
        <f>Ruimtestaat[[#This Row],[Uitvoeringen werkdagen]]*Ruimtestaat[[#This Row],[Oppervlak (netto)]]</f>
        <v>5492.34</v>
      </c>
      <c r="W12" s="87">
        <f>IF(U12&gt;0,Ruimtestaat[[#This Row],[Prest. (m2 /jaar) werkdagen]]/Ruimtestaat[[#This Row],[Norm (m2/uur) werkdagen]],0)</f>
        <v>0</v>
      </c>
      <c r="X12" s="88">
        <f>Ruimtestaat[[#This Row],[uren / jaar werkdagen]]*Tariefsopbouw!$E$35</f>
        <v>0</v>
      </c>
      <c r="Y12" s="85"/>
      <c r="Z12" s="89">
        <f>IF(Ruimtestaat[[#This Row],[Frequentie weekend]]&gt;0,VALUE(LEFT(Y12,1))*R12,0)</f>
        <v>0</v>
      </c>
      <c r="AA12" s="85">
        <f>IF($Z12&gt;0,VLOOKUP($J12,Ruimtegroepen[],3,FALSE)*VLOOKUP($L12,Vloersoorten[],3,FALSE)*VLOOKUP($Y12,Frequenties[],3,FALSE)*VLOOKUP($A8,Locaties[],3,FALSE),0)</f>
        <v>0</v>
      </c>
      <c r="AB12" s="87">
        <f>Ruimtestaat[[#This Row],[Uitvoeringen weekend]]*Ruimtestaat[[#This Row],[Oppervlak (netto)]]</f>
        <v>0</v>
      </c>
      <c r="AC12" s="90">
        <f>IF(AB12&gt;0,Ruimtestaat[[#This Row],[Prest. (m2 /jaar) weekend]]/Ruimtestaat[[#This Row],[Norm (m2/uur) weekend]],0)</f>
        <v>0</v>
      </c>
      <c r="AD12" s="91">
        <f>Ruimtestaat[[#This Row],[uren / jaar weekend]]*Tariefsopbouw!$D$40</f>
        <v>0</v>
      </c>
      <c r="AE12" s="60">
        <f>Ruimtestaat[[#This Row],[Prest. (m2 /jaar) weekend]]+Ruimtestaat[[#This Row],[Prest. (m2 /jaar) werkdagen]]</f>
        <v>5492.34</v>
      </c>
      <c r="AF12" s="60">
        <f>Ruimtestaat[[#This Row],[uren / jaar weekend]]+Ruimtestaat[[#This Row],[uren / jaar werkdagen]]</f>
        <v>0</v>
      </c>
      <c r="AG12" s="61">
        <f>Ruimtestaat[[#This Row],[kosten / jaar weekend]]+Ruimtestaat[[#This Row],[kosten / jaar werkdagen]]</f>
        <v>0</v>
      </c>
      <c r="AH12" s="92"/>
      <c r="HL12" s="59"/>
    </row>
    <row r="13" spans="1:220">
      <c r="A13" s="24">
        <v>1</v>
      </c>
      <c r="B13" s="24" t="str">
        <f>VLOOKUP(Ruimtestaat[[#This Row],[Code]],Locaties[#All],2,FALSE)</f>
        <v>Boerhaave + buitenunits</v>
      </c>
      <c r="C13" s="24" t="str">
        <f>VLOOKUP(Ruimtestaat[[#This Row],[Code]],Locaties[#All],4,FALSE)</f>
        <v>Herman Boerhaavelaan 1</v>
      </c>
      <c r="D13" s="24" t="str">
        <f>VLOOKUP(Ruimtestaat[[#This Row],[Code]],Locaties[#All],5,FALSE)</f>
        <v>7415 ES</v>
      </c>
      <c r="E13" s="24" t="str">
        <f>VLOOKUP(Ruimtestaat[[#This Row],[Code]],Locaties[#All],6,FALSE)</f>
        <v>Deventer</v>
      </c>
      <c r="F13" s="54"/>
      <c r="G13" s="24" t="s">
        <v>367</v>
      </c>
      <c r="H13" s="24" t="s">
        <v>388</v>
      </c>
      <c r="I13" s="4" t="s">
        <v>389</v>
      </c>
      <c r="J13" s="24">
        <v>2</v>
      </c>
      <c r="K13" s="54" t="str">
        <f>VLOOKUP(J13,Ruimtegroepen[],2,FALSE)</f>
        <v>Kantoren</v>
      </c>
      <c r="L13" s="24" t="s">
        <v>303</v>
      </c>
      <c r="M13" s="24" t="s">
        <v>387</v>
      </c>
      <c r="N13" s="83">
        <v>43.58</v>
      </c>
      <c r="O13" s="83"/>
      <c r="P13" s="93" t="str">
        <f>LEFT(VLOOKUP(Ruimtestaat[[#This Row],[Ruimte code]],Ruimtegroepen[#All],4,1),2)</f>
        <v>Bu</v>
      </c>
      <c r="Q13" s="83"/>
      <c r="R13" s="84">
        <v>42</v>
      </c>
      <c r="S13" s="84" t="s">
        <v>322</v>
      </c>
      <c r="T13" s="85">
        <f>IF(R13&gt;0,IF(RIGHT(Ruimtestaat[[#This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" s="85">
        <f>IF(T13&gt;0,VLOOKUP($J13,Ruimtegroepen[],3,FALSE)*VLOOKUP($L13,Vloersoorten[],3,FALSE)*VLOOKUP($S13,Frequenties[],3,FALSE)*VLOOKUP($A13,Locaties[],3,FALSE),0)</f>
        <v>0</v>
      </c>
      <c r="V13" s="86">
        <f>Ruimtestaat[[#This Row],[Uitvoeringen werkdagen]]*Ruimtestaat[[#This Row],[Oppervlak (netto)]]</f>
        <v>5491.08</v>
      </c>
      <c r="W13" s="87">
        <f>IF(U13&gt;0,Ruimtestaat[[#This Row],[Prest. (m2 /jaar) werkdagen]]/Ruimtestaat[[#This Row],[Norm (m2/uur) werkdagen]],0)</f>
        <v>0</v>
      </c>
      <c r="X13" s="88">
        <f>Ruimtestaat[[#This Row],[uren / jaar werkdagen]]*Tariefsopbouw!$E$35</f>
        <v>0</v>
      </c>
      <c r="Y13" s="85"/>
      <c r="Z13" s="89">
        <f>IF(Ruimtestaat[[#This Row],[Frequentie weekend]]&gt;0,VALUE(LEFT(Y13,1))*R13,0)</f>
        <v>0</v>
      </c>
      <c r="AA13" s="85">
        <f>IF($Z13&gt;0,VLOOKUP($J13,Ruimtegroepen[],3,FALSE)*VLOOKUP($L13,Vloersoorten[],3,FALSE)*VLOOKUP($Y13,Frequenties[],3,FALSE)*VLOOKUP($A9,Locaties[],3,FALSE),0)</f>
        <v>0</v>
      </c>
      <c r="AB13" s="87">
        <f>Ruimtestaat[[#This Row],[Uitvoeringen weekend]]*Ruimtestaat[[#This Row],[Oppervlak (netto)]]</f>
        <v>0</v>
      </c>
      <c r="AC13" s="90">
        <f>IF(AB13&gt;0,Ruimtestaat[[#This Row],[Prest. (m2 /jaar) weekend]]/Ruimtestaat[[#This Row],[Norm (m2/uur) weekend]],0)</f>
        <v>0</v>
      </c>
      <c r="AD13" s="91">
        <f>Ruimtestaat[[#This Row],[uren / jaar weekend]]*Tariefsopbouw!$D$40</f>
        <v>0</v>
      </c>
      <c r="AE13" s="60">
        <f>Ruimtestaat[[#This Row],[Prest. (m2 /jaar) weekend]]+Ruimtestaat[[#This Row],[Prest. (m2 /jaar) werkdagen]]</f>
        <v>5491.08</v>
      </c>
      <c r="AF13" s="60">
        <f>Ruimtestaat[[#This Row],[uren / jaar weekend]]+Ruimtestaat[[#This Row],[uren / jaar werkdagen]]</f>
        <v>0</v>
      </c>
      <c r="AG13" s="61">
        <f>Ruimtestaat[[#This Row],[kosten / jaar weekend]]+Ruimtestaat[[#This Row],[kosten / jaar werkdagen]]</f>
        <v>0</v>
      </c>
      <c r="AH13" s="92"/>
      <c r="HL13" s="59"/>
    </row>
    <row r="14" spans="1:220">
      <c r="A14" s="24">
        <v>1</v>
      </c>
      <c r="B14" s="24" t="str">
        <f>VLOOKUP(Ruimtestaat[[#This Row],[Code]],Locaties[#All],2,FALSE)</f>
        <v>Boerhaave + buitenunits</v>
      </c>
      <c r="C14" s="24" t="str">
        <f>VLOOKUP(Ruimtestaat[[#This Row],[Code]],Locaties[#All],4,FALSE)</f>
        <v>Herman Boerhaavelaan 1</v>
      </c>
      <c r="D14" s="24" t="str">
        <f>VLOOKUP(Ruimtestaat[[#This Row],[Code]],Locaties[#All],5,FALSE)</f>
        <v>7415 ES</v>
      </c>
      <c r="E14" s="24" t="str">
        <f>VLOOKUP(Ruimtestaat[[#This Row],[Code]],Locaties[#All],6,FALSE)</f>
        <v>Deventer</v>
      </c>
      <c r="F14" s="54"/>
      <c r="G14" s="24" t="s">
        <v>367</v>
      </c>
      <c r="H14" s="24" t="s">
        <v>390</v>
      </c>
      <c r="I14" s="4" t="s">
        <v>391</v>
      </c>
      <c r="J14" s="24">
        <v>6</v>
      </c>
      <c r="K14" s="54" t="str">
        <f>VLOOKUP(J14,Ruimtegroepen[],2,FALSE)</f>
        <v>Gangen/hallen</v>
      </c>
      <c r="L14" s="24" t="s">
        <v>311</v>
      </c>
      <c r="M14" s="24" t="s">
        <v>370</v>
      </c>
      <c r="N14" s="83">
        <v>63.37</v>
      </c>
      <c r="O14" s="83"/>
      <c r="P14" s="93" t="str">
        <f>LEFT(VLOOKUP(Ruimtestaat[[#This Row],[Ruimte code]],Ruimtegroepen[#All],4,1),2)</f>
        <v>Ve</v>
      </c>
      <c r="Q14" s="83"/>
      <c r="R14" s="84">
        <v>40</v>
      </c>
      <c r="S14" s="84" t="s">
        <v>318</v>
      </c>
      <c r="T14" s="85">
        <f>IF(R14&gt;0,IF(RIGHT(Ruimtestaat[[#This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" s="85">
        <f>IF(T14&gt;0,VLOOKUP($J14,Ruimtegroepen[],3,FALSE)*VLOOKUP($L14,Vloersoorten[],3,FALSE)*VLOOKUP($S14,Frequenties[],3,FALSE)*VLOOKUP($A14,Locaties[],3,FALSE),0)</f>
        <v>0</v>
      </c>
      <c r="V14" s="86">
        <f>Ruimtestaat[[#This Row],[Uitvoeringen werkdagen]]*Ruimtestaat[[#This Row],[Oppervlak (netto)]]</f>
        <v>12674</v>
      </c>
      <c r="W14" s="87">
        <f>IF(U14&gt;0,Ruimtestaat[[#This Row],[Prest. (m2 /jaar) werkdagen]]/Ruimtestaat[[#This Row],[Norm (m2/uur) werkdagen]],0)</f>
        <v>0</v>
      </c>
      <c r="X14" s="88">
        <f>Ruimtestaat[[#This Row],[uren / jaar werkdagen]]*Tariefsopbouw!$E$35</f>
        <v>0</v>
      </c>
      <c r="Y14" s="85"/>
      <c r="Z14" s="89">
        <f>IF(Ruimtestaat[[#This Row],[Frequentie weekend]]&gt;0,VALUE(LEFT(Y14,1))*R14,0)</f>
        <v>0</v>
      </c>
      <c r="AA14" s="85">
        <f>IF($Z14&gt;0,VLOOKUP($J14,Ruimtegroepen[],3,FALSE)*VLOOKUP($L14,Vloersoorten[],3,FALSE)*VLOOKUP($Y14,Frequenties[],3,FALSE)*VLOOKUP($A10,Locaties[],3,FALSE),0)</f>
        <v>0</v>
      </c>
      <c r="AB14" s="87">
        <f>Ruimtestaat[[#This Row],[Uitvoeringen weekend]]*Ruimtestaat[[#This Row],[Oppervlak (netto)]]</f>
        <v>0</v>
      </c>
      <c r="AC14" s="90">
        <f>IF(AB14&gt;0,Ruimtestaat[[#This Row],[Prest. (m2 /jaar) weekend]]/Ruimtestaat[[#This Row],[Norm (m2/uur) weekend]],0)</f>
        <v>0</v>
      </c>
      <c r="AD14" s="91">
        <f>Ruimtestaat[[#This Row],[uren / jaar weekend]]*Tariefsopbouw!$D$40</f>
        <v>0</v>
      </c>
      <c r="AE14" s="60">
        <f>Ruimtestaat[[#This Row],[Prest. (m2 /jaar) weekend]]+Ruimtestaat[[#This Row],[Prest. (m2 /jaar) werkdagen]]</f>
        <v>12674</v>
      </c>
      <c r="AF14" s="60">
        <f>Ruimtestaat[[#This Row],[uren / jaar weekend]]+Ruimtestaat[[#This Row],[uren / jaar werkdagen]]</f>
        <v>0</v>
      </c>
      <c r="AG14" s="61">
        <f>Ruimtestaat[[#This Row],[kosten / jaar weekend]]+Ruimtestaat[[#This Row],[kosten / jaar werkdagen]]</f>
        <v>0</v>
      </c>
      <c r="AH14" s="92"/>
      <c r="HL14" s="59"/>
    </row>
    <row r="15" spans="1:220">
      <c r="A15" s="24">
        <v>1</v>
      </c>
      <c r="B15" s="24" t="str">
        <f>VLOOKUP(Ruimtestaat[[#This Row],[Code]],Locaties[#All],2,FALSE)</f>
        <v>Boerhaave + buitenunits</v>
      </c>
      <c r="C15" s="24" t="str">
        <f>VLOOKUP(Ruimtestaat[[#This Row],[Code]],Locaties[#All],4,FALSE)</f>
        <v>Herman Boerhaavelaan 1</v>
      </c>
      <c r="D15" s="24" t="str">
        <f>VLOOKUP(Ruimtestaat[[#This Row],[Code]],Locaties[#All],5,FALSE)</f>
        <v>7415 ES</v>
      </c>
      <c r="E15" s="24" t="str">
        <f>VLOOKUP(Ruimtestaat[[#This Row],[Code]],Locaties[#All],6,FALSE)</f>
        <v>Deventer</v>
      </c>
      <c r="F15" s="54"/>
      <c r="G15" s="24" t="s">
        <v>367</v>
      </c>
      <c r="H15" s="24" t="s">
        <v>392</v>
      </c>
      <c r="I15" s="4" t="s">
        <v>103</v>
      </c>
      <c r="J15" s="24">
        <v>10</v>
      </c>
      <c r="K15" s="54" t="str">
        <f>VLOOKUP(J15,Ruimtegroepen[],2,FALSE)</f>
        <v>Trappenhuizen/lift</v>
      </c>
      <c r="L15" s="24" t="s">
        <v>311</v>
      </c>
      <c r="M15" s="24" t="s">
        <v>370</v>
      </c>
      <c r="N15" s="83">
        <v>3.44</v>
      </c>
      <c r="O15" s="83"/>
      <c r="P15" s="93" t="str">
        <f>LEFT(VLOOKUP(Ruimtestaat[[#This Row],[Ruimte code]],Ruimtegroepen[#All],4,1),2)</f>
        <v>Ve</v>
      </c>
      <c r="Q15" s="83"/>
      <c r="R15" s="84">
        <v>40</v>
      </c>
      <c r="S15" s="84" t="s">
        <v>318</v>
      </c>
      <c r="T15" s="85">
        <f>IF(R15&gt;0,IF(RIGHT(Ruimtestaat[[#This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" s="85">
        <f>IF(T15&gt;0,VLOOKUP($J15,Ruimtegroepen[],3,FALSE)*VLOOKUP($L15,Vloersoorten[],3,FALSE)*VLOOKUP($S15,Frequenties[],3,FALSE)*VLOOKUP($A15,Locaties[],3,FALSE),0)</f>
        <v>0</v>
      </c>
      <c r="V15" s="86">
        <f>Ruimtestaat[[#This Row],[Uitvoeringen werkdagen]]*Ruimtestaat[[#This Row],[Oppervlak (netto)]]</f>
        <v>688</v>
      </c>
      <c r="W15" s="87">
        <f>IF(U15&gt;0,Ruimtestaat[[#This Row],[Prest. (m2 /jaar) werkdagen]]/Ruimtestaat[[#This Row],[Norm (m2/uur) werkdagen]],0)</f>
        <v>0</v>
      </c>
      <c r="X15" s="88">
        <f>Ruimtestaat[[#This Row],[uren / jaar werkdagen]]*Tariefsopbouw!$E$35</f>
        <v>0</v>
      </c>
      <c r="Y15" s="85"/>
      <c r="Z15" s="89">
        <f>IF(Ruimtestaat[[#This Row],[Frequentie weekend]]&gt;0,VALUE(LEFT(Y15,1))*R15,0)</f>
        <v>0</v>
      </c>
      <c r="AA15" s="85">
        <f>IF($Z15&gt;0,VLOOKUP($J15,Ruimtegroepen[],3,FALSE)*VLOOKUP($L15,Vloersoorten[],3,FALSE)*VLOOKUP($Y15,Frequenties[],3,FALSE)*VLOOKUP($A11,Locaties[],3,FALSE),0)</f>
        <v>0</v>
      </c>
      <c r="AB15" s="87">
        <f>Ruimtestaat[[#This Row],[Uitvoeringen weekend]]*Ruimtestaat[[#This Row],[Oppervlak (netto)]]</f>
        <v>0</v>
      </c>
      <c r="AC15" s="90">
        <f>IF(AB15&gt;0,Ruimtestaat[[#This Row],[Prest. (m2 /jaar) weekend]]/Ruimtestaat[[#This Row],[Norm (m2/uur) weekend]],0)</f>
        <v>0</v>
      </c>
      <c r="AD15" s="91">
        <f>Ruimtestaat[[#This Row],[uren / jaar weekend]]*Tariefsopbouw!$D$40</f>
        <v>0</v>
      </c>
      <c r="AE15" s="60">
        <f>Ruimtestaat[[#This Row],[Prest. (m2 /jaar) weekend]]+Ruimtestaat[[#This Row],[Prest. (m2 /jaar) werkdagen]]</f>
        <v>688</v>
      </c>
      <c r="AF15" s="60">
        <f>Ruimtestaat[[#This Row],[uren / jaar weekend]]+Ruimtestaat[[#This Row],[uren / jaar werkdagen]]</f>
        <v>0</v>
      </c>
      <c r="AG15" s="61">
        <f>Ruimtestaat[[#This Row],[kosten / jaar weekend]]+Ruimtestaat[[#This Row],[kosten / jaar werkdagen]]</f>
        <v>0</v>
      </c>
      <c r="AH15" s="92"/>
      <c r="HL15" s="59"/>
    </row>
    <row r="16" spans="1:220">
      <c r="A16" s="24">
        <v>1</v>
      </c>
      <c r="B16" s="24" t="str">
        <f>VLOOKUP(Ruimtestaat[[#This Row],[Code]],Locaties[#All],2,FALSE)</f>
        <v>Boerhaave + buitenunits</v>
      </c>
      <c r="C16" s="24" t="str">
        <f>VLOOKUP(Ruimtestaat[[#This Row],[Code]],Locaties[#All],4,FALSE)</f>
        <v>Herman Boerhaavelaan 1</v>
      </c>
      <c r="D16" s="24" t="str">
        <f>VLOOKUP(Ruimtestaat[[#This Row],[Code]],Locaties[#All],5,FALSE)</f>
        <v>7415 ES</v>
      </c>
      <c r="E16" s="24" t="str">
        <f>VLOOKUP(Ruimtestaat[[#This Row],[Code]],Locaties[#All],6,FALSE)</f>
        <v>Deventer</v>
      </c>
      <c r="F16" s="54"/>
      <c r="G16" s="24" t="s">
        <v>367</v>
      </c>
      <c r="H16" s="24" t="s">
        <v>393</v>
      </c>
      <c r="I16" s="4" t="s">
        <v>394</v>
      </c>
      <c r="J16" s="24">
        <v>22</v>
      </c>
      <c r="K16" s="54" t="str">
        <f>VLOOKUP(J16,Ruimtegroepen[],2,FALSE)</f>
        <v>Niet in onderhoud</v>
      </c>
      <c r="L16" s="24" t="s">
        <v>305</v>
      </c>
      <c r="M16" s="24" t="s">
        <v>376</v>
      </c>
      <c r="N16" s="83"/>
      <c r="O16" s="83">
        <v>5.23</v>
      </c>
      <c r="P16" s="93" t="str">
        <f>LEFT(VLOOKUP(Ruimtestaat[[#This Row],[Ruimte code]],Ruimtegroepen[#All],4,1),2)</f>
        <v/>
      </c>
      <c r="Q16" s="83"/>
      <c r="R16" s="84"/>
      <c r="S16" s="84"/>
      <c r="T16" s="85">
        <f>IF(R16&gt;0,IF(RIGHT(Ruimtestaat[[#This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" s="85">
        <f>IF(T16&gt;0,VLOOKUP($J16,Ruimtegroepen[],3,FALSE)*VLOOKUP($L16,Vloersoorten[],3,FALSE)*VLOOKUP($S16,Frequenties[],3,FALSE)*VLOOKUP($A16,Locaties[],3,FALSE),0)</f>
        <v>0</v>
      </c>
      <c r="V16" s="86">
        <f>Ruimtestaat[[#This Row],[Uitvoeringen werkdagen]]*Ruimtestaat[[#This Row],[Oppervlak (netto)]]</f>
        <v>0</v>
      </c>
      <c r="W16" s="87">
        <f>IF(U16&gt;0,Ruimtestaat[[#This Row],[Prest. (m2 /jaar) werkdagen]]/Ruimtestaat[[#This Row],[Norm (m2/uur) werkdagen]],0)</f>
        <v>0</v>
      </c>
      <c r="X16" s="88">
        <f>Ruimtestaat[[#This Row],[uren / jaar werkdagen]]*Tariefsopbouw!$E$35</f>
        <v>0</v>
      </c>
      <c r="Y16" s="85"/>
      <c r="Z16" s="89">
        <f>IF(Ruimtestaat[[#This Row],[Frequentie weekend]]&gt;0,VALUE(LEFT(Y16,1))*R16,0)</f>
        <v>0</v>
      </c>
      <c r="AA16" s="85">
        <f>IF($Z16&gt;0,VLOOKUP($J16,Ruimtegroepen[],3,FALSE)*VLOOKUP($L16,Vloersoorten[],3,FALSE)*VLOOKUP($Y16,Frequenties[],3,FALSE)*VLOOKUP($A12,Locaties[],3,FALSE),0)</f>
        <v>0</v>
      </c>
      <c r="AB16" s="87">
        <f>Ruimtestaat[[#This Row],[Uitvoeringen weekend]]*Ruimtestaat[[#This Row],[Oppervlak (netto)]]</f>
        <v>0</v>
      </c>
      <c r="AC16" s="90">
        <f>IF(AB16&gt;0,Ruimtestaat[[#This Row],[Prest. (m2 /jaar) weekend]]/Ruimtestaat[[#This Row],[Norm (m2/uur) weekend]],0)</f>
        <v>0</v>
      </c>
      <c r="AD16" s="91">
        <f>Ruimtestaat[[#This Row],[uren / jaar weekend]]*Tariefsopbouw!$D$40</f>
        <v>0</v>
      </c>
      <c r="AE16" s="60">
        <f>Ruimtestaat[[#This Row],[Prest. (m2 /jaar) weekend]]+Ruimtestaat[[#This Row],[Prest. (m2 /jaar) werkdagen]]</f>
        <v>0</v>
      </c>
      <c r="AF16" s="60">
        <f>Ruimtestaat[[#This Row],[uren / jaar weekend]]+Ruimtestaat[[#This Row],[uren / jaar werkdagen]]</f>
        <v>0</v>
      </c>
      <c r="AG16" s="61">
        <f>Ruimtestaat[[#This Row],[kosten / jaar weekend]]+Ruimtestaat[[#This Row],[kosten / jaar werkdagen]]</f>
        <v>0</v>
      </c>
      <c r="AH16" s="92"/>
      <c r="HL16" s="59"/>
    </row>
    <row r="17" spans="1:220">
      <c r="A17" s="24">
        <v>1</v>
      </c>
      <c r="B17" s="24" t="str">
        <f>VLOOKUP(Ruimtestaat[[#This Row],[Code]],Locaties[#All],2,FALSE)</f>
        <v>Boerhaave + buitenunits</v>
      </c>
      <c r="C17" s="24" t="str">
        <f>VLOOKUP(Ruimtestaat[[#This Row],[Code]],Locaties[#All],4,FALSE)</f>
        <v>Herman Boerhaavelaan 1</v>
      </c>
      <c r="D17" s="24" t="str">
        <f>VLOOKUP(Ruimtestaat[[#This Row],[Code]],Locaties[#All],5,FALSE)</f>
        <v>7415 ES</v>
      </c>
      <c r="E17" s="24" t="str">
        <f>VLOOKUP(Ruimtestaat[[#This Row],[Code]],Locaties[#All],6,FALSE)</f>
        <v>Deventer</v>
      </c>
      <c r="F17" s="54"/>
      <c r="G17" s="24" t="s">
        <v>367</v>
      </c>
      <c r="H17" s="24" t="s">
        <v>395</v>
      </c>
      <c r="I17" s="4" t="s">
        <v>396</v>
      </c>
      <c r="J17" s="24">
        <v>7</v>
      </c>
      <c r="K17" s="54" t="str">
        <f>VLOOKUP(J17,Ruimtegroepen[],2,FALSE)</f>
        <v>Entree</v>
      </c>
      <c r="L17" s="24" t="s">
        <v>311</v>
      </c>
      <c r="M17" s="24" t="s">
        <v>370</v>
      </c>
      <c r="N17" s="83">
        <v>4.33</v>
      </c>
      <c r="O17" s="83"/>
      <c r="P17" s="93" t="str">
        <f>LEFT(VLOOKUP(Ruimtestaat[[#This Row],[Ruimte code]],Ruimtegroepen[#All],4,1),2)</f>
        <v>Ve</v>
      </c>
      <c r="Q17" s="83"/>
      <c r="R17" s="84">
        <v>40</v>
      </c>
      <c r="S17" s="84" t="s">
        <v>318</v>
      </c>
      <c r="T17" s="85">
        <f>IF(R17&gt;0,IF(RIGHT(Ruimtestaat[[#This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" s="85">
        <f>IF(T17&gt;0,VLOOKUP($J17,Ruimtegroepen[],3,FALSE)*VLOOKUP($L17,Vloersoorten[],3,FALSE)*VLOOKUP($S17,Frequenties[],3,FALSE)*VLOOKUP($A17,Locaties[],3,FALSE),0)</f>
        <v>0</v>
      </c>
      <c r="V17" s="86">
        <f>Ruimtestaat[[#This Row],[Uitvoeringen werkdagen]]*Ruimtestaat[[#This Row],[Oppervlak (netto)]]</f>
        <v>866</v>
      </c>
      <c r="W17" s="87">
        <f>IF(U17&gt;0,Ruimtestaat[[#This Row],[Prest. (m2 /jaar) werkdagen]]/Ruimtestaat[[#This Row],[Norm (m2/uur) werkdagen]],0)</f>
        <v>0</v>
      </c>
      <c r="X17" s="88">
        <f>Ruimtestaat[[#This Row],[uren / jaar werkdagen]]*Tariefsopbouw!$E$35</f>
        <v>0</v>
      </c>
      <c r="Y17" s="85"/>
      <c r="Z17" s="89">
        <f>IF(Ruimtestaat[[#This Row],[Frequentie weekend]]&gt;0,VALUE(LEFT(Y17,1))*R17,0)</f>
        <v>0</v>
      </c>
      <c r="AA17" s="85">
        <f>IF($Z17&gt;0,VLOOKUP($J17,Ruimtegroepen[],3,FALSE)*VLOOKUP($L17,Vloersoorten[],3,FALSE)*VLOOKUP($Y17,Frequenties[],3,FALSE)*VLOOKUP($A13,Locaties[],3,FALSE),0)</f>
        <v>0</v>
      </c>
      <c r="AB17" s="87">
        <f>Ruimtestaat[[#This Row],[Uitvoeringen weekend]]*Ruimtestaat[[#This Row],[Oppervlak (netto)]]</f>
        <v>0</v>
      </c>
      <c r="AC17" s="90">
        <f>IF(AB17&gt;0,Ruimtestaat[[#This Row],[Prest. (m2 /jaar) weekend]]/Ruimtestaat[[#This Row],[Norm (m2/uur) weekend]],0)</f>
        <v>0</v>
      </c>
      <c r="AD17" s="91">
        <f>Ruimtestaat[[#This Row],[uren / jaar weekend]]*Tariefsopbouw!$D$40</f>
        <v>0</v>
      </c>
      <c r="AE17" s="60">
        <f>Ruimtestaat[[#This Row],[Prest. (m2 /jaar) weekend]]+Ruimtestaat[[#This Row],[Prest. (m2 /jaar) werkdagen]]</f>
        <v>866</v>
      </c>
      <c r="AF17" s="60">
        <f>Ruimtestaat[[#This Row],[uren / jaar weekend]]+Ruimtestaat[[#This Row],[uren / jaar werkdagen]]</f>
        <v>0</v>
      </c>
      <c r="AG17" s="61">
        <f>Ruimtestaat[[#This Row],[kosten / jaar weekend]]+Ruimtestaat[[#This Row],[kosten / jaar werkdagen]]</f>
        <v>0</v>
      </c>
      <c r="AH17" s="92"/>
      <c r="HL17" s="59"/>
    </row>
    <row r="18" spans="1:220">
      <c r="A18" s="24">
        <v>1</v>
      </c>
      <c r="B18" s="24" t="str">
        <f>VLOOKUP(Ruimtestaat[[#This Row],[Code]],Locaties[#All],2,FALSE)</f>
        <v>Boerhaave + buitenunits</v>
      </c>
      <c r="C18" s="24" t="str">
        <f>VLOOKUP(Ruimtestaat[[#This Row],[Code]],Locaties[#All],4,FALSE)</f>
        <v>Herman Boerhaavelaan 1</v>
      </c>
      <c r="D18" s="24" t="str">
        <f>VLOOKUP(Ruimtestaat[[#This Row],[Code]],Locaties[#All],5,FALSE)</f>
        <v>7415 ES</v>
      </c>
      <c r="E18" s="24" t="str">
        <f>VLOOKUP(Ruimtestaat[[#This Row],[Code]],Locaties[#All],6,FALSE)</f>
        <v>Deventer</v>
      </c>
      <c r="F18" s="54"/>
      <c r="G18" s="24" t="s">
        <v>367</v>
      </c>
      <c r="H18" s="24" t="s">
        <v>397</v>
      </c>
      <c r="I18" s="4" t="s">
        <v>394</v>
      </c>
      <c r="J18" s="24">
        <v>22</v>
      </c>
      <c r="K18" s="54" t="str">
        <f>VLOOKUP(J18,Ruimtegroepen[],2,FALSE)</f>
        <v>Niet in onderhoud</v>
      </c>
      <c r="L18" s="24" t="s">
        <v>305</v>
      </c>
      <c r="M18" s="24" t="s">
        <v>376</v>
      </c>
      <c r="N18" s="83"/>
      <c r="O18" s="83">
        <v>5.48</v>
      </c>
      <c r="P18" s="93" t="str">
        <f>LEFT(VLOOKUP(Ruimtestaat[[#This Row],[Ruimte code]],Ruimtegroepen[#All],4,1),2)</f>
        <v/>
      </c>
      <c r="Q18" s="83"/>
      <c r="R18" s="84"/>
      <c r="S18" s="84"/>
      <c r="T18" s="85">
        <f>IF(R18&gt;0,IF(RIGHT(Ruimtestaat[[#This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8" s="85">
        <f>IF(T18&gt;0,VLOOKUP($J18,Ruimtegroepen[],3,FALSE)*VLOOKUP($L18,Vloersoorten[],3,FALSE)*VLOOKUP($S18,Frequenties[],3,FALSE)*VLOOKUP($A18,Locaties[],3,FALSE),0)</f>
        <v>0</v>
      </c>
      <c r="V18" s="86">
        <f>Ruimtestaat[[#This Row],[Uitvoeringen werkdagen]]*Ruimtestaat[[#This Row],[Oppervlak (netto)]]</f>
        <v>0</v>
      </c>
      <c r="W18" s="87">
        <f>IF(U18&gt;0,Ruimtestaat[[#This Row],[Prest. (m2 /jaar) werkdagen]]/Ruimtestaat[[#This Row],[Norm (m2/uur) werkdagen]],0)</f>
        <v>0</v>
      </c>
      <c r="X18" s="88">
        <f>Ruimtestaat[[#This Row],[uren / jaar werkdagen]]*Tariefsopbouw!$E$35</f>
        <v>0</v>
      </c>
      <c r="Y18" s="85"/>
      <c r="Z18" s="89">
        <f>IF(Ruimtestaat[[#This Row],[Frequentie weekend]]&gt;0,VALUE(LEFT(Y18,1))*R18,0)</f>
        <v>0</v>
      </c>
      <c r="AA18" s="85">
        <f>IF($Z18&gt;0,VLOOKUP($J18,Ruimtegroepen[],3,FALSE)*VLOOKUP($L18,Vloersoorten[],3,FALSE)*VLOOKUP($Y18,Frequenties[],3,FALSE)*VLOOKUP($A14,Locaties[],3,FALSE),0)</f>
        <v>0</v>
      </c>
      <c r="AB18" s="87">
        <f>Ruimtestaat[[#This Row],[Uitvoeringen weekend]]*Ruimtestaat[[#This Row],[Oppervlak (netto)]]</f>
        <v>0</v>
      </c>
      <c r="AC18" s="90">
        <f>IF(AB18&gt;0,Ruimtestaat[[#This Row],[Prest. (m2 /jaar) weekend]]/Ruimtestaat[[#This Row],[Norm (m2/uur) weekend]],0)</f>
        <v>0</v>
      </c>
      <c r="AD18" s="91">
        <f>Ruimtestaat[[#This Row],[uren / jaar weekend]]*Tariefsopbouw!$D$40</f>
        <v>0</v>
      </c>
      <c r="AE18" s="60">
        <f>Ruimtestaat[[#This Row],[Prest. (m2 /jaar) weekend]]+Ruimtestaat[[#This Row],[Prest. (m2 /jaar) werkdagen]]</f>
        <v>0</v>
      </c>
      <c r="AF18" s="60">
        <f>Ruimtestaat[[#This Row],[uren / jaar weekend]]+Ruimtestaat[[#This Row],[uren / jaar werkdagen]]</f>
        <v>0</v>
      </c>
      <c r="AG18" s="61">
        <f>Ruimtestaat[[#This Row],[kosten / jaar weekend]]+Ruimtestaat[[#This Row],[kosten / jaar werkdagen]]</f>
        <v>0</v>
      </c>
      <c r="AH18" s="92"/>
      <c r="HL18" s="59"/>
    </row>
    <row r="19" spans="1:220">
      <c r="A19" s="24">
        <v>1</v>
      </c>
      <c r="B19" s="24" t="str">
        <f>VLOOKUP(Ruimtestaat[[#This Row],[Code]],Locaties[#All],2,FALSE)</f>
        <v>Boerhaave + buitenunits</v>
      </c>
      <c r="C19" s="24" t="str">
        <f>VLOOKUP(Ruimtestaat[[#This Row],[Code]],Locaties[#All],4,FALSE)</f>
        <v>Herman Boerhaavelaan 1</v>
      </c>
      <c r="D19" s="24" t="str">
        <f>VLOOKUP(Ruimtestaat[[#This Row],[Code]],Locaties[#All],5,FALSE)</f>
        <v>7415 ES</v>
      </c>
      <c r="E19" s="24" t="str">
        <f>VLOOKUP(Ruimtestaat[[#This Row],[Code]],Locaties[#All],6,FALSE)</f>
        <v>Deventer</v>
      </c>
      <c r="F19" s="54"/>
      <c r="G19" s="24" t="s">
        <v>367</v>
      </c>
      <c r="H19" s="24" t="s">
        <v>398</v>
      </c>
      <c r="I19" s="4" t="s">
        <v>399</v>
      </c>
      <c r="J19" s="24">
        <v>5</v>
      </c>
      <c r="K19" s="54" t="str">
        <f>VLOOKUP(J19,Ruimtegroepen[],2,FALSE)</f>
        <v>Sanitair</v>
      </c>
      <c r="L19" s="24" t="s">
        <v>305</v>
      </c>
      <c r="M19" s="24" t="s">
        <v>400</v>
      </c>
      <c r="N19" s="83">
        <v>6.41</v>
      </c>
      <c r="O19" s="83"/>
      <c r="P19" s="93" t="str">
        <f>LEFT(VLOOKUP(Ruimtestaat[[#This Row],[Ruimte code]],Ruimtegroepen[#All],4,1),2)</f>
        <v>Sa</v>
      </c>
      <c r="Q19" s="83"/>
      <c r="R19" s="84">
        <v>42</v>
      </c>
      <c r="S19" s="84" t="s">
        <v>316</v>
      </c>
      <c r="T19" s="85">
        <f>IF(R19&gt;0,IF(RIGHT(Ruimtestaat[[#This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9" s="85">
        <f>IF(T19&gt;0,VLOOKUP($J19,Ruimtegroepen[],3,FALSE)*VLOOKUP($L19,Vloersoorten[],3,FALSE)*VLOOKUP($S19,Frequenties[],3,FALSE)*VLOOKUP($A19,Locaties[],3,FALSE),0)</f>
        <v>0</v>
      </c>
      <c r="V19" s="86">
        <f>Ruimtestaat[[#This Row],[Uitvoeringen werkdagen]]*Ruimtestaat[[#This Row],[Oppervlak (netto)]]</f>
        <v>2692.2000000000003</v>
      </c>
      <c r="W19" s="87">
        <f>IF(U19&gt;0,Ruimtestaat[[#This Row],[Prest. (m2 /jaar) werkdagen]]/Ruimtestaat[[#This Row],[Norm (m2/uur) werkdagen]],0)</f>
        <v>0</v>
      </c>
      <c r="X19" s="88">
        <f>Ruimtestaat[[#This Row],[uren / jaar werkdagen]]*Tariefsopbouw!$E$35</f>
        <v>0</v>
      </c>
      <c r="Y19" s="85"/>
      <c r="Z19" s="89">
        <f>IF(Ruimtestaat[[#This Row],[Frequentie weekend]]&gt;0,VALUE(LEFT(Y19,1))*R19,0)</f>
        <v>0</v>
      </c>
      <c r="AA19" s="85">
        <f>IF($Z19&gt;0,VLOOKUP($J19,Ruimtegroepen[],3,FALSE)*VLOOKUP($L19,Vloersoorten[],3,FALSE)*VLOOKUP($Y19,Frequenties[],3,FALSE)*VLOOKUP($A15,Locaties[],3,FALSE),0)</f>
        <v>0</v>
      </c>
      <c r="AB19" s="87">
        <f>Ruimtestaat[[#This Row],[Uitvoeringen weekend]]*Ruimtestaat[[#This Row],[Oppervlak (netto)]]</f>
        <v>0</v>
      </c>
      <c r="AC19" s="90">
        <f>IF(AB19&gt;0,Ruimtestaat[[#This Row],[Prest. (m2 /jaar) weekend]]/Ruimtestaat[[#This Row],[Norm (m2/uur) weekend]],0)</f>
        <v>0</v>
      </c>
      <c r="AD19" s="91">
        <f>Ruimtestaat[[#This Row],[uren / jaar weekend]]*Tariefsopbouw!$D$40</f>
        <v>0</v>
      </c>
      <c r="AE19" s="60">
        <f>Ruimtestaat[[#This Row],[Prest. (m2 /jaar) weekend]]+Ruimtestaat[[#This Row],[Prest. (m2 /jaar) werkdagen]]</f>
        <v>2692.2000000000003</v>
      </c>
      <c r="AF19" s="60">
        <f>Ruimtestaat[[#This Row],[uren / jaar weekend]]+Ruimtestaat[[#This Row],[uren / jaar werkdagen]]</f>
        <v>0</v>
      </c>
      <c r="AG19" s="61">
        <f>Ruimtestaat[[#This Row],[kosten / jaar weekend]]+Ruimtestaat[[#This Row],[kosten / jaar werkdagen]]</f>
        <v>0</v>
      </c>
      <c r="AH19" s="92"/>
      <c r="HL19" s="59"/>
    </row>
    <row r="20" spans="1:220">
      <c r="A20" s="24">
        <v>1</v>
      </c>
      <c r="B20" s="24" t="str">
        <f>VLOOKUP(Ruimtestaat[[#This Row],[Code]],Locaties[#All],2,FALSE)</f>
        <v>Boerhaave + buitenunits</v>
      </c>
      <c r="C20" s="24" t="str">
        <f>VLOOKUP(Ruimtestaat[[#This Row],[Code]],Locaties[#All],4,FALSE)</f>
        <v>Herman Boerhaavelaan 1</v>
      </c>
      <c r="D20" s="24" t="str">
        <f>VLOOKUP(Ruimtestaat[[#This Row],[Code]],Locaties[#All],5,FALSE)</f>
        <v>7415 ES</v>
      </c>
      <c r="E20" s="24" t="str">
        <f>VLOOKUP(Ruimtestaat[[#This Row],[Code]],Locaties[#All],6,FALSE)</f>
        <v>Deventer</v>
      </c>
      <c r="F20" s="54"/>
      <c r="G20" s="24" t="s">
        <v>367</v>
      </c>
      <c r="H20" s="24" t="s">
        <v>401</v>
      </c>
      <c r="I20" s="4" t="s">
        <v>402</v>
      </c>
      <c r="J20" s="24">
        <v>5</v>
      </c>
      <c r="K20" s="54" t="str">
        <f>VLOOKUP(J20,Ruimtegroepen[],2,FALSE)</f>
        <v>Sanitair</v>
      </c>
      <c r="L20" s="24" t="s">
        <v>305</v>
      </c>
      <c r="M20" s="24" t="s">
        <v>400</v>
      </c>
      <c r="N20" s="83">
        <v>0.89</v>
      </c>
      <c r="O20" s="83"/>
      <c r="P20" s="93" t="str">
        <f>LEFT(VLOOKUP(Ruimtestaat[[#This Row],[Ruimte code]],Ruimtegroepen[#All],4,1),2)</f>
        <v>Sa</v>
      </c>
      <c r="Q20" s="83"/>
      <c r="R20" s="84">
        <v>42</v>
      </c>
      <c r="S20" s="84" t="s">
        <v>316</v>
      </c>
      <c r="T20" s="85">
        <f>IF(R20&gt;0,IF(RIGHT(Ruimtestaat[[#This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0" s="85">
        <f>IF(T20&gt;0,VLOOKUP($J20,Ruimtegroepen[],3,FALSE)*VLOOKUP($L20,Vloersoorten[],3,FALSE)*VLOOKUP($S20,Frequenties[],3,FALSE)*VLOOKUP($A20,Locaties[],3,FALSE),0)</f>
        <v>0</v>
      </c>
      <c r="V20" s="86">
        <f>Ruimtestaat[[#This Row],[Uitvoeringen werkdagen]]*Ruimtestaat[[#This Row],[Oppervlak (netto)]]</f>
        <v>373.8</v>
      </c>
      <c r="W20" s="87">
        <f>IF(U20&gt;0,Ruimtestaat[[#This Row],[Prest. (m2 /jaar) werkdagen]]/Ruimtestaat[[#This Row],[Norm (m2/uur) werkdagen]],0)</f>
        <v>0</v>
      </c>
      <c r="X20" s="88">
        <f>Ruimtestaat[[#This Row],[uren / jaar werkdagen]]*Tariefsopbouw!$E$35</f>
        <v>0</v>
      </c>
      <c r="Y20" s="85"/>
      <c r="Z20" s="89">
        <f>IF(Ruimtestaat[[#This Row],[Frequentie weekend]]&gt;0,VALUE(LEFT(Y20,1))*R20,0)</f>
        <v>0</v>
      </c>
      <c r="AA20" s="85">
        <f>IF($Z20&gt;0,VLOOKUP($J20,Ruimtegroepen[],3,FALSE)*VLOOKUP($L20,Vloersoorten[],3,FALSE)*VLOOKUP($Y20,Frequenties[],3,FALSE)*VLOOKUP($A16,Locaties[],3,FALSE),0)</f>
        <v>0</v>
      </c>
      <c r="AB20" s="87">
        <f>Ruimtestaat[[#This Row],[Uitvoeringen weekend]]*Ruimtestaat[[#This Row],[Oppervlak (netto)]]</f>
        <v>0</v>
      </c>
      <c r="AC20" s="90">
        <f>IF(AB20&gt;0,Ruimtestaat[[#This Row],[Prest. (m2 /jaar) weekend]]/Ruimtestaat[[#This Row],[Norm (m2/uur) weekend]],0)</f>
        <v>0</v>
      </c>
      <c r="AD20" s="91">
        <f>Ruimtestaat[[#This Row],[uren / jaar weekend]]*Tariefsopbouw!$D$40</f>
        <v>0</v>
      </c>
      <c r="AE20" s="60">
        <f>Ruimtestaat[[#This Row],[Prest. (m2 /jaar) weekend]]+Ruimtestaat[[#This Row],[Prest. (m2 /jaar) werkdagen]]</f>
        <v>373.8</v>
      </c>
      <c r="AF20" s="60">
        <f>Ruimtestaat[[#This Row],[uren / jaar weekend]]+Ruimtestaat[[#This Row],[uren / jaar werkdagen]]</f>
        <v>0</v>
      </c>
      <c r="AG20" s="61">
        <f>Ruimtestaat[[#This Row],[kosten / jaar weekend]]+Ruimtestaat[[#This Row],[kosten / jaar werkdagen]]</f>
        <v>0</v>
      </c>
      <c r="AH20" s="92"/>
      <c r="HL20" s="59"/>
    </row>
    <row r="21" spans="1:220">
      <c r="A21" s="24">
        <v>1</v>
      </c>
      <c r="B21" s="24" t="str">
        <f>VLOOKUP(Ruimtestaat[[#This Row],[Code]],Locaties[#All],2,FALSE)</f>
        <v>Boerhaave + buitenunits</v>
      </c>
      <c r="C21" s="24" t="str">
        <f>VLOOKUP(Ruimtestaat[[#This Row],[Code]],Locaties[#All],4,FALSE)</f>
        <v>Herman Boerhaavelaan 1</v>
      </c>
      <c r="D21" s="24" t="str">
        <f>VLOOKUP(Ruimtestaat[[#This Row],[Code]],Locaties[#All],5,FALSE)</f>
        <v>7415 ES</v>
      </c>
      <c r="E21" s="24" t="str">
        <f>VLOOKUP(Ruimtestaat[[#This Row],[Code]],Locaties[#All],6,FALSE)</f>
        <v>Deventer</v>
      </c>
      <c r="F21" s="54"/>
      <c r="G21" s="24" t="s">
        <v>367</v>
      </c>
      <c r="H21" s="24" t="s">
        <v>403</v>
      </c>
      <c r="I21" s="4" t="s">
        <v>402</v>
      </c>
      <c r="J21" s="24">
        <v>5</v>
      </c>
      <c r="K21" s="54" t="str">
        <f>VLOOKUP(J21,Ruimtegroepen[],2,FALSE)</f>
        <v>Sanitair</v>
      </c>
      <c r="L21" s="24" t="s">
        <v>305</v>
      </c>
      <c r="M21" s="24" t="s">
        <v>400</v>
      </c>
      <c r="N21" s="83">
        <v>1.17</v>
      </c>
      <c r="O21" s="83"/>
      <c r="P21" s="93" t="str">
        <f>LEFT(VLOOKUP(Ruimtestaat[[#This Row],[Ruimte code]],Ruimtegroepen[#All],4,1),2)</f>
        <v>Sa</v>
      </c>
      <c r="Q21" s="83"/>
      <c r="R21" s="84">
        <v>42</v>
      </c>
      <c r="S21" s="84" t="s">
        <v>316</v>
      </c>
      <c r="T21" s="85">
        <f>IF(R21&gt;0,IF(RIGHT(Ruimtestaat[[#This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1" s="85">
        <f>IF(T21&gt;0,VLOOKUP($J21,Ruimtegroepen[],3,FALSE)*VLOOKUP($L21,Vloersoorten[],3,FALSE)*VLOOKUP($S21,Frequenties[],3,FALSE)*VLOOKUP($A21,Locaties[],3,FALSE),0)</f>
        <v>0</v>
      </c>
      <c r="V21" s="86">
        <f>Ruimtestaat[[#This Row],[Uitvoeringen werkdagen]]*Ruimtestaat[[#This Row],[Oppervlak (netto)]]</f>
        <v>491.4</v>
      </c>
      <c r="W21" s="87">
        <f>IF(U21&gt;0,Ruimtestaat[[#This Row],[Prest. (m2 /jaar) werkdagen]]/Ruimtestaat[[#This Row],[Norm (m2/uur) werkdagen]],0)</f>
        <v>0</v>
      </c>
      <c r="X21" s="88">
        <f>Ruimtestaat[[#This Row],[uren / jaar werkdagen]]*Tariefsopbouw!$E$35</f>
        <v>0</v>
      </c>
      <c r="Y21" s="85"/>
      <c r="Z21" s="89">
        <f>IF(Ruimtestaat[[#This Row],[Frequentie weekend]]&gt;0,VALUE(LEFT(Y21,1))*R21,0)</f>
        <v>0</v>
      </c>
      <c r="AA21" s="85">
        <f>IF($Z21&gt;0,VLOOKUP($J21,Ruimtegroepen[],3,FALSE)*VLOOKUP($L21,Vloersoorten[],3,FALSE)*VLOOKUP($Y21,Frequenties[],3,FALSE)*VLOOKUP($A16,Locaties[],3,FALSE),0)</f>
        <v>0</v>
      </c>
      <c r="AB21" s="87">
        <f>Ruimtestaat[[#This Row],[Uitvoeringen weekend]]*Ruimtestaat[[#This Row],[Oppervlak (netto)]]</f>
        <v>0</v>
      </c>
      <c r="AC21" s="90">
        <f>IF(AB21&gt;0,Ruimtestaat[[#This Row],[Prest. (m2 /jaar) weekend]]/Ruimtestaat[[#This Row],[Norm (m2/uur) weekend]],0)</f>
        <v>0</v>
      </c>
      <c r="AD21" s="91">
        <f>Ruimtestaat[[#This Row],[uren / jaar weekend]]*Tariefsopbouw!$D$40</f>
        <v>0</v>
      </c>
      <c r="AE21" s="60">
        <f>Ruimtestaat[[#This Row],[Prest. (m2 /jaar) weekend]]+Ruimtestaat[[#This Row],[Prest. (m2 /jaar) werkdagen]]</f>
        <v>491.4</v>
      </c>
      <c r="AF21" s="60">
        <f>Ruimtestaat[[#This Row],[uren / jaar weekend]]+Ruimtestaat[[#This Row],[uren / jaar werkdagen]]</f>
        <v>0</v>
      </c>
      <c r="AG21" s="61">
        <f>Ruimtestaat[[#This Row],[kosten / jaar weekend]]+Ruimtestaat[[#This Row],[kosten / jaar werkdagen]]</f>
        <v>0</v>
      </c>
      <c r="AH21" s="92"/>
      <c r="HL21" s="59"/>
    </row>
    <row r="22" spans="1:220">
      <c r="A22" s="24">
        <v>1</v>
      </c>
      <c r="B22" s="24" t="str">
        <f>VLOOKUP(Ruimtestaat[[#This Row],[Code]],Locaties[#All],2,FALSE)</f>
        <v>Boerhaave + buitenunits</v>
      </c>
      <c r="C22" s="24" t="str">
        <f>VLOOKUP(Ruimtestaat[[#This Row],[Code]],Locaties[#All],4,FALSE)</f>
        <v>Herman Boerhaavelaan 1</v>
      </c>
      <c r="D22" s="24" t="str">
        <f>VLOOKUP(Ruimtestaat[[#This Row],[Code]],Locaties[#All],5,FALSE)</f>
        <v>7415 ES</v>
      </c>
      <c r="E22" s="24" t="str">
        <f>VLOOKUP(Ruimtestaat[[#This Row],[Code]],Locaties[#All],6,FALSE)</f>
        <v>Deventer</v>
      </c>
      <c r="F22" s="54"/>
      <c r="G22" s="24" t="s">
        <v>367</v>
      </c>
      <c r="H22" s="24" t="s">
        <v>404</v>
      </c>
      <c r="I22" s="4" t="s">
        <v>402</v>
      </c>
      <c r="J22" s="24">
        <v>5</v>
      </c>
      <c r="K22" s="54" t="str">
        <f>VLOOKUP(J22,Ruimtegroepen[],2,FALSE)</f>
        <v>Sanitair</v>
      </c>
      <c r="L22" s="24" t="s">
        <v>305</v>
      </c>
      <c r="M22" s="24" t="s">
        <v>400</v>
      </c>
      <c r="N22" s="83">
        <v>1.21</v>
      </c>
      <c r="O22" s="83"/>
      <c r="P22" s="93" t="str">
        <f>LEFT(VLOOKUP(Ruimtestaat[[#This Row],[Ruimte code]],Ruimtegroepen[#All],4,1),2)</f>
        <v>Sa</v>
      </c>
      <c r="Q22" s="83"/>
      <c r="R22" s="84">
        <v>42</v>
      </c>
      <c r="S22" s="84" t="s">
        <v>316</v>
      </c>
      <c r="T22" s="85">
        <f>IF(R22&gt;0,IF(RIGHT(Ruimtestaat[[#This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2" s="85">
        <f>IF(T22&gt;0,VLOOKUP($J22,Ruimtegroepen[],3,FALSE)*VLOOKUP($L22,Vloersoorten[],3,FALSE)*VLOOKUP($S22,Frequenties[],3,FALSE)*VLOOKUP($A22,Locaties[],3,FALSE),0)</f>
        <v>0</v>
      </c>
      <c r="V22" s="86">
        <f>Ruimtestaat[[#This Row],[Uitvoeringen werkdagen]]*Ruimtestaat[[#This Row],[Oppervlak (netto)]]</f>
        <v>508.2</v>
      </c>
      <c r="W22" s="87">
        <f>IF(U22&gt;0,Ruimtestaat[[#This Row],[Prest. (m2 /jaar) werkdagen]]/Ruimtestaat[[#This Row],[Norm (m2/uur) werkdagen]],0)</f>
        <v>0</v>
      </c>
      <c r="X22" s="88">
        <f>Ruimtestaat[[#This Row],[uren / jaar werkdagen]]*Tariefsopbouw!$E$35</f>
        <v>0</v>
      </c>
      <c r="Y22" s="85"/>
      <c r="Z22" s="89">
        <f>IF(Ruimtestaat[[#This Row],[Frequentie weekend]]&gt;0,VALUE(LEFT(Y22,1))*R22,0)</f>
        <v>0</v>
      </c>
      <c r="AA22" s="85">
        <f>IF($Z22&gt;0,VLOOKUP($J22,Ruimtegroepen[],3,FALSE)*VLOOKUP($L22,Vloersoorten[],3,FALSE)*VLOOKUP($Y22,Frequenties[],3,FALSE)*VLOOKUP($A17,Locaties[],3,FALSE),0)</f>
        <v>0</v>
      </c>
      <c r="AB22" s="87">
        <f>Ruimtestaat[[#This Row],[Uitvoeringen weekend]]*Ruimtestaat[[#This Row],[Oppervlak (netto)]]</f>
        <v>0</v>
      </c>
      <c r="AC22" s="90">
        <f>IF(AB22&gt;0,Ruimtestaat[[#This Row],[Prest. (m2 /jaar) weekend]]/Ruimtestaat[[#This Row],[Norm (m2/uur) weekend]],0)</f>
        <v>0</v>
      </c>
      <c r="AD22" s="91">
        <f>Ruimtestaat[[#This Row],[uren / jaar weekend]]*Tariefsopbouw!$D$40</f>
        <v>0</v>
      </c>
      <c r="AE22" s="60">
        <f>Ruimtestaat[[#This Row],[Prest. (m2 /jaar) weekend]]+Ruimtestaat[[#This Row],[Prest. (m2 /jaar) werkdagen]]</f>
        <v>508.2</v>
      </c>
      <c r="AF22" s="60">
        <f>Ruimtestaat[[#This Row],[uren / jaar weekend]]+Ruimtestaat[[#This Row],[uren / jaar werkdagen]]</f>
        <v>0</v>
      </c>
      <c r="AG22" s="61">
        <f>Ruimtestaat[[#This Row],[kosten / jaar weekend]]+Ruimtestaat[[#This Row],[kosten / jaar werkdagen]]</f>
        <v>0</v>
      </c>
      <c r="AH22" s="92"/>
      <c r="HL22" s="59"/>
    </row>
    <row r="23" spans="1:220">
      <c r="A23" s="24">
        <v>1</v>
      </c>
      <c r="B23" s="24" t="str">
        <f>VLOOKUP(Ruimtestaat[[#This Row],[Code]],Locaties[#All],2,FALSE)</f>
        <v>Boerhaave + buitenunits</v>
      </c>
      <c r="C23" s="24" t="str">
        <f>VLOOKUP(Ruimtestaat[[#This Row],[Code]],Locaties[#All],4,FALSE)</f>
        <v>Herman Boerhaavelaan 1</v>
      </c>
      <c r="D23" s="24" t="str">
        <f>VLOOKUP(Ruimtestaat[[#This Row],[Code]],Locaties[#All],5,FALSE)</f>
        <v>7415 ES</v>
      </c>
      <c r="E23" s="24" t="str">
        <f>VLOOKUP(Ruimtestaat[[#This Row],[Code]],Locaties[#All],6,FALSE)</f>
        <v>Deventer</v>
      </c>
      <c r="F23" s="54"/>
      <c r="G23" s="24" t="s">
        <v>367</v>
      </c>
      <c r="H23" s="24" t="s">
        <v>405</v>
      </c>
      <c r="I23" s="4" t="s">
        <v>402</v>
      </c>
      <c r="J23" s="24">
        <v>5</v>
      </c>
      <c r="K23" s="54" t="str">
        <f>VLOOKUP(J23,Ruimtegroepen[],2,FALSE)</f>
        <v>Sanitair</v>
      </c>
      <c r="L23" s="24" t="s">
        <v>305</v>
      </c>
      <c r="M23" s="24" t="s">
        <v>400</v>
      </c>
      <c r="N23" s="83">
        <v>1.01</v>
      </c>
      <c r="O23" s="83"/>
      <c r="P23" s="93" t="str">
        <f>LEFT(VLOOKUP(Ruimtestaat[[#This Row],[Ruimte code]],Ruimtegroepen[#All],4,1),2)</f>
        <v>Sa</v>
      </c>
      <c r="Q23" s="83"/>
      <c r="R23" s="84">
        <v>42</v>
      </c>
      <c r="S23" s="84" t="s">
        <v>316</v>
      </c>
      <c r="T23" s="85">
        <f>IF(R23&gt;0,IF(RIGHT(Ruimtestaat[[#This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3" s="85">
        <f>IF(T23&gt;0,VLOOKUP($J23,Ruimtegroepen[],3,FALSE)*VLOOKUP($L23,Vloersoorten[],3,FALSE)*VLOOKUP($S23,Frequenties[],3,FALSE)*VLOOKUP($A23,Locaties[],3,FALSE),0)</f>
        <v>0</v>
      </c>
      <c r="V23" s="86">
        <f>Ruimtestaat[[#This Row],[Uitvoeringen werkdagen]]*Ruimtestaat[[#This Row],[Oppervlak (netto)]]</f>
        <v>424.2</v>
      </c>
      <c r="W23" s="87">
        <f>IF(U23&gt;0,Ruimtestaat[[#This Row],[Prest. (m2 /jaar) werkdagen]]/Ruimtestaat[[#This Row],[Norm (m2/uur) werkdagen]],0)</f>
        <v>0</v>
      </c>
      <c r="X23" s="88">
        <f>Ruimtestaat[[#This Row],[uren / jaar werkdagen]]*Tariefsopbouw!$E$35</f>
        <v>0</v>
      </c>
      <c r="Y23" s="85"/>
      <c r="Z23" s="89">
        <f>IF(Ruimtestaat[[#This Row],[Frequentie weekend]]&gt;0,VALUE(LEFT(Y23,1))*R23,0)</f>
        <v>0</v>
      </c>
      <c r="AA23" s="85">
        <f>IF($Z23&gt;0,VLOOKUP($J23,Ruimtegroepen[],3,FALSE)*VLOOKUP($L23,Vloersoorten[],3,FALSE)*VLOOKUP($Y23,Frequenties[],3,FALSE)*VLOOKUP($A18,Locaties[],3,FALSE),0)</f>
        <v>0</v>
      </c>
      <c r="AB23" s="87">
        <f>Ruimtestaat[[#This Row],[Uitvoeringen weekend]]*Ruimtestaat[[#This Row],[Oppervlak (netto)]]</f>
        <v>0</v>
      </c>
      <c r="AC23" s="90">
        <f>IF(AB23&gt;0,Ruimtestaat[[#This Row],[Prest. (m2 /jaar) weekend]]/Ruimtestaat[[#This Row],[Norm (m2/uur) weekend]],0)</f>
        <v>0</v>
      </c>
      <c r="AD23" s="91">
        <f>Ruimtestaat[[#This Row],[uren / jaar weekend]]*Tariefsopbouw!$D$40</f>
        <v>0</v>
      </c>
      <c r="AE23" s="60">
        <f>Ruimtestaat[[#This Row],[Prest. (m2 /jaar) weekend]]+Ruimtestaat[[#This Row],[Prest. (m2 /jaar) werkdagen]]</f>
        <v>424.2</v>
      </c>
      <c r="AF23" s="60">
        <f>Ruimtestaat[[#This Row],[uren / jaar weekend]]+Ruimtestaat[[#This Row],[uren / jaar werkdagen]]</f>
        <v>0</v>
      </c>
      <c r="AG23" s="61">
        <f>Ruimtestaat[[#This Row],[kosten / jaar weekend]]+Ruimtestaat[[#This Row],[kosten / jaar werkdagen]]</f>
        <v>0</v>
      </c>
      <c r="AH23" s="92"/>
      <c r="HL23" s="59"/>
    </row>
    <row r="24" spans="1:220">
      <c r="A24" s="24">
        <v>1</v>
      </c>
      <c r="B24" s="24" t="str">
        <f>VLOOKUP(Ruimtestaat[[#This Row],[Code]],Locaties[#All],2,FALSE)</f>
        <v>Boerhaave + buitenunits</v>
      </c>
      <c r="C24" s="24" t="str">
        <f>VLOOKUP(Ruimtestaat[[#This Row],[Code]],Locaties[#All],4,FALSE)</f>
        <v>Herman Boerhaavelaan 1</v>
      </c>
      <c r="D24" s="24" t="str">
        <f>VLOOKUP(Ruimtestaat[[#This Row],[Code]],Locaties[#All],5,FALSE)</f>
        <v>7415 ES</v>
      </c>
      <c r="E24" s="24" t="str">
        <f>VLOOKUP(Ruimtestaat[[#This Row],[Code]],Locaties[#All],6,FALSE)</f>
        <v>Deventer</v>
      </c>
      <c r="F24" s="54"/>
      <c r="G24" s="24" t="s">
        <v>367</v>
      </c>
      <c r="H24" s="24" t="s">
        <v>406</v>
      </c>
      <c r="I24" s="4" t="s">
        <v>407</v>
      </c>
      <c r="J24" s="24">
        <v>4</v>
      </c>
      <c r="K24" s="54" t="str">
        <f>VLOOKUP(J24,Ruimtegroepen[],2,FALSE)</f>
        <v>Vergader/spreekkamers</v>
      </c>
      <c r="L24" s="24" t="s">
        <v>311</v>
      </c>
      <c r="M24" s="24" t="s">
        <v>370</v>
      </c>
      <c r="N24" s="94">
        <v>16.059999999999999</v>
      </c>
      <c r="O24" s="83"/>
      <c r="P24" s="93" t="str">
        <f>LEFT(VLOOKUP(Ruimtestaat[[#This Row],[Ruimte code]],Ruimtegroepen[#All],4,1),2)</f>
        <v>Bu</v>
      </c>
      <c r="Q24" s="83"/>
      <c r="R24" s="84">
        <v>40</v>
      </c>
      <c r="S24" s="84" t="s">
        <v>322</v>
      </c>
      <c r="T24" s="85">
        <f>IF(R24&gt;0,IF(RIGHT(Ruimtestaat[[#This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4" s="85">
        <f>IF(T24&gt;0,VLOOKUP($J24,Ruimtegroepen[],3,FALSE)*VLOOKUP($L24,Vloersoorten[],3,FALSE)*VLOOKUP($S24,Frequenties[],3,FALSE)*VLOOKUP($A24,Locaties[],3,FALSE),0)</f>
        <v>0</v>
      </c>
      <c r="V24" s="86">
        <f>Ruimtestaat[[#This Row],[Uitvoeringen werkdagen]]*Ruimtestaat[[#This Row],[Oppervlak (netto)]]</f>
        <v>1927.1999999999998</v>
      </c>
      <c r="W24" s="87">
        <f>IF(U24&gt;0,Ruimtestaat[[#This Row],[Prest. (m2 /jaar) werkdagen]]/Ruimtestaat[[#This Row],[Norm (m2/uur) werkdagen]],0)</f>
        <v>0</v>
      </c>
      <c r="X24" s="88">
        <f>Ruimtestaat[[#This Row],[uren / jaar werkdagen]]*Tariefsopbouw!$E$35</f>
        <v>0</v>
      </c>
      <c r="Y24" s="85"/>
      <c r="Z24" s="89">
        <f>IF(Ruimtestaat[[#This Row],[Frequentie weekend]]&gt;0,VALUE(LEFT(Y24,1))*R24,0)</f>
        <v>0</v>
      </c>
      <c r="AA24" s="85">
        <f>IF($Z24&gt;0,VLOOKUP($J24,Ruimtegroepen[],3,FALSE)*VLOOKUP($L24,Vloersoorten[],3,FALSE)*VLOOKUP($Y24,Frequenties[],3,FALSE)*VLOOKUP($A19,Locaties[],3,FALSE),0)</f>
        <v>0</v>
      </c>
      <c r="AB24" s="87">
        <f>Ruimtestaat[[#This Row],[Uitvoeringen weekend]]*Ruimtestaat[[#This Row],[Oppervlak (netto)]]</f>
        <v>0</v>
      </c>
      <c r="AC24" s="90">
        <f>IF(AB24&gt;0,Ruimtestaat[[#This Row],[Prest. (m2 /jaar) weekend]]/Ruimtestaat[[#This Row],[Norm (m2/uur) weekend]],0)</f>
        <v>0</v>
      </c>
      <c r="AD24" s="91">
        <f>Ruimtestaat[[#This Row],[uren / jaar weekend]]*Tariefsopbouw!$D$40</f>
        <v>0</v>
      </c>
      <c r="AE24" s="60">
        <f>Ruimtestaat[[#This Row],[Prest. (m2 /jaar) weekend]]+Ruimtestaat[[#This Row],[Prest. (m2 /jaar) werkdagen]]</f>
        <v>1927.1999999999998</v>
      </c>
      <c r="AF24" s="60">
        <f>Ruimtestaat[[#This Row],[uren / jaar weekend]]+Ruimtestaat[[#This Row],[uren / jaar werkdagen]]</f>
        <v>0</v>
      </c>
      <c r="AG24" s="61">
        <f>Ruimtestaat[[#This Row],[kosten / jaar weekend]]+Ruimtestaat[[#This Row],[kosten / jaar werkdagen]]</f>
        <v>0</v>
      </c>
      <c r="AH24" s="92"/>
      <c r="HL24" s="59"/>
    </row>
    <row r="25" spans="1:220">
      <c r="A25" s="24">
        <v>1</v>
      </c>
      <c r="B25" s="24" t="str">
        <f>VLOOKUP(Ruimtestaat[[#This Row],[Code]],Locaties[#All],2,FALSE)</f>
        <v>Boerhaave + buitenunits</v>
      </c>
      <c r="C25" s="24" t="str">
        <f>VLOOKUP(Ruimtestaat[[#This Row],[Code]],Locaties[#All],4,FALSE)</f>
        <v>Herman Boerhaavelaan 1</v>
      </c>
      <c r="D25" s="24" t="str">
        <f>VLOOKUP(Ruimtestaat[[#This Row],[Code]],Locaties[#All],5,FALSE)</f>
        <v>7415 ES</v>
      </c>
      <c r="E25" s="24" t="str">
        <f>VLOOKUP(Ruimtestaat[[#This Row],[Code]],Locaties[#All],6,FALSE)</f>
        <v>Deventer</v>
      </c>
      <c r="F25" s="54"/>
      <c r="G25" s="24" t="s">
        <v>367</v>
      </c>
      <c r="H25" s="24" t="s">
        <v>408</v>
      </c>
      <c r="I25" s="4" t="s">
        <v>409</v>
      </c>
      <c r="J25" s="24">
        <v>22</v>
      </c>
      <c r="K25" s="54" t="str">
        <f>VLOOKUP(J25,Ruimtegroepen[],2,FALSE)</f>
        <v>Niet in onderhoud</v>
      </c>
      <c r="L25" s="24" t="s">
        <v>311</v>
      </c>
      <c r="M25" s="24" t="s">
        <v>370</v>
      </c>
      <c r="N25" s="83"/>
      <c r="O25" s="83">
        <v>14.68</v>
      </c>
      <c r="P25" s="93" t="str">
        <f>LEFT(VLOOKUP(Ruimtestaat[[#This Row],[Ruimte code]],Ruimtegroepen[#All],4,1),2)</f>
        <v/>
      </c>
      <c r="Q25" s="83"/>
      <c r="R25" s="84"/>
      <c r="S25" s="84"/>
      <c r="T25" s="85">
        <f>IF(R25&gt;0,IF(RIGHT(Ruimtestaat[[#This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5" s="85">
        <f>IF(T25&gt;0,VLOOKUP($J25,Ruimtegroepen[],3,FALSE)*VLOOKUP($L25,Vloersoorten[],3,FALSE)*VLOOKUP($S25,Frequenties[],3,FALSE)*VLOOKUP($A25,Locaties[],3,FALSE),0)</f>
        <v>0</v>
      </c>
      <c r="V25" s="86">
        <f>Ruimtestaat[[#This Row],[Uitvoeringen werkdagen]]*Ruimtestaat[[#This Row],[Oppervlak (netto)]]</f>
        <v>0</v>
      </c>
      <c r="W25" s="87">
        <f>IF(U25&gt;0,Ruimtestaat[[#This Row],[Prest. (m2 /jaar) werkdagen]]/Ruimtestaat[[#This Row],[Norm (m2/uur) werkdagen]],0)</f>
        <v>0</v>
      </c>
      <c r="X25" s="88">
        <f>Ruimtestaat[[#This Row],[uren / jaar werkdagen]]*Tariefsopbouw!$E$35</f>
        <v>0</v>
      </c>
      <c r="Y25" s="85"/>
      <c r="Z25" s="89">
        <f>IF(Ruimtestaat[[#This Row],[Frequentie weekend]]&gt;0,VALUE(LEFT(Y25,1))*R25,0)</f>
        <v>0</v>
      </c>
      <c r="AA25" s="85">
        <f>IF($Z25&gt;0,VLOOKUP($J25,Ruimtegroepen[],3,FALSE)*VLOOKUP($L25,Vloersoorten[],3,FALSE)*VLOOKUP($Y25,Frequenties[],3,FALSE)*VLOOKUP($A21,Locaties[],3,FALSE),0)</f>
        <v>0</v>
      </c>
      <c r="AB25" s="87">
        <f>Ruimtestaat[[#This Row],[Uitvoeringen weekend]]*Ruimtestaat[[#This Row],[Oppervlak (netto)]]</f>
        <v>0</v>
      </c>
      <c r="AC25" s="90">
        <f>IF(AB25&gt;0,Ruimtestaat[[#This Row],[Prest. (m2 /jaar) weekend]]/Ruimtestaat[[#This Row],[Norm (m2/uur) weekend]],0)</f>
        <v>0</v>
      </c>
      <c r="AD25" s="91">
        <f>Ruimtestaat[[#This Row],[uren / jaar weekend]]*Tariefsopbouw!$D$40</f>
        <v>0</v>
      </c>
      <c r="AE25" s="60">
        <f>Ruimtestaat[[#This Row],[Prest. (m2 /jaar) weekend]]+Ruimtestaat[[#This Row],[Prest. (m2 /jaar) werkdagen]]</f>
        <v>0</v>
      </c>
      <c r="AF25" s="60">
        <f>Ruimtestaat[[#This Row],[uren / jaar weekend]]+Ruimtestaat[[#This Row],[uren / jaar werkdagen]]</f>
        <v>0</v>
      </c>
      <c r="AG25" s="61">
        <f>Ruimtestaat[[#This Row],[kosten / jaar weekend]]+Ruimtestaat[[#This Row],[kosten / jaar werkdagen]]</f>
        <v>0</v>
      </c>
      <c r="AH25" s="92"/>
      <c r="HL25" s="59"/>
    </row>
    <row r="26" spans="1:220">
      <c r="A26" s="24">
        <v>1</v>
      </c>
      <c r="B26" s="24" t="str">
        <f>VLOOKUP(Ruimtestaat[[#This Row],[Code]],Locaties[#All],2,FALSE)</f>
        <v>Boerhaave + buitenunits</v>
      </c>
      <c r="C26" s="24" t="str">
        <f>VLOOKUP(Ruimtestaat[[#This Row],[Code]],Locaties[#All],4,FALSE)</f>
        <v>Herman Boerhaavelaan 1</v>
      </c>
      <c r="D26" s="24" t="str">
        <f>VLOOKUP(Ruimtestaat[[#This Row],[Code]],Locaties[#All],5,FALSE)</f>
        <v>7415 ES</v>
      </c>
      <c r="E26" s="24" t="str">
        <f>VLOOKUP(Ruimtestaat[[#This Row],[Code]],Locaties[#All],6,FALSE)</f>
        <v>Deventer</v>
      </c>
      <c r="F26" s="54"/>
      <c r="G26" s="24" t="s">
        <v>367</v>
      </c>
      <c r="H26" s="24" t="s">
        <v>410</v>
      </c>
      <c r="I26" s="4" t="s">
        <v>411</v>
      </c>
      <c r="J26" s="24">
        <v>22</v>
      </c>
      <c r="K26" s="54" t="str">
        <f>VLOOKUP(J26,Ruimtegroepen[],2,FALSE)</f>
        <v>Niet in onderhoud</v>
      </c>
      <c r="L26" s="24" t="s">
        <v>305</v>
      </c>
      <c r="M26" s="24" t="s">
        <v>376</v>
      </c>
      <c r="N26" s="83"/>
      <c r="O26" s="83">
        <v>1.91</v>
      </c>
      <c r="P26" s="93" t="str">
        <f>LEFT(VLOOKUP(Ruimtestaat[[#This Row],[Ruimte code]],Ruimtegroepen[#All],4,1),2)</f>
        <v/>
      </c>
      <c r="Q26" s="83"/>
      <c r="R26" s="84"/>
      <c r="S26" s="84"/>
      <c r="T26" s="85">
        <f>IF(R26&gt;0,IF(RIGHT(Ruimtestaat[[#This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" s="85">
        <f>IF(T26&gt;0,VLOOKUP($J26,Ruimtegroepen[],3,FALSE)*VLOOKUP($L26,Vloersoorten[],3,FALSE)*VLOOKUP($S26,Frequenties[],3,FALSE)*VLOOKUP($A26,Locaties[],3,FALSE),0)</f>
        <v>0</v>
      </c>
      <c r="V26" s="86">
        <f>Ruimtestaat[[#This Row],[Uitvoeringen werkdagen]]*Ruimtestaat[[#This Row],[Oppervlak (netto)]]</f>
        <v>0</v>
      </c>
      <c r="W26" s="87">
        <f>IF(U26&gt;0,Ruimtestaat[[#This Row],[Prest. (m2 /jaar) werkdagen]]/Ruimtestaat[[#This Row],[Norm (m2/uur) werkdagen]],0)</f>
        <v>0</v>
      </c>
      <c r="X26" s="88">
        <f>Ruimtestaat[[#This Row],[uren / jaar werkdagen]]*Tariefsopbouw!$E$35</f>
        <v>0</v>
      </c>
      <c r="Y26" s="85"/>
      <c r="Z26" s="89">
        <f>IF(Ruimtestaat[[#This Row],[Frequentie weekend]]&gt;0,VALUE(LEFT(Y26,1))*R26,0)</f>
        <v>0</v>
      </c>
      <c r="AA26" s="85">
        <f>IF($Z26&gt;0,VLOOKUP($J26,Ruimtegroepen[],3,FALSE)*VLOOKUP($L26,Vloersoorten[],3,FALSE)*VLOOKUP($Y26,Frequenties[],3,FALSE)*VLOOKUP($A22,Locaties[],3,FALSE),0)</f>
        <v>0</v>
      </c>
      <c r="AB26" s="87">
        <f>Ruimtestaat[[#This Row],[Uitvoeringen weekend]]*Ruimtestaat[[#This Row],[Oppervlak (netto)]]</f>
        <v>0</v>
      </c>
      <c r="AC26" s="90">
        <f>IF(AB26&gt;0,Ruimtestaat[[#This Row],[Prest. (m2 /jaar) weekend]]/Ruimtestaat[[#This Row],[Norm (m2/uur) weekend]],0)</f>
        <v>0</v>
      </c>
      <c r="AD26" s="91">
        <f>Ruimtestaat[[#This Row],[uren / jaar weekend]]*Tariefsopbouw!$D$40</f>
        <v>0</v>
      </c>
      <c r="AE26" s="60">
        <f>Ruimtestaat[[#This Row],[Prest. (m2 /jaar) weekend]]+Ruimtestaat[[#This Row],[Prest. (m2 /jaar) werkdagen]]</f>
        <v>0</v>
      </c>
      <c r="AF26" s="60">
        <f>Ruimtestaat[[#This Row],[uren / jaar weekend]]+Ruimtestaat[[#This Row],[uren / jaar werkdagen]]</f>
        <v>0</v>
      </c>
      <c r="AG26" s="61">
        <f>Ruimtestaat[[#This Row],[kosten / jaar weekend]]+Ruimtestaat[[#This Row],[kosten / jaar werkdagen]]</f>
        <v>0</v>
      </c>
      <c r="AH26" s="92"/>
      <c r="HL26" s="59"/>
    </row>
    <row r="27" spans="1:220">
      <c r="A27" s="24">
        <v>1</v>
      </c>
      <c r="B27" s="24" t="str">
        <f>VLOOKUP(Ruimtestaat[[#This Row],[Code]],Locaties[#All],2,FALSE)</f>
        <v>Boerhaave + buitenunits</v>
      </c>
      <c r="C27" s="24" t="str">
        <f>VLOOKUP(Ruimtestaat[[#This Row],[Code]],Locaties[#All],4,FALSE)</f>
        <v>Herman Boerhaavelaan 1</v>
      </c>
      <c r="D27" s="24" t="str">
        <f>VLOOKUP(Ruimtestaat[[#This Row],[Code]],Locaties[#All],5,FALSE)</f>
        <v>7415 ES</v>
      </c>
      <c r="E27" s="24" t="str">
        <f>VLOOKUP(Ruimtestaat[[#This Row],[Code]],Locaties[#All],6,FALSE)</f>
        <v>Deventer</v>
      </c>
      <c r="F27" s="54"/>
      <c r="G27" s="24" t="s">
        <v>367</v>
      </c>
      <c r="H27" s="24" t="s">
        <v>412</v>
      </c>
      <c r="I27" s="4" t="s">
        <v>413</v>
      </c>
      <c r="J27" s="24">
        <v>5</v>
      </c>
      <c r="K27" s="54" t="str">
        <f>VLOOKUP(J27,Ruimtegroepen[],2,FALSE)</f>
        <v>Sanitair</v>
      </c>
      <c r="L27" s="24" t="s">
        <v>305</v>
      </c>
      <c r="M27" s="24" t="s">
        <v>400</v>
      </c>
      <c r="N27" s="83">
        <v>16.22</v>
      </c>
      <c r="O27" s="83"/>
      <c r="P27" s="93" t="str">
        <f>LEFT(VLOOKUP(Ruimtestaat[[#This Row],[Ruimte code]],Ruimtegroepen[#All],4,1),2)</f>
        <v>Sa</v>
      </c>
      <c r="Q27" s="83"/>
      <c r="R27" s="84">
        <v>42</v>
      </c>
      <c r="S27" s="84" t="s">
        <v>316</v>
      </c>
      <c r="T27" s="85">
        <f>IF(R27&gt;0,IF(RIGHT(Ruimtestaat[[#This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7" s="85">
        <f>IF(T27&gt;0,VLOOKUP($J27,Ruimtegroepen[],3,FALSE)*VLOOKUP($L27,Vloersoorten[],3,FALSE)*VLOOKUP($S27,Frequenties[],3,FALSE)*VLOOKUP($A27,Locaties[],3,FALSE),0)</f>
        <v>0</v>
      </c>
      <c r="V27" s="86">
        <f>Ruimtestaat[[#This Row],[Uitvoeringen werkdagen]]*Ruimtestaat[[#This Row],[Oppervlak (netto)]]</f>
        <v>6812.4</v>
      </c>
      <c r="W27" s="87">
        <f>IF(U27&gt;0,Ruimtestaat[[#This Row],[Prest. (m2 /jaar) werkdagen]]/Ruimtestaat[[#This Row],[Norm (m2/uur) werkdagen]],0)</f>
        <v>0</v>
      </c>
      <c r="X27" s="88">
        <f>Ruimtestaat[[#This Row],[uren / jaar werkdagen]]*Tariefsopbouw!$E$35</f>
        <v>0</v>
      </c>
      <c r="Y27" s="85"/>
      <c r="Z27" s="89">
        <f>IF(Ruimtestaat[[#This Row],[Frequentie weekend]]&gt;0,VALUE(LEFT(Y27,1))*R27,0)</f>
        <v>0</v>
      </c>
      <c r="AA27" s="85">
        <f>IF($Z27&gt;0,VLOOKUP($J27,Ruimtegroepen[],3,FALSE)*VLOOKUP($L27,Vloersoorten[],3,FALSE)*VLOOKUP($Y27,Frequenties[],3,FALSE)*VLOOKUP($A23,Locaties[],3,FALSE),0)</f>
        <v>0</v>
      </c>
      <c r="AB27" s="87">
        <f>Ruimtestaat[[#This Row],[Uitvoeringen weekend]]*Ruimtestaat[[#This Row],[Oppervlak (netto)]]</f>
        <v>0</v>
      </c>
      <c r="AC27" s="90">
        <f>IF(AB27&gt;0,Ruimtestaat[[#This Row],[Prest. (m2 /jaar) weekend]]/Ruimtestaat[[#This Row],[Norm (m2/uur) weekend]],0)</f>
        <v>0</v>
      </c>
      <c r="AD27" s="91">
        <f>Ruimtestaat[[#This Row],[uren / jaar weekend]]*Tariefsopbouw!$D$40</f>
        <v>0</v>
      </c>
      <c r="AE27" s="60">
        <f>Ruimtestaat[[#This Row],[Prest. (m2 /jaar) weekend]]+Ruimtestaat[[#This Row],[Prest. (m2 /jaar) werkdagen]]</f>
        <v>6812.4</v>
      </c>
      <c r="AF27" s="60">
        <f>Ruimtestaat[[#This Row],[uren / jaar weekend]]+Ruimtestaat[[#This Row],[uren / jaar werkdagen]]</f>
        <v>0</v>
      </c>
      <c r="AG27" s="61">
        <f>Ruimtestaat[[#This Row],[kosten / jaar weekend]]+Ruimtestaat[[#This Row],[kosten / jaar werkdagen]]</f>
        <v>0</v>
      </c>
      <c r="AH27" s="92"/>
      <c r="HL27" s="59"/>
    </row>
    <row r="28" spans="1:220">
      <c r="A28" s="24">
        <v>1</v>
      </c>
      <c r="B28" s="24" t="str">
        <f>VLOOKUP(Ruimtestaat[[#This Row],[Code]],Locaties[#All],2,FALSE)</f>
        <v>Boerhaave + buitenunits</v>
      </c>
      <c r="C28" s="24" t="str">
        <f>VLOOKUP(Ruimtestaat[[#This Row],[Code]],Locaties[#All],4,FALSE)</f>
        <v>Herman Boerhaavelaan 1</v>
      </c>
      <c r="D28" s="24" t="str">
        <f>VLOOKUP(Ruimtestaat[[#This Row],[Code]],Locaties[#All],5,FALSE)</f>
        <v>7415 ES</v>
      </c>
      <c r="E28" s="24" t="str">
        <f>VLOOKUP(Ruimtestaat[[#This Row],[Code]],Locaties[#All],6,FALSE)</f>
        <v>Deventer</v>
      </c>
      <c r="F28" s="54"/>
      <c r="G28" s="24" t="s">
        <v>367</v>
      </c>
      <c r="H28" s="24" t="s">
        <v>414</v>
      </c>
      <c r="I28" s="4" t="s">
        <v>415</v>
      </c>
      <c r="J28" s="24">
        <v>16</v>
      </c>
      <c r="K28" s="54" t="str">
        <f>VLOOKUP(J28,Ruimtegroepen[],2,FALSE)</f>
        <v>Leslokalen theorie</v>
      </c>
      <c r="L28" s="24" t="s">
        <v>311</v>
      </c>
      <c r="M28" s="24" t="s">
        <v>370</v>
      </c>
      <c r="N28" s="83">
        <v>43.58</v>
      </c>
      <c r="O28" s="83"/>
      <c r="P28" s="93" t="str">
        <f>LEFT(VLOOKUP(Ruimtestaat[[#This Row],[Ruimte code]],Ruimtegroepen[#All],4,1),2)</f>
        <v>Le</v>
      </c>
      <c r="Q28" s="83"/>
      <c r="R28" s="84">
        <v>40</v>
      </c>
      <c r="S28" s="84" t="s">
        <v>318</v>
      </c>
      <c r="T28" s="85">
        <f>IF(R28&gt;0,IF(RIGHT(Ruimtestaat[[#This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" s="85">
        <f>IF(T28&gt;0,VLOOKUP($J28,Ruimtegroepen[],3,FALSE)*VLOOKUP($L28,Vloersoorten[],3,FALSE)*VLOOKUP($S28,Frequenties[],3,FALSE)*VLOOKUP($A28,Locaties[],3,FALSE),0)</f>
        <v>0</v>
      </c>
      <c r="V28" s="86">
        <f>Ruimtestaat[[#This Row],[Uitvoeringen werkdagen]]*Ruimtestaat[[#This Row],[Oppervlak (netto)]]</f>
        <v>8716</v>
      </c>
      <c r="W28" s="87">
        <f>IF(U28&gt;0,Ruimtestaat[[#This Row],[Prest. (m2 /jaar) werkdagen]]/Ruimtestaat[[#This Row],[Norm (m2/uur) werkdagen]],0)</f>
        <v>0</v>
      </c>
      <c r="X28" s="88">
        <f>Ruimtestaat[[#This Row],[uren / jaar werkdagen]]*Tariefsopbouw!$E$35</f>
        <v>0</v>
      </c>
      <c r="Y28" s="85"/>
      <c r="Z28" s="89">
        <f>IF(Ruimtestaat[[#This Row],[Frequentie weekend]]&gt;0,VALUE(LEFT(Y28,1))*R28,0)</f>
        <v>0</v>
      </c>
      <c r="AA28" s="85">
        <f>IF($Z28&gt;0,VLOOKUP($J28,Ruimtegroepen[],3,FALSE)*VLOOKUP($L28,Vloersoorten[],3,FALSE)*VLOOKUP($Y28,Frequenties[],3,FALSE)*VLOOKUP($A24,Locaties[],3,FALSE),0)</f>
        <v>0</v>
      </c>
      <c r="AB28" s="87">
        <f>Ruimtestaat[[#This Row],[Uitvoeringen weekend]]*Ruimtestaat[[#This Row],[Oppervlak (netto)]]</f>
        <v>0</v>
      </c>
      <c r="AC28" s="90">
        <f>IF(AB28&gt;0,Ruimtestaat[[#This Row],[Prest. (m2 /jaar) weekend]]/Ruimtestaat[[#This Row],[Norm (m2/uur) weekend]],0)</f>
        <v>0</v>
      </c>
      <c r="AD28" s="91">
        <f>Ruimtestaat[[#This Row],[uren / jaar weekend]]*Tariefsopbouw!$D$40</f>
        <v>0</v>
      </c>
      <c r="AE28" s="60">
        <f>Ruimtestaat[[#This Row],[Prest. (m2 /jaar) weekend]]+Ruimtestaat[[#This Row],[Prest. (m2 /jaar) werkdagen]]</f>
        <v>8716</v>
      </c>
      <c r="AF28" s="60">
        <f>Ruimtestaat[[#This Row],[uren / jaar weekend]]+Ruimtestaat[[#This Row],[uren / jaar werkdagen]]</f>
        <v>0</v>
      </c>
      <c r="AG28" s="61">
        <f>Ruimtestaat[[#This Row],[kosten / jaar weekend]]+Ruimtestaat[[#This Row],[kosten / jaar werkdagen]]</f>
        <v>0</v>
      </c>
      <c r="AH28" s="92"/>
      <c r="HL28" s="59"/>
    </row>
    <row r="29" spans="1:220">
      <c r="A29" s="24">
        <v>1</v>
      </c>
      <c r="B29" s="24" t="str">
        <f>VLOOKUP(Ruimtestaat[[#This Row],[Code]],Locaties[#All],2,FALSE)</f>
        <v>Boerhaave + buitenunits</v>
      </c>
      <c r="C29" s="24" t="str">
        <f>VLOOKUP(Ruimtestaat[[#This Row],[Code]],Locaties[#All],4,FALSE)</f>
        <v>Herman Boerhaavelaan 1</v>
      </c>
      <c r="D29" s="24" t="str">
        <f>VLOOKUP(Ruimtestaat[[#This Row],[Code]],Locaties[#All],5,FALSE)</f>
        <v>7415 ES</v>
      </c>
      <c r="E29" s="24" t="str">
        <f>VLOOKUP(Ruimtestaat[[#This Row],[Code]],Locaties[#All],6,FALSE)</f>
        <v>Deventer</v>
      </c>
      <c r="F29" s="54"/>
      <c r="G29" s="24" t="s">
        <v>367</v>
      </c>
      <c r="H29" s="24" t="s">
        <v>416</v>
      </c>
      <c r="I29" s="54" t="s">
        <v>415</v>
      </c>
      <c r="J29" s="24">
        <v>16</v>
      </c>
      <c r="K29" s="54" t="str">
        <f>VLOOKUP(J29,Ruimtegroepen[],2,FALSE)</f>
        <v>Leslokalen theorie</v>
      </c>
      <c r="L29" s="24" t="s">
        <v>311</v>
      </c>
      <c r="M29" s="24" t="s">
        <v>370</v>
      </c>
      <c r="N29" s="94">
        <v>43.58</v>
      </c>
      <c r="O29" s="94"/>
      <c r="P29" s="93" t="str">
        <f>LEFT(VLOOKUP(Ruimtestaat[[#This Row],[Ruimte code]],Ruimtegroepen[#All],4,1),2)</f>
        <v>Le</v>
      </c>
      <c r="Q29" s="95"/>
      <c r="R29" s="84">
        <v>40</v>
      </c>
      <c r="S29" s="84" t="s">
        <v>318</v>
      </c>
      <c r="T29" s="85">
        <f>IF(R29&gt;0,IF(RIGHT(Ruimtestaat[[#This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" s="85">
        <f>IF(T29&gt;0,VLOOKUP($J29,Ruimtegroepen[],3,FALSE)*VLOOKUP($L29,Vloersoorten[],3,FALSE)*VLOOKUP($S29,Frequenties[],3,FALSE)*VLOOKUP($A29,Locaties[],3,FALSE),0)</f>
        <v>0</v>
      </c>
      <c r="V29" s="86">
        <f>Ruimtestaat[[#This Row],[Uitvoeringen werkdagen]]*Ruimtestaat[[#This Row],[Oppervlak (netto)]]</f>
        <v>8716</v>
      </c>
      <c r="W29" s="87">
        <f>IF(U29&gt;0,Ruimtestaat[[#This Row],[Prest. (m2 /jaar) werkdagen]]/Ruimtestaat[[#This Row],[Norm (m2/uur) werkdagen]],0)</f>
        <v>0</v>
      </c>
      <c r="X29" s="88">
        <f>Ruimtestaat[[#This Row],[uren / jaar werkdagen]]*Tariefsopbouw!$E$35</f>
        <v>0</v>
      </c>
      <c r="Y29" s="250"/>
      <c r="Z29" s="89">
        <f>IF(Ruimtestaat[[#This Row],[Frequentie weekend]]&gt;0,VALUE(LEFT(Y29,1))*R29,0)</f>
        <v>0</v>
      </c>
      <c r="AA29" s="85">
        <f>IF($Z29&gt;0,VLOOKUP($J29,Ruimtegroepen[],3,FALSE)*VLOOKUP($L29,Vloersoorten[],3,FALSE)*VLOOKUP($Y29,Frequenties[],3,FALSE)*VLOOKUP($A25,Locaties[],3,FALSE),0)</f>
        <v>0</v>
      </c>
      <c r="AB29" s="87">
        <f>Ruimtestaat[[#This Row],[Uitvoeringen weekend]]*Ruimtestaat[[#This Row],[Oppervlak (netto)]]</f>
        <v>0</v>
      </c>
      <c r="AC29" s="90">
        <f>IF(AB29&gt;0,Ruimtestaat[[#This Row],[Prest. (m2 /jaar) weekend]]/Ruimtestaat[[#This Row],[Norm (m2/uur) weekend]],0)</f>
        <v>0</v>
      </c>
      <c r="AD29" s="91">
        <f>Ruimtestaat[[#This Row],[uren / jaar weekend]]*Tariefsopbouw!$D$40</f>
        <v>0</v>
      </c>
      <c r="AE29" s="60">
        <f>Ruimtestaat[[#This Row],[Prest. (m2 /jaar) weekend]]+Ruimtestaat[[#This Row],[Prest. (m2 /jaar) werkdagen]]</f>
        <v>8716</v>
      </c>
      <c r="AF29" s="60">
        <f>Ruimtestaat[[#This Row],[uren / jaar weekend]]+Ruimtestaat[[#This Row],[uren / jaar werkdagen]]</f>
        <v>0</v>
      </c>
      <c r="AG29" s="61">
        <f>Ruimtestaat[[#This Row],[kosten / jaar weekend]]+Ruimtestaat[[#This Row],[kosten / jaar werkdagen]]</f>
        <v>0</v>
      </c>
      <c r="AH29" s="92"/>
      <c r="HL29" s="59"/>
    </row>
    <row r="30" spans="1:220">
      <c r="A30" s="24">
        <v>1</v>
      </c>
      <c r="B30" s="24" t="str">
        <f>VLOOKUP(Ruimtestaat[[#This Row],[Code]],Locaties[#All],2,FALSE)</f>
        <v>Boerhaave + buitenunits</v>
      </c>
      <c r="C30" s="24" t="str">
        <f>VLOOKUP(Ruimtestaat[[#This Row],[Code]],Locaties[#All],4,FALSE)</f>
        <v>Herman Boerhaavelaan 1</v>
      </c>
      <c r="D30" s="24" t="str">
        <f>VLOOKUP(Ruimtestaat[[#This Row],[Code]],Locaties[#All],5,FALSE)</f>
        <v>7415 ES</v>
      </c>
      <c r="E30" s="24" t="str">
        <f>VLOOKUP(Ruimtestaat[[#This Row],[Code]],Locaties[#All],6,FALSE)</f>
        <v>Deventer</v>
      </c>
      <c r="F30" s="54"/>
      <c r="G30" s="24" t="s">
        <v>367</v>
      </c>
      <c r="H30" s="24" t="s">
        <v>417</v>
      </c>
      <c r="I30" s="4" t="s">
        <v>415</v>
      </c>
      <c r="J30" s="24">
        <v>16</v>
      </c>
      <c r="K30" s="54" t="str">
        <f>VLOOKUP(J30,Ruimtegroepen[],2,FALSE)</f>
        <v>Leslokalen theorie</v>
      </c>
      <c r="L30" s="24" t="s">
        <v>311</v>
      </c>
      <c r="M30" s="24" t="s">
        <v>370</v>
      </c>
      <c r="N30" s="83">
        <v>43.58</v>
      </c>
      <c r="O30" s="83"/>
      <c r="P30" s="93" t="str">
        <f>LEFT(VLOOKUP(Ruimtestaat[[#This Row],[Ruimte code]],Ruimtegroepen[#All],4,1),2)</f>
        <v>Le</v>
      </c>
      <c r="Q30" s="83"/>
      <c r="R30" s="84">
        <v>40</v>
      </c>
      <c r="S30" s="84" t="s">
        <v>318</v>
      </c>
      <c r="T30" s="85">
        <f>IF(R30&gt;0,IF(RIGHT(Ruimtestaat[[#This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" s="85">
        <f>IF(T30&gt;0,VLOOKUP($J30,Ruimtegroepen[],3,FALSE)*VLOOKUP($L30,Vloersoorten[],3,FALSE)*VLOOKUP($S30,Frequenties[],3,FALSE)*VLOOKUP($A30,Locaties[],3,FALSE),0)</f>
        <v>0</v>
      </c>
      <c r="V30" s="86">
        <f>Ruimtestaat[[#This Row],[Uitvoeringen werkdagen]]*Ruimtestaat[[#This Row],[Oppervlak (netto)]]</f>
        <v>8716</v>
      </c>
      <c r="W30" s="87">
        <f>IF(U30&gt;0,Ruimtestaat[[#This Row],[Prest. (m2 /jaar) werkdagen]]/Ruimtestaat[[#This Row],[Norm (m2/uur) werkdagen]],0)</f>
        <v>0</v>
      </c>
      <c r="X30" s="88">
        <f>Ruimtestaat[[#This Row],[uren / jaar werkdagen]]*Tariefsopbouw!$E$35</f>
        <v>0</v>
      </c>
      <c r="Y30" s="85"/>
      <c r="Z30" s="89">
        <f>IF(Ruimtestaat[[#This Row],[Frequentie weekend]]&gt;0,VALUE(LEFT(Y30,1))*R30,0)</f>
        <v>0</v>
      </c>
      <c r="AA30" s="85">
        <f>IF($Z30&gt;0,VLOOKUP($J30,Ruimtegroepen[],3,FALSE)*VLOOKUP($L30,Vloersoorten[],3,FALSE)*VLOOKUP($Y30,Frequenties[],3,FALSE)*VLOOKUP($A25,Locaties[],3,FALSE),0)</f>
        <v>0</v>
      </c>
      <c r="AB30" s="87">
        <f>Ruimtestaat[[#This Row],[Uitvoeringen weekend]]*Ruimtestaat[[#This Row],[Oppervlak (netto)]]</f>
        <v>0</v>
      </c>
      <c r="AC30" s="90">
        <f>IF(AB30&gt;0,Ruimtestaat[[#This Row],[Prest. (m2 /jaar) weekend]]/Ruimtestaat[[#This Row],[Norm (m2/uur) weekend]],0)</f>
        <v>0</v>
      </c>
      <c r="AD30" s="91">
        <f>Ruimtestaat[[#This Row],[uren / jaar weekend]]*Tariefsopbouw!$D$40</f>
        <v>0</v>
      </c>
      <c r="AE30" s="60">
        <f>Ruimtestaat[[#This Row],[Prest. (m2 /jaar) weekend]]+Ruimtestaat[[#This Row],[Prest. (m2 /jaar) werkdagen]]</f>
        <v>8716</v>
      </c>
      <c r="AF30" s="60">
        <f>Ruimtestaat[[#This Row],[uren / jaar weekend]]+Ruimtestaat[[#This Row],[uren / jaar werkdagen]]</f>
        <v>0</v>
      </c>
      <c r="AG30" s="61">
        <f>Ruimtestaat[[#This Row],[kosten / jaar weekend]]+Ruimtestaat[[#This Row],[kosten / jaar werkdagen]]</f>
        <v>0</v>
      </c>
      <c r="AH30" s="92"/>
      <c r="HL30" s="59"/>
    </row>
    <row r="31" spans="1:220">
      <c r="A31" s="24">
        <v>1</v>
      </c>
      <c r="B31" s="24" t="str">
        <f>VLOOKUP(Ruimtestaat[[#This Row],[Code]],Locaties[#All],2,FALSE)</f>
        <v>Boerhaave + buitenunits</v>
      </c>
      <c r="C31" s="24" t="str">
        <f>VLOOKUP(Ruimtestaat[[#This Row],[Code]],Locaties[#All],4,FALSE)</f>
        <v>Herman Boerhaavelaan 1</v>
      </c>
      <c r="D31" s="24" t="str">
        <f>VLOOKUP(Ruimtestaat[[#This Row],[Code]],Locaties[#All],5,FALSE)</f>
        <v>7415 ES</v>
      </c>
      <c r="E31" s="24" t="str">
        <f>VLOOKUP(Ruimtestaat[[#This Row],[Code]],Locaties[#All],6,FALSE)</f>
        <v>Deventer</v>
      </c>
      <c r="F31" s="54"/>
      <c r="G31" s="24" t="s">
        <v>367</v>
      </c>
      <c r="H31" s="24" t="s">
        <v>418</v>
      </c>
      <c r="I31" s="4" t="s">
        <v>415</v>
      </c>
      <c r="J31" s="24">
        <v>16</v>
      </c>
      <c r="K31" s="54" t="str">
        <f>VLOOKUP(J31,Ruimtegroepen[],2,FALSE)</f>
        <v>Leslokalen theorie</v>
      </c>
      <c r="L31" s="24" t="s">
        <v>311</v>
      </c>
      <c r="M31" s="24" t="s">
        <v>370</v>
      </c>
      <c r="N31" s="83">
        <v>43.58</v>
      </c>
      <c r="O31" s="83"/>
      <c r="P31" s="93" t="str">
        <f>LEFT(VLOOKUP(Ruimtestaat[[#This Row],[Ruimte code]],Ruimtegroepen[#All],4,1),2)</f>
        <v>Le</v>
      </c>
      <c r="Q31" s="83"/>
      <c r="R31" s="84">
        <v>40</v>
      </c>
      <c r="S31" s="84" t="s">
        <v>318</v>
      </c>
      <c r="T31" s="85">
        <f>IF(R31&gt;0,IF(RIGHT(Ruimtestaat[[#This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" s="85">
        <f>IF(T31&gt;0,VLOOKUP($J31,Ruimtegroepen[],3,FALSE)*VLOOKUP($L31,Vloersoorten[],3,FALSE)*VLOOKUP($S31,Frequenties[],3,FALSE)*VLOOKUP($A31,Locaties[],3,FALSE),0)</f>
        <v>0</v>
      </c>
      <c r="V31" s="86">
        <f>Ruimtestaat[[#This Row],[Uitvoeringen werkdagen]]*Ruimtestaat[[#This Row],[Oppervlak (netto)]]</f>
        <v>8716</v>
      </c>
      <c r="W31" s="87">
        <f>IF(U31&gt;0,Ruimtestaat[[#This Row],[Prest. (m2 /jaar) werkdagen]]/Ruimtestaat[[#This Row],[Norm (m2/uur) werkdagen]],0)</f>
        <v>0</v>
      </c>
      <c r="X31" s="88">
        <f>Ruimtestaat[[#This Row],[uren / jaar werkdagen]]*Tariefsopbouw!$E$35</f>
        <v>0</v>
      </c>
      <c r="Y31" s="85"/>
      <c r="Z31" s="89">
        <f>IF(Ruimtestaat[[#This Row],[Frequentie weekend]]&gt;0,VALUE(LEFT(Y31,1))*R31,0)</f>
        <v>0</v>
      </c>
      <c r="AA31" s="85">
        <f>IF($Z31&gt;0,VLOOKUP($J31,Ruimtegroepen[],3,FALSE)*VLOOKUP($L31,Vloersoorten[],3,FALSE)*VLOOKUP($Y31,Frequenties[],3,FALSE)*VLOOKUP($A26,Locaties[],3,FALSE),0)</f>
        <v>0</v>
      </c>
      <c r="AB31" s="87">
        <f>Ruimtestaat[[#This Row],[Uitvoeringen weekend]]*Ruimtestaat[[#This Row],[Oppervlak (netto)]]</f>
        <v>0</v>
      </c>
      <c r="AC31" s="90">
        <f>IF(AB31&gt;0,Ruimtestaat[[#This Row],[Prest. (m2 /jaar) weekend]]/Ruimtestaat[[#This Row],[Norm (m2/uur) weekend]],0)</f>
        <v>0</v>
      </c>
      <c r="AD31" s="91">
        <f>Ruimtestaat[[#This Row],[uren / jaar weekend]]*Tariefsopbouw!$D$40</f>
        <v>0</v>
      </c>
      <c r="AE31" s="60">
        <f>Ruimtestaat[[#This Row],[Prest. (m2 /jaar) weekend]]+Ruimtestaat[[#This Row],[Prest. (m2 /jaar) werkdagen]]</f>
        <v>8716</v>
      </c>
      <c r="AF31" s="60">
        <f>Ruimtestaat[[#This Row],[uren / jaar weekend]]+Ruimtestaat[[#This Row],[uren / jaar werkdagen]]</f>
        <v>0</v>
      </c>
      <c r="AG31" s="61">
        <f>Ruimtestaat[[#This Row],[kosten / jaar weekend]]+Ruimtestaat[[#This Row],[kosten / jaar werkdagen]]</f>
        <v>0</v>
      </c>
      <c r="AH31" s="92"/>
      <c r="HL31" s="59"/>
    </row>
    <row r="32" spans="1:220">
      <c r="A32" s="24">
        <v>1</v>
      </c>
      <c r="B32" s="24" t="str">
        <f>VLOOKUP(Ruimtestaat[[#This Row],[Code]],Locaties[#All],2,FALSE)</f>
        <v>Boerhaave + buitenunits</v>
      </c>
      <c r="C32" s="24" t="str">
        <f>VLOOKUP(Ruimtestaat[[#This Row],[Code]],Locaties[#All],4,FALSE)</f>
        <v>Herman Boerhaavelaan 1</v>
      </c>
      <c r="D32" s="24" t="str">
        <f>VLOOKUP(Ruimtestaat[[#This Row],[Code]],Locaties[#All],5,FALSE)</f>
        <v>7415 ES</v>
      </c>
      <c r="E32" s="24" t="str">
        <f>VLOOKUP(Ruimtestaat[[#This Row],[Code]],Locaties[#All],6,FALSE)</f>
        <v>Deventer</v>
      </c>
      <c r="F32" s="54"/>
      <c r="G32" s="24" t="s">
        <v>367</v>
      </c>
      <c r="H32" s="24" t="s">
        <v>419</v>
      </c>
      <c r="I32" s="4" t="s">
        <v>420</v>
      </c>
      <c r="J32" s="24">
        <v>5</v>
      </c>
      <c r="K32" s="54" t="str">
        <f>VLOOKUP(J32,Ruimtegroepen[],2,FALSE)</f>
        <v>Sanitair</v>
      </c>
      <c r="L32" s="24" t="s">
        <v>305</v>
      </c>
      <c r="M32" s="24" t="s">
        <v>400</v>
      </c>
      <c r="N32" s="94">
        <v>15.29</v>
      </c>
      <c r="O32" s="83"/>
      <c r="P32" s="93" t="str">
        <f>LEFT(VLOOKUP(Ruimtestaat[[#This Row],[Ruimte code]],Ruimtegroepen[#All],4,1),2)</f>
        <v>Sa</v>
      </c>
      <c r="Q32" s="83"/>
      <c r="R32" s="84">
        <v>42</v>
      </c>
      <c r="S32" s="84" t="s">
        <v>316</v>
      </c>
      <c r="T32" s="85">
        <f>IF(R32&gt;0,IF(RIGHT(Ruimtestaat[[#This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2" s="85">
        <f>IF(T32&gt;0,VLOOKUP($J32,Ruimtegroepen[],3,FALSE)*VLOOKUP($L32,Vloersoorten[],3,FALSE)*VLOOKUP($S32,Frequenties[],3,FALSE)*VLOOKUP($A32,Locaties[],3,FALSE),0)</f>
        <v>0</v>
      </c>
      <c r="V32" s="86">
        <f>Ruimtestaat[[#This Row],[Uitvoeringen werkdagen]]*Ruimtestaat[[#This Row],[Oppervlak (netto)]]</f>
        <v>6421.7999999999993</v>
      </c>
      <c r="W32" s="87">
        <f>IF(U32&gt;0,Ruimtestaat[[#This Row],[Prest. (m2 /jaar) werkdagen]]/Ruimtestaat[[#This Row],[Norm (m2/uur) werkdagen]],0)</f>
        <v>0</v>
      </c>
      <c r="X32" s="88">
        <f>Ruimtestaat[[#This Row],[uren / jaar werkdagen]]*Tariefsopbouw!$E$35</f>
        <v>0</v>
      </c>
      <c r="Y32" s="85"/>
      <c r="Z32" s="89">
        <f>IF(Ruimtestaat[[#This Row],[Frequentie weekend]]&gt;0,VALUE(LEFT(Y32,1))*R32,0)</f>
        <v>0</v>
      </c>
      <c r="AA32" s="85">
        <f>IF($Z32&gt;0,VLOOKUP($J32,Ruimtegroepen[],3,FALSE)*VLOOKUP($L32,Vloersoorten[],3,FALSE)*VLOOKUP($Y32,Frequenties[],3,FALSE)*VLOOKUP($A27,Locaties[],3,FALSE),0)</f>
        <v>0</v>
      </c>
      <c r="AB32" s="87">
        <f>Ruimtestaat[[#This Row],[Uitvoeringen weekend]]*Ruimtestaat[[#This Row],[Oppervlak (netto)]]</f>
        <v>0</v>
      </c>
      <c r="AC32" s="90">
        <f>IF(AB32&gt;0,Ruimtestaat[[#This Row],[Prest. (m2 /jaar) weekend]]/Ruimtestaat[[#This Row],[Norm (m2/uur) weekend]],0)</f>
        <v>0</v>
      </c>
      <c r="AD32" s="91">
        <f>Ruimtestaat[[#This Row],[uren / jaar weekend]]*Tariefsopbouw!$D$40</f>
        <v>0</v>
      </c>
      <c r="AE32" s="60">
        <f>Ruimtestaat[[#This Row],[Prest. (m2 /jaar) weekend]]+Ruimtestaat[[#This Row],[Prest. (m2 /jaar) werkdagen]]</f>
        <v>6421.7999999999993</v>
      </c>
      <c r="AF32" s="60">
        <f>Ruimtestaat[[#This Row],[uren / jaar weekend]]+Ruimtestaat[[#This Row],[uren / jaar werkdagen]]</f>
        <v>0</v>
      </c>
      <c r="AG32" s="61">
        <f>Ruimtestaat[[#This Row],[kosten / jaar weekend]]+Ruimtestaat[[#This Row],[kosten / jaar werkdagen]]</f>
        <v>0</v>
      </c>
      <c r="AH32" s="92"/>
      <c r="HL32" s="59"/>
    </row>
    <row r="33" spans="1:220">
      <c r="A33" s="24">
        <v>1</v>
      </c>
      <c r="B33" s="24" t="str">
        <f>VLOOKUP(Ruimtestaat[[#This Row],[Code]],Locaties[#All],2,FALSE)</f>
        <v>Boerhaave + buitenunits</v>
      </c>
      <c r="C33" s="24" t="str">
        <f>VLOOKUP(Ruimtestaat[[#This Row],[Code]],Locaties[#All],4,FALSE)</f>
        <v>Herman Boerhaavelaan 1</v>
      </c>
      <c r="D33" s="24" t="str">
        <f>VLOOKUP(Ruimtestaat[[#This Row],[Code]],Locaties[#All],5,FALSE)</f>
        <v>7415 ES</v>
      </c>
      <c r="E33" s="24" t="str">
        <f>VLOOKUP(Ruimtestaat[[#This Row],[Code]],Locaties[#All],6,FALSE)</f>
        <v>Deventer</v>
      </c>
      <c r="F33" s="54"/>
      <c r="G33" s="24" t="s">
        <v>367</v>
      </c>
      <c r="H33" s="24" t="s">
        <v>421</v>
      </c>
      <c r="I33" s="4" t="s">
        <v>422</v>
      </c>
      <c r="J33" s="24">
        <v>22</v>
      </c>
      <c r="K33" s="54" t="str">
        <f>VLOOKUP(J33,Ruimtegroepen[],2,FALSE)</f>
        <v>Niet in onderhoud</v>
      </c>
      <c r="L33" s="24" t="s">
        <v>305</v>
      </c>
      <c r="M33" s="24" t="s">
        <v>400</v>
      </c>
      <c r="N33" s="83"/>
      <c r="O33" s="83">
        <v>2.69</v>
      </c>
      <c r="P33" s="93" t="str">
        <f>LEFT(VLOOKUP(Ruimtestaat[[#This Row],[Ruimte code]],Ruimtegroepen[#All],4,1),2)</f>
        <v/>
      </c>
      <c r="Q33" s="83"/>
      <c r="R33" s="84"/>
      <c r="S33" s="84"/>
      <c r="T33" s="85">
        <f>IF(R33&gt;0,IF(RIGHT(Ruimtestaat[[#This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3" s="85">
        <f>IF(T33&gt;0,VLOOKUP($J33,Ruimtegroepen[],3,FALSE)*VLOOKUP($L33,Vloersoorten[],3,FALSE)*VLOOKUP($S33,Frequenties[],3,FALSE)*VLOOKUP($A33,Locaties[],3,FALSE),0)</f>
        <v>0</v>
      </c>
      <c r="V33" s="86">
        <f>Ruimtestaat[[#This Row],[Uitvoeringen werkdagen]]*Ruimtestaat[[#This Row],[Oppervlak (netto)]]</f>
        <v>0</v>
      </c>
      <c r="W33" s="87">
        <f>IF(U33&gt;0,Ruimtestaat[[#This Row],[Prest. (m2 /jaar) werkdagen]]/Ruimtestaat[[#This Row],[Norm (m2/uur) werkdagen]],0)</f>
        <v>0</v>
      </c>
      <c r="X33" s="88">
        <f>Ruimtestaat[[#This Row],[uren / jaar werkdagen]]*Tariefsopbouw!$E$35</f>
        <v>0</v>
      </c>
      <c r="Y33" s="85"/>
      <c r="Z33" s="89">
        <f>IF(Ruimtestaat[[#This Row],[Frequentie weekend]]&gt;0,VALUE(LEFT(Y33,1))*R33,0)</f>
        <v>0</v>
      </c>
      <c r="AA33" s="85">
        <f>IF($Z33&gt;0,VLOOKUP($J33,Ruimtegroepen[],3,FALSE)*VLOOKUP($L33,Vloersoorten[],3,FALSE)*VLOOKUP($Y33,Frequenties[],3,FALSE)*VLOOKUP($A28,Locaties[],3,FALSE),0)</f>
        <v>0</v>
      </c>
      <c r="AB33" s="87">
        <f>Ruimtestaat[[#This Row],[Uitvoeringen weekend]]*Ruimtestaat[[#This Row],[Oppervlak (netto)]]</f>
        <v>0</v>
      </c>
      <c r="AC33" s="90">
        <f>IF(AB33&gt;0,Ruimtestaat[[#This Row],[Prest. (m2 /jaar) weekend]]/Ruimtestaat[[#This Row],[Norm (m2/uur) weekend]],0)</f>
        <v>0</v>
      </c>
      <c r="AD33" s="91">
        <f>Ruimtestaat[[#This Row],[uren / jaar weekend]]*Tariefsopbouw!$D$40</f>
        <v>0</v>
      </c>
      <c r="AE33" s="60">
        <f>Ruimtestaat[[#This Row],[Prest. (m2 /jaar) weekend]]+Ruimtestaat[[#This Row],[Prest. (m2 /jaar) werkdagen]]</f>
        <v>0</v>
      </c>
      <c r="AF33" s="60">
        <f>Ruimtestaat[[#This Row],[uren / jaar weekend]]+Ruimtestaat[[#This Row],[uren / jaar werkdagen]]</f>
        <v>0</v>
      </c>
      <c r="AG33" s="61">
        <f>Ruimtestaat[[#This Row],[kosten / jaar weekend]]+Ruimtestaat[[#This Row],[kosten / jaar werkdagen]]</f>
        <v>0</v>
      </c>
      <c r="AH33" s="92"/>
      <c r="HL33" s="59"/>
    </row>
    <row r="34" spans="1:220">
      <c r="A34" s="24">
        <v>1</v>
      </c>
      <c r="B34" s="24" t="str">
        <f>VLOOKUP(Ruimtestaat[[#This Row],[Code]],Locaties[#All],2,FALSE)</f>
        <v>Boerhaave + buitenunits</v>
      </c>
      <c r="C34" s="24" t="str">
        <f>VLOOKUP(Ruimtestaat[[#This Row],[Code]],Locaties[#All],4,FALSE)</f>
        <v>Herman Boerhaavelaan 1</v>
      </c>
      <c r="D34" s="24" t="str">
        <f>VLOOKUP(Ruimtestaat[[#This Row],[Code]],Locaties[#All],5,FALSE)</f>
        <v>7415 ES</v>
      </c>
      <c r="E34" s="24" t="str">
        <f>VLOOKUP(Ruimtestaat[[#This Row],[Code]],Locaties[#All],6,FALSE)</f>
        <v>Deventer</v>
      </c>
      <c r="F34" s="54"/>
      <c r="G34" s="24" t="s">
        <v>367</v>
      </c>
      <c r="H34" s="24" t="s">
        <v>423</v>
      </c>
      <c r="I34" s="4" t="s">
        <v>424</v>
      </c>
      <c r="J34" s="24">
        <v>13</v>
      </c>
      <c r="K34" s="54" t="str">
        <f>VLOOKUP(J34,Ruimtegroepen[],2,FALSE)</f>
        <v>HV/Technieklokaal</v>
      </c>
      <c r="L34" s="24" t="s">
        <v>305</v>
      </c>
      <c r="M34" s="24" t="s">
        <v>400</v>
      </c>
      <c r="N34" s="94">
        <v>177.24</v>
      </c>
      <c r="O34" s="83"/>
      <c r="P34" s="93" t="str">
        <f>LEFT(VLOOKUP(Ruimtestaat[[#This Row],[Ruimte code]],Ruimtegroepen[#All],4,1),2)</f>
        <v>Le</v>
      </c>
      <c r="Q34" s="83"/>
      <c r="R34" s="84">
        <v>40</v>
      </c>
      <c r="S34" s="84" t="s">
        <v>318</v>
      </c>
      <c r="T34" s="85">
        <f>IF(R34&gt;0,IF(RIGHT(Ruimtestaat[[#This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" s="85">
        <f>IF(T34&gt;0,VLOOKUP($J34,Ruimtegroepen[],3,FALSE)*VLOOKUP($L34,Vloersoorten[],3,FALSE)*VLOOKUP($S34,Frequenties[],3,FALSE)*VLOOKUP($A34,Locaties[],3,FALSE),0)</f>
        <v>0</v>
      </c>
      <c r="V34" s="86">
        <f>Ruimtestaat[[#This Row],[Uitvoeringen werkdagen]]*Ruimtestaat[[#This Row],[Oppervlak (netto)]]</f>
        <v>35448</v>
      </c>
      <c r="W34" s="87">
        <f>IF(U34&gt;0,Ruimtestaat[[#This Row],[Prest. (m2 /jaar) werkdagen]]/Ruimtestaat[[#This Row],[Norm (m2/uur) werkdagen]],0)</f>
        <v>0</v>
      </c>
      <c r="X34" s="88">
        <f>Ruimtestaat[[#This Row],[uren / jaar werkdagen]]*Tariefsopbouw!$E$35</f>
        <v>0</v>
      </c>
      <c r="Y34" s="85"/>
      <c r="Z34" s="89">
        <f>IF(Ruimtestaat[[#This Row],[Frequentie weekend]]&gt;0,VALUE(LEFT(Y34,1))*R34,0)</f>
        <v>0</v>
      </c>
      <c r="AA34" s="85">
        <f>IF($Z34&gt;0,VLOOKUP($J34,Ruimtegroepen[],3,FALSE)*VLOOKUP($L34,Vloersoorten[],3,FALSE)*VLOOKUP($Y34,Frequenties[],3,FALSE)*VLOOKUP($A30,Locaties[],3,FALSE),0)</f>
        <v>0</v>
      </c>
      <c r="AB34" s="87">
        <f>Ruimtestaat[[#This Row],[Uitvoeringen weekend]]*Ruimtestaat[[#This Row],[Oppervlak (netto)]]</f>
        <v>0</v>
      </c>
      <c r="AC34" s="90">
        <f>IF(AB34&gt;0,Ruimtestaat[[#This Row],[Prest. (m2 /jaar) weekend]]/Ruimtestaat[[#This Row],[Norm (m2/uur) weekend]],0)</f>
        <v>0</v>
      </c>
      <c r="AD34" s="91">
        <f>Ruimtestaat[[#This Row],[uren / jaar weekend]]*Tariefsopbouw!$D$40</f>
        <v>0</v>
      </c>
      <c r="AE34" s="60">
        <f>Ruimtestaat[[#This Row],[Prest. (m2 /jaar) weekend]]+Ruimtestaat[[#This Row],[Prest. (m2 /jaar) werkdagen]]</f>
        <v>35448</v>
      </c>
      <c r="AF34" s="60">
        <f>Ruimtestaat[[#This Row],[uren / jaar weekend]]+Ruimtestaat[[#This Row],[uren / jaar werkdagen]]</f>
        <v>0</v>
      </c>
      <c r="AG34" s="61">
        <f>Ruimtestaat[[#This Row],[kosten / jaar weekend]]+Ruimtestaat[[#This Row],[kosten / jaar werkdagen]]</f>
        <v>0</v>
      </c>
      <c r="AH34" s="92"/>
      <c r="HL34" s="59"/>
    </row>
    <row r="35" spans="1:220">
      <c r="A35" s="24">
        <v>1</v>
      </c>
      <c r="B35" s="24" t="str">
        <f>VLOOKUP(Ruimtestaat[[#This Row],[Code]],Locaties[#All],2,FALSE)</f>
        <v>Boerhaave + buitenunits</v>
      </c>
      <c r="C35" s="24" t="str">
        <f>VLOOKUP(Ruimtestaat[[#This Row],[Code]],Locaties[#All],4,FALSE)</f>
        <v>Herman Boerhaavelaan 1</v>
      </c>
      <c r="D35" s="24" t="str">
        <f>VLOOKUP(Ruimtestaat[[#This Row],[Code]],Locaties[#All],5,FALSE)</f>
        <v>7415 ES</v>
      </c>
      <c r="E35" s="24" t="str">
        <f>VLOOKUP(Ruimtestaat[[#This Row],[Code]],Locaties[#All],6,FALSE)</f>
        <v>Deventer</v>
      </c>
      <c r="F35" s="54"/>
      <c r="G35" s="24" t="s">
        <v>367</v>
      </c>
      <c r="H35" s="24" t="s">
        <v>425</v>
      </c>
      <c r="I35" s="4" t="s">
        <v>426</v>
      </c>
      <c r="J35" s="24">
        <v>14</v>
      </c>
      <c r="K35" s="54" t="str">
        <f>VLOOKUP(J35,Ruimtegroepen[],2,FALSE)</f>
        <v>Praktijklokalen binas/zorg</v>
      </c>
      <c r="L35" s="24" t="s">
        <v>305</v>
      </c>
      <c r="M35" s="24" t="s">
        <v>400</v>
      </c>
      <c r="N35" s="83">
        <v>93.4</v>
      </c>
      <c r="O35" s="83"/>
      <c r="P35" s="93" t="str">
        <f>LEFT(VLOOKUP(Ruimtestaat[[#This Row],[Ruimte code]],Ruimtegroepen[#All],4,1),2)</f>
        <v>Le</v>
      </c>
      <c r="Q35" s="83"/>
      <c r="R35" s="84">
        <v>40</v>
      </c>
      <c r="S35" s="84" t="s">
        <v>318</v>
      </c>
      <c r="T35" s="85">
        <f>IF(R35&gt;0,IF(RIGHT(Ruimtestaat[[#This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" s="85">
        <f>IF(T35&gt;0,VLOOKUP($J35,Ruimtegroepen[],3,FALSE)*VLOOKUP($L35,Vloersoorten[],3,FALSE)*VLOOKUP($S35,Frequenties[],3,FALSE)*VLOOKUP($A35,Locaties[],3,FALSE),0)</f>
        <v>0</v>
      </c>
      <c r="V35" s="86">
        <f>Ruimtestaat[[#This Row],[Uitvoeringen werkdagen]]*Ruimtestaat[[#This Row],[Oppervlak (netto)]]</f>
        <v>18680</v>
      </c>
      <c r="W35" s="87">
        <f>IF(U35&gt;0,Ruimtestaat[[#This Row],[Prest. (m2 /jaar) werkdagen]]/Ruimtestaat[[#This Row],[Norm (m2/uur) werkdagen]],0)</f>
        <v>0</v>
      </c>
      <c r="X35" s="88">
        <f>Ruimtestaat[[#This Row],[uren / jaar werkdagen]]*Tariefsopbouw!$E$35</f>
        <v>0</v>
      </c>
      <c r="Y35" s="85"/>
      <c r="Z35" s="89">
        <f>IF(Ruimtestaat[[#This Row],[Frequentie weekend]]&gt;0,VALUE(LEFT(Y35,1))*R35,0)</f>
        <v>0</v>
      </c>
      <c r="AA35" s="85">
        <f>IF($Z35&gt;0,VLOOKUP($J35,Ruimtegroepen[],3,FALSE)*VLOOKUP($L35,Vloersoorten[],3,FALSE)*VLOOKUP($Y35,Frequenties[],3,FALSE)*VLOOKUP($A31,Locaties[],3,FALSE),0)</f>
        <v>0</v>
      </c>
      <c r="AB35" s="87">
        <f>Ruimtestaat[[#This Row],[Uitvoeringen weekend]]*Ruimtestaat[[#This Row],[Oppervlak (netto)]]</f>
        <v>0</v>
      </c>
      <c r="AC35" s="90">
        <f>IF(AB35&gt;0,Ruimtestaat[[#This Row],[Prest. (m2 /jaar) weekend]]/Ruimtestaat[[#This Row],[Norm (m2/uur) weekend]],0)</f>
        <v>0</v>
      </c>
      <c r="AD35" s="91">
        <f>Ruimtestaat[[#This Row],[uren / jaar weekend]]*Tariefsopbouw!$D$40</f>
        <v>0</v>
      </c>
      <c r="AE35" s="60">
        <f>Ruimtestaat[[#This Row],[Prest. (m2 /jaar) weekend]]+Ruimtestaat[[#This Row],[Prest. (m2 /jaar) werkdagen]]</f>
        <v>18680</v>
      </c>
      <c r="AF35" s="60">
        <f>Ruimtestaat[[#This Row],[uren / jaar weekend]]+Ruimtestaat[[#This Row],[uren / jaar werkdagen]]</f>
        <v>0</v>
      </c>
      <c r="AG35" s="61">
        <f>Ruimtestaat[[#This Row],[kosten / jaar weekend]]+Ruimtestaat[[#This Row],[kosten / jaar werkdagen]]</f>
        <v>0</v>
      </c>
      <c r="AH35" s="92"/>
      <c r="HL35" s="59"/>
    </row>
    <row r="36" spans="1:220">
      <c r="A36" s="24">
        <v>1</v>
      </c>
      <c r="B36" s="24" t="str">
        <f>VLOOKUP(Ruimtestaat[[#This Row],[Code]],Locaties[#All],2,FALSE)</f>
        <v>Boerhaave + buitenunits</v>
      </c>
      <c r="C36" s="24" t="str">
        <f>VLOOKUP(Ruimtestaat[[#This Row],[Code]],Locaties[#All],4,FALSE)</f>
        <v>Herman Boerhaavelaan 1</v>
      </c>
      <c r="D36" s="24" t="str">
        <f>VLOOKUP(Ruimtestaat[[#This Row],[Code]],Locaties[#All],5,FALSE)</f>
        <v>7415 ES</v>
      </c>
      <c r="E36" s="24" t="str">
        <f>VLOOKUP(Ruimtestaat[[#This Row],[Code]],Locaties[#All],6,FALSE)</f>
        <v>Deventer</v>
      </c>
      <c r="F36" s="54"/>
      <c r="G36" s="24" t="s">
        <v>367</v>
      </c>
      <c r="H36" s="24" t="s">
        <v>427</v>
      </c>
      <c r="I36" s="4" t="s">
        <v>426</v>
      </c>
      <c r="J36" s="24">
        <v>14</v>
      </c>
      <c r="K36" s="54" t="str">
        <f>VLOOKUP(J36,Ruimtegroepen[],2,FALSE)</f>
        <v>Praktijklokalen binas/zorg</v>
      </c>
      <c r="L36" s="24" t="s">
        <v>305</v>
      </c>
      <c r="M36" s="24" t="s">
        <v>400</v>
      </c>
      <c r="N36" s="83">
        <v>62.68</v>
      </c>
      <c r="O36" s="83"/>
      <c r="P36" s="93" t="str">
        <f>LEFT(VLOOKUP(Ruimtestaat[[#This Row],[Ruimte code]],Ruimtegroepen[#All],4,1),2)</f>
        <v>Le</v>
      </c>
      <c r="Q36" s="83"/>
      <c r="R36" s="84">
        <v>40</v>
      </c>
      <c r="S36" s="84" t="s">
        <v>318</v>
      </c>
      <c r="T36" s="85">
        <f>IF(R36&gt;0,IF(RIGHT(Ruimtestaat[[#This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" s="85">
        <f>IF(T36&gt;0,VLOOKUP($J36,Ruimtegroepen[],3,FALSE)*VLOOKUP($L36,Vloersoorten[],3,FALSE)*VLOOKUP($S36,Frequenties[],3,FALSE)*VLOOKUP($A36,Locaties[],3,FALSE),0)</f>
        <v>0</v>
      </c>
      <c r="V36" s="86">
        <f>Ruimtestaat[[#This Row],[Uitvoeringen werkdagen]]*Ruimtestaat[[#This Row],[Oppervlak (netto)]]</f>
        <v>12536</v>
      </c>
      <c r="W36" s="87">
        <f>IF(U36&gt;0,Ruimtestaat[[#This Row],[Prest. (m2 /jaar) werkdagen]]/Ruimtestaat[[#This Row],[Norm (m2/uur) werkdagen]],0)</f>
        <v>0</v>
      </c>
      <c r="X36" s="88">
        <f>Ruimtestaat[[#This Row],[uren / jaar werkdagen]]*Tariefsopbouw!$E$35</f>
        <v>0</v>
      </c>
      <c r="Y36" s="85"/>
      <c r="Z36" s="89">
        <f>IF(Ruimtestaat[[#This Row],[Frequentie weekend]]&gt;0,VALUE(LEFT(Y36,1))*R36,0)</f>
        <v>0</v>
      </c>
      <c r="AA36" s="85">
        <f>IF($Z36&gt;0,VLOOKUP($J36,Ruimtegroepen[],3,FALSE)*VLOOKUP($L36,Vloersoorten[],3,FALSE)*VLOOKUP($Y36,Frequenties[],3,FALSE)*VLOOKUP($A32,Locaties[],3,FALSE),0)</f>
        <v>0</v>
      </c>
      <c r="AB36" s="87">
        <f>Ruimtestaat[[#This Row],[Uitvoeringen weekend]]*Ruimtestaat[[#This Row],[Oppervlak (netto)]]</f>
        <v>0</v>
      </c>
      <c r="AC36" s="90">
        <f>IF(AB36&gt;0,Ruimtestaat[[#This Row],[Prest. (m2 /jaar) weekend]]/Ruimtestaat[[#This Row],[Norm (m2/uur) weekend]],0)</f>
        <v>0</v>
      </c>
      <c r="AD36" s="91">
        <f>Ruimtestaat[[#This Row],[uren / jaar weekend]]*Tariefsopbouw!$D$40</f>
        <v>0</v>
      </c>
      <c r="AE36" s="60">
        <f>Ruimtestaat[[#This Row],[Prest. (m2 /jaar) weekend]]+Ruimtestaat[[#This Row],[Prest. (m2 /jaar) werkdagen]]</f>
        <v>12536</v>
      </c>
      <c r="AF36" s="60">
        <f>Ruimtestaat[[#This Row],[uren / jaar weekend]]+Ruimtestaat[[#This Row],[uren / jaar werkdagen]]</f>
        <v>0</v>
      </c>
      <c r="AG36" s="61">
        <f>Ruimtestaat[[#This Row],[kosten / jaar weekend]]+Ruimtestaat[[#This Row],[kosten / jaar werkdagen]]</f>
        <v>0</v>
      </c>
      <c r="AH36" s="92"/>
      <c r="HL36" s="59"/>
    </row>
    <row r="37" spans="1:220">
      <c r="A37" s="24">
        <v>1</v>
      </c>
      <c r="B37" s="24" t="str">
        <f>VLOOKUP(Ruimtestaat[[#This Row],[Code]],Locaties[#All],2,FALSE)</f>
        <v>Boerhaave + buitenunits</v>
      </c>
      <c r="C37" s="24" t="str">
        <f>VLOOKUP(Ruimtestaat[[#This Row],[Code]],Locaties[#All],4,FALSE)</f>
        <v>Herman Boerhaavelaan 1</v>
      </c>
      <c r="D37" s="24" t="str">
        <f>VLOOKUP(Ruimtestaat[[#This Row],[Code]],Locaties[#All],5,FALSE)</f>
        <v>7415 ES</v>
      </c>
      <c r="E37" s="24" t="str">
        <f>VLOOKUP(Ruimtestaat[[#This Row],[Code]],Locaties[#All],6,FALSE)</f>
        <v>Deventer</v>
      </c>
      <c r="F37" s="54"/>
      <c r="G37" s="24" t="s">
        <v>367</v>
      </c>
      <c r="H37" s="24" t="s">
        <v>428</v>
      </c>
      <c r="I37" s="4" t="s">
        <v>292</v>
      </c>
      <c r="J37" s="24">
        <v>20</v>
      </c>
      <c r="K37" s="54" t="str">
        <f>VLOOKUP(J37,Ruimtegroepen[],2,FALSE)</f>
        <v>Kabinet</v>
      </c>
      <c r="L37" s="24" t="s">
        <v>305</v>
      </c>
      <c r="M37" s="24" t="s">
        <v>400</v>
      </c>
      <c r="N37" s="83">
        <v>10.42</v>
      </c>
      <c r="O37" s="83"/>
      <c r="P37" s="93" t="str">
        <f>LEFT(VLOOKUP(Ruimtestaat[[#This Row],[Ruimte code]],Ruimtegroepen[#All],4,1),2)</f>
        <v>Ve</v>
      </c>
      <c r="Q37" s="83"/>
      <c r="R37" s="84">
        <v>40</v>
      </c>
      <c r="S37" s="84" t="s">
        <v>318</v>
      </c>
      <c r="T37" s="85">
        <f>IF(R37&gt;0,IF(RIGHT(Ruimtestaat[[#This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" s="85">
        <f>IF(T37&gt;0,VLOOKUP($J37,Ruimtegroepen[],3,FALSE)*VLOOKUP($L37,Vloersoorten[],3,FALSE)*VLOOKUP($S37,Frequenties[],3,FALSE)*VLOOKUP($A37,Locaties[],3,FALSE),0)</f>
        <v>0</v>
      </c>
      <c r="V37" s="86">
        <f>Ruimtestaat[[#This Row],[Uitvoeringen werkdagen]]*Ruimtestaat[[#This Row],[Oppervlak (netto)]]</f>
        <v>2084</v>
      </c>
      <c r="W37" s="87">
        <f>IF(U37&gt;0,Ruimtestaat[[#This Row],[Prest. (m2 /jaar) werkdagen]]/Ruimtestaat[[#This Row],[Norm (m2/uur) werkdagen]],0)</f>
        <v>0</v>
      </c>
      <c r="X37" s="88">
        <f>Ruimtestaat[[#This Row],[uren / jaar werkdagen]]*Tariefsopbouw!$E$35</f>
        <v>0</v>
      </c>
      <c r="Y37" s="85"/>
      <c r="Z37" s="89">
        <f>IF(Ruimtestaat[[#This Row],[Frequentie weekend]]&gt;0,VALUE(LEFT(Y37,1))*R37,0)</f>
        <v>0</v>
      </c>
      <c r="AA37" s="85">
        <f>IF($Z37&gt;0,VLOOKUP($J37,Ruimtegroepen[],3,FALSE)*VLOOKUP($L37,Vloersoorten[],3,FALSE)*VLOOKUP($Y37,Frequenties[],3,FALSE)*VLOOKUP($A33,Locaties[],3,FALSE),0)</f>
        <v>0</v>
      </c>
      <c r="AB37" s="87">
        <f>Ruimtestaat[[#This Row],[Uitvoeringen weekend]]*Ruimtestaat[[#This Row],[Oppervlak (netto)]]</f>
        <v>0</v>
      </c>
      <c r="AC37" s="90">
        <f>IF(AB37&gt;0,Ruimtestaat[[#This Row],[Prest. (m2 /jaar) weekend]]/Ruimtestaat[[#This Row],[Norm (m2/uur) weekend]],0)</f>
        <v>0</v>
      </c>
      <c r="AD37" s="91">
        <f>Ruimtestaat[[#This Row],[uren / jaar weekend]]*Tariefsopbouw!$D$40</f>
        <v>0</v>
      </c>
      <c r="AE37" s="60">
        <f>Ruimtestaat[[#This Row],[Prest. (m2 /jaar) weekend]]+Ruimtestaat[[#This Row],[Prest. (m2 /jaar) werkdagen]]</f>
        <v>2084</v>
      </c>
      <c r="AF37" s="60">
        <f>Ruimtestaat[[#This Row],[uren / jaar weekend]]+Ruimtestaat[[#This Row],[uren / jaar werkdagen]]</f>
        <v>0</v>
      </c>
      <c r="AG37" s="61">
        <f>Ruimtestaat[[#This Row],[kosten / jaar weekend]]+Ruimtestaat[[#This Row],[kosten / jaar werkdagen]]</f>
        <v>0</v>
      </c>
      <c r="AH37" s="92"/>
      <c r="HL37" s="59"/>
    </row>
    <row r="38" spans="1:220">
      <c r="A38" s="24">
        <v>1</v>
      </c>
      <c r="B38" s="24" t="str">
        <f>VLOOKUP(Ruimtestaat[[#This Row],[Code]],Locaties[#All],2,FALSE)</f>
        <v>Boerhaave + buitenunits</v>
      </c>
      <c r="C38" s="24" t="str">
        <f>VLOOKUP(Ruimtestaat[[#This Row],[Code]],Locaties[#All],4,FALSE)</f>
        <v>Herman Boerhaavelaan 1</v>
      </c>
      <c r="D38" s="24" t="str">
        <f>VLOOKUP(Ruimtestaat[[#This Row],[Code]],Locaties[#All],5,FALSE)</f>
        <v>7415 ES</v>
      </c>
      <c r="E38" s="24" t="str">
        <f>VLOOKUP(Ruimtestaat[[#This Row],[Code]],Locaties[#All],6,FALSE)</f>
        <v>Deventer</v>
      </c>
      <c r="F38" s="54"/>
      <c r="G38" s="24" t="s">
        <v>367</v>
      </c>
      <c r="H38" s="24" t="s">
        <v>429</v>
      </c>
      <c r="I38" s="4" t="s">
        <v>426</v>
      </c>
      <c r="J38" s="24">
        <v>14</v>
      </c>
      <c r="K38" s="54" t="str">
        <f>VLOOKUP(J38,Ruimtegroepen[],2,FALSE)</f>
        <v>Praktijklokalen binas/zorg</v>
      </c>
      <c r="L38" s="24" t="s">
        <v>305</v>
      </c>
      <c r="M38" s="24" t="s">
        <v>400</v>
      </c>
      <c r="N38" s="94">
        <v>105.29</v>
      </c>
      <c r="O38" s="83"/>
      <c r="P38" s="93" t="str">
        <f>LEFT(VLOOKUP(Ruimtestaat[[#This Row],[Ruimte code]],Ruimtegroepen[#All],4,1),2)</f>
        <v>Le</v>
      </c>
      <c r="Q38" s="83"/>
      <c r="R38" s="84">
        <v>40</v>
      </c>
      <c r="S38" s="84" t="s">
        <v>318</v>
      </c>
      <c r="T38" s="85">
        <f>IF(R38&gt;0,IF(RIGHT(Ruimtestaat[[#This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" s="85">
        <f>IF(T38&gt;0,VLOOKUP($J38,Ruimtegroepen[],3,FALSE)*VLOOKUP($L38,Vloersoorten[],3,FALSE)*VLOOKUP($S38,Frequenties[],3,FALSE)*VLOOKUP($A38,Locaties[],3,FALSE),0)</f>
        <v>0</v>
      </c>
      <c r="V38" s="86">
        <f>Ruimtestaat[[#This Row],[Uitvoeringen werkdagen]]*Ruimtestaat[[#This Row],[Oppervlak (netto)]]</f>
        <v>21058</v>
      </c>
      <c r="W38" s="87">
        <f>IF(U38&gt;0,Ruimtestaat[[#This Row],[Prest. (m2 /jaar) werkdagen]]/Ruimtestaat[[#This Row],[Norm (m2/uur) werkdagen]],0)</f>
        <v>0</v>
      </c>
      <c r="X38" s="88">
        <f>Ruimtestaat[[#This Row],[uren / jaar werkdagen]]*Tariefsopbouw!$E$35</f>
        <v>0</v>
      </c>
      <c r="Y38" s="85"/>
      <c r="Z38" s="89">
        <f>IF(Ruimtestaat[[#This Row],[Frequentie weekend]]&gt;0,VALUE(LEFT(Y38,1))*R38,0)</f>
        <v>0</v>
      </c>
      <c r="AA38" s="85">
        <f>IF($Z38&gt;0,VLOOKUP($J38,Ruimtegroepen[],3,FALSE)*VLOOKUP($L38,Vloersoorten[],3,FALSE)*VLOOKUP($Y38,Frequenties[],3,FALSE)*VLOOKUP($A34,Locaties[],3,FALSE),0)</f>
        <v>0</v>
      </c>
      <c r="AB38" s="87">
        <f>Ruimtestaat[[#This Row],[Uitvoeringen weekend]]*Ruimtestaat[[#This Row],[Oppervlak (netto)]]</f>
        <v>0</v>
      </c>
      <c r="AC38" s="90">
        <f>IF(AB38&gt;0,Ruimtestaat[[#This Row],[Prest. (m2 /jaar) weekend]]/Ruimtestaat[[#This Row],[Norm (m2/uur) weekend]],0)</f>
        <v>0</v>
      </c>
      <c r="AD38" s="91">
        <f>Ruimtestaat[[#This Row],[uren / jaar weekend]]*Tariefsopbouw!$D$40</f>
        <v>0</v>
      </c>
      <c r="AE38" s="60">
        <f>Ruimtestaat[[#This Row],[Prest. (m2 /jaar) weekend]]+Ruimtestaat[[#This Row],[Prest. (m2 /jaar) werkdagen]]</f>
        <v>21058</v>
      </c>
      <c r="AF38" s="60">
        <f>Ruimtestaat[[#This Row],[uren / jaar weekend]]+Ruimtestaat[[#This Row],[uren / jaar werkdagen]]</f>
        <v>0</v>
      </c>
      <c r="AG38" s="61">
        <f>Ruimtestaat[[#This Row],[kosten / jaar weekend]]+Ruimtestaat[[#This Row],[kosten / jaar werkdagen]]</f>
        <v>0</v>
      </c>
      <c r="AH38" s="92"/>
      <c r="HL38" s="59"/>
    </row>
    <row r="39" spans="1:220">
      <c r="A39" s="24">
        <v>1</v>
      </c>
      <c r="B39" s="24" t="str">
        <f>VLOOKUP(Ruimtestaat[[#This Row],[Code]],Locaties[#All],2,FALSE)</f>
        <v>Boerhaave + buitenunits</v>
      </c>
      <c r="C39" s="24" t="str">
        <f>VLOOKUP(Ruimtestaat[[#This Row],[Code]],Locaties[#All],4,FALSE)</f>
        <v>Herman Boerhaavelaan 1</v>
      </c>
      <c r="D39" s="24" t="str">
        <f>VLOOKUP(Ruimtestaat[[#This Row],[Code]],Locaties[#All],5,FALSE)</f>
        <v>7415 ES</v>
      </c>
      <c r="E39" s="24" t="str">
        <f>VLOOKUP(Ruimtestaat[[#This Row],[Code]],Locaties[#All],6,FALSE)</f>
        <v>Deventer</v>
      </c>
      <c r="F39" s="54"/>
      <c r="G39" s="24" t="s">
        <v>367</v>
      </c>
      <c r="H39" s="24" t="s">
        <v>430</v>
      </c>
      <c r="I39" s="4" t="s">
        <v>426</v>
      </c>
      <c r="J39" s="24">
        <v>14</v>
      </c>
      <c r="K39" s="54" t="str">
        <f>VLOOKUP(J39,Ruimtegroepen[],2,FALSE)</f>
        <v>Praktijklokalen binas/zorg</v>
      </c>
      <c r="L39" s="24" t="s">
        <v>305</v>
      </c>
      <c r="M39" s="24" t="s">
        <v>400</v>
      </c>
      <c r="N39" s="83">
        <v>57.04</v>
      </c>
      <c r="O39" s="83"/>
      <c r="P39" s="93" t="str">
        <f>LEFT(VLOOKUP(Ruimtestaat[[#This Row],[Ruimte code]],Ruimtegroepen[#All],4,1),2)</f>
        <v>Le</v>
      </c>
      <c r="Q39" s="83"/>
      <c r="R39" s="84">
        <v>40</v>
      </c>
      <c r="S39" s="84" t="s">
        <v>318</v>
      </c>
      <c r="T39" s="85">
        <f>IF(R39&gt;0,IF(RIGHT(Ruimtestaat[[#This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" s="85">
        <f>IF(T39&gt;0,VLOOKUP($J39,Ruimtegroepen[],3,FALSE)*VLOOKUP($L39,Vloersoorten[],3,FALSE)*VLOOKUP($S39,Frequenties[],3,FALSE)*VLOOKUP($A39,Locaties[],3,FALSE),0)</f>
        <v>0</v>
      </c>
      <c r="V39" s="86">
        <f>Ruimtestaat[[#This Row],[Uitvoeringen werkdagen]]*Ruimtestaat[[#This Row],[Oppervlak (netto)]]</f>
        <v>11408</v>
      </c>
      <c r="W39" s="87">
        <f>IF(U39&gt;0,Ruimtestaat[[#This Row],[Prest. (m2 /jaar) werkdagen]]/Ruimtestaat[[#This Row],[Norm (m2/uur) werkdagen]],0)</f>
        <v>0</v>
      </c>
      <c r="X39" s="88">
        <f>Ruimtestaat[[#This Row],[uren / jaar werkdagen]]*Tariefsopbouw!$E$35</f>
        <v>0</v>
      </c>
      <c r="Y39" s="85"/>
      <c r="Z39" s="89">
        <f>IF(Ruimtestaat[[#This Row],[Frequentie weekend]]&gt;0,VALUE(LEFT(Y39,1))*R39,0)</f>
        <v>0</v>
      </c>
      <c r="AA39" s="85">
        <f>IF($Z39&gt;0,VLOOKUP($J39,Ruimtegroepen[],3,FALSE)*VLOOKUP($L39,Vloersoorten[],3,FALSE)*VLOOKUP($Y39,Frequenties[],3,FALSE)*VLOOKUP($A35,Locaties[],3,FALSE),0)</f>
        <v>0</v>
      </c>
      <c r="AB39" s="87">
        <f>Ruimtestaat[[#This Row],[Uitvoeringen weekend]]*Ruimtestaat[[#This Row],[Oppervlak (netto)]]</f>
        <v>0</v>
      </c>
      <c r="AC39" s="90">
        <f>IF(AB39&gt;0,Ruimtestaat[[#This Row],[Prest. (m2 /jaar) weekend]]/Ruimtestaat[[#This Row],[Norm (m2/uur) weekend]],0)</f>
        <v>0</v>
      </c>
      <c r="AD39" s="91">
        <f>Ruimtestaat[[#This Row],[uren / jaar weekend]]*Tariefsopbouw!$D$40</f>
        <v>0</v>
      </c>
      <c r="AE39" s="60">
        <f>Ruimtestaat[[#This Row],[Prest. (m2 /jaar) weekend]]+Ruimtestaat[[#This Row],[Prest. (m2 /jaar) werkdagen]]</f>
        <v>11408</v>
      </c>
      <c r="AF39" s="60">
        <f>Ruimtestaat[[#This Row],[uren / jaar weekend]]+Ruimtestaat[[#This Row],[uren / jaar werkdagen]]</f>
        <v>0</v>
      </c>
      <c r="AG39" s="61">
        <f>Ruimtestaat[[#This Row],[kosten / jaar weekend]]+Ruimtestaat[[#This Row],[kosten / jaar werkdagen]]</f>
        <v>0</v>
      </c>
      <c r="AH39" s="92"/>
      <c r="HL39" s="59"/>
    </row>
    <row r="40" spans="1:220">
      <c r="A40" s="24">
        <v>1</v>
      </c>
      <c r="B40" s="24" t="str">
        <f>VLOOKUP(Ruimtestaat[[#This Row],[Code]],Locaties[#All],2,FALSE)</f>
        <v>Boerhaave + buitenunits</v>
      </c>
      <c r="C40" s="24" t="str">
        <f>VLOOKUP(Ruimtestaat[[#This Row],[Code]],Locaties[#All],4,FALSE)</f>
        <v>Herman Boerhaavelaan 1</v>
      </c>
      <c r="D40" s="24" t="str">
        <f>VLOOKUP(Ruimtestaat[[#This Row],[Code]],Locaties[#All],5,FALSE)</f>
        <v>7415 ES</v>
      </c>
      <c r="E40" s="24" t="str">
        <f>VLOOKUP(Ruimtestaat[[#This Row],[Code]],Locaties[#All],6,FALSE)</f>
        <v>Deventer</v>
      </c>
      <c r="F40" s="54"/>
      <c r="G40" s="24" t="s">
        <v>367</v>
      </c>
      <c r="H40" s="24" t="s">
        <v>431</v>
      </c>
      <c r="I40" s="4" t="s">
        <v>432</v>
      </c>
      <c r="J40" s="24">
        <v>12</v>
      </c>
      <c r="K40" s="54" t="str">
        <f>VLOOKUP(J40,Ruimtegroepen[],2,FALSE)</f>
        <v>Kantine</v>
      </c>
      <c r="L40" s="24" t="s">
        <v>311</v>
      </c>
      <c r="M40" s="24" t="s">
        <v>370</v>
      </c>
      <c r="N40" s="83">
        <v>393.38</v>
      </c>
      <c r="O40" s="83"/>
      <c r="P40" s="93" t="str">
        <f>LEFT(VLOOKUP(Ruimtestaat[[#This Row],[Ruimte code]],Ruimtegroepen[#All],4,1),2)</f>
        <v>Ve</v>
      </c>
      <c r="Q40" s="83"/>
      <c r="R40" s="84">
        <v>40</v>
      </c>
      <c r="S40" s="84" t="s">
        <v>318</v>
      </c>
      <c r="T40" s="85">
        <f>IF(R40&gt;0,IF(RIGHT(Ruimtestaat[[#This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" s="85">
        <f>IF(T40&gt;0,VLOOKUP($J40,Ruimtegroepen[],3,FALSE)*VLOOKUP($L40,Vloersoorten[],3,FALSE)*VLOOKUP($S40,Frequenties[],3,FALSE)*VLOOKUP($A40,Locaties[],3,FALSE),0)</f>
        <v>0</v>
      </c>
      <c r="V40" s="86">
        <f>Ruimtestaat[[#This Row],[Uitvoeringen werkdagen]]*Ruimtestaat[[#This Row],[Oppervlak (netto)]]</f>
        <v>78676</v>
      </c>
      <c r="W40" s="87">
        <f>IF(U40&gt;0,Ruimtestaat[[#This Row],[Prest. (m2 /jaar) werkdagen]]/Ruimtestaat[[#This Row],[Norm (m2/uur) werkdagen]],0)</f>
        <v>0</v>
      </c>
      <c r="X40" s="88">
        <f>Ruimtestaat[[#This Row],[uren / jaar werkdagen]]*Tariefsopbouw!$E$35</f>
        <v>0</v>
      </c>
      <c r="Y40" s="85"/>
      <c r="Z40" s="89">
        <f>IF(Ruimtestaat[[#This Row],[Frequentie weekend]]&gt;0,VALUE(LEFT(Y40,1))*R40,0)</f>
        <v>0</v>
      </c>
      <c r="AA40" s="85">
        <f>IF($Z40&gt;0,VLOOKUP($J40,Ruimtegroepen[],3,FALSE)*VLOOKUP($L40,Vloersoorten[],3,FALSE)*VLOOKUP($Y40,Frequenties[],3,FALSE)*VLOOKUP($A36,Locaties[],3,FALSE),0)</f>
        <v>0</v>
      </c>
      <c r="AB40" s="87">
        <f>Ruimtestaat[[#This Row],[Uitvoeringen weekend]]*Ruimtestaat[[#This Row],[Oppervlak (netto)]]</f>
        <v>0</v>
      </c>
      <c r="AC40" s="90">
        <f>IF(AB40&gt;0,Ruimtestaat[[#This Row],[Prest. (m2 /jaar) weekend]]/Ruimtestaat[[#This Row],[Norm (m2/uur) weekend]],0)</f>
        <v>0</v>
      </c>
      <c r="AD40" s="91">
        <f>Ruimtestaat[[#This Row],[uren / jaar weekend]]*Tariefsopbouw!$D$40</f>
        <v>0</v>
      </c>
      <c r="AE40" s="60">
        <f>Ruimtestaat[[#This Row],[Prest. (m2 /jaar) weekend]]+Ruimtestaat[[#This Row],[Prest. (m2 /jaar) werkdagen]]</f>
        <v>78676</v>
      </c>
      <c r="AF40" s="60">
        <f>Ruimtestaat[[#This Row],[uren / jaar weekend]]+Ruimtestaat[[#This Row],[uren / jaar werkdagen]]</f>
        <v>0</v>
      </c>
      <c r="AG40" s="61">
        <f>Ruimtestaat[[#This Row],[kosten / jaar weekend]]+Ruimtestaat[[#This Row],[kosten / jaar werkdagen]]</f>
        <v>0</v>
      </c>
      <c r="AH40" s="92"/>
      <c r="HL40" s="59"/>
    </row>
    <row r="41" spans="1:220">
      <c r="A41" s="24">
        <v>1</v>
      </c>
      <c r="B41" s="24" t="str">
        <f>VLOOKUP(Ruimtestaat[[#This Row],[Code]],Locaties[#All],2,FALSE)</f>
        <v>Boerhaave + buitenunits</v>
      </c>
      <c r="C41" s="24" t="str">
        <f>VLOOKUP(Ruimtestaat[[#This Row],[Code]],Locaties[#All],4,FALSE)</f>
        <v>Herman Boerhaavelaan 1</v>
      </c>
      <c r="D41" s="24" t="str">
        <f>VLOOKUP(Ruimtestaat[[#This Row],[Code]],Locaties[#All],5,FALSE)</f>
        <v>7415 ES</v>
      </c>
      <c r="E41" s="24" t="str">
        <f>VLOOKUP(Ruimtestaat[[#This Row],[Code]],Locaties[#All],6,FALSE)</f>
        <v>Deventer</v>
      </c>
      <c r="F41" s="54"/>
      <c r="G41" s="24" t="s">
        <v>367</v>
      </c>
      <c r="H41" s="24" t="s">
        <v>433</v>
      </c>
      <c r="I41" s="4" t="s">
        <v>434</v>
      </c>
      <c r="J41" s="24">
        <v>8</v>
      </c>
      <c r="K41" s="54" t="str">
        <f>VLOOKUP(J41,Ruimtegroepen[],2,FALSE)</f>
        <v>Mediatheek / OLC</v>
      </c>
      <c r="L41" s="24" t="s">
        <v>311</v>
      </c>
      <c r="M41" s="24" t="s">
        <v>370</v>
      </c>
      <c r="N41" s="83">
        <v>234.91</v>
      </c>
      <c r="O41" s="83"/>
      <c r="P41" s="93" t="str">
        <f>LEFT(VLOOKUP(Ruimtestaat[[#This Row],[Ruimte code]],Ruimtegroepen[#All],4,1),2)</f>
        <v>Le</v>
      </c>
      <c r="Q41" s="83"/>
      <c r="R41" s="84">
        <v>40</v>
      </c>
      <c r="S41" s="84" t="s">
        <v>318</v>
      </c>
      <c r="T41" s="85">
        <f>IF(R41&gt;0,IF(RIGHT(Ruimtestaat[[#This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" s="85">
        <f>IF(T41&gt;0,VLOOKUP($J41,Ruimtegroepen[],3,FALSE)*VLOOKUP($L41,Vloersoorten[],3,FALSE)*VLOOKUP($S41,Frequenties[],3,FALSE)*VLOOKUP($A41,Locaties[],3,FALSE),0)</f>
        <v>0</v>
      </c>
      <c r="V41" s="86">
        <f>Ruimtestaat[[#This Row],[Uitvoeringen werkdagen]]*Ruimtestaat[[#This Row],[Oppervlak (netto)]]</f>
        <v>46982</v>
      </c>
      <c r="W41" s="87">
        <f>IF(U41&gt;0,Ruimtestaat[[#This Row],[Prest. (m2 /jaar) werkdagen]]/Ruimtestaat[[#This Row],[Norm (m2/uur) werkdagen]],0)</f>
        <v>0</v>
      </c>
      <c r="X41" s="88">
        <f>Ruimtestaat[[#This Row],[uren / jaar werkdagen]]*Tariefsopbouw!$E$35</f>
        <v>0</v>
      </c>
      <c r="Y41" s="85"/>
      <c r="Z41" s="89">
        <f>IF(Ruimtestaat[[#This Row],[Frequentie weekend]]&gt;0,VALUE(LEFT(Y41,1))*R41,0)</f>
        <v>0</v>
      </c>
      <c r="AA41" s="85">
        <f>IF($Z41&gt;0,VLOOKUP($J41,Ruimtegroepen[],3,FALSE)*VLOOKUP($L41,Vloersoorten[],3,FALSE)*VLOOKUP($Y41,Frequenties[],3,FALSE)*VLOOKUP($A37,Locaties[],3,FALSE),0)</f>
        <v>0</v>
      </c>
      <c r="AB41" s="87">
        <f>Ruimtestaat[[#This Row],[Uitvoeringen weekend]]*Ruimtestaat[[#This Row],[Oppervlak (netto)]]</f>
        <v>0</v>
      </c>
      <c r="AC41" s="90">
        <f>IF(AB41&gt;0,Ruimtestaat[[#This Row],[Prest. (m2 /jaar) weekend]]/Ruimtestaat[[#This Row],[Norm (m2/uur) weekend]],0)</f>
        <v>0</v>
      </c>
      <c r="AD41" s="91">
        <f>Ruimtestaat[[#This Row],[uren / jaar weekend]]*Tariefsopbouw!$D$40</f>
        <v>0</v>
      </c>
      <c r="AE41" s="60">
        <f>Ruimtestaat[[#This Row],[Prest. (m2 /jaar) weekend]]+Ruimtestaat[[#This Row],[Prest. (m2 /jaar) werkdagen]]</f>
        <v>46982</v>
      </c>
      <c r="AF41" s="60">
        <f>Ruimtestaat[[#This Row],[uren / jaar weekend]]+Ruimtestaat[[#This Row],[uren / jaar werkdagen]]</f>
        <v>0</v>
      </c>
      <c r="AG41" s="61">
        <f>Ruimtestaat[[#This Row],[kosten / jaar weekend]]+Ruimtestaat[[#This Row],[kosten / jaar werkdagen]]</f>
        <v>0</v>
      </c>
      <c r="AH41" s="92"/>
      <c r="HL41" s="59"/>
    </row>
    <row r="42" spans="1:220">
      <c r="A42" s="24">
        <v>1</v>
      </c>
      <c r="B42" s="24" t="str">
        <f>VLOOKUP(Ruimtestaat[[#This Row],[Code]],Locaties[#All],2,FALSE)</f>
        <v>Boerhaave + buitenunits</v>
      </c>
      <c r="C42" s="24" t="str">
        <f>VLOOKUP(Ruimtestaat[[#This Row],[Code]],Locaties[#All],4,FALSE)</f>
        <v>Herman Boerhaavelaan 1</v>
      </c>
      <c r="D42" s="24" t="str">
        <f>VLOOKUP(Ruimtestaat[[#This Row],[Code]],Locaties[#All],5,FALSE)</f>
        <v>7415 ES</v>
      </c>
      <c r="E42" s="24" t="str">
        <f>VLOOKUP(Ruimtestaat[[#This Row],[Code]],Locaties[#All],6,FALSE)</f>
        <v>Deventer</v>
      </c>
      <c r="F42" s="54"/>
      <c r="G42" s="24" t="s">
        <v>367</v>
      </c>
      <c r="H42" s="24" t="s">
        <v>435</v>
      </c>
      <c r="I42" s="4" t="s">
        <v>436</v>
      </c>
      <c r="J42" s="24">
        <v>2</v>
      </c>
      <c r="K42" s="54" t="str">
        <f>VLOOKUP(J42,Ruimtegroepen[],2,FALSE)</f>
        <v>Kantoren</v>
      </c>
      <c r="L42" s="24" t="s">
        <v>311</v>
      </c>
      <c r="M42" s="24" t="s">
        <v>370</v>
      </c>
      <c r="N42" s="83">
        <v>27.91</v>
      </c>
      <c r="O42" s="83"/>
      <c r="P42" s="93" t="str">
        <f>LEFT(VLOOKUP(Ruimtestaat[[#This Row],[Ruimte code]],Ruimtegroepen[#All],4,1),2)</f>
        <v>Bu</v>
      </c>
      <c r="Q42" s="83"/>
      <c r="R42" s="84">
        <v>42</v>
      </c>
      <c r="S42" s="84" t="s">
        <v>322</v>
      </c>
      <c r="T42" s="85">
        <f>IF(R42&gt;0,IF(RIGHT(Ruimtestaat[[#This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2" s="85">
        <f>IF(T42&gt;0,VLOOKUP($J42,Ruimtegroepen[],3,FALSE)*VLOOKUP($L42,Vloersoorten[],3,FALSE)*VLOOKUP($S42,Frequenties[],3,FALSE)*VLOOKUP($A42,Locaties[],3,FALSE),0)</f>
        <v>0</v>
      </c>
      <c r="V42" s="86">
        <f>Ruimtestaat[[#This Row],[Uitvoeringen werkdagen]]*Ruimtestaat[[#This Row],[Oppervlak (netto)]]</f>
        <v>3516.66</v>
      </c>
      <c r="W42" s="87">
        <f>IF(U42&gt;0,Ruimtestaat[[#This Row],[Prest. (m2 /jaar) werkdagen]]/Ruimtestaat[[#This Row],[Norm (m2/uur) werkdagen]],0)</f>
        <v>0</v>
      </c>
      <c r="X42" s="88">
        <f>Ruimtestaat[[#This Row],[uren / jaar werkdagen]]*Tariefsopbouw!$E$35</f>
        <v>0</v>
      </c>
      <c r="Y42" s="85"/>
      <c r="Z42" s="89">
        <f>IF(Ruimtestaat[[#This Row],[Frequentie weekend]]&gt;0,VALUE(LEFT(Y42,1))*R42,0)</f>
        <v>0</v>
      </c>
      <c r="AA42" s="85">
        <f>IF($Z42&gt;0,VLOOKUP($J42,Ruimtegroepen[],3,FALSE)*VLOOKUP($L42,Vloersoorten[],3,FALSE)*VLOOKUP($Y42,Frequenties[],3,FALSE)*VLOOKUP($A38,Locaties[],3,FALSE),0)</f>
        <v>0</v>
      </c>
      <c r="AB42" s="87">
        <f>Ruimtestaat[[#This Row],[Uitvoeringen weekend]]*Ruimtestaat[[#This Row],[Oppervlak (netto)]]</f>
        <v>0</v>
      </c>
      <c r="AC42" s="90">
        <f>IF(AB42&gt;0,Ruimtestaat[[#This Row],[Prest. (m2 /jaar) weekend]]/Ruimtestaat[[#This Row],[Norm (m2/uur) weekend]],0)</f>
        <v>0</v>
      </c>
      <c r="AD42" s="91">
        <f>Ruimtestaat[[#This Row],[uren / jaar weekend]]*Tariefsopbouw!$D$40</f>
        <v>0</v>
      </c>
      <c r="AE42" s="60">
        <f>Ruimtestaat[[#This Row],[Prest. (m2 /jaar) weekend]]+Ruimtestaat[[#This Row],[Prest. (m2 /jaar) werkdagen]]</f>
        <v>3516.66</v>
      </c>
      <c r="AF42" s="60">
        <f>Ruimtestaat[[#This Row],[uren / jaar weekend]]+Ruimtestaat[[#This Row],[uren / jaar werkdagen]]</f>
        <v>0</v>
      </c>
      <c r="AG42" s="61">
        <f>Ruimtestaat[[#This Row],[kosten / jaar weekend]]+Ruimtestaat[[#This Row],[kosten / jaar werkdagen]]</f>
        <v>0</v>
      </c>
      <c r="AH42" s="92"/>
      <c r="HL42" s="59"/>
    </row>
    <row r="43" spans="1:220">
      <c r="A43" s="24">
        <v>1</v>
      </c>
      <c r="B43" s="24" t="str">
        <f>VLOOKUP(Ruimtestaat[[#This Row],[Code]],Locaties[#All],2,FALSE)</f>
        <v>Boerhaave + buitenunits</v>
      </c>
      <c r="C43" s="24" t="str">
        <f>VLOOKUP(Ruimtestaat[[#This Row],[Code]],Locaties[#All],4,FALSE)</f>
        <v>Herman Boerhaavelaan 1</v>
      </c>
      <c r="D43" s="24" t="str">
        <f>VLOOKUP(Ruimtestaat[[#This Row],[Code]],Locaties[#All],5,FALSE)</f>
        <v>7415 ES</v>
      </c>
      <c r="E43" s="24" t="str">
        <f>VLOOKUP(Ruimtestaat[[#This Row],[Code]],Locaties[#All],6,FALSE)</f>
        <v>Deventer</v>
      </c>
      <c r="F43" s="54"/>
      <c r="G43" s="24" t="s">
        <v>367</v>
      </c>
      <c r="H43" s="24" t="s">
        <v>437</v>
      </c>
      <c r="I43" s="4" t="s">
        <v>384</v>
      </c>
      <c r="J43" s="24">
        <v>4</v>
      </c>
      <c r="K43" s="54" t="str">
        <f>VLOOKUP(J43,Ruimtegroepen[],2,FALSE)</f>
        <v>Vergader/spreekkamers</v>
      </c>
      <c r="L43" s="24" t="s">
        <v>311</v>
      </c>
      <c r="M43" s="24" t="s">
        <v>370</v>
      </c>
      <c r="N43" s="83">
        <v>9.1</v>
      </c>
      <c r="O43" s="83"/>
      <c r="P43" s="93" t="str">
        <f>LEFT(VLOOKUP(Ruimtestaat[[#This Row],[Ruimte code]],Ruimtegroepen[#All],4,1),2)</f>
        <v>Bu</v>
      </c>
      <c r="Q43" s="83"/>
      <c r="R43" s="84">
        <v>40</v>
      </c>
      <c r="S43" s="84" t="s">
        <v>322</v>
      </c>
      <c r="T43" s="85">
        <f>IF(R43&gt;0,IF(RIGHT(Ruimtestaat[[#This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3" s="85">
        <f>IF(T43&gt;0,VLOOKUP($J43,Ruimtegroepen[],3,FALSE)*VLOOKUP($L43,Vloersoorten[],3,FALSE)*VLOOKUP($S43,Frequenties[],3,FALSE)*VLOOKUP($A43,Locaties[],3,FALSE),0)</f>
        <v>0</v>
      </c>
      <c r="V43" s="86">
        <f>Ruimtestaat[[#This Row],[Uitvoeringen werkdagen]]*Ruimtestaat[[#This Row],[Oppervlak (netto)]]</f>
        <v>1092</v>
      </c>
      <c r="W43" s="87">
        <f>IF(U43&gt;0,Ruimtestaat[[#This Row],[Prest. (m2 /jaar) werkdagen]]/Ruimtestaat[[#This Row],[Norm (m2/uur) werkdagen]],0)</f>
        <v>0</v>
      </c>
      <c r="X43" s="88">
        <f>Ruimtestaat[[#This Row],[uren / jaar werkdagen]]*Tariefsopbouw!$E$35</f>
        <v>0</v>
      </c>
      <c r="Y43" s="85"/>
      <c r="Z43" s="89">
        <f>IF(Ruimtestaat[[#This Row],[Frequentie weekend]]&gt;0,VALUE(LEFT(Y43,1))*R43,0)</f>
        <v>0</v>
      </c>
      <c r="AA43" s="85">
        <f>IF($Z43&gt;0,VLOOKUP($J43,Ruimtegroepen[],3,FALSE)*VLOOKUP($L43,Vloersoorten[],3,FALSE)*VLOOKUP($Y43,Frequenties[],3,FALSE)*VLOOKUP($A39,Locaties[],3,FALSE),0)</f>
        <v>0</v>
      </c>
      <c r="AB43" s="87">
        <f>Ruimtestaat[[#This Row],[Uitvoeringen weekend]]*Ruimtestaat[[#This Row],[Oppervlak (netto)]]</f>
        <v>0</v>
      </c>
      <c r="AC43" s="90">
        <f>IF(AB43&gt;0,Ruimtestaat[[#This Row],[Prest. (m2 /jaar) weekend]]/Ruimtestaat[[#This Row],[Norm (m2/uur) weekend]],0)</f>
        <v>0</v>
      </c>
      <c r="AD43" s="91">
        <f>Ruimtestaat[[#This Row],[uren / jaar weekend]]*Tariefsopbouw!$D$40</f>
        <v>0</v>
      </c>
      <c r="AE43" s="60">
        <f>Ruimtestaat[[#This Row],[Prest. (m2 /jaar) weekend]]+Ruimtestaat[[#This Row],[Prest. (m2 /jaar) werkdagen]]</f>
        <v>1092</v>
      </c>
      <c r="AF43" s="60">
        <f>Ruimtestaat[[#This Row],[uren / jaar weekend]]+Ruimtestaat[[#This Row],[uren / jaar werkdagen]]</f>
        <v>0</v>
      </c>
      <c r="AG43" s="61">
        <f>Ruimtestaat[[#This Row],[kosten / jaar weekend]]+Ruimtestaat[[#This Row],[kosten / jaar werkdagen]]</f>
        <v>0</v>
      </c>
      <c r="AH43" s="92"/>
      <c r="HL43" s="59"/>
    </row>
    <row r="44" spans="1:220">
      <c r="A44" s="24">
        <v>1</v>
      </c>
      <c r="B44" s="24" t="str">
        <f>VLOOKUP(Ruimtestaat[[#This Row],[Code]],Locaties[#All],2,FALSE)</f>
        <v>Boerhaave + buitenunits</v>
      </c>
      <c r="C44" s="24" t="str">
        <f>VLOOKUP(Ruimtestaat[[#This Row],[Code]],Locaties[#All],4,FALSE)</f>
        <v>Herman Boerhaavelaan 1</v>
      </c>
      <c r="D44" s="24" t="str">
        <f>VLOOKUP(Ruimtestaat[[#This Row],[Code]],Locaties[#All],5,FALSE)</f>
        <v>7415 ES</v>
      </c>
      <c r="E44" s="24" t="str">
        <f>VLOOKUP(Ruimtestaat[[#This Row],[Code]],Locaties[#All],6,FALSE)</f>
        <v>Deventer</v>
      </c>
      <c r="F44" s="54"/>
      <c r="G44" s="24" t="s">
        <v>367</v>
      </c>
      <c r="H44" s="24" t="s">
        <v>438</v>
      </c>
      <c r="I44" s="4" t="s">
        <v>439</v>
      </c>
      <c r="J44" s="24">
        <v>16</v>
      </c>
      <c r="K44" s="54" t="str">
        <f>VLOOKUP(J44,Ruimtegroepen[],2,FALSE)</f>
        <v>Leslokalen theorie</v>
      </c>
      <c r="L44" s="24" t="s">
        <v>311</v>
      </c>
      <c r="M44" s="24" t="s">
        <v>370</v>
      </c>
      <c r="N44" s="83">
        <v>66.5</v>
      </c>
      <c r="O44" s="83"/>
      <c r="P44" s="93" t="str">
        <f>LEFT(VLOOKUP(Ruimtestaat[[#This Row],[Ruimte code]],Ruimtegroepen[#All],4,1),2)</f>
        <v>Le</v>
      </c>
      <c r="Q44" s="83"/>
      <c r="R44" s="84">
        <v>40</v>
      </c>
      <c r="S44" s="84" t="s">
        <v>318</v>
      </c>
      <c r="T44" s="85">
        <f>IF(R44&gt;0,IF(RIGHT(Ruimtestaat[[#This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" s="85">
        <f>IF(T44&gt;0,VLOOKUP($J44,Ruimtegroepen[],3,FALSE)*VLOOKUP($L44,Vloersoorten[],3,FALSE)*VLOOKUP($S44,Frequenties[],3,FALSE)*VLOOKUP($A44,Locaties[],3,FALSE),0)</f>
        <v>0</v>
      </c>
      <c r="V44" s="86">
        <f>Ruimtestaat[[#This Row],[Uitvoeringen werkdagen]]*Ruimtestaat[[#This Row],[Oppervlak (netto)]]</f>
        <v>13300</v>
      </c>
      <c r="W44" s="87">
        <f>IF(U44&gt;0,Ruimtestaat[[#This Row],[Prest. (m2 /jaar) werkdagen]]/Ruimtestaat[[#This Row],[Norm (m2/uur) werkdagen]],0)</f>
        <v>0</v>
      </c>
      <c r="X44" s="88">
        <f>Ruimtestaat[[#This Row],[uren / jaar werkdagen]]*Tariefsopbouw!$E$35</f>
        <v>0</v>
      </c>
      <c r="Y44" s="85"/>
      <c r="Z44" s="89">
        <f>IF(Ruimtestaat[[#This Row],[Frequentie weekend]]&gt;0,VALUE(LEFT(Y44,1))*R44,0)</f>
        <v>0</v>
      </c>
      <c r="AA44" s="85">
        <f>IF($Z44&gt;0,VLOOKUP($J44,Ruimtegroepen[],3,FALSE)*VLOOKUP($L44,Vloersoorten[],3,FALSE)*VLOOKUP($Y44,Frequenties[],3,FALSE)*VLOOKUP($A40,Locaties[],3,FALSE),0)</f>
        <v>0</v>
      </c>
      <c r="AB44" s="87">
        <f>Ruimtestaat[[#This Row],[Uitvoeringen weekend]]*Ruimtestaat[[#This Row],[Oppervlak (netto)]]</f>
        <v>0</v>
      </c>
      <c r="AC44" s="90">
        <f>IF(AB44&gt;0,Ruimtestaat[[#This Row],[Prest. (m2 /jaar) weekend]]/Ruimtestaat[[#This Row],[Norm (m2/uur) weekend]],0)</f>
        <v>0</v>
      </c>
      <c r="AD44" s="91">
        <f>Ruimtestaat[[#This Row],[uren / jaar weekend]]*Tariefsopbouw!$D$40</f>
        <v>0</v>
      </c>
      <c r="AE44" s="60">
        <f>Ruimtestaat[[#This Row],[Prest. (m2 /jaar) weekend]]+Ruimtestaat[[#This Row],[Prest. (m2 /jaar) werkdagen]]</f>
        <v>13300</v>
      </c>
      <c r="AF44" s="60">
        <f>Ruimtestaat[[#This Row],[uren / jaar weekend]]+Ruimtestaat[[#This Row],[uren / jaar werkdagen]]</f>
        <v>0</v>
      </c>
      <c r="AG44" s="61">
        <f>Ruimtestaat[[#This Row],[kosten / jaar weekend]]+Ruimtestaat[[#This Row],[kosten / jaar werkdagen]]</f>
        <v>0</v>
      </c>
      <c r="AH44" s="92"/>
      <c r="HL44" s="59"/>
    </row>
    <row r="45" spans="1:220">
      <c r="A45" s="24">
        <v>1</v>
      </c>
      <c r="B45" s="24" t="str">
        <f>VLOOKUP(Ruimtestaat[[#This Row],[Code]],Locaties[#All],2,FALSE)</f>
        <v>Boerhaave + buitenunits</v>
      </c>
      <c r="C45" s="24" t="str">
        <f>VLOOKUP(Ruimtestaat[[#This Row],[Code]],Locaties[#All],4,FALSE)</f>
        <v>Herman Boerhaavelaan 1</v>
      </c>
      <c r="D45" s="24" t="str">
        <f>VLOOKUP(Ruimtestaat[[#This Row],[Code]],Locaties[#All],5,FALSE)</f>
        <v>7415 ES</v>
      </c>
      <c r="E45" s="24" t="str">
        <f>VLOOKUP(Ruimtestaat[[#This Row],[Code]],Locaties[#All],6,FALSE)</f>
        <v>Deventer</v>
      </c>
      <c r="F45" s="54"/>
      <c r="G45" s="24" t="s">
        <v>367</v>
      </c>
      <c r="H45" s="24" t="s">
        <v>440</v>
      </c>
      <c r="I45" s="4" t="s">
        <v>436</v>
      </c>
      <c r="J45" s="24">
        <v>2</v>
      </c>
      <c r="K45" s="54" t="str">
        <f>VLOOKUP(J45,Ruimtegroepen[],2,FALSE)</f>
        <v>Kantoren</v>
      </c>
      <c r="L45" s="24" t="s">
        <v>311</v>
      </c>
      <c r="M45" s="24" t="s">
        <v>370</v>
      </c>
      <c r="N45" s="83">
        <v>18.21</v>
      </c>
      <c r="O45" s="83"/>
      <c r="P45" s="93" t="str">
        <f>LEFT(VLOOKUP(Ruimtestaat[[#This Row],[Ruimte code]],Ruimtegroepen[#All],4,1),2)</f>
        <v>Bu</v>
      </c>
      <c r="Q45" s="83"/>
      <c r="R45" s="84">
        <v>42</v>
      </c>
      <c r="S45" s="84" t="s">
        <v>322</v>
      </c>
      <c r="T45" s="85">
        <f>IF(R45&gt;0,IF(RIGHT(Ruimtestaat[[#This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5" s="85">
        <f>IF(T45&gt;0,VLOOKUP($J45,Ruimtegroepen[],3,FALSE)*VLOOKUP($L45,Vloersoorten[],3,FALSE)*VLOOKUP($S45,Frequenties[],3,FALSE)*VLOOKUP($A45,Locaties[],3,FALSE),0)</f>
        <v>0</v>
      </c>
      <c r="V45" s="86">
        <f>Ruimtestaat[[#This Row],[Uitvoeringen werkdagen]]*Ruimtestaat[[#This Row],[Oppervlak (netto)]]</f>
        <v>2294.46</v>
      </c>
      <c r="W45" s="87">
        <f>IF(U45&gt;0,Ruimtestaat[[#This Row],[Prest. (m2 /jaar) werkdagen]]/Ruimtestaat[[#This Row],[Norm (m2/uur) werkdagen]],0)</f>
        <v>0</v>
      </c>
      <c r="X45" s="88">
        <f>Ruimtestaat[[#This Row],[uren / jaar werkdagen]]*Tariefsopbouw!$E$35</f>
        <v>0</v>
      </c>
      <c r="Y45" s="85"/>
      <c r="Z45" s="89">
        <f>IF(Ruimtestaat[[#This Row],[Frequentie weekend]]&gt;0,VALUE(LEFT(Y45,1))*R45,0)</f>
        <v>0</v>
      </c>
      <c r="AA45" s="85">
        <f>IF($Z45&gt;0,VLOOKUP($J45,Ruimtegroepen[],3,FALSE)*VLOOKUP($L45,Vloersoorten[],3,FALSE)*VLOOKUP($Y45,Frequenties[],3,FALSE)*VLOOKUP($A41,Locaties[],3,FALSE),0)</f>
        <v>0</v>
      </c>
      <c r="AB45" s="87">
        <f>Ruimtestaat[[#This Row],[Uitvoeringen weekend]]*Ruimtestaat[[#This Row],[Oppervlak (netto)]]</f>
        <v>0</v>
      </c>
      <c r="AC45" s="90">
        <f>IF(AB45&gt;0,Ruimtestaat[[#This Row],[Prest. (m2 /jaar) weekend]]/Ruimtestaat[[#This Row],[Norm (m2/uur) weekend]],0)</f>
        <v>0</v>
      </c>
      <c r="AD45" s="91">
        <f>Ruimtestaat[[#This Row],[uren / jaar weekend]]*Tariefsopbouw!$D$40</f>
        <v>0</v>
      </c>
      <c r="AE45" s="60">
        <f>Ruimtestaat[[#This Row],[Prest. (m2 /jaar) weekend]]+Ruimtestaat[[#This Row],[Prest. (m2 /jaar) werkdagen]]</f>
        <v>2294.46</v>
      </c>
      <c r="AF45" s="60">
        <f>Ruimtestaat[[#This Row],[uren / jaar weekend]]+Ruimtestaat[[#This Row],[uren / jaar werkdagen]]</f>
        <v>0</v>
      </c>
      <c r="AG45" s="61">
        <f>Ruimtestaat[[#This Row],[kosten / jaar weekend]]+Ruimtestaat[[#This Row],[kosten / jaar werkdagen]]</f>
        <v>0</v>
      </c>
      <c r="AH45" s="92"/>
      <c r="HL45" s="59"/>
    </row>
    <row r="46" spans="1:220">
      <c r="A46" s="24">
        <v>1</v>
      </c>
      <c r="B46" s="24" t="str">
        <f>VLOOKUP(Ruimtestaat[[#This Row],[Code]],Locaties[#All],2,FALSE)</f>
        <v>Boerhaave + buitenunits</v>
      </c>
      <c r="C46" s="24" t="str">
        <f>VLOOKUP(Ruimtestaat[[#This Row],[Code]],Locaties[#All],4,FALSE)</f>
        <v>Herman Boerhaavelaan 1</v>
      </c>
      <c r="D46" s="24" t="str">
        <f>VLOOKUP(Ruimtestaat[[#This Row],[Code]],Locaties[#All],5,FALSE)</f>
        <v>7415 ES</v>
      </c>
      <c r="E46" s="24" t="str">
        <f>VLOOKUP(Ruimtestaat[[#This Row],[Code]],Locaties[#All],6,FALSE)</f>
        <v>Deventer</v>
      </c>
      <c r="F46" s="54"/>
      <c r="G46" s="24" t="s">
        <v>367</v>
      </c>
      <c r="H46" s="24" t="s">
        <v>441</v>
      </c>
      <c r="I46" s="4" t="s">
        <v>442</v>
      </c>
      <c r="J46" s="24">
        <v>7</v>
      </c>
      <c r="K46" s="54" t="str">
        <f>VLOOKUP(J46,Ruimtegroepen[],2,FALSE)</f>
        <v>Entree</v>
      </c>
      <c r="L46" s="24" t="s">
        <v>303</v>
      </c>
      <c r="M46" s="24" t="s">
        <v>443</v>
      </c>
      <c r="N46" s="83">
        <v>22.97</v>
      </c>
      <c r="O46" s="83"/>
      <c r="P46" s="93" t="str">
        <f>LEFT(VLOOKUP(Ruimtestaat[[#This Row],[Ruimte code]],Ruimtegroepen[#All],4,1),2)</f>
        <v>Ve</v>
      </c>
      <c r="Q46" s="83"/>
      <c r="R46" s="84">
        <v>40</v>
      </c>
      <c r="S46" s="84" t="s">
        <v>318</v>
      </c>
      <c r="T46" s="85">
        <f>IF(R46&gt;0,IF(RIGHT(Ruimtestaat[[#This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" s="85">
        <f>IF(T46&gt;0,VLOOKUP($J46,Ruimtegroepen[],3,FALSE)*VLOOKUP($L46,Vloersoorten[],3,FALSE)*VLOOKUP($S46,Frequenties[],3,FALSE)*VLOOKUP($A46,Locaties[],3,FALSE),0)</f>
        <v>0</v>
      </c>
      <c r="V46" s="86">
        <f>Ruimtestaat[[#This Row],[Uitvoeringen werkdagen]]*Ruimtestaat[[#This Row],[Oppervlak (netto)]]</f>
        <v>4594</v>
      </c>
      <c r="W46" s="87">
        <f>IF(U46&gt;0,Ruimtestaat[[#This Row],[Prest. (m2 /jaar) werkdagen]]/Ruimtestaat[[#This Row],[Norm (m2/uur) werkdagen]],0)</f>
        <v>0</v>
      </c>
      <c r="X46" s="88">
        <f>Ruimtestaat[[#This Row],[uren / jaar werkdagen]]*Tariefsopbouw!$E$35</f>
        <v>0</v>
      </c>
      <c r="Y46" s="85"/>
      <c r="Z46" s="89">
        <f>IF(Ruimtestaat[[#This Row],[Frequentie weekend]]&gt;0,VALUE(LEFT(Y46,1))*R46,0)</f>
        <v>0</v>
      </c>
      <c r="AA46" s="85">
        <f>IF($Z46&gt;0,VLOOKUP($J46,Ruimtegroepen[],3,FALSE)*VLOOKUP($L46,Vloersoorten[],3,FALSE)*VLOOKUP($Y46,Frequenties[],3,FALSE)*VLOOKUP($A42,Locaties[],3,FALSE),0)</f>
        <v>0</v>
      </c>
      <c r="AB46" s="87">
        <f>Ruimtestaat[[#This Row],[Uitvoeringen weekend]]*Ruimtestaat[[#This Row],[Oppervlak (netto)]]</f>
        <v>0</v>
      </c>
      <c r="AC46" s="90">
        <f>IF(AB46&gt;0,Ruimtestaat[[#This Row],[Prest. (m2 /jaar) weekend]]/Ruimtestaat[[#This Row],[Norm (m2/uur) weekend]],0)</f>
        <v>0</v>
      </c>
      <c r="AD46" s="91">
        <f>Ruimtestaat[[#This Row],[uren / jaar weekend]]*Tariefsopbouw!$D$40</f>
        <v>0</v>
      </c>
      <c r="AE46" s="60">
        <f>Ruimtestaat[[#This Row],[Prest. (m2 /jaar) weekend]]+Ruimtestaat[[#This Row],[Prest. (m2 /jaar) werkdagen]]</f>
        <v>4594</v>
      </c>
      <c r="AF46" s="60">
        <f>Ruimtestaat[[#This Row],[uren / jaar weekend]]+Ruimtestaat[[#This Row],[uren / jaar werkdagen]]</f>
        <v>0</v>
      </c>
      <c r="AG46" s="61">
        <f>Ruimtestaat[[#This Row],[kosten / jaar weekend]]+Ruimtestaat[[#This Row],[kosten / jaar werkdagen]]</f>
        <v>0</v>
      </c>
      <c r="AH46" s="92"/>
      <c r="HL46" s="59"/>
    </row>
    <row r="47" spans="1:220">
      <c r="A47" s="24">
        <v>1</v>
      </c>
      <c r="B47" s="24" t="str">
        <f>VLOOKUP(Ruimtestaat[[#This Row],[Code]],Locaties[#All],2,FALSE)</f>
        <v>Boerhaave + buitenunits</v>
      </c>
      <c r="C47" s="24" t="str">
        <f>VLOOKUP(Ruimtestaat[[#This Row],[Code]],Locaties[#All],4,FALSE)</f>
        <v>Herman Boerhaavelaan 1</v>
      </c>
      <c r="D47" s="24" t="str">
        <f>VLOOKUP(Ruimtestaat[[#This Row],[Code]],Locaties[#All],5,FALSE)</f>
        <v>7415 ES</v>
      </c>
      <c r="E47" s="24" t="str">
        <f>VLOOKUP(Ruimtestaat[[#This Row],[Code]],Locaties[#All],6,FALSE)</f>
        <v>Deventer</v>
      </c>
      <c r="F47" s="54"/>
      <c r="G47" s="24" t="s">
        <v>367</v>
      </c>
      <c r="H47" s="24" t="s">
        <v>444</v>
      </c>
      <c r="I47" s="4" t="s">
        <v>445</v>
      </c>
      <c r="J47" s="24">
        <v>22</v>
      </c>
      <c r="K47" s="54" t="str">
        <f>VLOOKUP(J47,Ruimtegroepen[],2,FALSE)</f>
        <v>Niet in onderhoud</v>
      </c>
      <c r="L47" s="24" t="s">
        <v>311</v>
      </c>
      <c r="M47" s="24" t="s">
        <v>370</v>
      </c>
      <c r="N47" s="83"/>
      <c r="O47" s="83">
        <v>17.899999999999999</v>
      </c>
      <c r="P47" s="93" t="str">
        <f>LEFT(VLOOKUP(Ruimtestaat[[#This Row],[Ruimte code]],Ruimtegroepen[#All],4,1),2)</f>
        <v/>
      </c>
      <c r="Q47" s="83"/>
      <c r="R47" s="84"/>
      <c r="S47" s="84"/>
      <c r="T47" s="85">
        <f>IF(R47&gt;0,IF(RIGHT(Ruimtestaat[[#This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7" s="85">
        <f>IF(T47&gt;0,VLOOKUP($J47,Ruimtegroepen[],3,FALSE)*VLOOKUP($L47,Vloersoorten[],3,FALSE)*VLOOKUP($S47,Frequenties[],3,FALSE)*VLOOKUP($A47,Locaties[],3,FALSE),0)</f>
        <v>0</v>
      </c>
      <c r="V47" s="86">
        <f>Ruimtestaat[[#This Row],[Uitvoeringen werkdagen]]*Ruimtestaat[[#This Row],[Oppervlak (netto)]]</f>
        <v>0</v>
      </c>
      <c r="W47" s="87">
        <f>IF(U47&gt;0,Ruimtestaat[[#This Row],[Prest. (m2 /jaar) werkdagen]]/Ruimtestaat[[#This Row],[Norm (m2/uur) werkdagen]],0)</f>
        <v>0</v>
      </c>
      <c r="X47" s="88">
        <f>Ruimtestaat[[#This Row],[uren / jaar werkdagen]]*Tariefsopbouw!$E$35</f>
        <v>0</v>
      </c>
      <c r="Y47" s="85"/>
      <c r="Z47" s="89">
        <f>IF(Ruimtestaat[[#This Row],[Frequentie weekend]]&gt;0,VALUE(LEFT(Y47,1))*R47,0)</f>
        <v>0</v>
      </c>
      <c r="AA47" s="85">
        <f>IF($Z47&gt;0,VLOOKUP($J47,Ruimtegroepen[],3,FALSE)*VLOOKUP($L47,Vloersoorten[],3,FALSE)*VLOOKUP($Y47,Frequenties[],3,FALSE)*VLOOKUP($A43,Locaties[],3,FALSE),0)</f>
        <v>0</v>
      </c>
      <c r="AB47" s="87">
        <f>Ruimtestaat[[#This Row],[Uitvoeringen weekend]]*Ruimtestaat[[#This Row],[Oppervlak (netto)]]</f>
        <v>0</v>
      </c>
      <c r="AC47" s="90">
        <f>IF(AB47&gt;0,Ruimtestaat[[#This Row],[Prest. (m2 /jaar) weekend]]/Ruimtestaat[[#This Row],[Norm (m2/uur) weekend]],0)</f>
        <v>0</v>
      </c>
      <c r="AD47" s="91">
        <f>Ruimtestaat[[#This Row],[uren / jaar weekend]]*Tariefsopbouw!$D$40</f>
        <v>0</v>
      </c>
      <c r="AE47" s="60">
        <f>Ruimtestaat[[#This Row],[Prest. (m2 /jaar) weekend]]+Ruimtestaat[[#This Row],[Prest. (m2 /jaar) werkdagen]]</f>
        <v>0</v>
      </c>
      <c r="AF47" s="60">
        <f>Ruimtestaat[[#This Row],[uren / jaar weekend]]+Ruimtestaat[[#This Row],[uren / jaar werkdagen]]</f>
        <v>0</v>
      </c>
      <c r="AG47" s="61">
        <f>Ruimtestaat[[#This Row],[kosten / jaar weekend]]+Ruimtestaat[[#This Row],[kosten / jaar werkdagen]]</f>
        <v>0</v>
      </c>
      <c r="AH47" s="92"/>
      <c r="HL47" s="59"/>
    </row>
    <row r="48" spans="1:220">
      <c r="A48" s="24">
        <v>1</v>
      </c>
      <c r="B48" s="24" t="str">
        <f>VLOOKUP(Ruimtestaat[[#This Row],[Code]],Locaties[#All],2,FALSE)</f>
        <v>Boerhaave + buitenunits</v>
      </c>
      <c r="C48" s="24" t="str">
        <f>VLOOKUP(Ruimtestaat[[#This Row],[Code]],Locaties[#All],4,FALSE)</f>
        <v>Herman Boerhaavelaan 1</v>
      </c>
      <c r="D48" s="24" t="str">
        <f>VLOOKUP(Ruimtestaat[[#This Row],[Code]],Locaties[#All],5,FALSE)</f>
        <v>7415 ES</v>
      </c>
      <c r="E48" s="24" t="str">
        <f>VLOOKUP(Ruimtestaat[[#This Row],[Code]],Locaties[#All],6,FALSE)</f>
        <v>Deventer</v>
      </c>
      <c r="F48" s="54"/>
      <c r="G48" s="24" t="s">
        <v>367</v>
      </c>
      <c r="H48" s="24" t="s">
        <v>446</v>
      </c>
      <c r="I48" s="4" t="s">
        <v>447</v>
      </c>
      <c r="J48" s="24">
        <v>2</v>
      </c>
      <c r="K48" s="54" t="str">
        <f>VLOOKUP(J48,Ruimtegroepen[],2,FALSE)</f>
        <v>Kantoren</v>
      </c>
      <c r="L48" s="24" t="s">
        <v>311</v>
      </c>
      <c r="M48" s="24" t="s">
        <v>370</v>
      </c>
      <c r="N48" s="83">
        <v>28.01</v>
      </c>
      <c r="O48" s="83"/>
      <c r="P48" s="93" t="str">
        <f>LEFT(VLOOKUP(Ruimtestaat[[#This Row],[Ruimte code]],Ruimtegroepen[#All],4,1),2)</f>
        <v>Bu</v>
      </c>
      <c r="Q48" s="83"/>
      <c r="R48" s="84">
        <v>42</v>
      </c>
      <c r="S48" s="84" t="s">
        <v>322</v>
      </c>
      <c r="T48" s="85">
        <f>IF(R48&gt;0,IF(RIGHT(Ruimtestaat[[#This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8" s="85">
        <f>IF(T48&gt;0,VLOOKUP($J48,Ruimtegroepen[],3,FALSE)*VLOOKUP($L48,Vloersoorten[],3,FALSE)*VLOOKUP($S48,Frequenties[],3,FALSE)*VLOOKUP($A48,Locaties[],3,FALSE),0)</f>
        <v>0</v>
      </c>
      <c r="V48" s="86">
        <f>Ruimtestaat[[#This Row],[Uitvoeringen werkdagen]]*Ruimtestaat[[#This Row],[Oppervlak (netto)]]</f>
        <v>3529.26</v>
      </c>
      <c r="W48" s="87">
        <f>IF(U48&gt;0,Ruimtestaat[[#This Row],[Prest. (m2 /jaar) werkdagen]]/Ruimtestaat[[#This Row],[Norm (m2/uur) werkdagen]],0)</f>
        <v>0</v>
      </c>
      <c r="X48" s="88">
        <f>Ruimtestaat[[#This Row],[uren / jaar werkdagen]]*Tariefsopbouw!$E$35</f>
        <v>0</v>
      </c>
      <c r="Y48" s="85"/>
      <c r="Z48" s="89">
        <f>IF(Ruimtestaat[[#This Row],[Frequentie weekend]]&gt;0,VALUE(LEFT(Y48,1))*R48,0)</f>
        <v>0</v>
      </c>
      <c r="AA48" s="85">
        <f>IF($Z48&gt;0,VLOOKUP($J48,Ruimtegroepen[],3,FALSE)*VLOOKUP($L48,Vloersoorten[],3,FALSE)*VLOOKUP($Y48,Frequenties[],3,FALSE)*VLOOKUP($A43,Locaties[],3,FALSE),0)</f>
        <v>0</v>
      </c>
      <c r="AB48" s="87">
        <f>Ruimtestaat[[#This Row],[Uitvoeringen weekend]]*Ruimtestaat[[#This Row],[Oppervlak (netto)]]</f>
        <v>0</v>
      </c>
      <c r="AC48" s="90">
        <f>IF(AB48&gt;0,Ruimtestaat[[#This Row],[Prest. (m2 /jaar) weekend]]/Ruimtestaat[[#This Row],[Norm (m2/uur) weekend]],0)</f>
        <v>0</v>
      </c>
      <c r="AD48" s="91">
        <f>Ruimtestaat[[#This Row],[uren / jaar weekend]]*Tariefsopbouw!$D$40</f>
        <v>0</v>
      </c>
      <c r="AE48" s="60">
        <f>Ruimtestaat[[#This Row],[Prest. (m2 /jaar) weekend]]+Ruimtestaat[[#This Row],[Prest. (m2 /jaar) werkdagen]]</f>
        <v>3529.26</v>
      </c>
      <c r="AF48" s="60">
        <f>Ruimtestaat[[#This Row],[uren / jaar weekend]]+Ruimtestaat[[#This Row],[uren / jaar werkdagen]]</f>
        <v>0</v>
      </c>
      <c r="AG48" s="61">
        <f>Ruimtestaat[[#This Row],[kosten / jaar weekend]]+Ruimtestaat[[#This Row],[kosten / jaar werkdagen]]</f>
        <v>0</v>
      </c>
      <c r="AH48" s="92"/>
      <c r="HL48" s="59"/>
    </row>
    <row r="49" spans="1:220">
      <c r="A49" s="24">
        <v>1</v>
      </c>
      <c r="B49" s="24" t="str">
        <f>VLOOKUP(Ruimtestaat[[#This Row],[Code]],Locaties[#All],2,FALSE)</f>
        <v>Boerhaave + buitenunits</v>
      </c>
      <c r="C49" s="24" t="str">
        <f>VLOOKUP(Ruimtestaat[[#This Row],[Code]],Locaties[#All],4,FALSE)</f>
        <v>Herman Boerhaavelaan 1</v>
      </c>
      <c r="D49" s="24" t="str">
        <f>VLOOKUP(Ruimtestaat[[#This Row],[Code]],Locaties[#All],5,FALSE)</f>
        <v>7415 ES</v>
      </c>
      <c r="E49" s="24" t="str">
        <f>VLOOKUP(Ruimtestaat[[#This Row],[Code]],Locaties[#All],6,FALSE)</f>
        <v>Deventer</v>
      </c>
      <c r="F49" s="54"/>
      <c r="G49" s="24" t="s">
        <v>367</v>
      </c>
      <c r="H49" s="24" t="s">
        <v>448</v>
      </c>
      <c r="I49" s="4" t="s">
        <v>449</v>
      </c>
      <c r="J49" s="24">
        <v>11</v>
      </c>
      <c r="K49" s="54" t="str">
        <f>VLOOKUP(J49,Ruimtegroepen[],2,FALSE)</f>
        <v>Kooklokaal/leskeuken</v>
      </c>
      <c r="L49" s="24" t="s">
        <v>305</v>
      </c>
      <c r="M49" s="24" t="s">
        <v>400</v>
      </c>
      <c r="N49" s="83">
        <v>19.59</v>
      </c>
      <c r="O49" s="83"/>
      <c r="P49" s="93" t="str">
        <f>LEFT(VLOOKUP(Ruimtestaat[[#This Row],[Ruimte code]],Ruimtegroepen[#All],4,1),2)</f>
        <v>Le</v>
      </c>
      <c r="Q49" s="83"/>
      <c r="R49" s="84">
        <v>40</v>
      </c>
      <c r="S49" s="84" t="s">
        <v>318</v>
      </c>
      <c r="T49" s="85">
        <f>IF(R49&gt;0,IF(RIGHT(Ruimtestaat[[#This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" s="85">
        <f>IF(T49&gt;0,VLOOKUP($J49,Ruimtegroepen[],3,FALSE)*VLOOKUP($L49,Vloersoorten[],3,FALSE)*VLOOKUP($S49,Frequenties[],3,FALSE)*VLOOKUP($A49,Locaties[],3,FALSE),0)</f>
        <v>0</v>
      </c>
      <c r="V49" s="86">
        <f>Ruimtestaat[[#This Row],[Uitvoeringen werkdagen]]*Ruimtestaat[[#This Row],[Oppervlak (netto)]]</f>
        <v>3918</v>
      </c>
      <c r="W49" s="87">
        <f>IF(U49&gt;0,Ruimtestaat[[#This Row],[Prest. (m2 /jaar) werkdagen]]/Ruimtestaat[[#This Row],[Norm (m2/uur) werkdagen]],0)</f>
        <v>0</v>
      </c>
      <c r="X49" s="88">
        <f>Ruimtestaat[[#This Row],[uren / jaar werkdagen]]*Tariefsopbouw!$E$35</f>
        <v>0</v>
      </c>
      <c r="Y49" s="85"/>
      <c r="Z49" s="89">
        <f>IF(Ruimtestaat[[#This Row],[Frequentie weekend]]&gt;0,VALUE(LEFT(Y49,1))*R49,0)</f>
        <v>0</v>
      </c>
      <c r="AA49" s="85">
        <f>IF($Z49&gt;0,VLOOKUP($J49,Ruimtegroepen[],3,FALSE)*VLOOKUP($L49,Vloersoorten[],3,FALSE)*VLOOKUP($Y49,Frequenties[],3,FALSE)*VLOOKUP($A44,Locaties[],3,FALSE),0)</f>
        <v>0</v>
      </c>
      <c r="AB49" s="87">
        <f>Ruimtestaat[[#This Row],[Uitvoeringen weekend]]*Ruimtestaat[[#This Row],[Oppervlak (netto)]]</f>
        <v>0</v>
      </c>
      <c r="AC49" s="90">
        <f>IF(AB49&gt;0,Ruimtestaat[[#This Row],[Prest. (m2 /jaar) weekend]]/Ruimtestaat[[#This Row],[Norm (m2/uur) weekend]],0)</f>
        <v>0</v>
      </c>
      <c r="AD49" s="91">
        <f>Ruimtestaat[[#This Row],[uren / jaar weekend]]*Tariefsopbouw!$D$40</f>
        <v>0</v>
      </c>
      <c r="AE49" s="60">
        <f>Ruimtestaat[[#This Row],[Prest. (m2 /jaar) weekend]]+Ruimtestaat[[#This Row],[Prest. (m2 /jaar) werkdagen]]</f>
        <v>3918</v>
      </c>
      <c r="AF49" s="60">
        <f>Ruimtestaat[[#This Row],[uren / jaar weekend]]+Ruimtestaat[[#This Row],[uren / jaar werkdagen]]</f>
        <v>0</v>
      </c>
      <c r="AG49" s="61">
        <f>Ruimtestaat[[#This Row],[kosten / jaar weekend]]+Ruimtestaat[[#This Row],[kosten / jaar werkdagen]]</f>
        <v>0</v>
      </c>
      <c r="AH49" s="92"/>
      <c r="HL49" s="59"/>
    </row>
    <row r="50" spans="1:220">
      <c r="A50" s="24">
        <v>1</v>
      </c>
      <c r="B50" s="24" t="str">
        <f>VLOOKUP(Ruimtestaat[[#This Row],[Code]],Locaties[#All],2,FALSE)</f>
        <v>Boerhaave + buitenunits</v>
      </c>
      <c r="C50" s="24" t="str">
        <f>VLOOKUP(Ruimtestaat[[#This Row],[Code]],Locaties[#All],4,FALSE)</f>
        <v>Herman Boerhaavelaan 1</v>
      </c>
      <c r="D50" s="24" t="str">
        <f>VLOOKUP(Ruimtestaat[[#This Row],[Code]],Locaties[#All],5,FALSE)</f>
        <v>7415 ES</v>
      </c>
      <c r="E50" s="24" t="str">
        <f>VLOOKUP(Ruimtestaat[[#This Row],[Code]],Locaties[#All],6,FALSE)</f>
        <v>Deventer</v>
      </c>
      <c r="F50" s="54"/>
      <c r="G50" s="24" t="s">
        <v>367</v>
      </c>
      <c r="H50" s="24" t="s">
        <v>450</v>
      </c>
      <c r="I50" s="4" t="s">
        <v>451</v>
      </c>
      <c r="J50" s="24">
        <v>17</v>
      </c>
      <c r="K50" s="54" t="str">
        <f>VLOOKUP(J50,Ruimtegroepen[],2,FALSE)</f>
        <v>Toestelberging</v>
      </c>
      <c r="L50" s="24" t="s">
        <v>311</v>
      </c>
      <c r="M50" s="24" t="s">
        <v>452</v>
      </c>
      <c r="N50" s="83">
        <v>36</v>
      </c>
      <c r="O50" s="83"/>
      <c r="P50" s="93" t="str">
        <f>LEFT(VLOOKUP(Ruimtestaat[[#This Row],[Ruimte code]],Ruimtegroepen[#All],4,1),2)</f>
        <v>Ve</v>
      </c>
      <c r="Q50" s="83"/>
      <c r="R50" s="84">
        <v>40</v>
      </c>
      <c r="S50" s="84" t="s">
        <v>328</v>
      </c>
      <c r="T50" s="85">
        <f>IF(R50&gt;0,IF(RIGHT(Ruimtestaat[[#This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50" s="85">
        <f>IF(T50&gt;0,VLOOKUP($J50,Ruimtegroepen[],3,FALSE)*VLOOKUP($L50,Vloersoorten[],3,FALSE)*VLOOKUP($S50,Frequenties[],3,FALSE)*VLOOKUP($A50,Locaties[],3,FALSE),0)</f>
        <v>0</v>
      </c>
      <c r="V50" s="86">
        <f>Ruimtestaat[[#This Row],[Uitvoeringen werkdagen]]*Ruimtestaat[[#This Row],[Oppervlak (netto)]]</f>
        <v>1440</v>
      </c>
      <c r="W50" s="87">
        <f>IF(U50&gt;0,Ruimtestaat[[#This Row],[Prest. (m2 /jaar) werkdagen]]/Ruimtestaat[[#This Row],[Norm (m2/uur) werkdagen]],0)</f>
        <v>0</v>
      </c>
      <c r="X50" s="88">
        <f>Ruimtestaat[[#This Row],[uren / jaar werkdagen]]*Tariefsopbouw!$E$35</f>
        <v>0</v>
      </c>
      <c r="Y50" s="85"/>
      <c r="Z50" s="89">
        <f>IF(Ruimtestaat[[#This Row],[Frequentie weekend]]&gt;0,VALUE(LEFT(Y50,1))*R50,0)</f>
        <v>0</v>
      </c>
      <c r="AA50" s="85">
        <f>IF($Z50&gt;0,VLOOKUP($J50,Ruimtegroepen[],3,FALSE)*VLOOKUP($L50,Vloersoorten[],3,FALSE)*VLOOKUP($Y50,Frequenties[],3,FALSE)*VLOOKUP($A45,Locaties[],3,FALSE),0)</f>
        <v>0</v>
      </c>
      <c r="AB50" s="87">
        <f>Ruimtestaat[[#This Row],[Uitvoeringen weekend]]*Ruimtestaat[[#This Row],[Oppervlak (netto)]]</f>
        <v>0</v>
      </c>
      <c r="AC50" s="90">
        <f>IF(AB50&gt;0,Ruimtestaat[[#This Row],[Prest. (m2 /jaar) weekend]]/Ruimtestaat[[#This Row],[Norm (m2/uur) weekend]],0)</f>
        <v>0</v>
      </c>
      <c r="AD50" s="91">
        <f>Ruimtestaat[[#This Row],[uren / jaar weekend]]*Tariefsopbouw!$D$40</f>
        <v>0</v>
      </c>
      <c r="AE50" s="60">
        <f>Ruimtestaat[[#This Row],[Prest. (m2 /jaar) weekend]]+Ruimtestaat[[#This Row],[Prest. (m2 /jaar) werkdagen]]</f>
        <v>1440</v>
      </c>
      <c r="AF50" s="60">
        <f>Ruimtestaat[[#This Row],[uren / jaar weekend]]+Ruimtestaat[[#This Row],[uren / jaar werkdagen]]</f>
        <v>0</v>
      </c>
      <c r="AG50" s="61">
        <f>Ruimtestaat[[#This Row],[kosten / jaar weekend]]+Ruimtestaat[[#This Row],[kosten / jaar werkdagen]]</f>
        <v>0</v>
      </c>
      <c r="AH50" s="92"/>
      <c r="HL50" s="59"/>
    </row>
    <row r="51" spans="1:220">
      <c r="A51" s="24">
        <v>1</v>
      </c>
      <c r="B51" s="24" t="str">
        <f>VLOOKUP(Ruimtestaat[[#This Row],[Code]],Locaties[#All],2,FALSE)</f>
        <v>Boerhaave + buitenunits</v>
      </c>
      <c r="C51" s="24" t="str">
        <f>VLOOKUP(Ruimtestaat[[#This Row],[Code]],Locaties[#All],4,FALSE)</f>
        <v>Herman Boerhaavelaan 1</v>
      </c>
      <c r="D51" s="24" t="str">
        <f>VLOOKUP(Ruimtestaat[[#This Row],[Code]],Locaties[#All],5,FALSE)</f>
        <v>7415 ES</v>
      </c>
      <c r="E51" s="24" t="str">
        <f>VLOOKUP(Ruimtestaat[[#This Row],[Code]],Locaties[#All],6,FALSE)</f>
        <v>Deventer</v>
      </c>
      <c r="F51" s="54"/>
      <c r="G51" s="24" t="s">
        <v>367</v>
      </c>
      <c r="H51" s="24" t="s">
        <v>453</v>
      </c>
      <c r="I51" s="4" t="s">
        <v>454</v>
      </c>
      <c r="J51" s="24">
        <v>18</v>
      </c>
      <c r="K51" s="54" t="str">
        <f>VLOOKUP(J51,Ruimtegroepen[],2,FALSE)</f>
        <v>Gymzaal</v>
      </c>
      <c r="L51" s="24" t="s">
        <v>311</v>
      </c>
      <c r="M51" s="24" t="s">
        <v>452</v>
      </c>
      <c r="N51" s="83">
        <v>252</v>
      </c>
      <c r="O51" s="83"/>
      <c r="P51" s="93" t="str">
        <f>LEFT(VLOOKUP(Ruimtestaat[[#This Row],[Ruimte code]],Ruimtegroepen[#All],4,1),2)</f>
        <v>Sp</v>
      </c>
      <c r="Q51" s="83"/>
      <c r="R51" s="84">
        <v>40</v>
      </c>
      <c r="S51" s="84" t="s">
        <v>318</v>
      </c>
      <c r="T51" s="85">
        <f>IF(R51&gt;0,IF(RIGHT(Ruimtestaat[[#This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" s="85">
        <f>IF(T51&gt;0,VLOOKUP($J51,Ruimtegroepen[],3,FALSE)*VLOOKUP($L51,Vloersoorten[],3,FALSE)*VLOOKUP($S51,Frequenties[],3,FALSE)*VLOOKUP($A51,Locaties[],3,FALSE),0)</f>
        <v>0</v>
      </c>
      <c r="V51" s="86">
        <f>Ruimtestaat[[#This Row],[Uitvoeringen werkdagen]]*Ruimtestaat[[#This Row],[Oppervlak (netto)]]</f>
        <v>50400</v>
      </c>
      <c r="W51" s="87">
        <f>IF(U51&gt;0,Ruimtestaat[[#This Row],[Prest. (m2 /jaar) werkdagen]]/Ruimtestaat[[#This Row],[Norm (m2/uur) werkdagen]],0)</f>
        <v>0</v>
      </c>
      <c r="X51" s="88">
        <f>Ruimtestaat[[#This Row],[uren / jaar werkdagen]]*Tariefsopbouw!$E$35</f>
        <v>0</v>
      </c>
      <c r="Y51" s="85"/>
      <c r="Z51" s="89">
        <f>IF(Ruimtestaat[[#This Row],[Frequentie weekend]]&gt;0,VALUE(LEFT(Y51,1))*R51,0)</f>
        <v>0</v>
      </c>
      <c r="AA51" s="85">
        <f>IF($Z51&gt;0,VLOOKUP($J51,Ruimtegroepen[],3,FALSE)*VLOOKUP($L51,Vloersoorten[],3,FALSE)*VLOOKUP($Y51,Frequenties[],3,FALSE)*VLOOKUP($A46,Locaties[],3,FALSE),0)</f>
        <v>0</v>
      </c>
      <c r="AB51" s="87">
        <f>Ruimtestaat[[#This Row],[Uitvoeringen weekend]]*Ruimtestaat[[#This Row],[Oppervlak (netto)]]</f>
        <v>0</v>
      </c>
      <c r="AC51" s="90">
        <f>IF(AB51&gt;0,Ruimtestaat[[#This Row],[Prest. (m2 /jaar) weekend]]/Ruimtestaat[[#This Row],[Norm (m2/uur) weekend]],0)</f>
        <v>0</v>
      </c>
      <c r="AD51" s="91">
        <f>Ruimtestaat[[#This Row],[uren / jaar weekend]]*Tariefsopbouw!$D$40</f>
        <v>0</v>
      </c>
      <c r="AE51" s="60">
        <f>Ruimtestaat[[#This Row],[Prest. (m2 /jaar) weekend]]+Ruimtestaat[[#This Row],[Prest. (m2 /jaar) werkdagen]]</f>
        <v>50400</v>
      </c>
      <c r="AF51" s="60">
        <f>Ruimtestaat[[#This Row],[uren / jaar weekend]]+Ruimtestaat[[#This Row],[uren / jaar werkdagen]]</f>
        <v>0</v>
      </c>
      <c r="AG51" s="61">
        <f>Ruimtestaat[[#This Row],[kosten / jaar weekend]]+Ruimtestaat[[#This Row],[kosten / jaar werkdagen]]</f>
        <v>0</v>
      </c>
      <c r="AH51" s="92"/>
      <c r="HL51" s="59"/>
    </row>
    <row r="52" spans="1:220">
      <c r="A52" s="24">
        <v>1</v>
      </c>
      <c r="B52" s="24" t="str">
        <f>VLOOKUP(Ruimtestaat[[#This Row],[Code]],Locaties[#All],2,FALSE)</f>
        <v>Boerhaave + buitenunits</v>
      </c>
      <c r="C52" s="24" t="str">
        <f>VLOOKUP(Ruimtestaat[[#This Row],[Code]],Locaties[#All],4,FALSE)</f>
        <v>Herman Boerhaavelaan 1</v>
      </c>
      <c r="D52" s="24" t="str">
        <f>VLOOKUP(Ruimtestaat[[#This Row],[Code]],Locaties[#All],5,FALSE)</f>
        <v>7415 ES</v>
      </c>
      <c r="E52" s="24" t="str">
        <f>VLOOKUP(Ruimtestaat[[#This Row],[Code]],Locaties[#All],6,FALSE)</f>
        <v>Deventer</v>
      </c>
      <c r="F52" s="54"/>
      <c r="G52" s="24" t="s">
        <v>367</v>
      </c>
      <c r="H52" s="24" t="s">
        <v>455</v>
      </c>
      <c r="I52" s="4" t="s">
        <v>456</v>
      </c>
      <c r="J52" s="24">
        <v>5</v>
      </c>
      <c r="K52" s="54" t="str">
        <f>VLOOKUP(J52,Ruimtegroepen[],2,FALSE)</f>
        <v>Sanitair</v>
      </c>
      <c r="L52" s="24" t="s">
        <v>305</v>
      </c>
      <c r="M52" s="24" t="s">
        <v>400</v>
      </c>
      <c r="N52" s="83">
        <v>2.73</v>
      </c>
      <c r="O52" s="83"/>
      <c r="P52" s="93" t="str">
        <f>LEFT(VLOOKUP(Ruimtestaat[[#This Row],[Ruimte code]],Ruimtegroepen[#All],4,1),2)</f>
        <v>Sa</v>
      </c>
      <c r="Q52" s="83"/>
      <c r="R52" s="84">
        <v>40</v>
      </c>
      <c r="S52" s="84" t="s">
        <v>316</v>
      </c>
      <c r="T52" s="85">
        <f>IF(R52&gt;0,IF(RIGHT(Ruimtestaat[[#This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52" s="85">
        <f>IF(T52&gt;0,VLOOKUP($J52,Ruimtegroepen[],3,FALSE)*VLOOKUP($L52,Vloersoorten[],3,FALSE)*VLOOKUP($S52,Frequenties[],3,FALSE)*VLOOKUP($A52,Locaties[],3,FALSE),0)</f>
        <v>0</v>
      </c>
      <c r="V52" s="86">
        <f>Ruimtestaat[[#This Row],[Uitvoeringen werkdagen]]*Ruimtestaat[[#This Row],[Oppervlak (netto)]]</f>
        <v>1092</v>
      </c>
      <c r="W52" s="87">
        <f>IF(U52&gt;0,Ruimtestaat[[#This Row],[Prest. (m2 /jaar) werkdagen]]/Ruimtestaat[[#This Row],[Norm (m2/uur) werkdagen]],0)</f>
        <v>0</v>
      </c>
      <c r="X52" s="88">
        <f>Ruimtestaat[[#This Row],[uren / jaar werkdagen]]*Tariefsopbouw!$E$35</f>
        <v>0</v>
      </c>
      <c r="Y52" s="85"/>
      <c r="Z52" s="89">
        <f>IF(Ruimtestaat[[#This Row],[Frequentie weekend]]&gt;0,VALUE(LEFT(Y52,1))*R52,0)</f>
        <v>0</v>
      </c>
      <c r="AA52" s="85">
        <f>IF($Z52&gt;0,VLOOKUP($J52,Ruimtegroepen[],3,FALSE)*VLOOKUP($L52,Vloersoorten[],3,FALSE)*VLOOKUP($Y52,Frequenties[],3,FALSE)*VLOOKUP($A48,Locaties[],3,FALSE),0)</f>
        <v>0</v>
      </c>
      <c r="AB52" s="87">
        <f>Ruimtestaat[[#This Row],[Uitvoeringen weekend]]*Ruimtestaat[[#This Row],[Oppervlak (netto)]]</f>
        <v>0</v>
      </c>
      <c r="AC52" s="90">
        <f>IF(AB52&gt;0,Ruimtestaat[[#This Row],[Prest. (m2 /jaar) weekend]]/Ruimtestaat[[#This Row],[Norm (m2/uur) weekend]],0)</f>
        <v>0</v>
      </c>
      <c r="AD52" s="91">
        <f>Ruimtestaat[[#This Row],[uren / jaar weekend]]*Tariefsopbouw!$D$40</f>
        <v>0</v>
      </c>
      <c r="AE52" s="60">
        <f>Ruimtestaat[[#This Row],[Prest. (m2 /jaar) weekend]]+Ruimtestaat[[#This Row],[Prest. (m2 /jaar) werkdagen]]</f>
        <v>1092</v>
      </c>
      <c r="AF52" s="60">
        <f>Ruimtestaat[[#This Row],[uren / jaar weekend]]+Ruimtestaat[[#This Row],[uren / jaar werkdagen]]</f>
        <v>0</v>
      </c>
      <c r="AG52" s="61">
        <f>Ruimtestaat[[#This Row],[kosten / jaar weekend]]+Ruimtestaat[[#This Row],[kosten / jaar werkdagen]]</f>
        <v>0</v>
      </c>
      <c r="AH52" s="92"/>
      <c r="HL52" s="59"/>
    </row>
    <row r="53" spans="1:220">
      <c r="A53" s="24">
        <v>1</v>
      </c>
      <c r="B53" s="24" t="str">
        <f>VLOOKUP(Ruimtestaat[[#This Row],[Code]],Locaties[#All],2,FALSE)</f>
        <v>Boerhaave + buitenunits</v>
      </c>
      <c r="C53" s="24" t="str">
        <f>VLOOKUP(Ruimtestaat[[#This Row],[Code]],Locaties[#All],4,FALSE)</f>
        <v>Herman Boerhaavelaan 1</v>
      </c>
      <c r="D53" s="24" t="str">
        <f>VLOOKUP(Ruimtestaat[[#This Row],[Code]],Locaties[#All],5,FALSE)</f>
        <v>7415 ES</v>
      </c>
      <c r="E53" s="24" t="str">
        <f>VLOOKUP(Ruimtestaat[[#This Row],[Code]],Locaties[#All],6,FALSE)</f>
        <v>Deventer</v>
      </c>
      <c r="F53" s="54"/>
      <c r="G53" s="24" t="s">
        <v>367</v>
      </c>
      <c r="H53" s="24" t="s">
        <v>457</v>
      </c>
      <c r="I53" s="4" t="s">
        <v>458</v>
      </c>
      <c r="J53" s="24">
        <v>5</v>
      </c>
      <c r="K53" s="54" t="str">
        <f>VLOOKUP(J53,Ruimtegroepen[],2,FALSE)</f>
        <v>Sanitair</v>
      </c>
      <c r="L53" s="24" t="s">
        <v>305</v>
      </c>
      <c r="M53" s="24" t="s">
        <v>400</v>
      </c>
      <c r="N53" s="83">
        <v>4.74</v>
      </c>
      <c r="O53" s="83"/>
      <c r="P53" s="93" t="str">
        <f>LEFT(VLOOKUP(Ruimtestaat[[#This Row],[Ruimte code]],Ruimtegroepen[#All],4,1),2)</f>
        <v>Sa</v>
      </c>
      <c r="Q53" s="83"/>
      <c r="R53" s="84">
        <v>42</v>
      </c>
      <c r="S53" s="84" t="s">
        <v>316</v>
      </c>
      <c r="T53" s="85">
        <f>IF(R53&gt;0,IF(RIGHT(Ruimtestaat[[#This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3" s="85">
        <f>IF(T53&gt;0,VLOOKUP($J53,Ruimtegroepen[],3,FALSE)*VLOOKUP($L53,Vloersoorten[],3,FALSE)*VLOOKUP($S53,Frequenties[],3,FALSE)*VLOOKUP($A53,Locaties[],3,FALSE),0)</f>
        <v>0</v>
      </c>
      <c r="V53" s="86">
        <f>Ruimtestaat[[#This Row],[Uitvoeringen werkdagen]]*Ruimtestaat[[#This Row],[Oppervlak (netto)]]</f>
        <v>1990.8000000000002</v>
      </c>
      <c r="W53" s="87">
        <f>IF(U53&gt;0,Ruimtestaat[[#This Row],[Prest. (m2 /jaar) werkdagen]]/Ruimtestaat[[#This Row],[Norm (m2/uur) werkdagen]],0)</f>
        <v>0</v>
      </c>
      <c r="X53" s="88">
        <f>Ruimtestaat[[#This Row],[uren / jaar werkdagen]]*Tariefsopbouw!$E$35</f>
        <v>0</v>
      </c>
      <c r="Y53" s="85"/>
      <c r="Z53" s="89">
        <f>IF(Ruimtestaat[[#This Row],[Frequentie weekend]]&gt;0,VALUE(LEFT(Y53,1))*R53,0)</f>
        <v>0</v>
      </c>
      <c r="AA53" s="85">
        <f>IF($Z53&gt;0,VLOOKUP($J53,Ruimtegroepen[],3,FALSE)*VLOOKUP($L53,Vloersoorten[],3,FALSE)*VLOOKUP($Y53,Frequenties[],3,FALSE)*VLOOKUP($A49,Locaties[],3,FALSE),0)</f>
        <v>0</v>
      </c>
      <c r="AB53" s="87">
        <f>Ruimtestaat[[#This Row],[Uitvoeringen weekend]]*Ruimtestaat[[#This Row],[Oppervlak (netto)]]</f>
        <v>0</v>
      </c>
      <c r="AC53" s="90">
        <f>IF(AB53&gt;0,Ruimtestaat[[#This Row],[Prest. (m2 /jaar) weekend]]/Ruimtestaat[[#This Row],[Norm (m2/uur) weekend]],0)</f>
        <v>0</v>
      </c>
      <c r="AD53" s="91">
        <f>Ruimtestaat[[#This Row],[uren / jaar weekend]]*Tariefsopbouw!$D$40</f>
        <v>0</v>
      </c>
      <c r="AE53" s="60">
        <f>Ruimtestaat[[#This Row],[Prest. (m2 /jaar) weekend]]+Ruimtestaat[[#This Row],[Prest. (m2 /jaar) werkdagen]]</f>
        <v>1990.8000000000002</v>
      </c>
      <c r="AF53" s="60">
        <f>Ruimtestaat[[#This Row],[uren / jaar weekend]]+Ruimtestaat[[#This Row],[uren / jaar werkdagen]]</f>
        <v>0</v>
      </c>
      <c r="AG53" s="61">
        <f>Ruimtestaat[[#This Row],[kosten / jaar weekend]]+Ruimtestaat[[#This Row],[kosten / jaar werkdagen]]</f>
        <v>0</v>
      </c>
      <c r="AH53" s="92"/>
      <c r="HL53" s="59"/>
    </row>
    <row r="54" spans="1:220">
      <c r="A54" s="24">
        <v>1</v>
      </c>
      <c r="B54" s="24" t="str">
        <f>VLOOKUP(Ruimtestaat[[#This Row],[Code]],Locaties[#All],2,FALSE)</f>
        <v>Boerhaave + buitenunits</v>
      </c>
      <c r="C54" s="24" t="str">
        <f>VLOOKUP(Ruimtestaat[[#This Row],[Code]],Locaties[#All],4,FALSE)</f>
        <v>Herman Boerhaavelaan 1</v>
      </c>
      <c r="D54" s="24" t="str">
        <f>VLOOKUP(Ruimtestaat[[#This Row],[Code]],Locaties[#All],5,FALSE)</f>
        <v>7415 ES</v>
      </c>
      <c r="E54" s="24" t="str">
        <f>VLOOKUP(Ruimtestaat[[#This Row],[Code]],Locaties[#All],6,FALSE)</f>
        <v>Deventer</v>
      </c>
      <c r="F54" s="54"/>
      <c r="G54" s="24" t="s">
        <v>367</v>
      </c>
      <c r="H54" s="24" t="s">
        <v>459</v>
      </c>
      <c r="I54" s="4" t="s">
        <v>413</v>
      </c>
      <c r="J54" s="24">
        <v>5</v>
      </c>
      <c r="K54" s="54" t="str">
        <f>VLOOKUP(J54,Ruimtegroepen[],2,FALSE)</f>
        <v>Sanitair</v>
      </c>
      <c r="L54" s="24" t="s">
        <v>305</v>
      </c>
      <c r="M54" s="24" t="s">
        <v>400</v>
      </c>
      <c r="N54" s="83">
        <v>10.37</v>
      </c>
      <c r="O54" s="83"/>
      <c r="P54" s="93" t="str">
        <f>LEFT(VLOOKUP(Ruimtestaat[[#This Row],[Ruimte code]],Ruimtegroepen[#All],4,1),2)</f>
        <v>Sa</v>
      </c>
      <c r="Q54" s="83"/>
      <c r="R54" s="84">
        <v>42</v>
      </c>
      <c r="S54" s="84" t="s">
        <v>316</v>
      </c>
      <c r="T54" s="85">
        <f>IF(R54&gt;0,IF(RIGHT(Ruimtestaat[[#This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4" s="85">
        <f>IF(T54&gt;0,VLOOKUP($J54,Ruimtegroepen[],3,FALSE)*VLOOKUP($L54,Vloersoorten[],3,FALSE)*VLOOKUP($S54,Frequenties[],3,FALSE)*VLOOKUP($A54,Locaties[],3,FALSE),0)</f>
        <v>0</v>
      </c>
      <c r="V54" s="86">
        <f>Ruimtestaat[[#This Row],[Uitvoeringen werkdagen]]*Ruimtestaat[[#This Row],[Oppervlak (netto)]]</f>
        <v>4355.3999999999996</v>
      </c>
      <c r="W54" s="87">
        <f>IF(U54&gt;0,Ruimtestaat[[#This Row],[Prest. (m2 /jaar) werkdagen]]/Ruimtestaat[[#This Row],[Norm (m2/uur) werkdagen]],0)</f>
        <v>0</v>
      </c>
      <c r="X54" s="88">
        <f>Ruimtestaat[[#This Row],[uren / jaar werkdagen]]*Tariefsopbouw!$E$35</f>
        <v>0</v>
      </c>
      <c r="Y54" s="85"/>
      <c r="Z54" s="89">
        <f>IF(Ruimtestaat[[#This Row],[Frequentie weekend]]&gt;0,VALUE(LEFT(Y54,1))*R54,0)</f>
        <v>0</v>
      </c>
      <c r="AA54" s="85">
        <f>IF($Z54&gt;0,VLOOKUP($J54,Ruimtegroepen[],3,FALSE)*VLOOKUP($L54,Vloersoorten[],3,FALSE)*VLOOKUP($Y54,Frequenties[],3,FALSE)*VLOOKUP($A50,Locaties[],3,FALSE),0)</f>
        <v>0</v>
      </c>
      <c r="AB54" s="87">
        <f>Ruimtestaat[[#This Row],[Uitvoeringen weekend]]*Ruimtestaat[[#This Row],[Oppervlak (netto)]]</f>
        <v>0</v>
      </c>
      <c r="AC54" s="90">
        <f>IF(AB54&gt;0,Ruimtestaat[[#This Row],[Prest. (m2 /jaar) weekend]]/Ruimtestaat[[#This Row],[Norm (m2/uur) weekend]],0)</f>
        <v>0</v>
      </c>
      <c r="AD54" s="91">
        <f>Ruimtestaat[[#This Row],[uren / jaar weekend]]*Tariefsopbouw!$D$40</f>
        <v>0</v>
      </c>
      <c r="AE54" s="60">
        <f>Ruimtestaat[[#This Row],[Prest. (m2 /jaar) weekend]]+Ruimtestaat[[#This Row],[Prest. (m2 /jaar) werkdagen]]</f>
        <v>4355.3999999999996</v>
      </c>
      <c r="AF54" s="60">
        <f>Ruimtestaat[[#This Row],[uren / jaar weekend]]+Ruimtestaat[[#This Row],[uren / jaar werkdagen]]</f>
        <v>0</v>
      </c>
      <c r="AG54" s="61">
        <f>Ruimtestaat[[#This Row],[kosten / jaar weekend]]+Ruimtestaat[[#This Row],[kosten / jaar werkdagen]]</f>
        <v>0</v>
      </c>
      <c r="AH54" s="92"/>
      <c r="HL54" s="59"/>
    </row>
    <row r="55" spans="1:220">
      <c r="A55" s="24">
        <v>1</v>
      </c>
      <c r="B55" s="24" t="str">
        <f>VLOOKUP(Ruimtestaat[[#This Row],[Code]],Locaties[#All],2,FALSE)</f>
        <v>Boerhaave + buitenunits</v>
      </c>
      <c r="C55" s="24" t="str">
        <f>VLOOKUP(Ruimtestaat[[#This Row],[Code]],Locaties[#All],4,FALSE)</f>
        <v>Herman Boerhaavelaan 1</v>
      </c>
      <c r="D55" s="24" t="str">
        <f>VLOOKUP(Ruimtestaat[[#This Row],[Code]],Locaties[#All],5,FALSE)</f>
        <v>7415 ES</v>
      </c>
      <c r="E55" s="24" t="str">
        <f>VLOOKUP(Ruimtestaat[[#This Row],[Code]],Locaties[#All],6,FALSE)</f>
        <v>Deventer</v>
      </c>
      <c r="F55" s="54"/>
      <c r="G55" s="24" t="s">
        <v>367</v>
      </c>
      <c r="H55" s="24" t="s">
        <v>460</v>
      </c>
      <c r="I55" s="4" t="s">
        <v>420</v>
      </c>
      <c r="J55" s="24">
        <v>5</v>
      </c>
      <c r="K55" s="54" t="str">
        <f>VLOOKUP(J55,Ruimtegroepen[],2,FALSE)</f>
        <v>Sanitair</v>
      </c>
      <c r="L55" s="24" t="s">
        <v>305</v>
      </c>
      <c r="M55" s="24" t="s">
        <v>400</v>
      </c>
      <c r="N55" s="83">
        <v>3.75</v>
      </c>
      <c r="O55" s="83"/>
      <c r="P55" s="93" t="str">
        <f>LEFT(VLOOKUP(Ruimtestaat[[#This Row],[Ruimte code]],Ruimtegroepen[#All],4,1),2)</f>
        <v>Sa</v>
      </c>
      <c r="Q55" s="83"/>
      <c r="R55" s="84">
        <v>42</v>
      </c>
      <c r="S55" s="84" t="s">
        <v>316</v>
      </c>
      <c r="T55" s="85">
        <f>IF(R55&gt;0,IF(RIGHT(Ruimtestaat[[#This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5" s="85">
        <f>IF(T55&gt;0,VLOOKUP($J55,Ruimtegroepen[],3,FALSE)*VLOOKUP($L55,Vloersoorten[],3,FALSE)*VLOOKUP($S55,Frequenties[],3,FALSE)*VLOOKUP($A55,Locaties[],3,FALSE),0)</f>
        <v>0</v>
      </c>
      <c r="V55" s="86">
        <f>Ruimtestaat[[#This Row],[Uitvoeringen werkdagen]]*Ruimtestaat[[#This Row],[Oppervlak (netto)]]</f>
        <v>1575</v>
      </c>
      <c r="W55" s="87">
        <f>IF(U55&gt;0,Ruimtestaat[[#This Row],[Prest. (m2 /jaar) werkdagen]]/Ruimtestaat[[#This Row],[Norm (m2/uur) werkdagen]],0)</f>
        <v>0</v>
      </c>
      <c r="X55" s="88">
        <f>Ruimtestaat[[#This Row],[uren / jaar werkdagen]]*Tariefsopbouw!$E$35</f>
        <v>0</v>
      </c>
      <c r="Y55" s="85"/>
      <c r="Z55" s="89">
        <f>IF(Ruimtestaat[[#This Row],[Frequentie weekend]]&gt;0,VALUE(LEFT(Y55,1))*R55,0)</f>
        <v>0</v>
      </c>
      <c r="AA55" s="85">
        <f>IF($Z55&gt;0,VLOOKUP($J55,Ruimtegroepen[],3,FALSE)*VLOOKUP($L55,Vloersoorten[],3,FALSE)*VLOOKUP($Y55,Frequenties[],3,FALSE)*VLOOKUP($A51,Locaties[],3,FALSE),0)</f>
        <v>0</v>
      </c>
      <c r="AB55" s="87">
        <f>Ruimtestaat[[#This Row],[Uitvoeringen weekend]]*Ruimtestaat[[#This Row],[Oppervlak (netto)]]</f>
        <v>0</v>
      </c>
      <c r="AC55" s="90">
        <f>IF(AB55&gt;0,Ruimtestaat[[#This Row],[Prest. (m2 /jaar) weekend]]/Ruimtestaat[[#This Row],[Norm (m2/uur) weekend]],0)</f>
        <v>0</v>
      </c>
      <c r="AD55" s="91">
        <f>Ruimtestaat[[#This Row],[uren / jaar weekend]]*Tariefsopbouw!$D$40</f>
        <v>0</v>
      </c>
      <c r="AE55" s="60">
        <f>Ruimtestaat[[#This Row],[Prest. (m2 /jaar) weekend]]+Ruimtestaat[[#This Row],[Prest. (m2 /jaar) werkdagen]]</f>
        <v>1575</v>
      </c>
      <c r="AF55" s="60">
        <f>Ruimtestaat[[#This Row],[uren / jaar weekend]]+Ruimtestaat[[#This Row],[uren / jaar werkdagen]]</f>
        <v>0</v>
      </c>
      <c r="AG55" s="61">
        <f>Ruimtestaat[[#This Row],[kosten / jaar weekend]]+Ruimtestaat[[#This Row],[kosten / jaar werkdagen]]</f>
        <v>0</v>
      </c>
      <c r="AH55" s="92"/>
      <c r="HL55" s="59"/>
    </row>
    <row r="56" spans="1:220">
      <c r="A56" s="24">
        <v>1</v>
      </c>
      <c r="B56" s="24" t="str">
        <f>VLOOKUP(Ruimtestaat[[#This Row],[Code]],Locaties[#All],2,FALSE)</f>
        <v>Boerhaave + buitenunits</v>
      </c>
      <c r="C56" s="24" t="str">
        <f>VLOOKUP(Ruimtestaat[[#This Row],[Code]],Locaties[#All],4,FALSE)</f>
        <v>Herman Boerhaavelaan 1</v>
      </c>
      <c r="D56" s="24" t="str">
        <f>VLOOKUP(Ruimtestaat[[#This Row],[Code]],Locaties[#All],5,FALSE)</f>
        <v>7415 ES</v>
      </c>
      <c r="E56" s="24" t="str">
        <f>VLOOKUP(Ruimtestaat[[#This Row],[Code]],Locaties[#All],6,FALSE)</f>
        <v>Deventer</v>
      </c>
      <c r="F56" s="54"/>
      <c r="G56" s="24" t="s">
        <v>367</v>
      </c>
      <c r="H56" s="24" t="s">
        <v>461</v>
      </c>
      <c r="I56" s="4" t="s">
        <v>402</v>
      </c>
      <c r="J56" s="24">
        <v>5</v>
      </c>
      <c r="K56" s="54" t="str">
        <f>VLOOKUP(J56,Ruimtegroepen[],2,FALSE)</f>
        <v>Sanitair</v>
      </c>
      <c r="L56" s="24" t="s">
        <v>305</v>
      </c>
      <c r="M56" s="24" t="s">
        <v>400</v>
      </c>
      <c r="N56" s="83">
        <v>1.32</v>
      </c>
      <c r="O56" s="83"/>
      <c r="P56" s="93" t="str">
        <f>LEFT(VLOOKUP(Ruimtestaat[[#This Row],[Ruimte code]],Ruimtegroepen[#All],4,1),2)</f>
        <v>Sa</v>
      </c>
      <c r="Q56" s="83"/>
      <c r="R56" s="84">
        <v>42</v>
      </c>
      <c r="S56" s="84" t="s">
        <v>316</v>
      </c>
      <c r="T56" s="85">
        <f>IF(R56&gt;0,IF(RIGHT(Ruimtestaat[[#This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6" s="85">
        <f>IF(T56&gt;0,VLOOKUP($J56,Ruimtegroepen[],3,FALSE)*VLOOKUP($L56,Vloersoorten[],3,FALSE)*VLOOKUP($S56,Frequenties[],3,FALSE)*VLOOKUP($A56,Locaties[],3,FALSE),0)</f>
        <v>0</v>
      </c>
      <c r="V56" s="86">
        <f>Ruimtestaat[[#This Row],[Uitvoeringen werkdagen]]*Ruimtestaat[[#This Row],[Oppervlak (netto)]]</f>
        <v>554.4</v>
      </c>
      <c r="W56" s="87">
        <f>IF(U56&gt;0,Ruimtestaat[[#This Row],[Prest. (m2 /jaar) werkdagen]]/Ruimtestaat[[#This Row],[Norm (m2/uur) werkdagen]],0)</f>
        <v>0</v>
      </c>
      <c r="X56" s="88">
        <f>Ruimtestaat[[#This Row],[uren / jaar werkdagen]]*Tariefsopbouw!$E$35</f>
        <v>0</v>
      </c>
      <c r="Y56" s="85"/>
      <c r="Z56" s="89">
        <f>IF(Ruimtestaat[[#This Row],[Frequentie weekend]]&gt;0,VALUE(LEFT(Y56,1))*R56,0)</f>
        <v>0</v>
      </c>
      <c r="AA56" s="85">
        <f>IF($Z56&gt;0,VLOOKUP($J56,Ruimtegroepen[],3,FALSE)*VLOOKUP($L56,Vloersoorten[],3,FALSE)*VLOOKUP($Y56,Frequenties[],3,FALSE)*VLOOKUP($A52,Locaties[],3,FALSE),0)</f>
        <v>0</v>
      </c>
      <c r="AB56" s="87">
        <f>Ruimtestaat[[#This Row],[Uitvoeringen weekend]]*Ruimtestaat[[#This Row],[Oppervlak (netto)]]</f>
        <v>0</v>
      </c>
      <c r="AC56" s="90">
        <f>IF(AB56&gt;0,Ruimtestaat[[#This Row],[Prest. (m2 /jaar) weekend]]/Ruimtestaat[[#This Row],[Norm (m2/uur) weekend]],0)</f>
        <v>0</v>
      </c>
      <c r="AD56" s="91">
        <f>Ruimtestaat[[#This Row],[uren / jaar weekend]]*Tariefsopbouw!$D$40</f>
        <v>0</v>
      </c>
      <c r="AE56" s="60">
        <f>Ruimtestaat[[#This Row],[Prest. (m2 /jaar) weekend]]+Ruimtestaat[[#This Row],[Prest. (m2 /jaar) werkdagen]]</f>
        <v>554.4</v>
      </c>
      <c r="AF56" s="60">
        <f>Ruimtestaat[[#This Row],[uren / jaar weekend]]+Ruimtestaat[[#This Row],[uren / jaar werkdagen]]</f>
        <v>0</v>
      </c>
      <c r="AG56" s="61">
        <f>Ruimtestaat[[#This Row],[kosten / jaar weekend]]+Ruimtestaat[[#This Row],[kosten / jaar werkdagen]]</f>
        <v>0</v>
      </c>
      <c r="AH56" s="92"/>
      <c r="HL56" s="59"/>
    </row>
    <row r="57" spans="1:220">
      <c r="A57" s="24">
        <v>1</v>
      </c>
      <c r="B57" s="24" t="str">
        <f>VLOOKUP(Ruimtestaat[[#This Row],[Code]],Locaties[#All],2,FALSE)</f>
        <v>Boerhaave + buitenunits</v>
      </c>
      <c r="C57" s="24" t="str">
        <f>VLOOKUP(Ruimtestaat[[#This Row],[Code]],Locaties[#All],4,FALSE)</f>
        <v>Herman Boerhaavelaan 1</v>
      </c>
      <c r="D57" s="24" t="str">
        <f>VLOOKUP(Ruimtestaat[[#This Row],[Code]],Locaties[#All],5,FALSE)</f>
        <v>7415 ES</v>
      </c>
      <c r="E57" s="24" t="str">
        <f>VLOOKUP(Ruimtestaat[[#This Row],[Code]],Locaties[#All],6,FALSE)</f>
        <v>Deventer</v>
      </c>
      <c r="F57" s="54"/>
      <c r="G57" s="24" t="s">
        <v>367</v>
      </c>
      <c r="H57" s="24" t="s">
        <v>462</v>
      </c>
      <c r="I57" s="4" t="s">
        <v>402</v>
      </c>
      <c r="J57" s="24">
        <v>5</v>
      </c>
      <c r="K57" s="54" t="str">
        <f>VLOOKUP(J57,Ruimtegroepen[],2,FALSE)</f>
        <v>Sanitair</v>
      </c>
      <c r="L57" s="24" t="s">
        <v>305</v>
      </c>
      <c r="M57" s="24" t="s">
        <v>400</v>
      </c>
      <c r="N57" s="83">
        <v>1.32</v>
      </c>
      <c r="O57" s="83"/>
      <c r="P57" s="93" t="str">
        <f>LEFT(VLOOKUP(Ruimtestaat[[#This Row],[Ruimte code]],Ruimtegroepen[#All],4,1),2)</f>
        <v>Sa</v>
      </c>
      <c r="Q57" s="83"/>
      <c r="R57" s="84">
        <v>42</v>
      </c>
      <c r="S57" s="84" t="s">
        <v>316</v>
      </c>
      <c r="T57" s="85">
        <f>IF(R57&gt;0,IF(RIGHT(Ruimtestaat[[#This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" s="85">
        <f>IF(T57&gt;0,VLOOKUP($J57,Ruimtegroepen[],3,FALSE)*VLOOKUP($L57,Vloersoorten[],3,FALSE)*VLOOKUP($S57,Frequenties[],3,FALSE)*VLOOKUP($A57,Locaties[],3,FALSE),0)</f>
        <v>0</v>
      </c>
      <c r="V57" s="86">
        <f>Ruimtestaat[[#This Row],[Uitvoeringen werkdagen]]*Ruimtestaat[[#This Row],[Oppervlak (netto)]]</f>
        <v>554.4</v>
      </c>
      <c r="W57" s="87">
        <f>IF(U57&gt;0,Ruimtestaat[[#This Row],[Prest. (m2 /jaar) werkdagen]]/Ruimtestaat[[#This Row],[Norm (m2/uur) werkdagen]],0)</f>
        <v>0</v>
      </c>
      <c r="X57" s="88">
        <f>Ruimtestaat[[#This Row],[uren / jaar werkdagen]]*Tariefsopbouw!$E$35</f>
        <v>0</v>
      </c>
      <c r="Y57" s="85"/>
      <c r="Z57" s="89">
        <f>IF(Ruimtestaat[[#This Row],[Frequentie weekend]]&gt;0,VALUE(LEFT(Y57,1))*R57,0)</f>
        <v>0</v>
      </c>
      <c r="AA57" s="85">
        <f>IF($Z57&gt;0,VLOOKUP($J57,Ruimtegroepen[],3,FALSE)*VLOOKUP($L57,Vloersoorten[],3,FALSE)*VLOOKUP($Y57,Frequenties[],3,FALSE)*VLOOKUP($A49,Locaties[],3,FALSE),0)</f>
        <v>0</v>
      </c>
      <c r="AB57" s="87">
        <f>Ruimtestaat[[#This Row],[Uitvoeringen weekend]]*Ruimtestaat[[#This Row],[Oppervlak (netto)]]</f>
        <v>0</v>
      </c>
      <c r="AC57" s="90">
        <f>IF(AB57&gt;0,Ruimtestaat[[#This Row],[Prest. (m2 /jaar) weekend]]/Ruimtestaat[[#This Row],[Norm (m2/uur) weekend]],0)</f>
        <v>0</v>
      </c>
      <c r="AD57" s="91">
        <f>Ruimtestaat[[#This Row],[uren / jaar weekend]]*Tariefsopbouw!$D$40</f>
        <v>0</v>
      </c>
      <c r="AE57" s="60">
        <f>Ruimtestaat[[#This Row],[Prest. (m2 /jaar) weekend]]+Ruimtestaat[[#This Row],[Prest. (m2 /jaar) werkdagen]]</f>
        <v>554.4</v>
      </c>
      <c r="AF57" s="60">
        <f>Ruimtestaat[[#This Row],[uren / jaar weekend]]+Ruimtestaat[[#This Row],[uren / jaar werkdagen]]</f>
        <v>0</v>
      </c>
      <c r="AG57" s="61">
        <f>Ruimtestaat[[#This Row],[kosten / jaar weekend]]+Ruimtestaat[[#This Row],[kosten / jaar werkdagen]]</f>
        <v>0</v>
      </c>
      <c r="AH57" s="92"/>
      <c r="HL57" s="59"/>
    </row>
    <row r="58" spans="1:220">
      <c r="A58" s="24">
        <v>1</v>
      </c>
      <c r="B58" s="24" t="str">
        <f>VLOOKUP(Ruimtestaat[[#This Row],[Code]],Locaties[#All],2,FALSE)</f>
        <v>Boerhaave + buitenunits</v>
      </c>
      <c r="C58" s="24" t="str">
        <f>VLOOKUP(Ruimtestaat[[#This Row],[Code]],Locaties[#All],4,FALSE)</f>
        <v>Herman Boerhaavelaan 1</v>
      </c>
      <c r="D58" s="24" t="str">
        <f>VLOOKUP(Ruimtestaat[[#This Row],[Code]],Locaties[#All],5,FALSE)</f>
        <v>7415 ES</v>
      </c>
      <c r="E58" s="24" t="str">
        <f>VLOOKUP(Ruimtestaat[[#This Row],[Code]],Locaties[#All],6,FALSE)</f>
        <v>Deventer</v>
      </c>
      <c r="F58" s="54"/>
      <c r="G58" s="24" t="s">
        <v>367</v>
      </c>
      <c r="H58" s="24" t="s">
        <v>463</v>
      </c>
      <c r="I58" s="4" t="s">
        <v>464</v>
      </c>
      <c r="J58" s="24">
        <v>5</v>
      </c>
      <c r="K58" s="54" t="str">
        <f>VLOOKUP(J58,Ruimtegroepen[],2,FALSE)</f>
        <v>Sanitair</v>
      </c>
      <c r="L58" s="24" t="s">
        <v>305</v>
      </c>
      <c r="M58" s="24" t="s">
        <v>400</v>
      </c>
      <c r="N58" s="83">
        <v>8.89</v>
      </c>
      <c r="O58" s="83"/>
      <c r="P58" s="93" t="str">
        <f>LEFT(VLOOKUP(Ruimtestaat[[#This Row],[Ruimte code]],Ruimtegroepen[#All],4,1),2)</f>
        <v>Sa</v>
      </c>
      <c r="Q58" s="83"/>
      <c r="R58" s="84">
        <v>40</v>
      </c>
      <c r="S58" s="84" t="s">
        <v>316</v>
      </c>
      <c r="T58" s="85">
        <f>IF(R58&gt;0,IF(RIGHT(Ruimtestaat[[#This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58" s="85">
        <f>IF(T58&gt;0,VLOOKUP($J58,Ruimtegroepen[],3,FALSE)*VLOOKUP($L58,Vloersoorten[],3,FALSE)*VLOOKUP($S58,Frequenties[],3,FALSE)*VLOOKUP($A58,Locaties[],3,FALSE),0)</f>
        <v>0</v>
      </c>
      <c r="V58" s="86">
        <f>Ruimtestaat[[#This Row],[Uitvoeringen werkdagen]]*Ruimtestaat[[#This Row],[Oppervlak (netto)]]</f>
        <v>3556</v>
      </c>
      <c r="W58" s="87">
        <f>IF(U58&gt;0,Ruimtestaat[[#This Row],[Prest. (m2 /jaar) werkdagen]]/Ruimtestaat[[#This Row],[Norm (m2/uur) werkdagen]],0)</f>
        <v>0</v>
      </c>
      <c r="X58" s="88">
        <f>Ruimtestaat[[#This Row],[uren / jaar werkdagen]]*Tariefsopbouw!$E$35</f>
        <v>0</v>
      </c>
      <c r="Y58" s="85"/>
      <c r="Z58" s="89">
        <f>IF(Ruimtestaat[[#This Row],[Frequentie weekend]]&gt;0,VALUE(LEFT(Y58,1))*R58,0)</f>
        <v>0</v>
      </c>
      <c r="AA58" s="85">
        <f>IF($Z58&gt;0,VLOOKUP($J58,Ruimtegroepen[],3,FALSE)*VLOOKUP($L58,Vloersoorten[],3,FALSE)*VLOOKUP($Y58,Frequenties[],3,FALSE)*VLOOKUP($A50,Locaties[],3,FALSE),0)</f>
        <v>0</v>
      </c>
      <c r="AB58" s="87">
        <f>Ruimtestaat[[#This Row],[Uitvoeringen weekend]]*Ruimtestaat[[#This Row],[Oppervlak (netto)]]</f>
        <v>0</v>
      </c>
      <c r="AC58" s="90">
        <f>IF(AB58&gt;0,Ruimtestaat[[#This Row],[Prest. (m2 /jaar) weekend]]/Ruimtestaat[[#This Row],[Norm (m2/uur) weekend]],0)</f>
        <v>0</v>
      </c>
      <c r="AD58" s="91">
        <f>Ruimtestaat[[#This Row],[uren / jaar weekend]]*Tariefsopbouw!$D$40</f>
        <v>0</v>
      </c>
      <c r="AE58" s="60">
        <f>Ruimtestaat[[#This Row],[Prest. (m2 /jaar) weekend]]+Ruimtestaat[[#This Row],[Prest. (m2 /jaar) werkdagen]]</f>
        <v>3556</v>
      </c>
      <c r="AF58" s="60">
        <f>Ruimtestaat[[#This Row],[uren / jaar weekend]]+Ruimtestaat[[#This Row],[uren / jaar werkdagen]]</f>
        <v>0</v>
      </c>
      <c r="AG58" s="61">
        <f>Ruimtestaat[[#This Row],[kosten / jaar weekend]]+Ruimtestaat[[#This Row],[kosten / jaar werkdagen]]</f>
        <v>0</v>
      </c>
      <c r="AH58" s="92"/>
      <c r="HL58" s="59"/>
    </row>
    <row r="59" spans="1:220">
      <c r="A59" s="24">
        <v>1</v>
      </c>
      <c r="B59" s="24" t="str">
        <f>VLOOKUP(Ruimtestaat[[#This Row],[Code]],Locaties[#All],2,FALSE)</f>
        <v>Boerhaave + buitenunits</v>
      </c>
      <c r="C59" s="24" t="str">
        <f>VLOOKUP(Ruimtestaat[[#This Row],[Code]],Locaties[#All],4,FALSE)</f>
        <v>Herman Boerhaavelaan 1</v>
      </c>
      <c r="D59" s="24" t="str">
        <f>VLOOKUP(Ruimtestaat[[#This Row],[Code]],Locaties[#All],5,FALSE)</f>
        <v>7415 ES</v>
      </c>
      <c r="E59" s="24" t="str">
        <f>VLOOKUP(Ruimtestaat[[#This Row],[Code]],Locaties[#All],6,FALSE)</f>
        <v>Deventer</v>
      </c>
      <c r="F59" s="54"/>
      <c r="G59" s="24" t="s">
        <v>367</v>
      </c>
      <c r="H59" s="24" t="s">
        <v>465</v>
      </c>
      <c r="I59" s="4" t="s">
        <v>466</v>
      </c>
      <c r="J59" s="24">
        <v>5</v>
      </c>
      <c r="K59" s="54" t="str">
        <f>VLOOKUP(J59,Ruimtegroepen[],2,FALSE)</f>
        <v>Sanitair</v>
      </c>
      <c r="L59" s="24" t="s">
        <v>305</v>
      </c>
      <c r="M59" s="24" t="s">
        <v>400</v>
      </c>
      <c r="N59" s="83">
        <v>2.61</v>
      </c>
      <c r="O59" s="83"/>
      <c r="P59" s="93" t="str">
        <f>LEFT(VLOOKUP(Ruimtestaat[[#This Row],[Ruimte code]],Ruimtegroepen[#All],4,1),2)</f>
        <v>Sa</v>
      </c>
      <c r="Q59" s="83"/>
      <c r="R59" s="84">
        <v>40</v>
      </c>
      <c r="S59" s="84" t="s">
        <v>316</v>
      </c>
      <c r="T59" s="85">
        <f>IF(R59&gt;0,IF(RIGHT(Ruimtestaat[[#This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59" s="85">
        <f>IF(T59&gt;0,VLOOKUP($J59,Ruimtegroepen[],3,FALSE)*VLOOKUP($L59,Vloersoorten[],3,FALSE)*VLOOKUP($S59,Frequenties[],3,FALSE)*VLOOKUP($A59,Locaties[],3,FALSE),0)</f>
        <v>0</v>
      </c>
      <c r="V59" s="86">
        <f>Ruimtestaat[[#This Row],[Uitvoeringen werkdagen]]*Ruimtestaat[[#This Row],[Oppervlak (netto)]]</f>
        <v>1044</v>
      </c>
      <c r="W59" s="87">
        <f>IF(U59&gt;0,Ruimtestaat[[#This Row],[Prest. (m2 /jaar) werkdagen]]/Ruimtestaat[[#This Row],[Norm (m2/uur) werkdagen]],0)</f>
        <v>0</v>
      </c>
      <c r="X59" s="88">
        <f>Ruimtestaat[[#This Row],[uren / jaar werkdagen]]*Tariefsopbouw!$E$35</f>
        <v>0</v>
      </c>
      <c r="Y59" s="85"/>
      <c r="Z59" s="89">
        <f>IF(Ruimtestaat[[#This Row],[Frequentie weekend]]&gt;0,VALUE(LEFT(Y59,1))*R59,0)</f>
        <v>0</v>
      </c>
      <c r="AA59" s="85">
        <f>IF($Z59&gt;0,VLOOKUP($J59,Ruimtegroepen[],3,FALSE)*VLOOKUP($L59,Vloersoorten[],3,FALSE)*VLOOKUP($Y59,Frequenties[],3,FALSE)*VLOOKUP($A51,Locaties[],3,FALSE),0)</f>
        <v>0</v>
      </c>
      <c r="AB59" s="87">
        <f>Ruimtestaat[[#This Row],[Uitvoeringen weekend]]*Ruimtestaat[[#This Row],[Oppervlak (netto)]]</f>
        <v>0</v>
      </c>
      <c r="AC59" s="90">
        <f>IF(AB59&gt;0,Ruimtestaat[[#This Row],[Prest. (m2 /jaar) weekend]]/Ruimtestaat[[#This Row],[Norm (m2/uur) weekend]],0)</f>
        <v>0</v>
      </c>
      <c r="AD59" s="91">
        <f>Ruimtestaat[[#This Row],[uren / jaar weekend]]*Tariefsopbouw!$D$40</f>
        <v>0</v>
      </c>
      <c r="AE59" s="60">
        <f>Ruimtestaat[[#This Row],[Prest. (m2 /jaar) weekend]]+Ruimtestaat[[#This Row],[Prest. (m2 /jaar) werkdagen]]</f>
        <v>1044</v>
      </c>
      <c r="AF59" s="60">
        <f>Ruimtestaat[[#This Row],[uren / jaar weekend]]+Ruimtestaat[[#This Row],[uren / jaar werkdagen]]</f>
        <v>0</v>
      </c>
      <c r="AG59" s="61">
        <f>Ruimtestaat[[#This Row],[kosten / jaar weekend]]+Ruimtestaat[[#This Row],[kosten / jaar werkdagen]]</f>
        <v>0</v>
      </c>
      <c r="AH59" s="92"/>
      <c r="HL59" s="59"/>
    </row>
    <row r="60" spans="1:220">
      <c r="A60" s="24">
        <v>1</v>
      </c>
      <c r="B60" s="24" t="str">
        <f>VLOOKUP(Ruimtestaat[[#This Row],[Code]],Locaties[#All],2,FALSE)</f>
        <v>Boerhaave + buitenunits</v>
      </c>
      <c r="C60" s="24" t="str">
        <f>VLOOKUP(Ruimtestaat[[#This Row],[Code]],Locaties[#All],4,FALSE)</f>
        <v>Herman Boerhaavelaan 1</v>
      </c>
      <c r="D60" s="24" t="str">
        <f>VLOOKUP(Ruimtestaat[[#This Row],[Code]],Locaties[#All],5,FALSE)</f>
        <v>7415 ES</v>
      </c>
      <c r="E60" s="24" t="str">
        <f>VLOOKUP(Ruimtestaat[[#This Row],[Code]],Locaties[#All],6,FALSE)</f>
        <v>Deventer</v>
      </c>
      <c r="F60" s="54"/>
      <c r="G60" s="24" t="s">
        <v>367</v>
      </c>
      <c r="H60" s="24" t="s">
        <v>467</v>
      </c>
      <c r="I60" s="4" t="s">
        <v>466</v>
      </c>
      <c r="J60" s="24">
        <v>5</v>
      </c>
      <c r="K60" s="54" t="str">
        <f>VLOOKUP(J60,Ruimtegroepen[],2,FALSE)</f>
        <v>Sanitair</v>
      </c>
      <c r="L60" s="24" t="s">
        <v>305</v>
      </c>
      <c r="M60" s="24" t="s">
        <v>400</v>
      </c>
      <c r="N60" s="83">
        <v>2.62</v>
      </c>
      <c r="O60" s="83"/>
      <c r="P60" s="93" t="str">
        <f>LEFT(VLOOKUP(Ruimtestaat[[#This Row],[Ruimte code]],Ruimtegroepen[#All],4,1),2)</f>
        <v>Sa</v>
      </c>
      <c r="Q60" s="83"/>
      <c r="R60" s="84">
        <v>40</v>
      </c>
      <c r="S60" s="84" t="s">
        <v>316</v>
      </c>
      <c r="T60" s="85">
        <f>IF(R60&gt;0,IF(RIGHT(Ruimtestaat[[#This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60" s="85">
        <f>IF(T60&gt;0,VLOOKUP($J60,Ruimtegroepen[],3,FALSE)*VLOOKUP($L60,Vloersoorten[],3,FALSE)*VLOOKUP($S60,Frequenties[],3,FALSE)*VLOOKUP($A60,Locaties[],3,FALSE),0)</f>
        <v>0</v>
      </c>
      <c r="V60" s="86">
        <f>Ruimtestaat[[#This Row],[Uitvoeringen werkdagen]]*Ruimtestaat[[#This Row],[Oppervlak (netto)]]</f>
        <v>1048</v>
      </c>
      <c r="W60" s="87">
        <f>IF(U60&gt;0,Ruimtestaat[[#This Row],[Prest. (m2 /jaar) werkdagen]]/Ruimtestaat[[#This Row],[Norm (m2/uur) werkdagen]],0)</f>
        <v>0</v>
      </c>
      <c r="X60" s="88">
        <f>Ruimtestaat[[#This Row],[uren / jaar werkdagen]]*Tariefsopbouw!$E$35</f>
        <v>0</v>
      </c>
      <c r="Y60" s="85"/>
      <c r="Z60" s="89">
        <f>IF(Ruimtestaat[[#This Row],[Frequentie weekend]]&gt;0,VALUE(LEFT(Y60,1))*R60,0)</f>
        <v>0</v>
      </c>
      <c r="AA60" s="85">
        <f>IF($Z60&gt;0,VLOOKUP($J60,Ruimtegroepen[],3,FALSE)*VLOOKUP($L60,Vloersoorten[],3,FALSE)*VLOOKUP($Y60,Frequenties[],3,FALSE)*VLOOKUP($A52,Locaties[],3,FALSE),0)</f>
        <v>0</v>
      </c>
      <c r="AB60" s="87">
        <f>Ruimtestaat[[#This Row],[Uitvoeringen weekend]]*Ruimtestaat[[#This Row],[Oppervlak (netto)]]</f>
        <v>0</v>
      </c>
      <c r="AC60" s="90">
        <f>IF(AB60&gt;0,Ruimtestaat[[#This Row],[Prest. (m2 /jaar) weekend]]/Ruimtestaat[[#This Row],[Norm (m2/uur) weekend]],0)</f>
        <v>0</v>
      </c>
      <c r="AD60" s="91">
        <f>Ruimtestaat[[#This Row],[uren / jaar weekend]]*Tariefsopbouw!$D$40</f>
        <v>0</v>
      </c>
      <c r="AE60" s="60">
        <f>Ruimtestaat[[#This Row],[Prest. (m2 /jaar) weekend]]+Ruimtestaat[[#This Row],[Prest. (m2 /jaar) werkdagen]]</f>
        <v>1048</v>
      </c>
      <c r="AF60" s="60">
        <f>Ruimtestaat[[#This Row],[uren / jaar weekend]]+Ruimtestaat[[#This Row],[uren / jaar werkdagen]]</f>
        <v>0</v>
      </c>
      <c r="AG60" s="61">
        <f>Ruimtestaat[[#This Row],[kosten / jaar weekend]]+Ruimtestaat[[#This Row],[kosten / jaar werkdagen]]</f>
        <v>0</v>
      </c>
      <c r="AH60" s="92"/>
      <c r="HL60" s="59"/>
    </row>
    <row r="61" spans="1:220">
      <c r="A61" s="24">
        <v>1</v>
      </c>
      <c r="B61" s="24" t="str">
        <f>VLOOKUP(Ruimtestaat[[#This Row],[Code]],Locaties[#All],2,FALSE)</f>
        <v>Boerhaave + buitenunits</v>
      </c>
      <c r="C61" s="24" t="str">
        <f>VLOOKUP(Ruimtestaat[[#This Row],[Code]],Locaties[#All],4,FALSE)</f>
        <v>Herman Boerhaavelaan 1</v>
      </c>
      <c r="D61" s="24" t="str">
        <f>VLOOKUP(Ruimtestaat[[#This Row],[Code]],Locaties[#All],5,FALSE)</f>
        <v>7415 ES</v>
      </c>
      <c r="E61" s="24" t="str">
        <f>VLOOKUP(Ruimtestaat[[#This Row],[Code]],Locaties[#All],6,FALSE)</f>
        <v>Deventer</v>
      </c>
      <c r="F61" s="54"/>
      <c r="G61" s="24" t="s">
        <v>367</v>
      </c>
      <c r="H61" s="24" t="s">
        <v>468</v>
      </c>
      <c r="I61" s="4" t="s">
        <v>469</v>
      </c>
      <c r="J61" s="24">
        <v>19</v>
      </c>
      <c r="K61" s="54" t="str">
        <f>VLOOKUP(J61,Ruimtegroepen[],2,FALSE)</f>
        <v>Kleedruimten</v>
      </c>
      <c r="L61" s="24" t="s">
        <v>305</v>
      </c>
      <c r="M61" s="24" t="s">
        <v>400</v>
      </c>
      <c r="N61" s="83">
        <v>49.81</v>
      </c>
      <c r="O61" s="83"/>
      <c r="P61" s="93" t="str">
        <f>LEFT(VLOOKUP(Ruimtestaat[[#This Row],[Ruimte code]],Ruimtegroepen[#All],4,1),2)</f>
        <v>Ve</v>
      </c>
      <c r="Q61" s="83"/>
      <c r="R61" s="84">
        <v>40</v>
      </c>
      <c r="S61" s="84" t="s">
        <v>318</v>
      </c>
      <c r="T61" s="85">
        <f>IF(R61&gt;0,IF(RIGHT(Ruimtestaat[[#This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" s="85">
        <f>IF(T61&gt;0,VLOOKUP($J61,Ruimtegroepen[],3,FALSE)*VLOOKUP($L61,Vloersoorten[],3,FALSE)*VLOOKUP($S61,Frequenties[],3,FALSE)*VLOOKUP($A61,Locaties[],3,FALSE),0)</f>
        <v>0</v>
      </c>
      <c r="V61" s="86">
        <f>Ruimtestaat[[#This Row],[Uitvoeringen werkdagen]]*Ruimtestaat[[#This Row],[Oppervlak (netto)]]</f>
        <v>9962</v>
      </c>
      <c r="W61" s="87">
        <f>IF(U61&gt;0,Ruimtestaat[[#This Row],[Prest. (m2 /jaar) werkdagen]]/Ruimtestaat[[#This Row],[Norm (m2/uur) werkdagen]],0)</f>
        <v>0</v>
      </c>
      <c r="X61" s="88">
        <f>Ruimtestaat[[#This Row],[uren / jaar werkdagen]]*Tariefsopbouw!$E$35</f>
        <v>0</v>
      </c>
      <c r="Y61" s="85"/>
      <c r="Z61" s="89">
        <f>IF(Ruimtestaat[[#This Row],[Frequentie weekend]]&gt;0,VALUE(LEFT(Y61,1))*R61,0)</f>
        <v>0</v>
      </c>
      <c r="AA61" s="85">
        <f>IF($Z61&gt;0,VLOOKUP($J61,Ruimtegroepen[],3,FALSE)*VLOOKUP($L61,Vloersoorten[],3,FALSE)*VLOOKUP($Y61,Frequenties[],3,FALSE)*VLOOKUP($A53,Locaties[],3,FALSE),0)</f>
        <v>0</v>
      </c>
      <c r="AB61" s="87">
        <f>Ruimtestaat[[#This Row],[Uitvoeringen weekend]]*Ruimtestaat[[#This Row],[Oppervlak (netto)]]</f>
        <v>0</v>
      </c>
      <c r="AC61" s="90">
        <f>IF(AB61&gt;0,Ruimtestaat[[#This Row],[Prest. (m2 /jaar) weekend]]/Ruimtestaat[[#This Row],[Norm (m2/uur) weekend]],0)</f>
        <v>0</v>
      </c>
      <c r="AD61" s="91">
        <f>Ruimtestaat[[#This Row],[uren / jaar weekend]]*Tariefsopbouw!$D$40</f>
        <v>0</v>
      </c>
      <c r="AE61" s="60">
        <f>Ruimtestaat[[#This Row],[Prest. (m2 /jaar) weekend]]+Ruimtestaat[[#This Row],[Prest. (m2 /jaar) werkdagen]]</f>
        <v>9962</v>
      </c>
      <c r="AF61" s="60">
        <f>Ruimtestaat[[#This Row],[uren / jaar weekend]]+Ruimtestaat[[#This Row],[uren / jaar werkdagen]]</f>
        <v>0</v>
      </c>
      <c r="AG61" s="61">
        <f>Ruimtestaat[[#This Row],[kosten / jaar weekend]]+Ruimtestaat[[#This Row],[kosten / jaar werkdagen]]</f>
        <v>0</v>
      </c>
      <c r="AH61" s="92"/>
      <c r="HL61" s="59"/>
    </row>
    <row r="62" spans="1:220">
      <c r="A62" s="24">
        <v>1</v>
      </c>
      <c r="B62" s="24" t="str">
        <f>VLOOKUP(Ruimtestaat[[#This Row],[Code]],Locaties[#All],2,FALSE)</f>
        <v>Boerhaave + buitenunits</v>
      </c>
      <c r="C62" s="24" t="str">
        <f>VLOOKUP(Ruimtestaat[[#This Row],[Code]],Locaties[#All],4,FALSE)</f>
        <v>Herman Boerhaavelaan 1</v>
      </c>
      <c r="D62" s="24" t="str">
        <f>VLOOKUP(Ruimtestaat[[#This Row],[Code]],Locaties[#All],5,FALSE)</f>
        <v>7415 ES</v>
      </c>
      <c r="E62" s="24" t="str">
        <f>VLOOKUP(Ruimtestaat[[#This Row],[Code]],Locaties[#All],6,FALSE)</f>
        <v>Deventer</v>
      </c>
      <c r="F62" s="54"/>
      <c r="G62" s="24" t="s">
        <v>367</v>
      </c>
      <c r="H62" s="24" t="s">
        <v>470</v>
      </c>
      <c r="I62" s="4" t="s">
        <v>394</v>
      </c>
      <c r="J62" s="24">
        <v>22</v>
      </c>
      <c r="K62" s="54" t="str">
        <f>VLOOKUP(J62,Ruimtegroepen[],2,FALSE)</f>
        <v>Niet in onderhoud</v>
      </c>
      <c r="L62" s="24" t="s">
        <v>305</v>
      </c>
      <c r="M62" s="24" t="s">
        <v>400</v>
      </c>
      <c r="N62" s="83"/>
      <c r="O62" s="83">
        <v>9</v>
      </c>
      <c r="P62" s="93" t="str">
        <f>LEFT(VLOOKUP(Ruimtestaat[[#This Row],[Ruimte code]],Ruimtegroepen[#All],4,1),2)</f>
        <v/>
      </c>
      <c r="Q62" s="83"/>
      <c r="R62" s="84"/>
      <c r="S62" s="84"/>
      <c r="T62" s="85">
        <f>IF(R62&gt;0,IF(RIGHT(Ruimtestaat[[#This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2" s="85">
        <f>IF(T62&gt;0,VLOOKUP($J62,Ruimtegroepen[],3,FALSE)*VLOOKUP($L62,Vloersoorten[],3,FALSE)*VLOOKUP($S62,Frequenties[],3,FALSE)*VLOOKUP($A62,Locaties[],3,FALSE),0)</f>
        <v>0</v>
      </c>
      <c r="V62" s="86">
        <f>Ruimtestaat[[#This Row],[Uitvoeringen werkdagen]]*Ruimtestaat[[#This Row],[Oppervlak (netto)]]</f>
        <v>0</v>
      </c>
      <c r="W62" s="87">
        <f>IF(U62&gt;0,Ruimtestaat[[#This Row],[Prest. (m2 /jaar) werkdagen]]/Ruimtestaat[[#This Row],[Norm (m2/uur) werkdagen]],0)</f>
        <v>0</v>
      </c>
      <c r="X62" s="88">
        <f>Ruimtestaat[[#This Row],[uren / jaar werkdagen]]*Tariefsopbouw!$E$35</f>
        <v>0</v>
      </c>
      <c r="Y62" s="85"/>
      <c r="Z62" s="89">
        <f>IF(Ruimtestaat[[#This Row],[Frequentie weekend]]&gt;0,VALUE(LEFT(Y62,1))*R62,0)</f>
        <v>0</v>
      </c>
      <c r="AA62" s="85">
        <f>IF($Z62&gt;0,VLOOKUP($J62,Ruimtegroepen[],3,FALSE)*VLOOKUP($L62,Vloersoorten[],3,FALSE)*VLOOKUP($Y62,Frequenties[],3,FALSE)*VLOOKUP($A53,Locaties[],3,FALSE),0)</f>
        <v>0</v>
      </c>
      <c r="AB62" s="87">
        <f>Ruimtestaat[[#This Row],[Uitvoeringen weekend]]*Ruimtestaat[[#This Row],[Oppervlak (netto)]]</f>
        <v>0</v>
      </c>
      <c r="AC62" s="90">
        <f>IF(AB62&gt;0,Ruimtestaat[[#This Row],[Prest. (m2 /jaar) weekend]]/Ruimtestaat[[#This Row],[Norm (m2/uur) weekend]],0)</f>
        <v>0</v>
      </c>
      <c r="AD62" s="91">
        <f>Ruimtestaat[[#This Row],[uren / jaar weekend]]*Tariefsopbouw!$D$40</f>
        <v>0</v>
      </c>
      <c r="AE62" s="60">
        <f>Ruimtestaat[[#This Row],[Prest. (m2 /jaar) weekend]]+Ruimtestaat[[#This Row],[Prest. (m2 /jaar) werkdagen]]</f>
        <v>0</v>
      </c>
      <c r="AF62" s="60">
        <f>Ruimtestaat[[#This Row],[uren / jaar weekend]]+Ruimtestaat[[#This Row],[uren / jaar werkdagen]]</f>
        <v>0</v>
      </c>
      <c r="AG62" s="61">
        <f>Ruimtestaat[[#This Row],[kosten / jaar weekend]]+Ruimtestaat[[#This Row],[kosten / jaar werkdagen]]</f>
        <v>0</v>
      </c>
      <c r="AH62" s="92"/>
      <c r="HL62" s="59"/>
    </row>
    <row r="63" spans="1:220">
      <c r="A63" s="24">
        <v>1</v>
      </c>
      <c r="B63" s="24" t="str">
        <f>VLOOKUP(Ruimtestaat[[#This Row],[Code]],Locaties[#All],2,FALSE)</f>
        <v>Boerhaave + buitenunits</v>
      </c>
      <c r="C63" s="24" t="str">
        <f>VLOOKUP(Ruimtestaat[[#This Row],[Code]],Locaties[#All],4,FALSE)</f>
        <v>Herman Boerhaavelaan 1</v>
      </c>
      <c r="D63" s="24" t="str">
        <f>VLOOKUP(Ruimtestaat[[#This Row],[Code]],Locaties[#All],5,FALSE)</f>
        <v>7415 ES</v>
      </c>
      <c r="E63" s="24" t="str">
        <f>VLOOKUP(Ruimtestaat[[#This Row],[Code]],Locaties[#All],6,FALSE)</f>
        <v>Deventer</v>
      </c>
      <c r="F63" s="54"/>
      <c r="G63" s="24" t="s">
        <v>367</v>
      </c>
      <c r="H63" s="28" t="s">
        <v>471</v>
      </c>
      <c r="I63" s="4" t="s">
        <v>375</v>
      </c>
      <c r="J63" s="24">
        <v>22</v>
      </c>
      <c r="K63" s="54" t="str">
        <f>VLOOKUP(J63,Ruimtegroepen[],2,FALSE)</f>
        <v>Niet in onderhoud</v>
      </c>
      <c r="L63" s="24" t="s">
        <v>305</v>
      </c>
      <c r="M63" s="24" t="s">
        <v>400</v>
      </c>
      <c r="N63" s="83"/>
      <c r="O63" s="83">
        <v>0.95</v>
      </c>
      <c r="P63" s="93" t="str">
        <f>LEFT(VLOOKUP(Ruimtestaat[[#This Row],[Ruimte code]],Ruimtegroepen[#All],4,1),2)</f>
        <v/>
      </c>
      <c r="Q63" s="83"/>
      <c r="R63" s="84"/>
      <c r="S63" s="84"/>
      <c r="T63" s="85">
        <f>IF(R63&gt;0,IF(RIGHT(Ruimtestaat[[#This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3" s="85">
        <f>IF(T63&gt;0,VLOOKUP($J63,Ruimtegroepen[],3,FALSE)*VLOOKUP($L63,Vloersoorten[],3,FALSE)*VLOOKUP($S63,Frequenties[],3,FALSE)*VLOOKUP($A63,Locaties[],3,FALSE),0)</f>
        <v>0</v>
      </c>
      <c r="V63" s="86">
        <f>Ruimtestaat[[#This Row],[Uitvoeringen werkdagen]]*Ruimtestaat[[#This Row],[Oppervlak (netto)]]</f>
        <v>0</v>
      </c>
      <c r="W63" s="87">
        <f>IF(U63&gt;0,Ruimtestaat[[#This Row],[Prest. (m2 /jaar) werkdagen]]/Ruimtestaat[[#This Row],[Norm (m2/uur) werkdagen]],0)</f>
        <v>0</v>
      </c>
      <c r="X63" s="88">
        <f>Ruimtestaat[[#This Row],[uren / jaar werkdagen]]*Tariefsopbouw!$E$35</f>
        <v>0</v>
      </c>
      <c r="Y63" s="85"/>
      <c r="Z63" s="89">
        <f>IF(Ruimtestaat[[#This Row],[Frequentie weekend]]&gt;0,VALUE(LEFT(Y63,1))*R63,0)</f>
        <v>0</v>
      </c>
      <c r="AA63" s="85">
        <f>IF($Z63&gt;0,VLOOKUP($J63,Ruimtegroepen[],3,FALSE)*VLOOKUP($L63,Vloersoorten[],3,FALSE)*VLOOKUP($Y63,Frequenties[],3,FALSE)*VLOOKUP($A54,Locaties[],3,FALSE),0)</f>
        <v>0</v>
      </c>
      <c r="AB63" s="87">
        <f>Ruimtestaat[[#This Row],[Uitvoeringen weekend]]*Ruimtestaat[[#This Row],[Oppervlak (netto)]]</f>
        <v>0</v>
      </c>
      <c r="AC63" s="90">
        <f>IF(AB63&gt;0,Ruimtestaat[[#This Row],[Prest. (m2 /jaar) weekend]]/Ruimtestaat[[#This Row],[Norm (m2/uur) weekend]],0)</f>
        <v>0</v>
      </c>
      <c r="AD63" s="91">
        <f>Ruimtestaat[[#This Row],[uren / jaar weekend]]*Tariefsopbouw!$D$40</f>
        <v>0</v>
      </c>
      <c r="AE63" s="60">
        <f>Ruimtestaat[[#This Row],[Prest. (m2 /jaar) weekend]]+Ruimtestaat[[#This Row],[Prest. (m2 /jaar) werkdagen]]</f>
        <v>0</v>
      </c>
      <c r="AF63" s="60">
        <f>Ruimtestaat[[#This Row],[uren / jaar weekend]]+Ruimtestaat[[#This Row],[uren / jaar werkdagen]]</f>
        <v>0</v>
      </c>
      <c r="AG63" s="61">
        <f>Ruimtestaat[[#This Row],[kosten / jaar weekend]]+Ruimtestaat[[#This Row],[kosten / jaar werkdagen]]</f>
        <v>0</v>
      </c>
      <c r="AH63" s="92"/>
      <c r="HL63" s="59"/>
    </row>
    <row r="64" spans="1:220">
      <c r="A64" s="24">
        <v>1</v>
      </c>
      <c r="B64" s="24" t="str">
        <f>VLOOKUP(Ruimtestaat[[#This Row],[Code]],Locaties[#All],2,FALSE)</f>
        <v>Boerhaave + buitenunits</v>
      </c>
      <c r="C64" s="24" t="str">
        <f>VLOOKUP(Ruimtestaat[[#This Row],[Code]],Locaties[#All],4,FALSE)</f>
        <v>Herman Boerhaavelaan 1</v>
      </c>
      <c r="D64" s="24" t="str">
        <f>VLOOKUP(Ruimtestaat[[#This Row],[Code]],Locaties[#All],5,FALSE)</f>
        <v>7415 ES</v>
      </c>
      <c r="E64" s="24" t="str">
        <f>VLOOKUP(Ruimtestaat[[#This Row],[Code]],Locaties[#All],6,FALSE)</f>
        <v>Deventer</v>
      </c>
      <c r="F64" s="54"/>
      <c r="G64" s="24" t="s">
        <v>367</v>
      </c>
      <c r="H64" s="28" t="s">
        <v>472</v>
      </c>
      <c r="I64" s="4" t="s">
        <v>473</v>
      </c>
      <c r="J64" s="24">
        <v>5</v>
      </c>
      <c r="K64" s="54" t="str">
        <f>VLOOKUP(J64,Ruimtegroepen[],2,FALSE)</f>
        <v>Sanitair</v>
      </c>
      <c r="L64" s="24" t="s">
        <v>305</v>
      </c>
      <c r="M64" s="24" t="s">
        <v>400</v>
      </c>
      <c r="N64" s="83">
        <v>0.8</v>
      </c>
      <c r="O64" s="83"/>
      <c r="P64" s="93" t="str">
        <f>LEFT(VLOOKUP(Ruimtestaat[[#This Row],[Ruimte code]],Ruimtegroepen[#All],4,1),2)</f>
        <v>Sa</v>
      </c>
      <c r="Q64" s="83"/>
      <c r="R64" s="84">
        <v>42</v>
      </c>
      <c r="S64" s="84" t="s">
        <v>316</v>
      </c>
      <c r="T64" s="85">
        <f>IF(R64&gt;0,IF(RIGHT(Ruimtestaat[[#This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4" s="85">
        <f>IF(T64&gt;0,VLOOKUP($J64,Ruimtegroepen[],3,FALSE)*VLOOKUP($L64,Vloersoorten[],3,FALSE)*VLOOKUP($S64,Frequenties[],3,FALSE)*VLOOKUP($A64,Locaties[],3,FALSE),0)</f>
        <v>0</v>
      </c>
      <c r="V64" s="86">
        <f>Ruimtestaat[[#This Row],[Uitvoeringen werkdagen]]*Ruimtestaat[[#This Row],[Oppervlak (netto)]]</f>
        <v>336</v>
      </c>
      <c r="W64" s="87">
        <f>IF(U64&gt;0,Ruimtestaat[[#This Row],[Prest. (m2 /jaar) werkdagen]]/Ruimtestaat[[#This Row],[Norm (m2/uur) werkdagen]],0)</f>
        <v>0</v>
      </c>
      <c r="X64" s="88">
        <f>Ruimtestaat[[#This Row],[uren / jaar werkdagen]]*Tariefsopbouw!$E$35</f>
        <v>0</v>
      </c>
      <c r="Y64" s="85"/>
      <c r="Z64" s="89">
        <f>IF(Ruimtestaat[[#This Row],[Frequentie weekend]]&gt;0,VALUE(LEFT(Y64,1))*R64,0)</f>
        <v>0</v>
      </c>
      <c r="AA64" s="85">
        <f>IF($Z64&gt;0,VLOOKUP($J64,Ruimtegroepen[],3,FALSE)*VLOOKUP($L64,Vloersoorten[],3,FALSE)*VLOOKUP($Y64,Frequenties[],3,FALSE)*VLOOKUP($A55,Locaties[],3,FALSE),0)</f>
        <v>0</v>
      </c>
      <c r="AB64" s="87">
        <f>Ruimtestaat[[#This Row],[Uitvoeringen weekend]]*Ruimtestaat[[#This Row],[Oppervlak (netto)]]</f>
        <v>0</v>
      </c>
      <c r="AC64" s="90">
        <f>IF(AB64&gt;0,Ruimtestaat[[#This Row],[Prest. (m2 /jaar) weekend]]/Ruimtestaat[[#This Row],[Norm (m2/uur) weekend]],0)</f>
        <v>0</v>
      </c>
      <c r="AD64" s="91">
        <f>Ruimtestaat[[#This Row],[uren / jaar weekend]]*Tariefsopbouw!$D$40</f>
        <v>0</v>
      </c>
      <c r="AE64" s="60">
        <f>Ruimtestaat[[#This Row],[Prest. (m2 /jaar) weekend]]+Ruimtestaat[[#This Row],[Prest. (m2 /jaar) werkdagen]]</f>
        <v>336</v>
      </c>
      <c r="AF64" s="60">
        <f>Ruimtestaat[[#This Row],[uren / jaar weekend]]+Ruimtestaat[[#This Row],[uren / jaar werkdagen]]</f>
        <v>0</v>
      </c>
      <c r="AG64" s="61">
        <f>Ruimtestaat[[#This Row],[kosten / jaar weekend]]+Ruimtestaat[[#This Row],[kosten / jaar werkdagen]]</f>
        <v>0</v>
      </c>
      <c r="AH64" s="92"/>
      <c r="HL64" s="59"/>
    </row>
    <row r="65" spans="1:220">
      <c r="A65" s="24">
        <v>1</v>
      </c>
      <c r="B65" s="24" t="str">
        <f>VLOOKUP(Ruimtestaat[[#This Row],[Code]],Locaties[#All],2,FALSE)</f>
        <v>Boerhaave + buitenunits</v>
      </c>
      <c r="C65" s="24" t="str">
        <f>VLOOKUP(Ruimtestaat[[#This Row],[Code]],Locaties[#All],4,FALSE)</f>
        <v>Herman Boerhaavelaan 1</v>
      </c>
      <c r="D65" s="24" t="str">
        <f>VLOOKUP(Ruimtestaat[[#This Row],[Code]],Locaties[#All],5,FALSE)</f>
        <v>7415 ES</v>
      </c>
      <c r="E65" s="24" t="str">
        <f>VLOOKUP(Ruimtestaat[[#This Row],[Code]],Locaties[#All],6,FALSE)</f>
        <v>Deventer</v>
      </c>
      <c r="F65" s="54"/>
      <c r="G65" s="24" t="s">
        <v>367</v>
      </c>
      <c r="H65" s="28" t="s">
        <v>474</v>
      </c>
      <c r="I65" s="4" t="s">
        <v>473</v>
      </c>
      <c r="J65" s="24">
        <v>5</v>
      </c>
      <c r="K65" s="54" t="str">
        <f>VLOOKUP(J65,Ruimtegroepen[],2,FALSE)</f>
        <v>Sanitair</v>
      </c>
      <c r="L65" s="24" t="s">
        <v>305</v>
      </c>
      <c r="M65" s="24" t="s">
        <v>400</v>
      </c>
      <c r="N65" s="83">
        <v>0.8</v>
      </c>
      <c r="O65" s="83"/>
      <c r="P65" s="93" t="str">
        <f>LEFT(VLOOKUP(Ruimtestaat[[#This Row],[Ruimte code]],Ruimtegroepen[#All],4,1),2)</f>
        <v>Sa</v>
      </c>
      <c r="Q65" s="83"/>
      <c r="R65" s="84">
        <v>42</v>
      </c>
      <c r="S65" s="84" t="s">
        <v>316</v>
      </c>
      <c r="T65" s="85">
        <f>IF(R65&gt;0,IF(RIGHT(Ruimtestaat[[#This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" s="85">
        <f>IF(T65&gt;0,VLOOKUP($J65,Ruimtegroepen[],3,FALSE)*VLOOKUP($L65,Vloersoorten[],3,FALSE)*VLOOKUP($S65,Frequenties[],3,FALSE)*VLOOKUP($A65,Locaties[],3,FALSE),0)</f>
        <v>0</v>
      </c>
      <c r="V65" s="86">
        <f>Ruimtestaat[[#This Row],[Uitvoeringen werkdagen]]*Ruimtestaat[[#This Row],[Oppervlak (netto)]]</f>
        <v>336</v>
      </c>
      <c r="W65" s="87">
        <f>IF(U65&gt;0,Ruimtestaat[[#This Row],[Prest. (m2 /jaar) werkdagen]]/Ruimtestaat[[#This Row],[Norm (m2/uur) werkdagen]],0)</f>
        <v>0</v>
      </c>
      <c r="X65" s="88">
        <f>Ruimtestaat[[#This Row],[uren / jaar werkdagen]]*Tariefsopbouw!$E$35</f>
        <v>0</v>
      </c>
      <c r="Y65" s="85"/>
      <c r="Z65" s="89">
        <f>IF(Ruimtestaat[[#This Row],[Frequentie weekend]]&gt;0,VALUE(LEFT(Y65,1))*R65,0)</f>
        <v>0</v>
      </c>
      <c r="AA65" s="85">
        <f>IF($Z65&gt;0,VLOOKUP($J65,Ruimtegroepen[],3,FALSE)*VLOOKUP($L65,Vloersoorten[],3,FALSE)*VLOOKUP($Y65,Frequenties[],3,FALSE)*VLOOKUP($A56,Locaties[],3,FALSE),0)</f>
        <v>0</v>
      </c>
      <c r="AB65" s="87">
        <f>Ruimtestaat[[#This Row],[Uitvoeringen weekend]]*Ruimtestaat[[#This Row],[Oppervlak (netto)]]</f>
        <v>0</v>
      </c>
      <c r="AC65" s="90">
        <f>IF(AB65&gt;0,Ruimtestaat[[#This Row],[Prest. (m2 /jaar) weekend]]/Ruimtestaat[[#This Row],[Norm (m2/uur) weekend]],0)</f>
        <v>0</v>
      </c>
      <c r="AD65" s="91">
        <f>Ruimtestaat[[#This Row],[uren / jaar weekend]]*Tariefsopbouw!$D$40</f>
        <v>0</v>
      </c>
      <c r="AE65" s="60">
        <f>Ruimtestaat[[#This Row],[Prest. (m2 /jaar) weekend]]+Ruimtestaat[[#This Row],[Prest. (m2 /jaar) werkdagen]]</f>
        <v>336</v>
      </c>
      <c r="AF65" s="60">
        <f>Ruimtestaat[[#This Row],[uren / jaar weekend]]+Ruimtestaat[[#This Row],[uren / jaar werkdagen]]</f>
        <v>0</v>
      </c>
      <c r="AG65" s="61">
        <f>Ruimtestaat[[#This Row],[kosten / jaar weekend]]+Ruimtestaat[[#This Row],[kosten / jaar werkdagen]]</f>
        <v>0</v>
      </c>
      <c r="AH65" s="92"/>
      <c r="HL65" s="59"/>
    </row>
    <row r="66" spans="1:220">
      <c r="A66" s="24">
        <v>1</v>
      </c>
      <c r="B66" s="24" t="str">
        <f>VLOOKUP(Ruimtestaat[[#This Row],[Code]],Locaties[#All],2,FALSE)</f>
        <v>Boerhaave + buitenunits</v>
      </c>
      <c r="C66" s="24" t="str">
        <f>VLOOKUP(Ruimtestaat[[#This Row],[Code]],Locaties[#All],4,FALSE)</f>
        <v>Herman Boerhaavelaan 1</v>
      </c>
      <c r="D66" s="24" t="str">
        <f>VLOOKUP(Ruimtestaat[[#This Row],[Code]],Locaties[#All],5,FALSE)</f>
        <v>7415 ES</v>
      </c>
      <c r="E66" s="24" t="str">
        <f>VLOOKUP(Ruimtestaat[[#This Row],[Code]],Locaties[#All],6,FALSE)</f>
        <v>Deventer</v>
      </c>
      <c r="F66" s="54"/>
      <c r="G66" s="24" t="s">
        <v>367</v>
      </c>
      <c r="H66" s="28" t="s">
        <v>475</v>
      </c>
      <c r="I66" s="4" t="s">
        <v>476</v>
      </c>
      <c r="J66" s="24">
        <v>12</v>
      </c>
      <c r="K66" s="54" t="str">
        <f>VLOOKUP(J66,Ruimtegroepen[],2,FALSE)</f>
        <v>Kantine</v>
      </c>
      <c r="L66" s="24" t="s">
        <v>311</v>
      </c>
      <c r="M66" s="24" t="s">
        <v>370</v>
      </c>
      <c r="N66" s="83">
        <v>53.61</v>
      </c>
      <c r="O66" s="83"/>
      <c r="P66" s="93" t="str">
        <f>LEFT(VLOOKUP(Ruimtestaat[[#This Row],[Ruimte code]],Ruimtegroepen[#All],4,1),2)</f>
        <v>Ve</v>
      </c>
      <c r="Q66" s="83"/>
      <c r="R66" s="84">
        <v>40</v>
      </c>
      <c r="S66" s="84" t="s">
        <v>318</v>
      </c>
      <c r="T66" s="85">
        <f>IF(R66&gt;0,IF(RIGHT(Ruimtestaat[[#This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" s="85">
        <f>IF(T66&gt;0,VLOOKUP($J66,Ruimtegroepen[],3,FALSE)*VLOOKUP($L66,Vloersoorten[],3,FALSE)*VLOOKUP($S66,Frequenties[],3,FALSE)*VLOOKUP($A66,Locaties[],3,FALSE),0)</f>
        <v>0</v>
      </c>
      <c r="V66" s="86">
        <f>Ruimtestaat[[#This Row],[Uitvoeringen werkdagen]]*Ruimtestaat[[#This Row],[Oppervlak (netto)]]</f>
        <v>10722</v>
      </c>
      <c r="W66" s="87">
        <f>IF(U66&gt;0,Ruimtestaat[[#This Row],[Prest. (m2 /jaar) werkdagen]]/Ruimtestaat[[#This Row],[Norm (m2/uur) werkdagen]],0)</f>
        <v>0</v>
      </c>
      <c r="X66" s="88">
        <f>Ruimtestaat[[#This Row],[uren / jaar werkdagen]]*Tariefsopbouw!$E$35</f>
        <v>0</v>
      </c>
      <c r="Y66" s="85"/>
      <c r="Z66" s="89">
        <f>IF(Ruimtestaat[[#This Row],[Frequentie weekend]]&gt;0,VALUE(LEFT(Y66,1))*R66,0)</f>
        <v>0</v>
      </c>
      <c r="AA66" s="85">
        <f>IF($Z66&gt;0,VLOOKUP($J66,Ruimtegroepen[],3,FALSE)*VLOOKUP($L66,Vloersoorten[],3,FALSE)*VLOOKUP($Y66,Frequenties[],3,FALSE)*VLOOKUP($A62,Locaties[],3,FALSE),0)</f>
        <v>0</v>
      </c>
      <c r="AB66" s="87">
        <f>Ruimtestaat[[#This Row],[Uitvoeringen weekend]]*Ruimtestaat[[#This Row],[Oppervlak (netto)]]</f>
        <v>0</v>
      </c>
      <c r="AC66" s="90">
        <f>IF(AB66&gt;0,Ruimtestaat[[#This Row],[Prest. (m2 /jaar) weekend]]/Ruimtestaat[[#This Row],[Norm (m2/uur) weekend]],0)</f>
        <v>0</v>
      </c>
      <c r="AD66" s="91">
        <f>Ruimtestaat[[#This Row],[uren / jaar weekend]]*Tariefsopbouw!$D$40</f>
        <v>0</v>
      </c>
      <c r="AE66" s="60">
        <f>Ruimtestaat[[#This Row],[Prest. (m2 /jaar) weekend]]+Ruimtestaat[[#This Row],[Prest. (m2 /jaar) werkdagen]]</f>
        <v>10722</v>
      </c>
      <c r="AF66" s="60">
        <f>Ruimtestaat[[#This Row],[uren / jaar weekend]]+Ruimtestaat[[#This Row],[uren / jaar werkdagen]]</f>
        <v>0</v>
      </c>
      <c r="AG66" s="61">
        <f>Ruimtestaat[[#This Row],[kosten / jaar weekend]]+Ruimtestaat[[#This Row],[kosten / jaar werkdagen]]</f>
        <v>0</v>
      </c>
      <c r="AH66" s="92"/>
      <c r="HL66" s="59"/>
    </row>
    <row r="67" spans="1:220">
      <c r="A67" s="24">
        <v>1</v>
      </c>
      <c r="B67" s="24" t="str">
        <f>VLOOKUP(Ruimtestaat[[#This Row],[Code]],Locaties[#All],2,FALSE)</f>
        <v>Boerhaave + buitenunits</v>
      </c>
      <c r="C67" s="24" t="str">
        <f>VLOOKUP(Ruimtestaat[[#This Row],[Code]],Locaties[#All],4,FALSE)</f>
        <v>Herman Boerhaavelaan 1</v>
      </c>
      <c r="D67" s="24" t="str">
        <f>VLOOKUP(Ruimtestaat[[#This Row],[Code]],Locaties[#All],5,FALSE)</f>
        <v>7415 ES</v>
      </c>
      <c r="E67" s="24" t="str">
        <f>VLOOKUP(Ruimtestaat[[#This Row],[Code]],Locaties[#All],6,FALSE)</f>
        <v>Deventer</v>
      </c>
      <c r="F67" s="54"/>
      <c r="G67" s="24" t="s">
        <v>367</v>
      </c>
      <c r="H67" s="28" t="s">
        <v>477</v>
      </c>
      <c r="I67" s="4" t="s">
        <v>478</v>
      </c>
      <c r="J67" s="24">
        <v>19</v>
      </c>
      <c r="K67" s="54" t="str">
        <f>VLOOKUP(J67,Ruimtegroepen[],2,FALSE)</f>
        <v>Kleedruimten</v>
      </c>
      <c r="L67" s="24" t="s">
        <v>305</v>
      </c>
      <c r="M67" s="24" t="s">
        <v>400</v>
      </c>
      <c r="N67" s="83">
        <v>64.959999999999994</v>
      </c>
      <c r="O67" s="83"/>
      <c r="P67" s="93" t="str">
        <f>LEFT(VLOOKUP(Ruimtestaat[[#This Row],[Ruimte code]],Ruimtegroepen[#All],4,1),2)</f>
        <v>Ve</v>
      </c>
      <c r="Q67" s="83"/>
      <c r="R67" s="84">
        <v>40</v>
      </c>
      <c r="S67" s="84" t="s">
        <v>318</v>
      </c>
      <c r="T67" s="85">
        <f>IF(R67&gt;0,IF(RIGHT(Ruimtestaat[[#This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" s="85">
        <f>IF(T67&gt;0,VLOOKUP($J67,Ruimtegroepen[],3,FALSE)*VLOOKUP($L67,Vloersoorten[],3,FALSE)*VLOOKUP($S67,Frequenties[],3,FALSE)*VLOOKUP($A67,Locaties[],3,FALSE),0)</f>
        <v>0</v>
      </c>
      <c r="V67" s="86">
        <f>Ruimtestaat[[#This Row],[Uitvoeringen werkdagen]]*Ruimtestaat[[#This Row],[Oppervlak (netto)]]</f>
        <v>12991.999999999998</v>
      </c>
      <c r="W67" s="87">
        <f>IF(U67&gt;0,Ruimtestaat[[#This Row],[Prest. (m2 /jaar) werkdagen]]/Ruimtestaat[[#This Row],[Norm (m2/uur) werkdagen]],0)</f>
        <v>0</v>
      </c>
      <c r="X67" s="88">
        <f>Ruimtestaat[[#This Row],[uren / jaar werkdagen]]*Tariefsopbouw!$E$35</f>
        <v>0</v>
      </c>
      <c r="Y67" s="85"/>
      <c r="Z67" s="89">
        <f>IF(Ruimtestaat[[#This Row],[Frequentie weekend]]&gt;0,VALUE(LEFT(Y67,1))*R67,0)</f>
        <v>0</v>
      </c>
      <c r="AA67" s="85">
        <f>IF($Z67&gt;0,VLOOKUP($J67,Ruimtegroepen[],3,FALSE)*VLOOKUP($L67,Vloersoorten[],3,FALSE)*VLOOKUP($Y67,Frequenties[],3,FALSE)*VLOOKUP($A63,Locaties[],3,FALSE),0)</f>
        <v>0</v>
      </c>
      <c r="AB67" s="87">
        <f>Ruimtestaat[[#This Row],[Uitvoeringen weekend]]*Ruimtestaat[[#This Row],[Oppervlak (netto)]]</f>
        <v>0</v>
      </c>
      <c r="AC67" s="90">
        <f>IF(AB67&gt;0,Ruimtestaat[[#This Row],[Prest. (m2 /jaar) weekend]]/Ruimtestaat[[#This Row],[Norm (m2/uur) weekend]],0)</f>
        <v>0</v>
      </c>
      <c r="AD67" s="91">
        <f>Ruimtestaat[[#This Row],[uren / jaar weekend]]*Tariefsopbouw!$D$40</f>
        <v>0</v>
      </c>
      <c r="AE67" s="60">
        <f>Ruimtestaat[[#This Row],[Prest. (m2 /jaar) weekend]]+Ruimtestaat[[#This Row],[Prest. (m2 /jaar) werkdagen]]</f>
        <v>12991.999999999998</v>
      </c>
      <c r="AF67" s="60">
        <f>Ruimtestaat[[#This Row],[uren / jaar weekend]]+Ruimtestaat[[#This Row],[uren / jaar werkdagen]]</f>
        <v>0</v>
      </c>
      <c r="AG67" s="61">
        <f>Ruimtestaat[[#This Row],[kosten / jaar weekend]]+Ruimtestaat[[#This Row],[kosten / jaar werkdagen]]</f>
        <v>0</v>
      </c>
      <c r="AH67" s="92"/>
      <c r="HL67" s="59"/>
    </row>
    <row r="68" spans="1:220">
      <c r="A68" s="24">
        <v>1</v>
      </c>
      <c r="B68" s="24" t="str">
        <f>VLOOKUP(Ruimtestaat[[#This Row],[Code]],Locaties[#All],2,FALSE)</f>
        <v>Boerhaave + buitenunits</v>
      </c>
      <c r="C68" s="24" t="str">
        <f>VLOOKUP(Ruimtestaat[[#This Row],[Code]],Locaties[#All],4,FALSE)</f>
        <v>Herman Boerhaavelaan 1</v>
      </c>
      <c r="D68" s="24" t="str">
        <f>VLOOKUP(Ruimtestaat[[#This Row],[Code]],Locaties[#All],5,FALSE)</f>
        <v>7415 ES</v>
      </c>
      <c r="E68" s="24" t="str">
        <f>VLOOKUP(Ruimtestaat[[#This Row],[Code]],Locaties[#All],6,FALSE)</f>
        <v>Deventer</v>
      </c>
      <c r="F68" s="54"/>
      <c r="G68" s="24" t="s">
        <v>367</v>
      </c>
      <c r="H68" s="28" t="s">
        <v>479</v>
      </c>
      <c r="I68" s="4" t="s">
        <v>480</v>
      </c>
      <c r="J68" s="24">
        <v>19</v>
      </c>
      <c r="K68" s="54" t="str">
        <f>VLOOKUP(J68,Ruimtegroepen[],2,FALSE)</f>
        <v>Kleedruimten</v>
      </c>
      <c r="L68" s="24" t="s">
        <v>305</v>
      </c>
      <c r="M68" s="24" t="s">
        <v>400</v>
      </c>
      <c r="N68" s="83">
        <v>4.2699999999999996</v>
      </c>
      <c r="O68" s="83"/>
      <c r="P68" s="93" t="str">
        <f>LEFT(VLOOKUP(Ruimtestaat[[#This Row],[Ruimte code]],Ruimtegroepen[#All],4,1),2)</f>
        <v>Ve</v>
      </c>
      <c r="Q68" s="83"/>
      <c r="R68" s="84">
        <v>40</v>
      </c>
      <c r="S68" s="84" t="s">
        <v>318</v>
      </c>
      <c r="T68" s="85">
        <f>IF(R68&gt;0,IF(RIGHT(Ruimtestaat[[#This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" s="85">
        <f>IF(T68&gt;0,VLOOKUP($J68,Ruimtegroepen[],3,FALSE)*VLOOKUP($L68,Vloersoorten[],3,FALSE)*VLOOKUP($S68,Frequenties[],3,FALSE)*VLOOKUP($A68,Locaties[],3,FALSE),0)</f>
        <v>0</v>
      </c>
      <c r="V68" s="86">
        <f>Ruimtestaat[[#This Row],[Uitvoeringen werkdagen]]*Ruimtestaat[[#This Row],[Oppervlak (netto)]]</f>
        <v>853.99999999999989</v>
      </c>
      <c r="W68" s="87">
        <f>IF(U68&gt;0,Ruimtestaat[[#This Row],[Prest. (m2 /jaar) werkdagen]]/Ruimtestaat[[#This Row],[Norm (m2/uur) werkdagen]],0)</f>
        <v>0</v>
      </c>
      <c r="X68" s="88">
        <f>Ruimtestaat[[#This Row],[uren / jaar werkdagen]]*Tariefsopbouw!$E$35</f>
        <v>0</v>
      </c>
      <c r="Y68" s="85"/>
      <c r="Z68" s="89">
        <f>IF(Ruimtestaat[[#This Row],[Frequentie weekend]]&gt;0,VALUE(LEFT(Y68,1))*R68,0)</f>
        <v>0</v>
      </c>
      <c r="AA68" s="85">
        <f>IF($Z68&gt;0,VLOOKUP($J68,Ruimtegroepen[],3,FALSE)*VLOOKUP($L68,Vloersoorten[],3,FALSE)*VLOOKUP($Y68,Frequenties[],3,FALSE)*VLOOKUP($A64,Locaties[],3,FALSE),0)</f>
        <v>0</v>
      </c>
      <c r="AB68" s="87">
        <f>Ruimtestaat[[#This Row],[Uitvoeringen weekend]]*Ruimtestaat[[#This Row],[Oppervlak (netto)]]</f>
        <v>0</v>
      </c>
      <c r="AC68" s="90">
        <f>IF(AB68&gt;0,Ruimtestaat[[#This Row],[Prest. (m2 /jaar) weekend]]/Ruimtestaat[[#This Row],[Norm (m2/uur) weekend]],0)</f>
        <v>0</v>
      </c>
      <c r="AD68" s="91">
        <f>Ruimtestaat[[#This Row],[uren / jaar weekend]]*Tariefsopbouw!$D$40</f>
        <v>0</v>
      </c>
      <c r="AE68" s="60">
        <f>Ruimtestaat[[#This Row],[Prest. (m2 /jaar) weekend]]+Ruimtestaat[[#This Row],[Prest. (m2 /jaar) werkdagen]]</f>
        <v>853.99999999999989</v>
      </c>
      <c r="AF68" s="60">
        <f>Ruimtestaat[[#This Row],[uren / jaar weekend]]+Ruimtestaat[[#This Row],[uren / jaar werkdagen]]</f>
        <v>0</v>
      </c>
      <c r="AG68" s="61">
        <f>Ruimtestaat[[#This Row],[kosten / jaar weekend]]+Ruimtestaat[[#This Row],[kosten / jaar werkdagen]]</f>
        <v>0</v>
      </c>
      <c r="AH68" s="92"/>
      <c r="HL68" s="59"/>
    </row>
    <row r="69" spans="1:220">
      <c r="A69" s="24">
        <v>1</v>
      </c>
      <c r="B69" s="24" t="str">
        <f>VLOOKUP(Ruimtestaat[[#This Row],[Code]],Locaties[#All],2,FALSE)</f>
        <v>Boerhaave + buitenunits</v>
      </c>
      <c r="C69" s="24" t="str">
        <f>VLOOKUP(Ruimtestaat[[#This Row],[Code]],Locaties[#All],4,FALSE)</f>
        <v>Herman Boerhaavelaan 1</v>
      </c>
      <c r="D69" s="24" t="str">
        <f>VLOOKUP(Ruimtestaat[[#This Row],[Code]],Locaties[#All],5,FALSE)</f>
        <v>7415 ES</v>
      </c>
      <c r="E69" s="24" t="str">
        <f>VLOOKUP(Ruimtestaat[[#This Row],[Code]],Locaties[#All],6,FALSE)</f>
        <v>Deventer</v>
      </c>
      <c r="F69" s="54"/>
      <c r="G69" s="24" t="s">
        <v>367</v>
      </c>
      <c r="H69" s="28" t="s">
        <v>481</v>
      </c>
      <c r="I69" s="4" t="s">
        <v>394</v>
      </c>
      <c r="J69" s="24">
        <v>22</v>
      </c>
      <c r="K69" s="54" t="str">
        <f>VLOOKUP(J69,Ruimtegroepen[],2,FALSE)</f>
        <v>Niet in onderhoud</v>
      </c>
      <c r="L69" s="24" t="s">
        <v>305</v>
      </c>
      <c r="M69" s="24" t="s">
        <v>400</v>
      </c>
      <c r="N69" s="83"/>
      <c r="O69" s="83">
        <v>19.87</v>
      </c>
      <c r="P69" s="93" t="str">
        <f>LEFT(VLOOKUP(Ruimtestaat[[#This Row],[Ruimte code]],Ruimtegroepen[#All],4,1),2)</f>
        <v/>
      </c>
      <c r="Q69" s="83"/>
      <c r="R69" s="84"/>
      <c r="S69" s="84"/>
      <c r="T69" s="85">
        <f>IF(R69&gt;0,IF(RIGHT(Ruimtestaat[[#This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" s="85">
        <f>IF(T69&gt;0,VLOOKUP($J69,Ruimtegroepen[],3,FALSE)*VLOOKUP($L69,Vloersoorten[],3,FALSE)*VLOOKUP($S69,Frequenties[],3,FALSE)*VLOOKUP($A69,Locaties[],3,FALSE),0)</f>
        <v>0</v>
      </c>
      <c r="V69" s="86">
        <f>Ruimtestaat[[#This Row],[Uitvoeringen werkdagen]]*Ruimtestaat[[#This Row],[Oppervlak (netto)]]</f>
        <v>0</v>
      </c>
      <c r="W69" s="87">
        <f>IF(U69&gt;0,Ruimtestaat[[#This Row],[Prest. (m2 /jaar) werkdagen]]/Ruimtestaat[[#This Row],[Norm (m2/uur) werkdagen]],0)</f>
        <v>0</v>
      </c>
      <c r="X69" s="88">
        <f>Ruimtestaat[[#This Row],[uren / jaar werkdagen]]*Tariefsopbouw!$E$35</f>
        <v>0</v>
      </c>
      <c r="Y69" s="85"/>
      <c r="Z69" s="89">
        <f>IF(Ruimtestaat[[#This Row],[Frequentie weekend]]&gt;0,VALUE(LEFT(Y69,1))*R69,0)</f>
        <v>0</v>
      </c>
      <c r="AA69" s="85">
        <f>IF($Z69&gt;0,VLOOKUP($J69,Ruimtegroepen[],3,FALSE)*VLOOKUP($L69,Vloersoorten[],3,FALSE)*VLOOKUP($Y69,Frequenties[],3,FALSE)*VLOOKUP($A65,Locaties[],3,FALSE),0)</f>
        <v>0</v>
      </c>
      <c r="AB69" s="87">
        <f>Ruimtestaat[[#This Row],[Uitvoeringen weekend]]*Ruimtestaat[[#This Row],[Oppervlak (netto)]]</f>
        <v>0</v>
      </c>
      <c r="AC69" s="90">
        <f>IF(AB69&gt;0,Ruimtestaat[[#This Row],[Prest. (m2 /jaar) weekend]]/Ruimtestaat[[#This Row],[Norm (m2/uur) weekend]],0)</f>
        <v>0</v>
      </c>
      <c r="AD69" s="91">
        <f>Ruimtestaat[[#This Row],[uren / jaar weekend]]*Tariefsopbouw!$D$40</f>
        <v>0</v>
      </c>
      <c r="AE69" s="60">
        <f>Ruimtestaat[[#This Row],[Prest. (m2 /jaar) weekend]]+Ruimtestaat[[#This Row],[Prest. (m2 /jaar) werkdagen]]</f>
        <v>0</v>
      </c>
      <c r="AF69" s="60">
        <f>Ruimtestaat[[#This Row],[uren / jaar weekend]]+Ruimtestaat[[#This Row],[uren / jaar werkdagen]]</f>
        <v>0</v>
      </c>
      <c r="AG69" s="61">
        <f>Ruimtestaat[[#This Row],[kosten / jaar weekend]]+Ruimtestaat[[#This Row],[kosten / jaar werkdagen]]</f>
        <v>0</v>
      </c>
      <c r="AH69" s="92"/>
      <c r="HL69" s="59"/>
    </row>
    <row r="70" spans="1:220">
      <c r="A70" s="24">
        <v>1</v>
      </c>
      <c r="B70" s="24" t="str">
        <f>VLOOKUP(Ruimtestaat[[#This Row],[Code]],Locaties[#All],2,FALSE)</f>
        <v>Boerhaave + buitenunits</v>
      </c>
      <c r="C70" s="24" t="str">
        <f>VLOOKUP(Ruimtestaat[[#This Row],[Code]],Locaties[#All],4,FALSE)</f>
        <v>Herman Boerhaavelaan 1</v>
      </c>
      <c r="D70" s="24" t="str">
        <f>VLOOKUP(Ruimtestaat[[#This Row],[Code]],Locaties[#All],5,FALSE)</f>
        <v>7415 ES</v>
      </c>
      <c r="E70" s="24" t="str">
        <f>VLOOKUP(Ruimtestaat[[#This Row],[Code]],Locaties[#All],6,FALSE)</f>
        <v>Deventer</v>
      </c>
      <c r="F70" s="54"/>
      <c r="G70" s="24" t="s">
        <v>367</v>
      </c>
      <c r="H70" s="28" t="s">
        <v>482</v>
      </c>
      <c r="I70" s="4" t="s">
        <v>483</v>
      </c>
      <c r="J70" s="24">
        <v>22</v>
      </c>
      <c r="K70" s="54" t="str">
        <f>VLOOKUP(J70,Ruimtegroepen[],2,FALSE)</f>
        <v>Niet in onderhoud</v>
      </c>
      <c r="L70" s="24" t="s">
        <v>305</v>
      </c>
      <c r="M70" s="24" t="s">
        <v>376</v>
      </c>
      <c r="N70" s="83"/>
      <c r="O70" s="83">
        <v>2.95</v>
      </c>
      <c r="P70" s="93" t="str">
        <f>LEFT(VLOOKUP(Ruimtestaat[[#This Row],[Ruimte code]],Ruimtegroepen[#All],4,1),2)</f>
        <v/>
      </c>
      <c r="Q70" s="83"/>
      <c r="R70" s="84"/>
      <c r="S70" s="84"/>
      <c r="T70" s="85">
        <f>IF(R70&gt;0,IF(RIGHT(Ruimtestaat[[#This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0" s="85">
        <f>IF(T70&gt;0,VLOOKUP($J70,Ruimtegroepen[],3,FALSE)*VLOOKUP($L70,Vloersoorten[],3,FALSE)*VLOOKUP($S70,Frequenties[],3,FALSE)*VLOOKUP($A70,Locaties[],3,FALSE),0)</f>
        <v>0</v>
      </c>
      <c r="V70" s="86">
        <f>Ruimtestaat[[#This Row],[Uitvoeringen werkdagen]]*Ruimtestaat[[#This Row],[Oppervlak (netto)]]</f>
        <v>0</v>
      </c>
      <c r="W70" s="87">
        <f>IF(U70&gt;0,Ruimtestaat[[#This Row],[Prest. (m2 /jaar) werkdagen]]/Ruimtestaat[[#This Row],[Norm (m2/uur) werkdagen]],0)</f>
        <v>0</v>
      </c>
      <c r="X70" s="88">
        <f>Ruimtestaat[[#This Row],[uren / jaar werkdagen]]*Tariefsopbouw!$E$35</f>
        <v>0</v>
      </c>
      <c r="Y70" s="85"/>
      <c r="Z70" s="89">
        <f>IF(Ruimtestaat[[#This Row],[Frequentie weekend]]&gt;0,VALUE(LEFT(Y70,1))*R70,0)</f>
        <v>0</v>
      </c>
      <c r="AA70" s="85">
        <f>IF($Z70&gt;0,VLOOKUP($J70,Ruimtegroepen[],3,FALSE)*VLOOKUP($L70,Vloersoorten[],3,FALSE)*VLOOKUP($Y70,Frequenties[],3,FALSE)*VLOOKUP($A66,Locaties[],3,FALSE),0)</f>
        <v>0</v>
      </c>
      <c r="AB70" s="87">
        <f>Ruimtestaat[[#This Row],[Uitvoeringen weekend]]*Ruimtestaat[[#This Row],[Oppervlak (netto)]]</f>
        <v>0</v>
      </c>
      <c r="AC70" s="90">
        <f>IF(AB70&gt;0,Ruimtestaat[[#This Row],[Prest. (m2 /jaar) weekend]]/Ruimtestaat[[#This Row],[Norm (m2/uur) weekend]],0)</f>
        <v>0</v>
      </c>
      <c r="AD70" s="91">
        <f>Ruimtestaat[[#This Row],[uren / jaar weekend]]*Tariefsopbouw!$D$40</f>
        <v>0</v>
      </c>
      <c r="AE70" s="60">
        <f>Ruimtestaat[[#This Row],[Prest. (m2 /jaar) weekend]]+Ruimtestaat[[#This Row],[Prest. (m2 /jaar) werkdagen]]</f>
        <v>0</v>
      </c>
      <c r="AF70" s="60">
        <f>Ruimtestaat[[#This Row],[uren / jaar weekend]]+Ruimtestaat[[#This Row],[uren / jaar werkdagen]]</f>
        <v>0</v>
      </c>
      <c r="AG70" s="61">
        <f>Ruimtestaat[[#This Row],[kosten / jaar weekend]]+Ruimtestaat[[#This Row],[kosten / jaar werkdagen]]</f>
        <v>0</v>
      </c>
      <c r="AH70" s="92"/>
      <c r="HL70" s="59"/>
    </row>
    <row r="71" spans="1:220">
      <c r="A71" s="24">
        <v>1</v>
      </c>
      <c r="B71" s="24" t="str">
        <f>VLOOKUP(Ruimtestaat[[#This Row],[Code]],Locaties[#All],2,FALSE)</f>
        <v>Boerhaave + buitenunits</v>
      </c>
      <c r="C71" s="24" t="str">
        <f>VLOOKUP(Ruimtestaat[[#This Row],[Code]],Locaties[#All],4,FALSE)</f>
        <v>Herman Boerhaavelaan 1</v>
      </c>
      <c r="D71" s="24" t="str">
        <f>VLOOKUP(Ruimtestaat[[#This Row],[Code]],Locaties[#All],5,FALSE)</f>
        <v>7415 ES</v>
      </c>
      <c r="E71" s="24" t="str">
        <f>VLOOKUP(Ruimtestaat[[#This Row],[Code]],Locaties[#All],6,FALSE)</f>
        <v>Deventer</v>
      </c>
      <c r="F71" s="54"/>
      <c r="G71" s="24" t="s">
        <v>367</v>
      </c>
      <c r="H71" s="28" t="s">
        <v>484</v>
      </c>
      <c r="I71" s="4" t="s">
        <v>454</v>
      </c>
      <c r="J71" s="24">
        <v>18</v>
      </c>
      <c r="K71" s="54" t="str">
        <f>VLOOKUP(J71,Ruimtegroepen[],2,FALSE)</f>
        <v>Gymzaal</v>
      </c>
      <c r="L71" s="24" t="s">
        <v>305</v>
      </c>
      <c r="M71" s="24" t="s">
        <v>400</v>
      </c>
      <c r="N71" s="83">
        <v>289.69</v>
      </c>
      <c r="O71" s="83"/>
      <c r="P71" s="93" t="str">
        <f>LEFT(VLOOKUP(Ruimtestaat[[#This Row],[Ruimte code]],Ruimtegroepen[#All],4,1),2)</f>
        <v>Sp</v>
      </c>
      <c r="Q71" s="83"/>
      <c r="R71" s="84">
        <v>40</v>
      </c>
      <c r="S71" s="84" t="s">
        <v>318</v>
      </c>
      <c r="T71" s="85">
        <f>IF(R71&gt;0,IF(RIGHT(Ruimtestaat[[#This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" s="85">
        <f>IF(T71&gt;0,VLOOKUP($J71,Ruimtegroepen[],3,FALSE)*VLOOKUP($L71,Vloersoorten[],3,FALSE)*VLOOKUP($S71,Frequenties[],3,FALSE)*VLOOKUP($A71,Locaties[],3,FALSE),0)</f>
        <v>0</v>
      </c>
      <c r="V71" s="86">
        <f>Ruimtestaat[[#This Row],[Uitvoeringen werkdagen]]*Ruimtestaat[[#This Row],[Oppervlak (netto)]]</f>
        <v>57938</v>
      </c>
      <c r="W71" s="87">
        <f>IF(U71&gt;0,Ruimtestaat[[#This Row],[Prest. (m2 /jaar) werkdagen]]/Ruimtestaat[[#This Row],[Norm (m2/uur) werkdagen]],0)</f>
        <v>0</v>
      </c>
      <c r="X71" s="88">
        <f>Ruimtestaat[[#This Row],[uren / jaar werkdagen]]*Tariefsopbouw!$E$35</f>
        <v>0</v>
      </c>
      <c r="Y71" s="85"/>
      <c r="Z71" s="89">
        <f>IF(Ruimtestaat[[#This Row],[Frequentie weekend]]&gt;0,VALUE(LEFT(Y71,1))*R71,0)</f>
        <v>0</v>
      </c>
      <c r="AA71" s="85">
        <f>IF($Z71&gt;0,VLOOKUP($J71,Ruimtegroepen[],3,FALSE)*VLOOKUP($L71,Vloersoorten[],3,FALSE)*VLOOKUP($Y71,Frequenties[],3,FALSE)*VLOOKUP($A67,Locaties[],3,FALSE),0)</f>
        <v>0</v>
      </c>
      <c r="AB71" s="87">
        <f>Ruimtestaat[[#This Row],[Uitvoeringen weekend]]*Ruimtestaat[[#This Row],[Oppervlak (netto)]]</f>
        <v>0</v>
      </c>
      <c r="AC71" s="90">
        <f>IF(AB71&gt;0,Ruimtestaat[[#This Row],[Prest. (m2 /jaar) weekend]]/Ruimtestaat[[#This Row],[Norm (m2/uur) weekend]],0)</f>
        <v>0</v>
      </c>
      <c r="AD71" s="91">
        <f>Ruimtestaat[[#This Row],[uren / jaar weekend]]*Tariefsopbouw!$D$40</f>
        <v>0</v>
      </c>
      <c r="AE71" s="60">
        <f>Ruimtestaat[[#This Row],[Prest. (m2 /jaar) weekend]]+Ruimtestaat[[#This Row],[Prest. (m2 /jaar) werkdagen]]</f>
        <v>57938</v>
      </c>
      <c r="AF71" s="60">
        <f>Ruimtestaat[[#This Row],[uren / jaar weekend]]+Ruimtestaat[[#This Row],[uren / jaar werkdagen]]</f>
        <v>0</v>
      </c>
      <c r="AG71" s="61">
        <f>Ruimtestaat[[#This Row],[kosten / jaar weekend]]+Ruimtestaat[[#This Row],[kosten / jaar werkdagen]]</f>
        <v>0</v>
      </c>
      <c r="AH71" s="92"/>
      <c r="HL71" s="59"/>
    </row>
    <row r="72" spans="1:220">
      <c r="A72" s="24">
        <v>1</v>
      </c>
      <c r="B72" s="24" t="str">
        <f>VLOOKUP(Ruimtestaat[[#This Row],[Code]],Locaties[#All],2,FALSE)</f>
        <v>Boerhaave + buitenunits</v>
      </c>
      <c r="C72" s="24" t="str">
        <f>VLOOKUP(Ruimtestaat[[#This Row],[Code]],Locaties[#All],4,FALSE)</f>
        <v>Herman Boerhaavelaan 1</v>
      </c>
      <c r="D72" s="24" t="str">
        <f>VLOOKUP(Ruimtestaat[[#This Row],[Code]],Locaties[#All],5,FALSE)</f>
        <v>7415 ES</v>
      </c>
      <c r="E72" s="24" t="str">
        <f>VLOOKUP(Ruimtestaat[[#This Row],[Code]],Locaties[#All],6,FALSE)</f>
        <v>Deventer</v>
      </c>
      <c r="F72" s="54"/>
      <c r="G72" s="24" t="s">
        <v>367</v>
      </c>
      <c r="H72" s="28" t="s">
        <v>485</v>
      </c>
      <c r="I72" s="4" t="s">
        <v>451</v>
      </c>
      <c r="J72" s="24">
        <v>17</v>
      </c>
      <c r="K72" s="54" t="str">
        <f>VLOOKUP(J72,Ruimtegroepen[],2,FALSE)</f>
        <v>Toestelberging</v>
      </c>
      <c r="L72" s="24" t="s">
        <v>305</v>
      </c>
      <c r="M72" s="24" t="s">
        <v>400</v>
      </c>
      <c r="N72" s="83">
        <v>11.12</v>
      </c>
      <c r="O72" s="83"/>
      <c r="P72" s="93" t="str">
        <f>LEFT(VLOOKUP(Ruimtestaat[[#This Row],[Ruimte code]],Ruimtegroepen[#All],4,1),2)</f>
        <v>Ve</v>
      </c>
      <c r="Q72" s="83"/>
      <c r="R72" s="84">
        <v>40</v>
      </c>
      <c r="S72" s="84" t="s">
        <v>328</v>
      </c>
      <c r="T72" s="85">
        <f>IF(R72&gt;0,IF(RIGHT(Ruimtestaat[[#This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72" s="85">
        <f>IF(T72&gt;0,VLOOKUP($J72,Ruimtegroepen[],3,FALSE)*VLOOKUP($L72,Vloersoorten[],3,FALSE)*VLOOKUP($S72,Frequenties[],3,FALSE)*VLOOKUP($A72,Locaties[],3,FALSE),0)</f>
        <v>0</v>
      </c>
      <c r="V72" s="86">
        <f>Ruimtestaat[[#This Row],[Uitvoeringen werkdagen]]*Ruimtestaat[[#This Row],[Oppervlak (netto)]]</f>
        <v>444.79999999999995</v>
      </c>
      <c r="W72" s="87">
        <f>IF(U72&gt;0,Ruimtestaat[[#This Row],[Prest. (m2 /jaar) werkdagen]]/Ruimtestaat[[#This Row],[Norm (m2/uur) werkdagen]],0)</f>
        <v>0</v>
      </c>
      <c r="X72" s="88">
        <f>Ruimtestaat[[#This Row],[uren / jaar werkdagen]]*Tariefsopbouw!$E$35</f>
        <v>0</v>
      </c>
      <c r="Y72" s="85"/>
      <c r="Z72" s="89">
        <f>IF(Ruimtestaat[[#This Row],[Frequentie weekend]]&gt;0,VALUE(LEFT(Y72,1))*R72,0)</f>
        <v>0</v>
      </c>
      <c r="AA72" s="85">
        <f>IF($Z72&gt;0,VLOOKUP($J72,Ruimtegroepen[],3,FALSE)*VLOOKUP($L72,Vloersoorten[],3,FALSE)*VLOOKUP($Y72,Frequenties[],3,FALSE)*VLOOKUP($A68,Locaties[],3,FALSE),0)</f>
        <v>0</v>
      </c>
      <c r="AB72" s="87">
        <f>Ruimtestaat[[#This Row],[Uitvoeringen weekend]]*Ruimtestaat[[#This Row],[Oppervlak (netto)]]</f>
        <v>0</v>
      </c>
      <c r="AC72" s="90">
        <f>IF(AB72&gt;0,Ruimtestaat[[#This Row],[Prest. (m2 /jaar) weekend]]/Ruimtestaat[[#This Row],[Norm (m2/uur) weekend]],0)</f>
        <v>0</v>
      </c>
      <c r="AD72" s="91">
        <f>Ruimtestaat[[#This Row],[uren / jaar weekend]]*Tariefsopbouw!$D$40</f>
        <v>0</v>
      </c>
      <c r="AE72" s="60">
        <f>Ruimtestaat[[#This Row],[Prest. (m2 /jaar) weekend]]+Ruimtestaat[[#This Row],[Prest. (m2 /jaar) werkdagen]]</f>
        <v>444.79999999999995</v>
      </c>
      <c r="AF72" s="60">
        <f>Ruimtestaat[[#This Row],[uren / jaar weekend]]+Ruimtestaat[[#This Row],[uren / jaar werkdagen]]</f>
        <v>0</v>
      </c>
      <c r="AG72" s="61">
        <f>Ruimtestaat[[#This Row],[kosten / jaar weekend]]+Ruimtestaat[[#This Row],[kosten / jaar werkdagen]]</f>
        <v>0</v>
      </c>
      <c r="AH72" s="92"/>
      <c r="HL72" s="59"/>
    </row>
    <row r="73" spans="1:220">
      <c r="A73" s="24">
        <v>1</v>
      </c>
      <c r="B73" s="24" t="str">
        <f>VLOOKUP(Ruimtestaat[[#This Row],[Code]],Locaties[#All],2,FALSE)</f>
        <v>Boerhaave + buitenunits</v>
      </c>
      <c r="C73" s="24" t="str">
        <f>VLOOKUP(Ruimtestaat[[#This Row],[Code]],Locaties[#All],4,FALSE)</f>
        <v>Herman Boerhaavelaan 1</v>
      </c>
      <c r="D73" s="24" t="str">
        <f>VLOOKUP(Ruimtestaat[[#This Row],[Code]],Locaties[#All],5,FALSE)</f>
        <v>7415 ES</v>
      </c>
      <c r="E73" s="24" t="str">
        <f>VLOOKUP(Ruimtestaat[[#This Row],[Code]],Locaties[#All],6,FALSE)</f>
        <v>Deventer</v>
      </c>
      <c r="F73" s="54"/>
      <c r="G73" s="24" t="s">
        <v>367</v>
      </c>
      <c r="H73" s="28" t="s">
        <v>486</v>
      </c>
      <c r="I73" s="4" t="s">
        <v>487</v>
      </c>
      <c r="J73" s="24">
        <v>6</v>
      </c>
      <c r="K73" s="54" t="str">
        <f>VLOOKUP(J73,Ruimtegroepen[],2,FALSE)</f>
        <v>Gangen/hallen</v>
      </c>
      <c r="L73" s="24" t="s">
        <v>311</v>
      </c>
      <c r="M73" s="24" t="s">
        <v>370</v>
      </c>
      <c r="N73" s="83">
        <v>23.33</v>
      </c>
      <c r="O73" s="83"/>
      <c r="P73" s="93" t="str">
        <f>LEFT(VLOOKUP(Ruimtestaat[[#This Row],[Ruimte code]],Ruimtegroepen[#All],4,1),2)</f>
        <v>Ve</v>
      </c>
      <c r="Q73" s="83"/>
      <c r="R73" s="84">
        <v>40</v>
      </c>
      <c r="S73" s="84" t="s">
        <v>318</v>
      </c>
      <c r="T73" s="85">
        <f>IF(R73&gt;0,IF(RIGHT(Ruimtestaat[[#This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" s="85">
        <f>IF(T73&gt;0,VLOOKUP($J73,Ruimtegroepen[],3,FALSE)*VLOOKUP($L73,Vloersoorten[],3,FALSE)*VLOOKUP($S73,Frequenties[],3,FALSE)*VLOOKUP($A73,Locaties[],3,FALSE),0)</f>
        <v>0</v>
      </c>
      <c r="V73" s="86">
        <f>Ruimtestaat[[#This Row],[Uitvoeringen werkdagen]]*Ruimtestaat[[#This Row],[Oppervlak (netto)]]</f>
        <v>4666</v>
      </c>
      <c r="W73" s="87">
        <f>IF(U73&gt;0,Ruimtestaat[[#This Row],[Prest. (m2 /jaar) werkdagen]]/Ruimtestaat[[#This Row],[Norm (m2/uur) werkdagen]],0)</f>
        <v>0</v>
      </c>
      <c r="X73" s="88">
        <f>Ruimtestaat[[#This Row],[uren / jaar werkdagen]]*Tariefsopbouw!$E$35</f>
        <v>0</v>
      </c>
      <c r="Y73" s="85"/>
      <c r="Z73" s="89">
        <f>IF(Ruimtestaat[[#This Row],[Frequentie weekend]]&gt;0,VALUE(LEFT(Y73,1))*R73,0)</f>
        <v>0</v>
      </c>
      <c r="AA73" s="85">
        <f>IF($Z73&gt;0,VLOOKUP($J73,Ruimtegroepen[],3,FALSE)*VLOOKUP($L73,Vloersoorten[],3,FALSE)*VLOOKUP($Y73,Frequenties[],3,FALSE)*VLOOKUP($A69,Locaties[],3,FALSE),0)</f>
        <v>0</v>
      </c>
      <c r="AB73" s="87">
        <f>Ruimtestaat[[#This Row],[Uitvoeringen weekend]]*Ruimtestaat[[#This Row],[Oppervlak (netto)]]</f>
        <v>0</v>
      </c>
      <c r="AC73" s="90">
        <f>IF(AB73&gt;0,Ruimtestaat[[#This Row],[Prest. (m2 /jaar) weekend]]/Ruimtestaat[[#This Row],[Norm (m2/uur) weekend]],0)</f>
        <v>0</v>
      </c>
      <c r="AD73" s="91">
        <f>Ruimtestaat[[#This Row],[uren / jaar weekend]]*Tariefsopbouw!$D$40</f>
        <v>0</v>
      </c>
      <c r="AE73" s="60">
        <f>Ruimtestaat[[#This Row],[Prest. (m2 /jaar) weekend]]+Ruimtestaat[[#This Row],[Prest. (m2 /jaar) werkdagen]]</f>
        <v>4666</v>
      </c>
      <c r="AF73" s="60">
        <f>Ruimtestaat[[#This Row],[uren / jaar weekend]]+Ruimtestaat[[#This Row],[uren / jaar werkdagen]]</f>
        <v>0</v>
      </c>
      <c r="AG73" s="61">
        <f>Ruimtestaat[[#This Row],[kosten / jaar weekend]]+Ruimtestaat[[#This Row],[kosten / jaar werkdagen]]</f>
        <v>0</v>
      </c>
      <c r="AH73" s="92"/>
      <c r="HL73" s="59"/>
    </row>
    <row r="74" spans="1:220">
      <c r="A74" s="24">
        <v>1</v>
      </c>
      <c r="B74" s="24" t="str">
        <f>VLOOKUP(Ruimtestaat[[#This Row],[Code]],Locaties[#All],2,FALSE)</f>
        <v>Boerhaave + buitenunits</v>
      </c>
      <c r="C74" s="24" t="str">
        <f>VLOOKUP(Ruimtestaat[[#This Row],[Code]],Locaties[#All],4,FALSE)</f>
        <v>Herman Boerhaavelaan 1</v>
      </c>
      <c r="D74" s="24" t="str">
        <f>VLOOKUP(Ruimtestaat[[#This Row],[Code]],Locaties[#All],5,FALSE)</f>
        <v>7415 ES</v>
      </c>
      <c r="E74" s="24" t="str">
        <f>VLOOKUP(Ruimtestaat[[#This Row],[Code]],Locaties[#All],6,FALSE)</f>
        <v>Deventer</v>
      </c>
      <c r="F74" s="54"/>
      <c r="G74" s="24" t="s">
        <v>367</v>
      </c>
      <c r="H74" s="28" t="s">
        <v>488</v>
      </c>
      <c r="I74" s="4" t="s">
        <v>487</v>
      </c>
      <c r="J74" s="24">
        <v>6</v>
      </c>
      <c r="K74" s="54" t="str">
        <f>VLOOKUP(J74,Ruimtegroepen[],2,FALSE)</f>
        <v>Gangen/hallen</v>
      </c>
      <c r="L74" s="24" t="s">
        <v>311</v>
      </c>
      <c r="M74" s="24" t="s">
        <v>370</v>
      </c>
      <c r="N74" s="83">
        <v>14.56</v>
      </c>
      <c r="O74" s="83"/>
      <c r="P74" s="93" t="str">
        <f>LEFT(VLOOKUP(Ruimtestaat[[#This Row],[Ruimte code]],Ruimtegroepen[#All],4,1),2)</f>
        <v>Ve</v>
      </c>
      <c r="Q74" s="83"/>
      <c r="R74" s="84">
        <v>40</v>
      </c>
      <c r="S74" s="84" t="s">
        <v>318</v>
      </c>
      <c r="T74" s="85">
        <f>IF(R74&gt;0,IF(RIGHT(Ruimtestaat[[#This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" s="85">
        <f>IF(T74&gt;0,VLOOKUP($J74,Ruimtegroepen[],3,FALSE)*VLOOKUP($L74,Vloersoorten[],3,FALSE)*VLOOKUP($S74,Frequenties[],3,FALSE)*VLOOKUP($A74,Locaties[],3,FALSE),0)</f>
        <v>0</v>
      </c>
      <c r="V74" s="86">
        <f>Ruimtestaat[[#This Row],[Uitvoeringen werkdagen]]*Ruimtestaat[[#This Row],[Oppervlak (netto)]]</f>
        <v>2912</v>
      </c>
      <c r="W74" s="87">
        <f>IF(U74&gt;0,Ruimtestaat[[#This Row],[Prest. (m2 /jaar) werkdagen]]/Ruimtestaat[[#This Row],[Norm (m2/uur) werkdagen]],0)</f>
        <v>0</v>
      </c>
      <c r="X74" s="88">
        <f>Ruimtestaat[[#This Row],[uren / jaar werkdagen]]*Tariefsopbouw!$E$35</f>
        <v>0</v>
      </c>
      <c r="Y74" s="85"/>
      <c r="Z74" s="89">
        <f>IF(Ruimtestaat[[#This Row],[Frequentie weekend]]&gt;0,VALUE(LEFT(Y74,1))*R74,0)</f>
        <v>0</v>
      </c>
      <c r="AA74" s="85">
        <f>IF($Z74&gt;0,VLOOKUP($J74,Ruimtegroepen[],3,FALSE)*VLOOKUP($L74,Vloersoorten[],3,FALSE)*VLOOKUP($Y74,Frequenties[],3,FALSE)*VLOOKUP($A70,Locaties[],3,FALSE),0)</f>
        <v>0</v>
      </c>
      <c r="AB74" s="87">
        <f>Ruimtestaat[[#This Row],[Uitvoeringen weekend]]*Ruimtestaat[[#This Row],[Oppervlak (netto)]]</f>
        <v>0</v>
      </c>
      <c r="AC74" s="90">
        <f>IF(AB74&gt;0,Ruimtestaat[[#This Row],[Prest. (m2 /jaar) weekend]]/Ruimtestaat[[#This Row],[Norm (m2/uur) weekend]],0)</f>
        <v>0</v>
      </c>
      <c r="AD74" s="91">
        <f>Ruimtestaat[[#This Row],[uren / jaar weekend]]*Tariefsopbouw!$D$40</f>
        <v>0</v>
      </c>
      <c r="AE74" s="60">
        <f>Ruimtestaat[[#This Row],[Prest. (m2 /jaar) weekend]]+Ruimtestaat[[#This Row],[Prest. (m2 /jaar) werkdagen]]</f>
        <v>2912</v>
      </c>
      <c r="AF74" s="60">
        <f>Ruimtestaat[[#This Row],[uren / jaar weekend]]+Ruimtestaat[[#This Row],[uren / jaar werkdagen]]</f>
        <v>0</v>
      </c>
      <c r="AG74" s="61">
        <f>Ruimtestaat[[#This Row],[kosten / jaar weekend]]+Ruimtestaat[[#This Row],[kosten / jaar werkdagen]]</f>
        <v>0</v>
      </c>
      <c r="AH74" s="92"/>
      <c r="HL74" s="59"/>
    </row>
    <row r="75" spans="1:220">
      <c r="A75" s="24">
        <v>1</v>
      </c>
      <c r="B75" s="24" t="str">
        <f>VLOOKUP(Ruimtestaat[[#This Row],[Code]],Locaties[#All],2,FALSE)</f>
        <v>Boerhaave + buitenunits</v>
      </c>
      <c r="C75" s="24" t="str">
        <f>VLOOKUP(Ruimtestaat[[#This Row],[Code]],Locaties[#All],4,FALSE)</f>
        <v>Herman Boerhaavelaan 1</v>
      </c>
      <c r="D75" s="24" t="str">
        <f>VLOOKUP(Ruimtestaat[[#This Row],[Code]],Locaties[#All],5,FALSE)</f>
        <v>7415 ES</v>
      </c>
      <c r="E75" s="24" t="str">
        <f>VLOOKUP(Ruimtestaat[[#This Row],[Code]],Locaties[#All],6,FALSE)</f>
        <v>Deventer</v>
      </c>
      <c r="F75" s="54"/>
      <c r="G75" s="24" t="s">
        <v>367</v>
      </c>
      <c r="H75" s="28" t="s">
        <v>489</v>
      </c>
      <c r="I75" s="4" t="s">
        <v>487</v>
      </c>
      <c r="J75" s="24">
        <v>6</v>
      </c>
      <c r="K75" s="54" t="str">
        <f>VLOOKUP(J75,Ruimtegroepen[],2,FALSE)</f>
        <v>Gangen/hallen</v>
      </c>
      <c r="L75" s="24" t="s">
        <v>311</v>
      </c>
      <c r="M75" s="24" t="s">
        <v>370</v>
      </c>
      <c r="N75" s="83">
        <v>34.08</v>
      </c>
      <c r="O75" s="83"/>
      <c r="P75" s="93" t="str">
        <f>LEFT(VLOOKUP(Ruimtestaat[[#This Row],[Ruimte code]],Ruimtegroepen[#All],4,1),2)</f>
        <v>Ve</v>
      </c>
      <c r="Q75" s="83"/>
      <c r="R75" s="84">
        <v>40</v>
      </c>
      <c r="S75" s="84" t="s">
        <v>318</v>
      </c>
      <c r="T75" s="85">
        <f>IF(R75&gt;0,IF(RIGHT(Ruimtestaat[[#This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" s="85">
        <f>IF(T75&gt;0,VLOOKUP($J75,Ruimtegroepen[],3,FALSE)*VLOOKUP($L75,Vloersoorten[],3,FALSE)*VLOOKUP($S75,Frequenties[],3,FALSE)*VLOOKUP($A75,Locaties[],3,FALSE),0)</f>
        <v>0</v>
      </c>
      <c r="V75" s="86">
        <f>Ruimtestaat[[#This Row],[Uitvoeringen werkdagen]]*Ruimtestaat[[#This Row],[Oppervlak (netto)]]</f>
        <v>6816</v>
      </c>
      <c r="W75" s="87">
        <f>IF(U75&gt;0,Ruimtestaat[[#This Row],[Prest. (m2 /jaar) werkdagen]]/Ruimtestaat[[#This Row],[Norm (m2/uur) werkdagen]],0)</f>
        <v>0</v>
      </c>
      <c r="X75" s="88">
        <f>Ruimtestaat[[#This Row],[uren / jaar werkdagen]]*Tariefsopbouw!$E$35</f>
        <v>0</v>
      </c>
      <c r="Y75" s="85"/>
      <c r="Z75" s="89">
        <f>IF(Ruimtestaat[[#This Row],[Frequentie weekend]]&gt;0,VALUE(LEFT(Y75,1))*R75,0)</f>
        <v>0</v>
      </c>
      <c r="AA75" s="85">
        <f>IF($Z75&gt;0,VLOOKUP($J75,Ruimtegroepen[],3,FALSE)*VLOOKUP($L75,Vloersoorten[],3,FALSE)*VLOOKUP($Y75,Frequenties[],3,FALSE)*VLOOKUP($A71,Locaties[],3,FALSE),0)</f>
        <v>0</v>
      </c>
      <c r="AB75" s="87">
        <f>Ruimtestaat[[#This Row],[Uitvoeringen weekend]]*Ruimtestaat[[#This Row],[Oppervlak (netto)]]</f>
        <v>0</v>
      </c>
      <c r="AC75" s="90">
        <f>IF(AB75&gt;0,Ruimtestaat[[#This Row],[Prest. (m2 /jaar) weekend]]/Ruimtestaat[[#This Row],[Norm (m2/uur) weekend]],0)</f>
        <v>0</v>
      </c>
      <c r="AD75" s="91">
        <f>Ruimtestaat[[#This Row],[uren / jaar weekend]]*Tariefsopbouw!$D$40</f>
        <v>0</v>
      </c>
      <c r="AE75" s="60">
        <f>Ruimtestaat[[#This Row],[Prest. (m2 /jaar) weekend]]+Ruimtestaat[[#This Row],[Prest. (m2 /jaar) werkdagen]]</f>
        <v>6816</v>
      </c>
      <c r="AF75" s="60">
        <f>Ruimtestaat[[#This Row],[uren / jaar weekend]]+Ruimtestaat[[#This Row],[uren / jaar werkdagen]]</f>
        <v>0</v>
      </c>
      <c r="AG75" s="61">
        <f>Ruimtestaat[[#This Row],[kosten / jaar weekend]]+Ruimtestaat[[#This Row],[kosten / jaar werkdagen]]</f>
        <v>0</v>
      </c>
      <c r="AH75" s="92"/>
      <c r="HL75" s="59"/>
    </row>
    <row r="76" spans="1:220">
      <c r="A76" s="24">
        <v>1</v>
      </c>
      <c r="B76" s="24" t="str">
        <f>VLOOKUP(Ruimtestaat[[#This Row],[Code]],Locaties[#All],2,FALSE)</f>
        <v>Boerhaave + buitenunits</v>
      </c>
      <c r="C76" s="24" t="str">
        <f>VLOOKUP(Ruimtestaat[[#This Row],[Code]],Locaties[#All],4,FALSE)</f>
        <v>Herman Boerhaavelaan 1</v>
      </c>
      <c r="D76" s="24" t="str">
        <f>VLOOKUP(Ruimtestaat[[#This Row],[Code]],Locaties[#All],5,FALSE)</f>
        <v>7415 ES</v>
      </c>
      <c r="E76" s="24" t="str">
        <f>VLOOKUP(Ruimtestaat[[#This Row],[Code]],Locaties[#All],6,FALSE)</f>
        <v>Deventer</v>
      </c>
      <c r="F76" s="54"/>
      <c r="G76" s="24" t="s">
        <v>367</v>
      </c>
      <c r="H76" s="28" t="s">
        <v>490</v>
      </c>
      <c r="I76" s="4" t="s">
        <v>487</v>
      </c>
      <c r="J76" s="24">
        <v>6</v>
      </c>
      <c r="K76" s="54" t="str">
        <f>VLOOKUP(J76,Ruimtegroepen[],2,FALSE)</f>
        <v>Gangen/hallen</v>
      </c>
      <c r="L76" s="24" t="s">
        <v>311</v>
      </c>
      <c r="M76" s="24" t="s">
        <v>370</v>
      </c>
      <c r="N76" s="83">
        <v>100.08</v>
      </c>
      <c r="O76" s="83"/>
      <c r="P76" s="93" t="str">
        <f>LEFT(VLOOKUP(Ruimtestaat[[#This Row],[Ruimte code]],Ruimtegroepen[#All],4,1),2)</f>
        <v>Ve</v>
      </c>
      <c r="Q76" s="83"/>
      <c r="R76" s="84">
        <v>40</v>
      </c>
      <c r="S76" s="84" t="s">
        <v>318</v>
      </c>
      <c r="T76" s="85">
        <f>IF(R76&gt;0,IF(RIGHT(Ruimtestaat[[#This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" s="85">
        <f>IF(T76&gt;0,VLOOKUP($J76,Ruimtegroepen[],3,FALSE)*VLOOKUP($L76,Vloersoorten[],3,FALSE)*VLOOKUP($S76,Frequenties[],3,FALSE)*VLOOKUP($A76,Locaties[],3,FALSE),0)</f>
        <v>0</v>
      </c>
      <c r="V76" s="86">
        <f>Ruimtestaat[[#This Row],[Uitvoeringen werkdagen]]*Ruimtestaat[[#This Row],[Oppervlak (netto)]]</f>
        <v>20016</v>
      </c>
      <c r="W76" s="87">
        <f>IF(U76&gt;0,Ruimtestaat[[#This Row],[Prest. (m2 /jaar) werkdagen]]/Ruimtestaat[[#This Row],[Norm (m2/uur) werkdagen]],0)</f>
        <v>0</v>
      </c>
      <c r="X76" s="88">
        <f>Ruimtestaat[[#This Row],[uren / jaar werkdagen]]*Tariefsopbouw!$E$35</f>
        <v>0</v>
      </c>
      <c r="Y76" s="85"/>
      <c r="Z76" s="89">
        <f>IF(Ruimtestaat[[#This Row],[Frequentie weekend]]&gt;0,VALUE(LEFT(Y76,1))*R76,0)</f>
        <v>0</v>
      </c>
      <c r="AA76" s="85">
        <f>IF($Z76&gt;0,VLOOKUP($J76,Ruimtegroepen[],3,FALSE)*VLOOKUP($L76,Vloersoorten[],3,FALSE)*VLOOKUP($Y76,Frequenties[],3,FALSE)*VLOOKUP($A72,Locaties[],3,FALSE),0)</f>
        <v>0</v>
      </c>
      <c r="AB76" s="87">
        <f>Ruimtestaat[[#This Row],[Uitvoeringen weekend]]*Ruimtestaat[[#This Row],[Oppervlak (netto)]]</f>
        <v>0</v>
      </c>
      <c r="AC76" s="90">
        <f>IF(AB76&gt;0,Ruimtestaat[[#This Row],[Prest. (m2 /jaar) weekend]]/Ruimtestaat[[#This Row],[Norm (m2/uur) weekend]],0)</f>
        <v>0</v>
      </c>
      <c r="AD76" s="91">
        <f>Ruimtestaat[[#This Row],[uren / jaar weekend]]*Tariefsopbouw!$D$40</f>
        <v>0</v>
      </c>
      <c r="AE76" s="60">
        <f>Ruimtestaat[[#This Row],[Prest. (m2 /jaar) weekend]]+Ruimtestaat[[#This Row],[Prest. (m2 /jaar) werkdagen]]</f>
        <v>20016</v>
      </c>
      <c r="AF76" s="60">
        <f>Ruimtestaat[[#This Row],[uren / jaar weekend]]+Ruimtestaat[[#This Row],[uren / jaar werkdagen]]</f>
        <v>0</v>
      </c>
      <c r="AG76" s="61">
        <f>Ruimtestaat[[#This Row],[kosten / jaar weekend]]+Ruimtestaat[[#This Row],[kosten / jaar werkdagen]]</f>
        <v>0</v>
      </c>
      <c r="AH76" s="92"/>
      <c r="HL76" s="59"/>
    </row>
    <row r="77" spans="1:220">
      <c r="A77" s="24">
        <v>1</v>
      </c>
      <c r="B77" s="24" t="str">
        <f>VLOOKUP(Ruimtestaat[[#This Row],[Code]],Locaties[#All],2,FALSE)</f>
        <v>Boerhaave + buitenunits</v>
      </c>
      <c r="C77" s="24" t="str">
        <f>VLOOKUP(Ruimtestaat[[#This Row],[Code]],Locaties[#All],4,FALSE)</f>
        <v>Herman Boerhaavelaan 1</v>
      </c>
      <c r="D77" s="24" t="str">
        <f>VLOOKUP(Ruimtestaat[[#This Row],[Code]],Locaties[#All],5,FALSE)</f>
        <v>7415 ES</v>
      </c>
      <c r="E77" s="24" t="str">
        <f>VLOOKUP(Ruimtestaat[[#This Row],[Code]],Locaties[#All],6,FALSE)</f>
        <v>Deventer</v>
      </c>
      <c r="F77" s="54"/>
      <c r="G77" s="24" t="s">
        <v>367</v>
      </c>
      <c r="H77" s="28" t="s">
        <v>491</v>
      </c>
      <c r="I77" s="4" t="s">
        <v>492</v>
      </c>
      <c r="J77" s="24">
        <v>10</v>
      </c>
      <c r="K77" s="54" t="str">
        <f>VLOOKUP(J77,Ruimtegroepen[],2,FALSE)</f>
        <v>Trappenhuizen/lift</v>
      </c>
      <c r="L77" s="24" t="s">
        <v>305</v>
      </c>
      <c r="M77" s="24" t="s">
        <v>373</v>
      </c>
      <c r="N77" s="83">
        <v>7.03</v>
      </c>
      <c r="O77" s="83"/>
      <c r="P77" s="93" t="str">
        <f>LEFT(VLOOKUP(Ruimtestaat[[#This Row],[Ruimte code]],Ruimtegroepen[#All],4,1),2)</f>
        <v>Ve</v>
      </c>
      <c r="Q77" s="83"/>
      <c r="R77" s="84">
        <v>40</v>
      </c>
      <c r="S77" s="84" t="s">
        <v>318</v>
      </c>
      <c r="T77" s="85">
        <f>IF(R77&gt;0,IF(RIGHT(Ruimtestaat[[#This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" s="85">
        <f>IF(T77&gt;0,VLOOKUP($J77,Ruimtegroepen[],3,FALSE)*VLOOKUP($L77,Vloersoorten[],3,FALSE)*VLOOKUP($S77,Frequenties[],3,FALSE)*VLOOKUP($A77,Locaties[],3,FALSE),0)</f>
        <v>0</v>
      </c>
      <c r="V77" s="86">
        <f>Ruimtestaat[[#This Row],[Uitvoeringen werkdagen]]*Ruimtestaat[[#This Row],[Oppervlak (netto)]]</f>
        <v>1406</v>
      </c>
      <c r="W77" s="87">
        <f>IF(U77&gt;0,Ruimtestaat[[#This Row],[Prest. (m2 /jaar) werkdagen]]/Ruimtestaat[[#This Row],[Norm (m2/uur) werkdagen]],0)</f>
        <v>0</v>
      </c>
      <c r="X77" s="88">
        <f>Ruimtestaat[[#This Row],[uren / jaar werkdagen]]*Tariefsopbouw!$E$35</f>
        <v>0</v>
      </c>
      <c r="Y77" s="85"/>
      <c r="Z77" s="89">
        <f>IF(Ruimtestaat[[#This Row],[Frequentie weekend]]&gt;0,VALUE(LEFT(Y77,1))*R77,0)</f>
        <v>0</v>
      </c>
      <c r="AA77" s="85">
        <f>IF($Z77&gt;0,VLOOKUP($J77,Ruimtegroepen[],3,FALSE)*VLOOKUP($L77,Vloersoorten[],3,FALSE)*VLOOKUP($Y77,Frequenties[],3,FALSE)*VLOOKUP($A73,Locaties[],3,FALSE),0)</f>
        <v>0</v>
      </c>
      <c r="AB77" s="87">
        <f>Ruimtestaat[[#This Row],[Uitvoeringen weekend]]*Ruimtestaat[[#This Row],[Oppervlak (netto)]]</f>
        <v>0</v>
      </c>
      <c r="AC77" s="90">
        <f>IF(AB77&gt;0,Ruimtestaat[[#This Row],[Prest. (m2 /jaar) weekend]]/Ruimtestaat[[#This Row],[Norm (m2/uur) weekend]],0)</f>
        <v>0</v>
      </c>
      <c r="AD77" s="91">
        <f>Ruimtestaat[[#This Row],[uren / jaar weekend]]*Tariefsopbouw!$D$40</f>
        <v>0</v>
      </c>
      <c r="AE77" s="60">
        <f>Ruimtestaat[[#This Row],[Prest. (m2 /jaar) weekend]]+Ruimtestaat[[#This Row],[Prest. (m2 /jaar) werkdagen]]</f>
        <v>1406</v>
      </c>
      <c r="AF77" s="60">
        <f>Ruimtestaat[[#This Row],[uren / jaar weekend]]+Ruimtestaat[[#This Row],[uren / jaar werkdagen]]</f>
        <v>0</v>
      </c>
      <c r="AG77" s="61">
        <f>Ruimtestaat[[#This Row],[kosten / jaar weekend]]+Ruimtestaat[[#This Row],[kosten / jaar werkdagen]]</f>
        <v>0</v>
      </c>
      <c r="AH77" s="92"/>
      <c r="HL77" s="59"/>
    </row>
    <row r="78" spans="1:220">
      <c r="A78" s="24">
        <v>1</v>
      </c>
      <c r="B78" s="24" t="str">
        <f>VLOOKUP(Ruimtestaat[[#This Row],[Code]],Locaties[#All],2,FALSE)</f>
        <v>Boerhaave + buitenunits</v>
      </c>
      <c r="C78" s="24" t="str">
        <f>VLOOKUP(Ruimtestaat[[#This Row],[Code]],Locaties[#All],4,FALSE)</f>
        <v>Herman Boerhaavelaan 1</v>
      </c>
      <c r="D78" s="24" t="str">
        <f>VLOOKUP(Ruimtestaat[[#This Row],[Code]],Locaties[#All],5,FALSE)</f>
        <v>7415 ES</v>
      </c>
      <c r="E78" s="24" t="str">
        <f>VLOOKUP(Ruimtestaat[[#This Row],[Code]],Locaties[#All],6,FALSE)</f>
        <v>Deventer</v>
      </c>
      <c r="F78" s="54"/>
      <c r="G78" s="24" t="s">
        <v>367</v>
      </c>
      <c r="H78" s="24" t="s">
        <v>493</v>
      </c>
      <c r="I78" s="4" t="s">
        <v>494</v>
      </c>
      <c r="J78" s="24">
        <v>10</v>
      </c>
      <c r="K78" s="54" t="str">
        <f>VLOOKUP(J78,Ruimtegroepen[],2,FALSE)</f>
        <v>Trappenhuizen/lift</v>
      </c>
      <c r="L78" s="24" t="s">
        <v>305</v>
      </c>
      <c r="M78" s="24" t="s">
        <v>373</v>
      </c>
      <c r="N78" s="94">
        <v>7.03</v>
      </c>
      <c r="O78" s="83"/>
      <c r="P78" s="93" t="str">
        <f>LEFT(VLOOKUP(Ruimtestaat[[#This Row],[Ruimte code]],Ruimtegroepen[#All],4,1),2)</f>
        <v>Ve</v>
      </c>
      <c r="Q78" s="83"/>
      <c r="R78" s="84">
        <v>40</v>
      </c>
      <c r="S78" s="84" t="s">
        <v>318</v>
      </c>
      <c r="T78" s="85">
        <f>IF(R78&gt;0,IF(RIGHT(Ruimtestaat[[#This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" s="85">
        <f>IF(T78&gt;0,VLOOKUP($J78,Ruimtegroepen[],3,FALSE)*VLOOKUP($L78,Vloersoorten[],3,FALSE)*VLOOKUP($S78,Frequenties[],3,FALSE)*VLOOKUP($A78,Locaties[],3,FALSE),0)</f>
        <v>0</v>
      </c>
      <c r="V78" s="86">
        <f>Ruimtestaat[[#This Row],[Uitvoeringen werkdagen]]*Ruimtestaat[[#This Row],[Oppervlak (netto)]]</f>
        <v>1406</v>
      </c>
      <c r="W78" s="87">
        <f>IF(U78&gt;0,Ruimtestaat[[#This Row],[Prest. (m2 /jaar) werkdagen]]/Ruimtestaat[[#This Row],[Norm (m2/uur) werkdagen]],0)</f>
        <v>0</v>
      </c>
      <c r="X78" s="88">
        <f>Ruimtestaat[[#This Row],[uren / jaar werkdagen]]*Tariefsopbouw!$E$35</f>
        <v>0</v>
      </c>
      <c r="Y78" s="85"/>
      <c r="Z78" s="89">
        <f>IF(Ruimtestaat[[#This Row],[Frequentie weekend]]&gt;0,VALUE(LEFT(Y78,1))*R78,0)</f>
        <v>0</v>
      </c>
      <c r="AA78" s="85">
        <f>IF($Z78&gt;0,VLOOKUP($J78,Ruimtegroepen[],3,FALSE)*VLOOKUP($L78,Vloersoorten[],3,FALSE)*VLOOKUP($Y78,Frequenties[],3,FALSE)*VLOOKUP($A74,Locaties[],3,FALSE),0)</f>
        <v>0</v>
      </c>
      <c r="AB78" s="87">
        <f>Ruimtestaat[[#This Row],[Uitvoeringen weekend]]*Ruimtestaat[[#This Row],[Oppervlak (netto)]]</f>
        <v>0</v>
      </c>
      <c r="AC78" s="90">
        <f>IF(AB78&gt;0,Ruimtestaat[[#This Row],[Prest. (m2 /jaar) weekend]]/Ruimtestaat[[#This Row],[Norm (m2/uur) weekend]],0)</f>
        <v>0</v>
      </c>
      <c r="AD78" s="91">
        <f>Ruimtestaat[[#This Row],[uren / jaar weekend]]*Tariefsopbouw!$D$40</f>
        <v>0</v>
      </c>
      <c r="AE78" s="60">
        <f>Ruimtestaat[[#This Row],[Prest. (m2 /jaar) weekend]]+Ruimtestaat[[#This Row],[Prest. (m2 /jaar) werkdagen]]</f>
        <v>1406</v>
      </c>
      <c r="AF78" s="60">
        <f>Ruimtestaat[[#This Row],[uren / jaar weekend]]+Ruimtestaat[[#This Row],[uren / jaar werkdagen]]</f>
        <v>0</v>
      </c>
      <c r="AG78" s="61">
        <f>Ruimtestaat[[#This Row],[kosten / jaar weekend]]+Ruimtestaat[[#This Row],[kosten / jaar werkdagen]]</f>
        <v>0</v>
      </c>
      <c r="AH78" s="92"/>
      <c r="HL78" s="59"/>
    </row>
    <row r="79" spans="1:220">
      <c r="A79" s="24">
        <v>1</v>
      </c>
      <c r="B79" s="24" t="str">
        <f>VLOOKUP(Ruimtestaat[[#This Row],[Code]],Locaties[#All],2,FALSE)</f>
        <v>Boerhaave + buitenunits</v>
      </c>
      <c r="C79" s="24" t="str">
        <f>VLOOKUP(Ruimtestaat[[#This Row],[Code]],Locaties[#All],4,FALSE)</f>
        <v>Herman Boerhaavelaan 1</v>
      </c>
      <c r="D79" s="24" t="str">
        <f>VLOOKUP(Ruimtestaat[[#This Row],[Code]],Locaties[#All],5,FALSE)</f>
        <v>7415 ES</v>
      </c>
      <c r="E79" s="24" t="str">
        <f>VLOOKUP(Ruimtestaat[[#This Row],[Code]],Locaties[#All],6,FALSE)</f>
        <v>Deventer</v>
      </c>
      <c r="F79" s="54"/>
      <c r="G79" s="24" t="s">
        <v>367</v>
      </c>
      <c r="H79" s="28" t="s">
        <v>495</v>
      </c>
      <c r="I79" s="4" t="s">
        <v>487</v>
      </c>
      <c r="J79" s="24">
        <v>6</v>
      </c>
      <c r="K79" s="54" t="str">
        <f>VLOOKUP(J79,Ruimtegroepen[],2,FALSE)</f>
        <v>Gangen/hallen</v>
      </c>
      <c r="L79" s="24" t="s">
        <v>311</v>
      </c>
      <c r="M79" s="24" t="s">
        <v>370</v>
      </c>
      <c r="N79" s="94">
        <v>49.41</v>
      </c>
      <c r="O79" s="83"/>
      <c r="P79" s="93" t="str">
        <f>LEFT(VLOOKUP(Ruimtestaat[[#This Row],[Ruimte code]],Ruimtegroepen[#All],4,1),2)</f>
        <v>Ve</v>
      </c>
      <c r="Q79" s="83"/>
      <c r="R79" s="84">
        <v>40</v>
      </c>
      <c r="S79" s="84" t="s">
        <v>318</v>
      </c>
      <c r="T79" s="85">
        <f>IF(R79&gt;0,IF(RIGHT(Ruimtestaat[[#This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" s="85">
        <f>IF(T79&gt;0,VLOOKUP($J79,Ruimtegroepen[],3,FALSE)*VLOOKUP($L79,Vloersoorten[],3,FALSE)*VLOOKUP($S79,Frequenties[],3,FALSE)*VLOOKUP($A79,Locaties[],3,FALSE),0)</f>
        <v>0</v>
      </c>
      <c r="V79" s="86">
        <f>Ruimtestaat[[#This Row],[Uitvoeringen werkdagen]]*Ruimtestaat[[#This Row],[Oppervlak (netto)]]</f>
        <v>9882</v>
      </c>
      <c r="W79" s="87">
        <f>IF(U79&gt;0,Ruimtestaat[[#This Row],[Prest. (m2 /jaar) werkdagen]]/Ruimtestaat[[#This Row],[Norm (m2/uur) werkdagen]],0)</f>
        <v>0</v>
      </c>
      <c r="X79" s="88">
        <f>Ruimtestaat[[#This Row],[uren / jaar werkdagen]]*Tariefsopbouw!$E$35</f>
        <v>0</v>
      </c>
      <c r="Y79" s="85"/>
      <c r="Z79" s="89">
        <f>IF(Ruimtestaat[[#This Row],[Frequentie weekend]]&gt;0,VALUE(LEFT(Y79,1))*R79,0)</f>
        <v>0</v>
      </c>
      <c r="AA79" s="85">
        <f>IF($Z79&gt;0,VLOOKUP($J79,Ruimtegroepen[],3,FALSE)*VLOOKUP($L79,Vloersoorten[],3,FALSE)*VLOOKUP($Y79,Frequenties[],3,FALSE)*VLOOKUP($A75,Locaties[],3,FALSE),0)</f>
        <v>0</v>
      </c>
      <c r="AB79" s="87">
        <f>Ruimtestaat[[#This Row],[Uitvoeringen weekend]]*Ruimtestaat[[#This Row],[Oppervlak (netto)]]</f>
        <v>0</v>
      </c>
      <c r="AC79" s="90">
        <f>IF(AB79&gt;0,Ruimtestaat[[#This Row],[Prest. (m2 /jaar) weekend]]/Ruimtestaat[[#This Row],[Norm (m2/uur) weekend]],0)</f>
        <v>0</v>
      </c>
      <c r="AD79" s="91">
        <f>Ruimtestaat[[#This Row],[uren / jaar weekend]]*Tariefsopbouw!$D$40</f>
        <v>0</v>
      </c>
      <c r="AE79" s="60">
        <f>Ruimtestaat[[#This Row],[Prest. (m2 /jaar) weekend]]+Ruimtestaat[[#This Row],[Prest. (m2 /jaar) werkdagen]]</f>
        <v>9882</v>
      </c>
      <c r="AF79" s="60">
        <f>Ruimtestaat[[#This Row],[uren / jaar weekend]]+Ruimtestaat[[#This Row],[uren / jaar werkdagen]]</f>
        <v>0</v>
      </c>
      <c r="AG79" s="61">
        <f>Ruimtestaat[[#This Row],[kosten / jaar weekend]]+Ruimtestaat[[#This Row],[kosten / jaar werkdagen]]</f>
        <v>0</v>
      </c>
      <c r="AH79" s="92"/>
      <c r="HL79" s="59"/>
    </row>
    <row r="80" spans="1:220">
      <c r="A80" s="24">
        <v>1</v>
      </c>
      <c r="B80" s="24" t="str">
        <f>VLOOKUP(Ruimtestaat[[#This Row],[Code]],Locaties[#All],2,FALSE)</f>
        <v>Boerhaave + buitenunits</v>
      </c>
      <c r="C80" s="24" t="str">
        <f>VLOOKUP(Ruimtestaat[[#This Row],[Code]],Locaties[#All],4,FALSE)</f>
        <v>Herman Boerhaavelaan 1</v>
      </c>
      <c r="D80" s="24" t="str">
        <f>VLOOKUP(Ruimtestaat[[#This Row],[Code]],Locaties[#All],5,FALSE)</f>
        <v>7415 ES</v>
      </c>
      <c r="E80" s="24" t="str">
        <f>VLOOKUP(Ruimtestaat[[#This Row],[Code]],Locaties[#All],6,FALSE)</f>
        <v>Deventer</v>
      </c>
      <c r="F80" s="54"/>
      <c r="G80" s="24" t="s">
        <v>367</v>
      </c>
      <c r="H80" s="28" t="s">
        <v>496</v>
      </c>
      <c r="I80" s="4" t="s">
        <v>487</v>
      </c>
      <c r="J80" s="24">
        <v>6</v>
      </c>
      <c r="K80" s="54" t="str">
        <f>VLOOKUP(J80,Ruimtegroepen[],2,FALSE)</f>
        <v>Gangen/hallen</v>
      </c>
      <c r="L80" s="24" t="s">
        <v>311</v>
      </c>
      <c r="M80" s="24" t="s">
        <v>370</v>
      </c>
      <c r="N80" s="94">
        <v>52.95</v>
      </c>
      <c r="O80" s="83"/>
      <c r="P80" s="93" t="str">
        <f>LEFT(VLOOKUP(Ruimtestaat[[#This Row],[Ruimte code]],Ruimtegroepen[#All],4,1),2)</f>
        <v>Ve</v>
      </c>
      <c r="Q80" s="83"/>
      <c r="R80" s="84">
        <v>40</v>
      </c>
      <c r="S80" s="84" t="s">
        <v>318</v>
      </c>
      <c r="T80" s="85">
        <f>IF(R80&gt;0,IF(RIGHT(Ruimtestaat[[#This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" s="85">
        <f>IF(T80&gt;0,VLOOKUP($J80,Ruimtegroepen[],3,FALSE)*VLOOKUP($L80,Vloersoorten[],3,FALSE)*VLOOKUP($S80,Frequenties[],3,FALSE)*VLOOKUP($A80,Locaties[],3,FALSE),0)</f>
        <v>0</v>
      </c>
      <c r="V80" s="86">
        <f>Ruimtestaat[[#This Row],[Uitvoeringen werkdagen]]*Ruimtestaat[[#This Row],[Oppervlak (netto)]]</f>
        <v>10590</v>
      </c>
      <c r="W80" s="87">
        <f>IF(U80&gt;0,Ruimtestaat[[#This Row],[Prest. (m2 /jaar) werkdagen]]/Ruimtestaat[[#This Row],[Norm (m2/uur) werkdagen]],0)</f>
        <v>0</v>
      </c>
      <c r="X80" s="88">
        <f>Ruimtestaat[[#This Row],[uren / jaar werkdagen]]*Tariefsopbouw!$E$35</f>
        <v>0</v>
      </c>
      <c r="Y80" s="85"/>
      <c r="Z80" s="89">
        <f>IF(Ruimtestaat[[#This Row],[Frequentie weekend]]&gt;0,VALUE(LEFT(Y80,1))*R80,0)</f>
        <v>0</v>
      </c>
      <c r="AA80" s="85">
        <f>IF($Z80&gt;0,VLOOKUP($J80,Ruimtegroepen[],3,FALSE)*VLOOKUP($L80,Vloersoorten[],3,FALSE)*VLOOKUP($Y80,Frequenties[],3,FALSE)*VLOOKUP($A76,Locaties[],3,FALSE),0)</f>
        <v>0</v>
      </c>
      <c r="AB80" s="87">
        <f>Ruimtestaat[[#This Row],[Uitvoeringen weekend]]*Ruimtestaat[[#This Row],[Oppervlak (netto)]]</f>
        <v>0</v>
      </c>
      <c r="AC80" s="90">
        <f>IF(AB80&gt;0,Ruimtestaat[[#This Row],[Prest. (m2 /jaar) weekend]]/Ruimtestaat[[#This Row],[Norm (m2/uur) weekend]],0)</f>
        <v>0</v>
      </c>
      <c r="AD80" s="91">
        <f>Ruimtestaat[[#This Row],[uren / jaar weekend]]*Tariefsopbouw!$D$40</f>
        <v>0</v>
      </c>
      <c r="AE80" s="60">
        <f>Ruimtestaat[[#This Row],[Prest. (m2 /jaar) weekend]]+Ruimtestaat[[#This Row],[Prest. (m2 /jaar) werkdagen]]</f>
        <v>10590</v>
      </c>
      <c r="AF80" s="60">
        <f>Ruimtestaat[[#This Row],[uren / jaar weekend]]+Ruimtestaat[[#This Row],[uren / jaar werkdagen]]</f>
        <v>0</v>
      </c>
      <c r="AG80" s="61">
        <f>Ruimtestaat[[#This Row],[kosten / jaar weekend]]+Ruimtestaat[[#This Row],[kosten / jaar werkdagen]]</f>
        <v>0</v>
      </c>
      <c r="AH80" s="92"/>
      <c r="HL80" s="59"/>
    </row>
    <row r="81" spans="1:220">
      <c r="A81" s="24">
        <v>1</v>
      </c>
      <c r="B81" s="24" t="str">
        <f>VLOOKUP(Ruimtestaat[[#This Row],[Code]],Locaties[#All],2,FALSE)</f>
        <v>Boerhaave + buitenunits</v>
      </c>
      <c r="C81" s="24" t="str">
        <f>VLOOKUP(Ruimtestaat[[#This Row],[Code]],Locaties[#All],4,FALSE)</f>
        <v>Herman Boerhaavelaan 1</v>
      </c>
      <c r="D81" s="24" t="str">
        <f>VLOOKUP(Ruimtestaat[[#This Row],[Code]],Locaties[#All],5,FALSE)</f>
        <v>7415 ES</v>
      </c>
      <c r="E81" s="24" t="str">
        <f>VLOOKUP(Ruimtestaat[[#This Row],[Code]],Locaties[#All],6,FALSE)</f>
        <v>Deventer</v>
      </c>
      <c r="F81" s="54"/>
      <c r="G81" s="24" t="s">
        <v>367</v>
      </c>
      <c r="H81" s="28" t="s">
        <v>497</v>
      </c>
      <c r="I81" s="4" t="s">
        <v>375</v>
      </c>
      <c r="J81" s="24">
        <v>22</v>
      </c>
      <c r="K81" s="54" t="str">
        <f>VLOOKUP(J81,Ruimtegroepen[],2,FALSE)</f>
        <v>Niet in onderhoud</v>
      </c>
      <c r="L81" s="24" t="s">
        <v>311</v>
      </c>
      <c r="M81" s="24" t="s">
        <v>370</v>
      </c>
      <c r="N81" s="83"/>
      <c r="O81" s="83">
        <v>0.84</v>
      </c>
      <c r="P81" s="93" t="str">
        <f>LEFT(VLOOKUP(Ruimtestaat[[#This Row],[Ruimte code]],Ruimtegroepen[#All],4,1),2)</f>
        <v/>
      </c>
      <c r="Q81" s="83"/>
      <c r="R81" s="84"/>
      <c r="S81" s="84"/>
      <c r="T81" s="85">
        <f>IF(R81&gt;0,IF(RIGHT(Ruimtestaat[[#This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1" s="85">
        <f>IF(T81&gt;0,VLOOKUP($J81,Ruimtegroepen[],3,FALSE)*VLOOKUP($L81,Vloersoorten[],3,FALSE)*VLOOKUP($S81,Frequenties[],3,FALSE)*VLOOKUP($A81,Locaties[],3,FALSE),0)</f>
        <v>0</v>
      </c>
      <c r="V81" s="86">
        <f>Ruimtestaat[[#This Row],[Uitvoeringen werkdagen]]*Ruimtestaat[[#This Row],[Oppervlak (netto)]]</f>
        <v>0</v>
      </c>
      <c r="W81" s="87">
        <f>IF(U81&gt;0,Ruimtestaat[[#This Row],[Prest. (m2 /jaar) werkdagen]]/Ruimtestaat[[#This Row],[Norm (m2/uur) werkdagen]],0)</f>
        <v>0</v>
      </c>
      <c r="X81" s="88">
        <f>Ruimtestaat[[#This Row],[uren / jaar werkdagen]]*Tariefsopbouw!$E$35</f>
        <v>0</v>
      </c>
      <c r="Y81" s="85"/>
      <c r="Z81" s="89">
        <f>IF(Ruimtestaat[[#This Row],[Frequentie weekend]]&gt;0,VALUE(LEFT(Y81,1))*R81,0)</f>
        <v>0</v>
      </c>
      <c r="AA81" s="85">
        <f>IF($Z81&gt;0,VLOOKUP($J81,Ruimtegroepen[],3,FALSE)*VLOOKUP($L81,Vloersoorten[],3,FALSE)*VLOOKUP($Y81,Frequenties[],3,FALSE)*VLOOKUP($A77,Locaties[],3,FALSE),0)</f>
        <v>0</v>
      </c>
      <c r="AB81" s="87">
        <f>Ruimtestaat[[#This Row],[Uitvoeringen weekend]]*Ruimtestaat[[#This Row],[Oppervlak (netto)]]</f>
        <v>0</v>
      </c>
      <c r="AC81" s="90">
        <f>IF(AB81&gt;0,Ruimtestaat[[#This Row],[Prest. (m2 /jaar) weekend]]/Ruimtestaat[[#This Row],[Norm (m2/uur) weekend]],0)</f>
        <v>0</v>
      </c>
      <c r="AD81" s="91">
        <f>Ruimtestaat[[#This Row],[uren / jaar weekend]]*Tariefsopbouw!$D$40</f>
        <v>0</v>
      </c>
      <c r="AE81" s="60">
        <f>Ruimtestaat[[#This Row],[Prest. (m2 /jaar) weekend]]+Ruimtestaat[[#This Row],[Prest. (m2 /jaar) werkdagen]]</f>
        <v>0</v>
      </c>
      <c r="AF81" s="60">
        <f>Ruimtestaat[[#This Row],[uren / jaar weekend]]+Ruimtestaat[[#This Row],[uren / jaar werkdagen]]</f>
        <v>0</v>
      </c>
      <c r="AG81" s="61">
        <f>Ruimtestaat[[#This Row],[kosten / jaar weekend]]+Ruimtestaat[[#This Row],[kosten / jaar werkdagen]]</f>
        <v>0</v>
      </c>
      <c r="AH81" s="92"/>
      <c r="HL81" s="59"/>
    </row>
    <row r="82" spans="1:220">
      <c r="A82" s="24">
        <v>1</v>
      </c>
      <c r="B82" s="24" t="str">
        <f>VLOOKUP(Ruimtestaat[[#This Row],[Code]],Locaties[#All],2,FALSE)</f>
        <v>Boerhaave + buitenunits</v>
      </c>
      <c r="C82" s="24" t="str">
        <f>VLOOKUP(Ruimtestaat[[#This Row],[Code]],Locaties[#All],4,FALSE)</f>
        <v>Herman Boerhaavelaan 1</v>
      </c>
      <c r="D82" s="24" t="str">
        <f>VLOOKUP(Ruimtestaat[[#This Row],[Code]],Locaties[#All],5,FALSE)</f>
        <v>7415 ES</v>
      </c>
      <c r="E82" s="24" t="str">
        <f>VLOOKUP(Ruimtestaat[[#This Row],[Code]],Locaties[#All],6,FALSE)</f>
        <v>Deventer</v>
      </c>
      <c r="F82" s="54"/>
      <c r="G82" s="24" t="s">
        <v>367</v>
      </c>
      <c r="H82" s="28" t="s">
        <v>498</v>
      </c>
      <c r="I82" s="4" t="s">
        <v>487</v>
      </c>
      <c r="J82" s="24">
        <v>6</v>
      </c>
      <c r="K82" s="54" t="str">
        <f>VLOOKUP(J82,Ruimtegroepen[],2,FALSE)</f>
        <v>Gangen/hallen</v>
      </c>
      <c r="L82" s="24" t="s">
        <v>311</v>
      </c>
      <c r="M82" s="24" t="s">
        <v>370</v>
      </c>
      <c r="N82" s="83">
        <v>32.71</v>
      </c>
      <c r="O82" s="83"/>
      <c r="P82" s="93" t="str">
        <f>LEFT(VLOOKUP(Ruimtestaat[[#This Row],[Ruimte code]],Ruimtegroepen[#All],4,1),2)</f>
        <v>Ve</v>
      </c>
      <c r="Q82" s="83"/>
      <c r="R82" s="84">
        <v>40</v>
      </c>
      <c r="S82" s="84" t="s">
        <v>318</v>
      </c>
      <c r="T82" s="85">
        <f>IF(R82&gt;0,IF(RIGHT(Ruimtestaat[[#This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" s="85">
        <f>IF(T82&gt;0,VLOOKUP($J82,Ruimtegroepen[],3,FALSE)*VLOOKUP($L82,Vloersoorten[],3,FALSE)*VLOOKUP($S82,Frequenties[],3,FALSE)*VLOOKUP($A82,Locaties[],3,FALSE),0)</f>
        <v>0</v>
      </c>
      <c r="V82" s="86">
        <f>Ruimtestaat[[#This Row],[Uitvoeringen werkdagen]]*Ruimtestaat[[#This Row],[Oppervlak (netto)]]</f>
        <v>6542</v>
      </c>
      <c r="W82" s="87">
        <f>IF(U82&gt;0,Ruimtestaat[[#This Row],[Prest. (m2 /jaar) werkdagen]]/Ruimtestaat[[#This Row],[Norm (m2/uur) werkdagen]],0)</f>
        <v>0</v>
      </c>
      <c r="X82" s="88">
        <f>Ruimtestaat[[#This Row],[uren / jaar werkdagen]]*Tariefsopbouw!$E$35</f>
        <v>0</v>
      </c>
      <c r="Y82" s="85"/>
      <c r="Z82" s="89">
        <f>IF(Ruimtestaat[[#This Row],[Frequentie weekend]]&gt;0,VALUE(LEFT(Y82,1))*R82,0)</f>
        <v>0</v>
      </c>
      <c r="AA82" s="85">
        <f>IF($Z82&gt;0,VLOOKUP($J82,Ruimtegroepen[],3,FALSE)*VLOOKUP($L82,Vloersoorten[],3,FALSE)*VLOOKUP($Y82,Frequenties[],3,FALSE)*VLOOKUP($A78,Locaties[],3,FALSE),0)</f>
        <v>0</v>
      </c>
      <c r="AB82" s="87">
        <f>Ruimtestaat[[#This Row],[Uitvoeringen weekend]]*Ruimtestaat[[#This Row],[Oppervlak (netto)]]</f>
        <v>0</v>
      </c>
      <c r="AC82" s="90">
        <f>IF(AB82&gt;0,Ruimtestaat[[#This Row],[Prest. (m2 /jaar) weekend]]/Ruimtestaat[[#This Row],[Norm (m2/uur) weekend]],0)</f>
        <v>0</v>
      </c>
      <c r="AD82" s="91">
        <f>Ruimtestaat[[#This Row],[uren / jaar weekend]]*Tariefsopbouw!$D$40</f>
        <v>0</v>
      </c>
      <c r="AE82" s="60">
        <f>Ruimtestaat[[#This Row],[Prest. (m2 /jaar) weekend]]+Ruimtestaat[[#This Row],[Prest. (m2 /jaar) werkdagen]]</f>
        <v>6542</v>
      </c>
      <c r="AF82" s="60">
        <f>Ruimtestaat[[#This Row],[uren / jaar weekend]]+Ruimtestaat[[#This Row],[uren / jaar werkdagen]]</f>
        <v>0</v>
      </c>
      <c r="AG82" s="61">
        <f>Ruimtestaat[[#This Row],[kosten / jaar weekend]]+Ruimtestaat[[#This Row],[kosten / jaar werkdagen]]</f>
        <v>0</v>
      </c>
      <c r="AH82" s="92"/>
      <c r="HL82" s="59"/>
    </row>
    <row r="83" spans="1:220">
      <c r="A83" s="24">
        <v>1</v>
      </c>
      <c r="B83" s="24" t="str">
        <f>VLOOKUP(Ruimtestaat[[#This Row],[Code]],Locaties[#All],2,FALSE)</f>
        <v>Boerhaave + buitenunits</v>
      </c>
      <c r="C83" s="24" t="str">
        <f>VLOOKUP(Ruimtestaat[[#This Row],[Code]],Locaties[#All],4,FALSE)</f>
        <v>Herman Boerhaavelaan 1</v>
      </c>
      <c r="D83" s="24" t="str">
        <f>VLOOKUP(Ruimtestaat[[#This Row],[Code]],Locaties[#All],5,FALSE)</f>
        <v>7415 ES</v>
      </c>
      <c r="E83" s="24" t="str">
        <f>VLOOKUP(Ruimtestaat[[#This Row],[Code]],Locaties[#All],6,FALSE)</f>
        <v>Deventer</v>
      </c>
      <c r="F83" s="54"/>
      <c r="G83" s="24" t="s">
        <v>367</v>
      </c>
      <c r="H83" s="28" t="s">
        <v>499</v>
      </c>
      <c r="I83" s="4" t="s">
        <v>487</v>
      </c>
      <c r="J83" s="24">
        <v>6</v>
      </c>
      <c r="K83" s="54" t="str">
        <f>VLOOKUP(J83,Ruimtegroepen[],2,FALSE)</f>
        <v>Gangen/hallen</v>
      </c>
      <c r="L83" s="24" t="s">
        <v>311</v>
      </c>
      <c r="M83" s="24" t="s">
        <v>370</v>
      </c>
      <c r="N83" s="83">
        <v>239.14</v>
      </c>
      <c r="O83" s="83"/>
      <c r="P83" s="93" t="str">
        <f>LEFT(VLOOKUP(Ruimtestaat[[#This Row],[Ruimte code]],Ruimtegroepen[#All],4,1),2)</f>
        <v>Ve</v>
      </c>
      <c r="Q83" s="83"/>
      <c r="R83" s="84">
        <v>40</v>
      </c>
      <c r="S83" s="84" t="s">
        <v>318</v>
      </c>
      <c r="T83" s="85">
        <f>IF(R83&gt;0,IF(RIGHT(Ruimtestaat[[#This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" s="85">
        <f>IF(T83&gt;0,VLOOKUP($J83,Ruimtegroepen[],3,FALSE)*VLOOKUP($L83,Vloersoorten[],3,FALSE)*VLOOKUP($S83,Frequenties[],3,FALSE)*VLOOKUP($A83,Locaties[],3,FALSE),0)</f>
        <v>0</v>
      </c>
      <c r="V83" s="86">
        <f>Ruimtestaat[[#This Row],[Uitvoeringen werkdagen]]*Ruimtestaat[[#This Row],[Oppervlak (netto)]]</f>
        <v>47828</v>
      </c>
      <c r="W83" s="87">
        <f>IF(U83&gt;0,Ruimtestaat[[#This Row],[Prest. (m2 /jaar) werkdagen]]/Ruimtestaat[[#This Row],[Norm (m2/uur) werkdagen]],0)</f>
        <v>0</v>
      </c>
      <c r="X83" s="88">
        <f>Ruimtestaat[[#This Row],[uren / jaar werkdagen]]*Tariefsopbouw!$E$35</f>
        <v>0</v>
      </c>
      <c r="Y83" s="85"/>
      <c r="Z83" s="89">
        <f>IF(Ruimtestaat[[#This Row],[Frequentie weekend]]&gt;0,VALUE(LEFT(Y83,1))*R83,0)</f>
        <v>0</v>
      </c>
      <c r="AA83" s="85">
        <f>IF($Z83&gt;0,VLOOKUP($J83,Ruimtegroepen[],3,FALSE)*VLOOKUP($L83,Vloersoorten[],3,FALSE)*VLOOKUP($Y83,Frequenties[],3,FALSE)*VLOOKUP($A79,Locaties[],3,FALSE),0)</f>
        <v>0</v>
      </c>
      <c r="AB83" s="87">
        <f>Ruimtestaat[[#This Row],[Uitvoeringen weekend]]*Ruimtestaat[[#This Row],[Oppervlak (netto)]]</f>
        <v>0</v>
      </c>
      <c r="AC83" s="90">
        <f>IF(AB83&gt;0,Ruimtestaat[[#This Row],[Prest. (m2 /jaar) weekend]]/Ruimtestaat[[#This Row],[Norm (m2/uur) weekend]],0)</f>
        <v>0</v>
      </c>
      <c r="AD83" s="91">
        <f>Ruimtestaat[[#This Row],[uren / jaar weekend]]*Tariefsopbouw!$D$40</f>
        <v>0</v>
      </c>
      <c r="AE83" s="60">
        <f>Ruimtestaat[[#This Row],[Prest. (m2 /jaar) weekend]]+Ruimtestaat[[#This Row],[Prest. (m2 /jaar) werkdagen]]</f>
        <v>47828</v>
      </c>
      <c r="AF83" s="60">
        <f>Ruimtestaat[[#This Row],[uren / jaar weekend]]+Ruimtestaat[[#This Row],[uren / jaar werkdagen]]</f>
        <v>0</v>
      </c>
      <c r="AG83" s="61">
        <f>Ruimtestaat[[#This Row],[kosten / jaar weekend]]+Ruimtestaat[[#This Row],[kosten / jaar werkdagen]]</f>
        <v>0</v>
      </c>
      <c r="AH83" s="92"/>
      <c r="HL83" s="59"/>
    </row>
    <row r="84" spans="1:220">
      <c r="A84" s="24">
        <v>1</v>
      </c>
      <c r="B84" s="24" t="str">
        <f>VLOOKUP(Ruimtestaat[[#This Row],[Code]],Locaties[#All],2,FALSE)</f>
        <v>Boerhaave + buitenunits</v>
      </c>
      <c r="C84" s="24" t="str">
        <f>VLOOKUP(Ruimtestaat[[#This Row],[Code]],Locaties[#All],4,FALSE)</f>
        <v>Herman Boerhaavelaan 1</v>
      </c>
      <c r="D84" s="24" t="str">
        <f>VLOOKUP(Ruimtestaat[[#This Row],[Code]],Locaties[#All],5,FALSE)</f>
        <v>7415 ES</v>
      </c>
      <c r="E84" s="24" t="str">
        <f>VLOOKUP(Ruimtestaat[[#This Row],[Code]],Locaties[#All],6,FALSE)</f>
        <v>Deventer</v>
      </c>
      <c r="F84" s="54"/>
      <c r="G84" s="24" t="s">
        <v>367</v>
      </c>
      <c r="H84" s="28" t="s">
        <v>500</v>
      </c>
      <c r="I84" s="4" t="s">
        <v>487</v>
      </c>
      <c r="J84" s="24">
        <v>6</v>
      </c>
      <c r="K84" s="54" t="str">
        <f>VLOOKUP(J84,Ruimtegroepen[],2,FALSE)</f>
        <v>Gangen/hallen</v>
      </c>
      <c r="L84" s="24" t="s">
        <v>311</v>
      </c>
      <c r="M84" s="24" t="s">
        <v>370</v>
      </c>
      <c r="N84" s="83">
        <v>36.020000000000003</v>
      </c>
      <c r="O84" s="83"/>
      <c r="P84" s="93" t="str">
        <f>LEFT(VLOOKUP(Ruimtestaat[[#This Row],[Ruimte code]],Ruimtegroepen[#All],4,1),2)</f>
        <v>Ve</v>
      </c>
      <c r="Q84" s="83"/>
      <c r="R84" s="84">
        <v>40</v>
      </c>
      <c r="S84" s="84" t="s">
        <v>318</v>
      </c>
      <c r="T84" s="85">
        <f>IF(R84&gt;0,IF(RIGHT(Ruimtestaat[[#This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" s="85">
        <f>IF(T84&gt;0,VLOOKUP($J84,Ruimtegroepen[],3,FALSE)*VLOOKUP($L84,Vloersoorten[],3,FALSE)*VLOOKUP($S84,Frequenties[],3,FALSE)*VLOOKUP($A84,Locaties[],3,FALSE),0)</f>
        <v>0</v>
      </c>
      <c r="V84" s="86">
        <f>Ruimtestaat[[#This Row],[Uitvoeringen werkdagen]]*Ruimtestaat[[#This Row],[Oppervlak (netto)]]</f>
        <v>7204.0000000000009</v>
      </c>
      <c r="W84" s="87">
        <f>IF(U84&gt;0,Ruimtestaat[[#This Row],[Prest. (m2 /jaar) werkdagen]]/Ruimtestaat[[#This Row],[Norm (m2/uur) werkdagen]],0)</f>
        <v>0</v>
      </c>
      <c r="X84" s="88">
        <f>Ruimtestaat[[#This Row],[uren / jaar werkdagen]]*Tariefsopbouw!$E$35</f>
        <v>0</v>
      </c>
      <c r="Y84" s="85"/>
      <c r="Z84" s="89">
        <f>IF(Ruimtestaat[[#This Row],[Frequentie weekend]]&gt;0,VALUE(LEFT(Y84,1))*R84,0)</f>
        <v>0</v>
      </c>
      <c r="AA84" s="85">
        <f>IF($Z84&gt;0,VLOOKUP($J84,Ruimtegroepen[],3,FALSE)*VLOOKUP($L84,Vloersoorten[],3,FALSE)*VLOOKUP($Y84,Frequenties[],3,FALSE)*VLOOKUP($A80,Locaties[],3,FALSE),0)</f>
        <v>0</v>
      </c>
      <c r="AB84" s="87">
        <f>Ruimtestaat[[#This Row],[Uitvoeringen weekend]]*Ruimtestaat[[#This Row],[Oppervlak (netto)]]</f>
        <v>0</v>
      </c>
      <c r="AC84" s="90">
        <f>IF(AB84&gt;0,Ruimtestaat[[#This Row],[Prest. (m2 /jaar) weekend]]/Ruimtestaat[[#This Row],[Norm (m2/uur) weekend]],0)</f>
        <v>0</v>
      </c>
      <c r="AD84" s="91">
        <f>Ruimtestaat[[#This Row],[uren / jaar weekend]]*Tariefsopbouw!$D$40</f>
        <v>0</v>
      </c>
      <c r="AE84" s="60">
        <f>Ruimtestaat[[#This Row],[Prest. (m2 /jaar) weekend]]+Ruimtestaat[[#This Row],[Prest. (m2 /jaar) werkdagen]]</f>
        <v>7204.0000000000009</v>
      </c>
      <c r="AF84" s="60">
        <f>Ruimtestaat[[#This Row],[uren / jaar weekend]]+Ruimtestaat[[#This Row],[uren / jaar werkdagen]]</f>
        <v>0</v>
      </c>
      <c r="AG84" s="61">
        <f>Ruimtestaat[[#This Row],[kosten / jaar weekend]]+Ruimtestaat[[#This Row],[kosten / jaar werkdagen]]</f>
        <v>0</v>
      </c>
      <c r="AH84" s="92"/>
      <c r="HL84" s="59"/>
    </row>
    <row r="85" spans="1:220">
      <c r="A85" s="24">
        <v>1</v>
      </c>
      <c r="B85" s="24" t="str">
        <f>VLOOKUP(Ruimtestaat[[#This Row],[Code]],Locaties[#All],2,FALSE)</f>
        <v>Boerhaave + buitenunits</v>
      </c>
      <c r="C85" s="24" t="str">
        <f>VLOOKUP(Ruimtestaat[[#This Row],[Code]],Locaties[#All],4,FALSE)</f>
        <v>Herman Boerhaavelaan 1</v>
      </c>
      <c r="D85" s="24" t="str">
        <f>VLOOKUP(Ruimtestaat[[#This Row],[Code]],Locaties[#All],5,FALSE)</f>
        <v>7415 ES</v>
      </c>
      <c r="E85" s="24" t="str">
        <f>VLOOKUP(Ruimtestaat[[#This Row],[Code]],Locaties[#All],6,FALSE)</f>
        <v>Deventer</v>
      </c>
      <c r="F85" s="54"/>
      <c r="G85" s="24" t="s">
        <v>367</v>
      </c>
      <c r="H85" s="28" t="s">
        <v>501</v>
      </c>
      <c r="I85" s="4" t="s">
        <v>487</v>
      </c>
      <c r="J85" s="24">
        <v>6</v>
      </c>
      <c r="K85" s="54" t="str">
        <f>VLOOKUP(J85,Ruimtegroepen[],2,FALSE)</f>
        <v>Gangen/hallen</v>
      </c>
      <c r="L85" s="24" t="s">
        <v>311</v>
      </c>
      <c r="M85" s="24" t="s">
        <v>370</v>
      </c>
      <c r="N85" s="83">
        <v>32.29</v>
      </c>
      <c r="O85" s="83"/>
      <c r="P85" s="93" t="str">
        <f>LEFT(VLOOKUP(Ruimtestaat[[#This Row],[Ruimte code]],Ruimtegroepen[#All],4,1),2)</f>
        <v>Ve</v>
      </c>
      <c r="Q85" s="83"/>
      <c r="R85" s="84">
        <v>40</v>
      </c>
      <c r="S85" s="84" t="s">
        <v>318</v>
      </c>
      <c r="T85" s="85">
        <f>IF(R85&gt;0,IF(RIGHT(Ruimtestaat[[#This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" s="85">
        <f>IF(T85&gt;0,VLOOKUP($J85,Ruimtegroepen[],3,FALSE)*VLOOKUP($L85,Vloersoorten[],3,FALSE)*VLOOKUP($S85,Frequenties[],3,FALSE)*VLOOKUP($A85,Locaties[],3,FALSE),0)</f>
        <v>0</v>
      </c>
      <c r="V85" s="86">
        <f>Ruimtestaat[[#This Row],[Uitvoeringen werkdagen]]*Ruimtestaat[[#This Row],[Oppervlak (netto)]]</f>
        <v>6458</v>
      </c>
      <c r="W85" s="87">
        <f>IF(U85&gt;0,Ruimtestaat[[#This Row],[Prest. (m2 /jaar) werkdagen]]/Ruimtestaat[[#This Row],[Norm (m2/uur) werkdagen]],0)</f>
        <v>0</v>
      </c>
      <c r="X85" s="88">
        <f>Ruimtestaat[[#This Row],[uren / jaar werkdagen]]*Tariefsopbouw!$E$35</f>
        <v>0</v>
      </c>
      <c r="Y85" s="85"/>
      <c r="Z85" s="89">
        <f>IF(Ruimtestaat[[#This Row],[Frequentie weekend]]&gt;0,VALUE(LEFT(Y85,1))*R85,0)</f>
        <v>0</v>
      </c>
      <c r="AA85" s="85">
        <f>IF($Z85&gt;0,VLOOKUP($J85,Ruimtegroepen[],3,FALSE)*VLOOKUP($L85,Vloersoorten[],3,FALSE)*VLOOKUP($Y85,Frequenties[],3,FALSE)*VLOOKUP($A81,Locaties[],3,FALSE),0)</f>
        <v>0</v>
      </c>
      <c r="AB85" s="87">
        <f>Ruimtestaat[[#This Row],[Uitvoeringen weekend]]*Ruimtestaat[[#This Row],[Oppervlak (netto)]]</f>
        <v>0</v>
      </c>
      <c r="AC85" s="90">
        <f>IF(AB85&gt;0,Ruimtestaat[[#This Row],[Prest. (m2 /jaar) weekend]]/Ruimtestaat[[#This Row],[Norm (m2/uur) weekend]],0)</f>
        <v>0</v>
      </c>
      <c r="AD85" s="91">
        <f>Ruimtestaat[[#This Row],[uren / jaar weekend]]*Tariefsopbouw!$D$40</f>
        <v>0</v>
      </c>
      <c r="AE85" s="60">
        <f>Ruimtestaat[[#This Row],[Prest. (m2 /jaar) weekend]]+Ruimtestaat[[#This Row],[Prest. (m2 /jaar) werkdagen]]</f>
        <v>6458</v>
      </c>
      <c r="AF85" s="60">
        <f>Ruimtestaat[[#This Row],[uren / jaar weekend]]+Ruimtestaat[[#This Row],[uren / jaar werkdagen]]</f>
        <v>0</v>
      </c>
      <c r="AG85" s="61">
        <f>Ruimtestaat[[#This Row],[kosten / jaar weekend]]+Ruimtestaat[[#This Row],[kosten / jaar werkdagen]]</f>
        <v>0</v>
      </c>
      <c r="AH85" s="92"/>
      <c r="HL85" s="59"/>
    </row>
    <row r="86" spans="1:220">
      <c r="A86" s="24">
        <v>1</v>
      </c>
      <c r="B86" s="24" t="str">
        <f>VLOOKUP(Ruimtestaat[[#This Row],[Code]],Locaties[#All],2,FALSE)</f>
        <v>Boerhaave + buitenunits</v>
      </c>
      <c r="C86" s="24" t="str">
        <f>VLOOKUP(Ruimtestaat[[#This Row],[Code]],Locaties[#All],4,FALSE)</f>
        <v>Herman Boerhaavelaan 1</v>
      </c>
      <c r="D86" s="24" t="str">
        <f>VLOOKUP(Ruimtestaat[[#This Row],[Code]],Locaties[#All],5,FALSE)</f>
        <v>7415 ES</v>
      </c>
      <c r="E86" s="24" t="str">
        <f>VLOOKUP(Ruimtestaat[[#This Row],[Code]],Locaties[#All],6,FALSE)</f>
        <v>Deventer</v>
      </c>
      <c r="F86" s="54"/>
      <c r="G86" s="24" t="s">
        <v>367</v>
      </c>
      <c r="H86" s="28" t="s">
        <v>502</v>
      </c>
      <c r="I86" s="4" t="s">
        <v>487</v>
      </c>
      <c r="J86" s="24">
        <v>6</v>
      </c>
      <c r="K86" s="54" t="str">
        <f>VLOOKUP(J86,Ruimtegroepen[],2,FALSE)</f>
        <v>Gangen/hallen</v>
      </c>
      <c r="L86" s="24" t="s">
        <v>311</v>
      </c>
      <c r="M86" s="24" t="s">
        <v>370</v>
      </c>
      <c r="N86" s="83">
        <v>23.74</v>
      </c>
      <c r="O86" s="83"/>
      <c r="P86" s="93" t="str">
        <f>LEFT(VLOOKUP(Ruimtestaat[[#This Row],[Ruimte code]],Ruimtegroepen[#All],4,1),2)</f>
        <v>Ve</v>
      </c>
      <c r="Q86" s="83"/>
      <c r="R86" s="84">
        <v>40</v>
      </c>
      <c r="S86" s="84" t="s">
        <v>318</v>
      </c>
      <c r="T86" s="85">
        <f>IF(R86&gt;0,IF(RIGHT(Ruimtestaat[[#This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" s="85">
        <f>IF(T86&gt;0,VLOOKUP($J86,Ruimtegroepen[],3,FALSE)*VLOOKUP($L86,Vloersoorten[],3,FALSE)*VLOOKUP($S86,Frequenties[],3,FALSE)*VLOOKUP($A86,Locaties[],3,FALSE),0)</f>
        <v>0</v>
      </c>
      <c r="V86" s="86">
        <f>Ruimtestaat[[#This Row],[Uitvoeringen werkdagen]]*Ruimtestaat[[#This Row],[Oppervlak (netto)]]</f>
        <v>4748</v>
      </c>
      <c r="W86" s="87">
        <f>IF(U86&gt;0,Ruimtestaat[[#This Row],[Prest. (m2 /jaar) werkdagen]]/Ruimtestaat[[#This Row],[Norm (m2/uur) werkdagen]],0)</f>
        <v>0</v>
      </c>
      <c r="X86" s="88">
        <f>Ruimtestaat[[#This Row],[uren / jaar werkdagen]]*Tariefsopbouw!$E$35</f>
        <v>0</v>
      </c>
      <c r="Y86" s="85"/>
      <c r="Z86" s="89">
        <f>IF(Ruimtestaat[[#This Row],[Frequentie weekend]]&gt;0,VALUE(LEFT(Y86,1))*R86,0)</f>
        <v>0</v>
      </c>
      <c r="AA86" s="85">
        <f>IF($Z86&gt;0,VLOOKUP($J86,Ruimtegroepen[],3,FALSE)*VLOOKUP($L86,Vloersoorten[],3,FALSE)*VLOOKUP($Y86,Frequenties[],3,FALSE)*VLOOKUP($A82,Locaties[],3,FALSE),0)</f>
        <v>0</v>
      </c>
      <c r="AB86" s="87">
        <f>Ruimtestaat[[#This Row],[Uitvoeringen weekend]]*Ruimtestaat[[#This Row],[Oppervlak (netto)]]</f>
        <v>0</v>
      </c>
      <c r="AC86" s="90">
        <f>IF(AB86&gt;0,Ruimtestaat[[#This Row],[Prest. (m2 /jaar) weekend]]/Ruimtestaat[[#This Row],[Norm (m2/uur) weekend]],0)</f>
        <v>0</v>
      </c>
      <c r="AD86" s="91">
        <f>Ruimtestaat[[#This Row],[uren / jaar weekend]]*Tariefsopbouw!$D$40</f>
        <v>0</v>
      </c>
      <c r="AE86" s="60">
        <f>Ruimtestaat[[#This Row],[Prest. (m2 /jaar) weekend]]+Ruimtestaat[[#This Row],[Prest. (m2 /jaar) werkdagen]]</f>
        <v>4748</v>
      </c>
      <c r="AF86" s="60">
        <f>Ruimtestaat[[#This Row],[uren / jaar weekend]]+Ruimtestaat[[#This Row],[uren / jaar werkdagen]]</f>
        <v>0</v>
      </c>
      <c r="AG86" s="61">
        <f>Ruimtestaat[[#This Row],[kosten / jaar weekend]]+Ruimtestaat[[#This Row],[kosten / jaar werkdagen]]</f>
        <v>0</v>
      </c>
      <c r="AH86" s="92"/>
      <c r="HL86" s="59"/>
    </row>
    <row r="87" spans="1:220">
      <c r="A87" s="24">
        <v>1</v>
      </c>
      <c r="B87" s="24" t="str">
        <f>VLOOKUP(Ruimtestaat[[#This Row],[Code]],Locaties[#All],2,FALSE)</f>
        <v>Boerhaave + buitenunits</v>
      </c>
      <c r="C87" s="24" t="str">
        <f>VLOOKUP(Ruimtestaat[[#This Row],[Code]],Locaties[#All],4,FALSE)</f>
        <v>Herman Boerhaavelaan 1</v>
      </c>
      <c r="D87" s="24" t="str">
        <f>VLOOKUP(Ruimtestaat[[#This Row],[Code]],Locaties[#All],5,FALSE)</f>
        <v>7415 ES</v>
      </c>
      <c r="E87" s="24" t="str">
        <f>VLOOKUP(Ruimtestaat[[#This Row],[Code]],Locaties[#All],6,FALSE)</f>
        <v>Deventer</v>
      </c>
      <c r="F87" s="54"/>
      <c r="G87" s="24" t="s">
        <v>367</v>
      </c>
      <c r="H87" s="28" t="s">
        <v>503</v>
      </c>
      <c r="I87" s="4" t="s">
        <v>293</v>
      </c>
      <c r="J87" s="24">
        <v>21</v>
      </c>
      <c r="K87" s="54" t="str">
        <f>VLOOKUP(J87,Ruimtegroepen[],2,FALSE)</f>
        <v>Personeelskamer</v>
      </c>
      <c r="L87" s="24" t="s">
        <v>311</v>
      </c>
      <c r="M87" s="24" t="s">
        <v>370</v>
      </c>
      <c r="N87" s="83">
        <v>106</v>
      </c>
      <c r="O87" s="83"/>
      <c r="P87" s="93" t="str">
        <f>LEFT(VLOOKUP(Ruimtestaat[[#This Row],[Ruimte code]],Ruimtegroepen[#All],4,1),2)</f>
        <v>Ve</v>
      </c>
      <c r="Q87" s="93"/>
      <c r="R87" s="84">
        <v>40</v>
      </c>
      <c r="S87" s="84" t="s">
        <v>318</v>
      </c>
      <c r="T87" s="85">
        <f>IF(R87&gt;0,IF(RIGHT(Ruimtestaat[[#This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" s="85">
        <f>IF(T87&gt;0,VLOOKUP($J87,Ruimtegroepen[],3,FALSE)*VLOOKUP($L87,Vloersoorten[],3,FALSE)*VLOOKUP($S87,Frequenties[],3,FALSE)*VLOOKUP($A87,Locaties[],3,FALSE),0)</f>
        <v>0</v>
      </c>
      <c r="V87" s="86">
        <f>Ruimtestaat[[#This Row],[Uitvoeringen werkdagen]]*Ruimtestaat[[#This Row],[Oppervlak (netto)]]</f>
        <v>21200</v>
      </c>
      <c r="W87" s="87">
        <f>IF(U87&gt;0,Ruimtestaat[[#This Row],[Prest. (m2 /jaar) werkdagen]]/Ruimtestaat[[#This Row],[Norm (m2/uur) werkdagen]],0)</f>
        <v>0</v>
      </c>
      <c r="X87" s="88">
        <f>Ruimtestaat[[#This Row],[uren / jaar werkdagen]]*Tariefsopbouw!$E$35</f>
        <v>0</v>
      </c>
      <c r="Y87" s="85"/>
      <c r="Z87" s="89">
        <f>IF(Ruimtestaat[[#This Row],[Frequentie weekend]]&gt;0,VALUE(LEFT(Y87,1))*R87,0)</f>
        <v>0</v>
      </c>
      <c r="AA87" s="85">
        <f>IF($Z87&gt;0,VLOOKUP($J87,Ruimtegroepen[],3,FALSE)*VLOOKUP($L87,Vloersoorten[],3,FALSE)*VLOOKUP($Y87,Frequenties[],3,FALSE)*VLOOKUP($A83,Locaties[],3,FALSE),0)</f>
        <v>0</v>
      </c>
      <c r="AB87" s="87">
        <f>Ruimtestaat[[#This Row],[Uitvoeringen weekend]]*Ruimtestaat[[#This Row],[Oppervlak (netto)]]</f>
        <v>0</v>
      </c>
      <c r="AC87" s="90">
        <f>IF(AB87&gt;0,Ruimtestaat[[#This Row],[Prest. (m2 /jaar) weekend]]/Ruimtestaat[[#This Row],[Norm (m2/uur) weekend]],0)</f>
        <v>0</v>
      </c>
      <c r="AD87" s="91">
        <f>Ruimtestaat[[#This Row],[uren / jaar weekend]]*Tariefsopbouw!$D$40</f>
        <v>0</v>
      </c>
      <c r="AE87" s="60">
        <f>Ruimtestaat[[#This Row],[Prest. (m2 /jaar) weekend]]+Ruimtestaat[[#This Row],[Prest. (m2 /jaar) werkdagen]]</f>
        <v>21200</v>
      </c>
      <c r="AF87" s="60">
        <f>Ruimtestaat[[#This Row],[uren / jaar weekend]]+Ruimtestaat[[#This Row],[uren / jaar werkdagen]]</f>
        <v>0</v>
      </c>
      <c r="AG87" s="61">
        <f>Ruimtestaat[[#This Row],[kosten / jaar weekend]]+Ruimtestaat[[#This Row],[kosten / jaar werkdagen]]</f>
        <v>0</v>
      </c>
      <c r="AH87" s="92"/>
      <c r="HL87" s="59"/>
    </row>
    <row r="88" spans="1:220">
      <c r="A88" s="24">
        <v>1</v>
      </c>
      <c r="B88" s="24" t="str">
        <f>VLOOKUP(Ruimtestaat[[#This Row],[Code]],Locaties[#All],2,FALSE)</f>
        <v>Boerhaave + buitenunits</v>
      </c>
      <c r="C88" s="24" t="str">
        <f>VLOOKUP(Ruimtestaat[[#This Row],[Code]],Locaties[#All],4,FALSE)</f>
        <v>Herman Boerhaavelaan 1</v>
      </c>
      <c r="D88" s="24" t="str">
        <f>VLOOKUP(Ruimtestaat[[#This Row],[Code]],Locaties[#All],5,FALSE)</f>
        <v>7415 ES</v>
      </c>
      <c r="E88" s="24" t="str">
        <f>VLOOKUP(Ruimtestaat[[#This Row],[Code]],Locaties[#All],6,FALSE)</f>
        <v>Deventer</v>
      </c>
      <c r="F88" s="54"/>
      <c r="G88" s="24" t="s">
        <v>367</v>
      </c>
      <c r="H88" s="28" t="s">
        <v>504</v>
      </c>
      <c r="I88" s="4" t="s">
        <v>372</v>
      </c>
      <c r="J88" s="24">
        <v>10</v>
      </c>
      <c r="K88" s="54" t="str">
        <f>VLOOKUP(J88,Ruimtegroepen[],2,FALSE)</f>
        <v>Trappenhuizen/lift</v>
      </c>
      <c r="L88" s="24" t="s">
        <v>305</v>
      </c>
      <c r="M88" s="24" t="s">
        <v>373</v>
      </c>
      <c r="N88" s="83">
        <v>19.8</v>
      </c>
      <c r="O88" s="83"/>
      <c r="P88" s="93" t="str">
        <f>LEFT(VLOOKUP(Ruimtestaat[[#This Row],[Ruimte code]],Ruimtegroepen[#All],4,1),2)</f>
        <v>Ve</v>
      </c>
      <c r="Q88" s="93"/>
      <c r="R88" s="84">
        <v>40</v>
      </c>
      <c r="S88" s="84" t="s">
        <v>318</v>
      </c>
      <c r="T88" s="85">
        <f>IF(R88&gt;0,IF(RIGHT(Ruimtestaat[[#This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" s="85">
        <f>IF(T88&gt;0,VLOOKUP($J88,Ruimtegroepen[],3,FALSE)*VLOOKUP($L88,Vloersoorten[],3,FALSE)*VLOOKUP($S88,Frequenties[],3,FALSE)*VLOOKUP($A88,Locaties[],3,FALSE),0)</f>
        <v>0</v>
      </c>
      <c r="V88" s="86">
        <f>Ruimtestaat[[#This Row],[Uitvoeringen werkdagen]]*Ruimtestaat[[#This Row],[Oppervlak (netto)]]</f>
        <v>3960</v>
      </c>
      <c r="W88" s="87">
        <f>IF(U88&gt;0,Ruimtestaat[[#This Row],[Prest. (m2 /jaar) werkdagen]]/Ruimtestaat[[#This Row],[Norm (m2/uur) werkdagen]],0)</f>
        <v>0</v>
      </c>
      <c r="X88" s="88">
        <f>Ruimtestaat[[#This Row],[uren / jaar werkdagen]]*Tariefsopbouw!$E$35</f>
        <v>0</v>
      </c>
      <c r="Y88" s="85"/>
      <c r="Z88" s="89">
        <f>IF(Ruimtestaat[[#This Row],[Frequentie weekend]]&gt;0,VALUE(LEFT(Y88,1))*R88,0)</f>
        <v>0</v>
      </c>
      <c r="AA88" s="85">
        <f>IF($Z88&gt;0,VLOOKUP($J88,Ruimtegroepen[],3,FALSE)*VLOOKUP($L88,Vloersoorten[],3,FALSE)*VLOOKUP($Y88,Frequenties[],3,FALSE)*VLOOKUP($A84,Locaties[],3,FALSE),0)</f>
        <v>0</v>
      </c>
      <c r="AB88" s="87">
        <f>Ruimtestaat[[#This Row],[Uitvoeringen weekend]]*Ruimtestaat[[#This Row],[Oppervlak (netto)]]</f>
        <v>0</v>
      </c>
      <c r="AC88" s="90">
        <f>IF(AB88&gt;0,Ruimtestaat[[#This Row],[Prest. (m2 /jaar) weekend]]/Ruimtestaat[[#This Row],[Norm (m2/uur) weekend]],0)</f>
        <v>0</v>
      </c>
      <c r="AD88" s="91">
        <f>Ruimtestaat[[#This Row],[uren / jaar weekend]]*Tariefsopbouw!$D$40</f>
        <v>0</v>
      </c>
      <c r="AE88" s="60">
        <f>Ruimtestaat[[#This Row],[Prest. (m2 /jaar) weekend]]+Ruimtestaat[[#This Row],[Prest. (m2 /jaar) werkdagen]]</f>
        <v>3960</v>
      </c>
      <c r="AF88" s="60">
        <f>Ruimtestaat[[#This Row],[uren / jaar weekend]]+Ruimtestaat[[#This Row],[uren / jaar werkdagen]]</f>
        <v>0</v>
      </c>
      <c r="AG88" s="61">
        <f>Ruimtestaat[[#This Row],[kosten / jaar weekend]]+Ruimtestaat[[#This Row],[kosten / jaar werkdagen]]</f>
        <v>0</v>
      </c>
      <c r="AH88" s="92"/>
      <c r="HL88" s="59"/>
    </row>
    <row r="89" spans="1:220">
      <c r="A89" s="24">
        <v>1</v>
      </c>
      <c r="B89" s="24" t="str">
        <f>VLOOKUP(Ruimtestaat[[#This Row],[Code]],Locaties[#All],2,FALSE)</f>
        <v>Boerhaave + buitenunits</v>
      </c>
      <c r="C89" s="24" t="str">
        <f>VLOOKUP(Ruimtestaat[[#This Row],[Code]],Locaties[#All],4,FALSE)</f>
        <v>Herman Boerhaavelaan 1</v>
      </c>
      <c r="D89" s="24" t="str">
        <f>VLOOKUP(Ruimtestaat[[#This Row],[Code]],Locaties[#All],5,FALSE)</f>
        <v>7415 ES</v>
      </c>
      <c r="E89" s="24" t="str">
        <f>VLOOKUP(Ruimtestaat[[#This Row],[Code]],Locaties[#All],6,FALSE)</f>
        <v>Deventer</v>
      </c>
      <c r="F89" s="54"/>
      <c r="G89" s="24" t="s">
        <v>367</v>
      </c>
      <c r="H89" s="28" t="s">
        <v>505</v>
      </c>
      <c r="I89" s="4" t="s">
        <v>372</v>
      </c>
      <c r="J89" s="24">
        <v>10</v>
      </c>
      <c r="K89" s="54" t="str">
        <f>VLOOKUP(J89,Ruimtegroepen[],2,FALSE)</f>
        <v>Trappenhuizen/lift</v>
      </c>
      <c r="L89" s="24" t="s">
        <v>305</v>
      </c>
      <c r="M89" s="24" t="s">
        <v>373</v>
      </c>
      <c r="N89" s="83">
        <v>55.42</v>
      </c>
      <c r="O89" s="83"/>
      <c r="P89" s="93" t="str">
        <f>LEFT(VLOOKUP(Ruimtestaat[[#This Row],[Ruimte code]],Ruimtegroepen[#All],4,1),2)</f>
        <v>Ve</v>
      </c>
      <c r="Q89" s="93"/>
      <c r="R89" s="84">
        <v>40</v>
      </c>
      <c r="S89" s="84" t="s">
        <v>318</v>
      </c>
      <c r="T89" s="85">
        <f>IF(R89&gt;0,IF(RIGHT(Ruimtestaat[[#This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" s="85">
        <f>IF(T89&gt;0,VLOOKUP($J89,Ruimtegroepen[],3,FALSE)*VLOOKUP($L89,Vloersoorten[],3,FALSE)*VLOOKUP($S89,Frequenties[],3,FALSE)*VLOOKUP($A89,Locaties[],3,FALSE),0)</f>
        <v>0</v>
      </c>
      <c r="V89" s="86">
        <f>Ruimtestaat[[#This Row],[Uitvoeringen werkdagen]]*Ruimtestaat[[#This Row],[Oppervlak (netto)]]</f>
        <v>11084</v>
      </c>
      <c r="W89" s="87">
        <f>IF(U89&gt;0,Ruimtestaat[[#This Row],[Prest. (m2 /jaar) werkdagen]]/Ruimtestaat[[#This Row],[Norm (m2/uur) werkdagen]],0)</f>
        <v>0</v>
      </c>
      <c r="X89" s="88">
        <f>Ruimtestaat[[#This Row],[uren / jaar werkdagen]]*Tariefsopbouw!$E$35</f>
        <v>0</v>
      </c>
      <c r="Y89" s="85"/>
      <c r="Z89" s="89">
        <f>IF(Ruimtestaat[[#This Row],[Frequentie weekend]]&gt;0,VALUE(LEFT(Y89,1))*R89,0)</f>
        <v>0</v>
      </c>
      <c r="AA89" s="85">
        <f>IF($Z89&gt;0,VLOOKUP($J89,Ruimtegroepen[],3,FALSE)*VLOOKUP($L89,Vloersoorten[],3,FALSE)*VLOOKUP($Y89,Frequenties[],3,FALSE)*VLOOKUP($A84,Locaties[],3,FALSE),0)</f>
        <v>0</v>
      </c>
      <c r="AB89" s="87">
        <f>Ruimtestaat[[#This Row],[Uitvoeringen weekend]]*Ruimtestaat[[#This Row],[Oppervlak (netto)]]</f>
        <v>0</v>
      </c>
      <c r="AC89" s="90">
        <f>IF(AB89&gt;0,Ruimtestaat[[#This Row],[Prest. (m2 /jaar) weekend]]/Ruimtestaat[[#This Row],[Norm (m2/uur) weekend]],0)</f>
        <v>0</v>
      </c>
      <c r="AD89" s="91">
        <f>Ruimtestaat[[#This Row],[uren / jaar weekend]]*Tariefsopbouw!$D$40</f>
        <v>0</v>
      </c>
      <c r="AE89" s="60">
        <f>Ruimtestaat[[#This Row],[Prest. (m2 /jaar) weekend]]+Ruimtestaat[[#This Row],[Prest. (m2 /jaar) werkdagen]]</f>
        <v>11084</v>
      </c>
      <c r="AF89" s="60">
        <f>Ruimtestaat[[#This Row],[uren / jaar weekend]]+Ruimtestaat[[#This Row],[uren / jaar werkdagen]]</f>
        <v>0</v>
      </c>
      <c r="AG89" s="61">
        <f>Ruimtestaat[[#This Row],[kosten / jaar weekend]]+Ruimtestaat[[#This Row],[kosten / jaar werkdagen]]</f>
        <v>0</v>
      </c>
      <c r="AH89" s="92"/>
      <c r="HL89" s="59"/>
    </row>
    <row r="90" spans="1:220">
      <c r="A90" s="24">
        <v>1</v>
      </c>
      <c r="B90" s="24" t="str">
        <f>VLOOKUP(Ruimtestaat[[#This Row],[Code]],Locaties[#All],2,FALSE)</f>
        <v>Boerhaave + buitenunits</v>
      </c>
      <c r="C90" s="24" t="str">
        <f>VLOOKUP(Ruimtestaat[[#This Row],[Code]],Locaties[#All],4,FALSE)</f>
        <v>Herman Boerhaavelaan 1</v>
      </c>
      <c r="D90" s="24" t="str">
        <f>VLOOKUP(Ruimtestaat[[#This Row],[Code]],Locaties[#All],5,FALSE)</f>
        <v>7415 ES</v>
      </c>
      <c r="E90" s="24" t="str">
        <f>VLOOKUP(Ruimtestaat[[#This Row],[Code]],Locaties[#All],6,FALSE)</f>
        <v>Deventer</v>
      </c>
      <c r="F90" s="54"/>
      <c r="G90" s="24" t="s">
        <v>367</v>
      </c>
      <c r="H90" s="28" t="s">
        <v>506</v>
      </c>
      <c r="I90" s="4" t="s">
        <v>372</v>
      </c>
      <c r="J90" s="24">
        <v>10</v>
      </c>
      <c r="K90" s="54" t="str">
        <f>VLOOKUP(J90,Ruimtegroepen[],2,FALSE)</f>
        <v>Trappenhuizen/lift</v>
      </c>
      <c r="L90" s="24" t="s">
        <v>305</v>
      </c>
      <c r="M90" s="24" t="s">
        <v>373</v>
      </c>
      <c r="N90" s="83">
        <v>18</v>
      </c>
      <c r="O90" s="83"/>
      <c r="P90" s="93" t="str">
        <f>LEFT(VLOOKUP(Ruimtestaat[[#This Row],[Ruimte code]],Ruimtegroepen[#All],4,1),2)</f>
        <v>Ve</v>
      </c>
      <c r="Q90" s="93"/>
      <c r="R90" s="84">
        <v>40</v>
      </c>
      <c r="S90" s="84" t="s">
        <v>318</v>
      </c>
      <c r="T90" s="85">
        <f>IF(R90&gt;0,IF(RIGHT(Ruimtestaat[[#This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" s="85">
        <f>IF(T90&gt;0,VLOOKUP($J90,Ruimtegroepen[],3,FALSE)*VLOOKUP($L90,Vloersoorten[],3,FALSE)*VLOOKUP($S90,Frequenties[],3,FALSE)*VLOOKUP($A90,Locaties[],3,FALSE),0)</f>
        <v>0</v>
      </c>
      <c r="V90" s="86">
        <f>Ruimtestaat[[#This Row],[Uitvoeringen werkdagen]]*Ruimtestaat[[#This Row],[Oppervlak (netto)]]</f>
        <v>3600</v>
      </c>
      <c r="W90" s="87">
        <f>IF(U90&gt;0,Ruimtestaat[[#This Row],[Prest. (m2 /jaar) werkdagen]]/Ruimtestaat[[#This Row],[Norm (m2/uur) werkdagen]],0)</f>
        <v>0</v>
      </c>
      <c r="X90" s="88">
        <f>Ruimtestaat[[#This Row],[uren / jaar werkdagen]]*Tariefsopbouw!$E$35</f>
        <v>0</v>
      </c>
      <c r="Y90" s="85"/>
      <c r="Z90" s="89">
        <f>IF(Ruimtestaat[[#This Row],[Frequentie weekend]]&gt;0,VALUE(LEFT(Y90,1))*R90,0)</f>
        <v>0</v>
      </c>
      <c r="AA90" s="85">
        <f>IF($Z90&gt;0,VLOOKUP($J90,Ruimtegroepen[],3,FALSE)*VLOOKUP($L90,Vloersoorten[],3,FALSE)*VLOOKUP($Y90,Frequenties[],3,FALSE)*VLOOKUP($A85,Locaties[],3,FALSE),0)</f>
        <v>0</v>
      </c>
      <c r="AB90" s="87">
        <f>Ruimtestaat[[#This Row],[Uitvoeringen weekend]]*Ruimtestaat[[#This Row],[Oppervlak (netto)]]</f>
        <v>0</v>
      </c>
      <c r="AC90" s="90">
        <f>IF(AB90&gt;0,Ruimtestaat[[#This Row],[Prest. (m2 /jaar) weekend]]/Ruimtestaat[[#This Row],[Norm (m2/uur) weekend]],0)</f>
        <v>0</v>
      </c>
      <c r="AD90" s="91">
        <f>Ruimtestaat[[#This Row],[uren / jaar weekend]]*Tariefsopbouw!$D$40</f>
        <v>0</v>
      </c>
      <c r="AE90" s="60">
        <f>Ruimtestaat[[#This Row],[Prest. (m2 /jaar) weekend]]+Ruimtestaat[[#This Row],[Prest. (m2 /jaar) werkdagen]]</f>
        <v>3600</v>
      </c>
      <c r="AF90" s="60">
        <f>Ruimtestaat[[#This Row],[uren / jaar weekend]]+Ruimtestaat[[#This Row],[uren / jaar werkdagen]]</f>
        <v>0</v>
      </c>
      <c r="AG90" s="61">
        <f>Ruimtestaat[[#This Row],[kosten / jaar weekend]]+Ruimtestaat[[#This Row],[kosten / jaar werkdagen]]</f>
        <v>0</v>
      </c>
      <c r="AH90" s="92"/>
      <c r="HL90" s="59"/>
    </row>
    <row r="91" spans="1:220">
      <c r="A91" s="24">
        <v>1</v>
      </c>
      <c r="B91" s="24" t="str">
        <f>VLOOKUP(Ruimtestaat[[#This Row],[Code]],Locaties[#All],2,FALSE)</f>
        <v>Boerhaave + buitenunits</v>
      </c>
      <c r="C91" s="24" t="str">
        <f>VLOOKUP(Ruimtestaat[[#This Row],[Code]],Locaties[#All],4,FALSE)</f>
        <v>Herman Boerhaavelaan 1</v>
      </c>
      <c r="D91" s="24" t="str">
        <f>VLOOKUP(Ruimtestaat[[#This Row],[Code]],Locaties[#All],5,FALSE)</f>
        <v>7415 ES</v>
      </c>
      <c r="E91" s="24" t="str">
        <f>VLOOKUP(Ruimtestaat[[#This Row],[Code]],Locaties[#All],6,FALSE)</f>
        <v>Deventer</v>
      </c>
      <c r="F91" s="54"/>
      <c r="G91" s="24" t="s">
        <v>367</v>
      </c>
      <c r="H91" s="28" t="s">
        <v>507</v>
      </c>
      <c r="I91" s="4" t="s">
        <v>508</v>
      </c>
      <c r="J91" s="24">
        <v>10</v>
      </c>
      <c r="K91" s="54" t="str">
        <f>VLOOKUP(J91,Ruimtegroepen[],2,FALSE)</f>
        <v>Trappenhuizen/lift</v>
      </c>
      <c r="L91" s="24" t="s">
        <v>311</v>
      </c>
      <c r="M91" s="24" t="s">
        <v>370</v>
      </c>
      <c r="N91" s="83">
        <v>10.5</v>
      </c>
      <c r="O91" s="83"/>
      <c r="P91" s="93" t="str">
        <f>LEFT(VLOOKUP(Ruimtestaat[[#This Row],[Ruimte code]],Ruimtegroepen[#All],4,1),2)</f>
        <v>Ve</v>
      </c>
      <c r="Q91" s="93"/>
      <c r="R91" s="84">
        <v>40</v>
      </c>
      <c r="S91" s="84" t="s">
        <v>318</v>
      </c>
      <c r="T91" s="85">
        <f>IF(R91&gt;0,IF(RIGHT(Ruimtestaat[[#This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" s="85">
        <f>IF(T91&gt;0,VLOOKUP($J91,Ruimtegroepen[],3,FALSE)*VLOOKUP($L91,Vloersoorten[],3,FALSE)*VLOOKUP($S91,Frequenties[],3,FALSE)*VLOOKUP($A91,Locaties[],3,FALSE),0)</f>
        <v>0</v>
      </c>
      <c r="V91" s="86">
        <f>Ruimtestaat[[#This Row],[Uitvoeringen werkdagen]]*Ruimtestaat[[#This Row],[Oppervlak (netto)]]</f>
        <v>2100</v>
      </c>
      <c r="W91" s="87">
        <f>IF(U91&gt;0,Ruimtestaat[[#This Row],[Prest. (m2 /jaar) werkdagen]]/Ruimtestaat[[#This Row],[Norm (m2/uur) werkdagen]],0)</f>
        <v>0</v>
      </c>
      <c r="X91" s="88">
        <f>Ruimtestaat[[#This Row],[uren / jaar werkdagen]]*Tariefsopbouw!$E$35</f>
        <v>0</v>
      </c>
      <c r="Y91" s="85"/>
      <c r="Z91" s="89">
        <f>IF(Ruimtestaat[[#This Row],[Frequentie weekend]]&gt;0,VALUE(LEFT(Y91,1))*R91,0)</f>
        <v>0</v>
      </c>
      <c r="AA91" s="85">
        <f>IF($Z91&gt;0,VLOOKUP($J91,Ruimtegroepen[],3,FALSE)*VLOOKUP($L91,Vloersoorten[],3,FALSE)*VLOOKUP($Y91,Frequenties[],3,FALSE)*VLOOKUP($A86,Locaties[],3,FALSE),0)</f>
        <v>0</v>
      </c>
      <c r="AB91" s="87">
        <f>Ruimtestaat[[#This Row],[Uitvoeringen weekend]]*Ruimtestaat[[#This Row],[Oppervlak (netto)]]</f>
        <v>0</v>
      </c>
      <c r="AC91" s="90">
        <f>IF(AB91&gt;0,Ruimtestaat[[#This Row],[Prest. (m2 /jaar) weekend]]/Ruimtestaat[[#This Row],[Norm (m2/uur) weekend]],0)</f>
        <v>0</v>
      </c>
      <c r="AD91" s="91">
        <f>Ruimtestaat[[#This Row],[uren / jaar weekend]]*Tariefsopbouw!$D$40</f>
        <v>0</v>
      </c>
      <c r="AE91" s="60">
        <f>Ruimtestaat[[#This Row],[Prest. (m2 /jaar) weekend]]+Ruimtestaat[[#This Row],[Prest. (m2 /jaar) werkdagen]]</f>
        <v>2100</v>
      </c>
      <c r="AF91" s="60">
        <f>Ruimtestaat[[#This Row],[uren / jaar weekend]]+Ruimtestaat[[#This Row],[uren / jaar werkdagen]]</f>
        <v>0</v>
      </c>
      <c r="AG91" s="61">
        <f>Ruimtestaat[[#This Row],[kosten / jaar weekend]]+Ruimtestaat[[#This Row],[kosten / jaar werkdagen]]</f>
        <v>0</v>
      </c>
      <c r="AH91" s="92"/>
      <c r="HL91" s="59"/>
    </row>
    <row r="92" spans="1:220">
      <c r="A92" s="24">
        <v>1</v>
      </c>
      <c r="B92" s="24" t="str">
        <f>VLOOKUP(Ruimtestaat[[#This Row],[Code]],Locaties[#All],2,FALSE)</f>
        <v>Boerhaave + buitenunits</v>
      </c>
      <c r="C92" s="24" t="str">
        <f>VLOOKUP(Ruimtestaat[[#This Row],[Code]],Locaties[#All],4,FALSE)</f>
        <v>Herman Boerhaavelaan 1</v>
      </c>
      <c r="D92" s="24" t="str">
        <f>VLOOKUP(Ruimtestaat[[#This Row],[Code]],Locaties[#All],5,FALSE)</f>
        <v>7415 ES</v>
      </c>
      <c r="E92" s="24" t="str">
        <f>VLOOKUP(Ruimtestaat[[#This Row],[Code]],Locaties[#All],6,FALSE)</f>
        <v>Deventer</v>
      </c>
      <c r="F92" s="54"/>
      <c r="G92" s="24" t="s">
        <v>367</v>
      </c>
      <c r="H92" s="28" t="s">
        <v>509</v>
      </c>
      <c r="I92" s="4" t="s">
        <v>372</v>
      </c>
      <c r="J92" s="24">
        <v>10</v>
      </c>
      <c r="K92" s="54" t="str">
        <f>VLOOKUP(J92,Ruimtegroepen[],2,FALSE)</f>
        <v>Trappenhuizen/lift</v>
      </c>
      <c r="L92" s="24" t="s">
        <v>305</v>
      </c>
      <c r="M92" s="24" t="s">
        <v>373</v>
      </c>
      <c r="N92" s="83">
        <v>14.25</v>
      </c>
      <c r="O92" s="83"/>
      <c r="P92" s="93" t="str">
        <f>LEFT(VLOOKUP(Ruimtestaat[[#This Row],[Ruimte code]],Ruimtegroepen[#All],4,1),2)</f>
        <v>Ve</v>
      </c>
      <c r="Q92" s="93"/>
      <c r="R92" s="84">
        <v>40</v>
      </c>
      <c r="S92" s="84" t="s">
        <v>318</v>
      </c>
      <c r="T92" s="85">
        <f>IF(R92&gt;0,IF(RIGHT(Ruimtestaat[[#This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" s="85">
        <f>IF(T92&gt;0,VLOOKUP($J92,Ruimtegroepen[],3,FALSE)*VLOOKUP($L92,Vloersoorten[],3,FALSE)*VLOOKUP($S92,Frequenties[],3,FALSE)*VLOOKUP($A92,Locaties[],3,FALSE),0)</f>
        <v>0</v>
      </c>
      <c r="V92" s="86">
        <f>Ruimtestaat[[#This Row],[Uitvoeringen werkdagen]]*Ruimtestaat[[#This Row],[Oppervlak (netto)]]</f>
        <v>2850</v>
      </c>
      <c r="W92" s="87">
        <f>IF(U92&gt;0,Ruimtestaat[[#This Row],[Prest. (m2 /jaar) werkdagen]]/Ruimtestaat[[#This Row],[Norm (m2/uur) werkdagen]],0)</f>
        <v>0</v>
      </c>
      <c r="X92" s="88">
        <f>Ruimtestaat[[#This Row],[uren / jaar werkdagen]]*Tariefsopbouw!$E$35</f>
        <v>0</v>
      </c>
      <c r="Y92" s="85"/>
      <c r="Z92" s="89">
        <f>IF(Ruimtestaat[[#This Row],[Frequentie weekend]]&gt;0,VALUE(LEFT(Y92,1))*R92,0)</f>
        <v>0</v>
      </c>
      <c r="AA92" s="85">
        <f>IF($Z92&gt;0,VLOOKUP($J92,Ruimtegroepen[],3,FALSE)*VLOOKUP($L92,Vloersoorten[],3,FALSE)*VLOOKUP($Y92,Frequenties[],3,FALSE)*VLOOKUP($A87,Locaties[],3,FALSE),0)</f>
        <v>0</v>
      </c>
      <c r="AB92" s="87">
        <f>Ruimtestaat[[#This Row],[Uitvoeringen weekend]]*Ruimtestaat[[#This Row],[Oppervlak (netto)]]</f>
        <v>0</v>
      </c>
      <c r="AC92" s="90">
        <f>IF(AB92&gt;0,Ruimtestaat[[#This Row],[Prest. (m2 /jaar) weekend]]/Ruimtestaat[[#This Row],[Norm (m2/uur) weekend]],0)</f>
        <v>0</v>
      </c>
      <c r="AD92" s="91">
        <f>Ruimtestaat[[#This Row],[uren / jaar weekend]]*Tariefsopbouw!$D$40</f>
        <v>0</v>
      </c>
      <c r="AE92" s="60">
        <f>Ruimtestaat[[#This Row],[Prest. (m2 /jaar) weekend]]+Ruimtestaat[[#This Row],[Prest. (m2 /jaar) werkdagen]]</f>
        <v>2850</v>
      </c>
      <c r="AF92" s="60">
        <f>Ruimtestaat[[#This Row],[uren / jaar weekend]]+Ruimtestaat[[#This Row],[uren / jaar werkdagen]]</f>
        <v>0</v>
      </c>
      <c r="AG92" s="61">
        <f>Ruimtestaat[[#This Row],[kosten / jaar weekend]]+Ruimtestaat[[#This Row],[kosten / jaar werkdagen]]</f>
        <v>0</v>
      </c>
      <c r="AH92" s="92"/>
      <c r="HL92" s="59"/>
    </row>
    <row r="93" spans="1:220">
      <c r="A93" s="24">
        <v>1</v>
      </c>
      <c r="B93" s="24" t="str">
        <f>VLOOKUP(Ruimtestaat[[#This Row],[Code]],Locaties[#All],2,FALSE)</f>
        <v>Boerhaave + buitenunits</v>
      </c>
      <c r="C93" s="24" t="str">
        <f>VLOOKUP(Ruimtestaat[[#This Row],[Code]],Locaties[#All],4,FALSE)</f>
        <v>Herman Boerhaavelaan 1</v>
      </c>
      <c r="D93" s="24" t="str">
        <f>VLOOKUP(Ruimtestaat[[#This Row],[Code]],Locaties[#All],5,FALSE)</f>
        <v>7415 ES</v>
      </c>
      <c r="E93" s="24" t="str">
        <f>VLOOKUP(Ruimtestaat[[#This Row],[Code]],Locaties[#All],6,FALSE)</f>
        <v>Deventer</v>
      </c>
      <c r="F93" s="54"/>
      <c r="G93" s="24" t="s">
        <v>367</v>
      </c>
      <c r="H93" s="28" t="s">
        <v>510</v>
      </c>
      <c r="I93" s="4" t="s">
        <v>372</v>
      </c>
      <c r="J93" s="24">
        <v>10</v>
      </c>
      <c r="K93" s="54" t="str">
        <f>VLOOKUP(J93,Ruimtegroepen[],2,FALSE)</f>
        <v>Trappenhuizen/lift</v>
      </c>
      <c r="L93" s="24" t="s">
        <v>305</v>
      </c>
      <c r="M93" s="24" t="s">
        <v>373</v>
      </c>
      <c r="N93" s="83">
        <v>11.12</v>
      </c>
      <c r="O93" s="83"/>
      <c r="P93" s="93" t="str">
        <f>LEFT(VLOOKUP(Ruimtestaat[[#This Row],[Ruimte code]],Ruimtegroepen[#All],4,1),2)</f>
        <v>Ve</v>
      </c>
      <c r="Q93" s="93"/>
      <c r="R93" s="84">
        <v>40</v>
      </c>
      <c r="S93" s="84" t="s">
        <v>318</v>
      </c>
      <c r="T93" s="85">
        <f>IF(R93&gt;0,IF(RIGHT(Ruimtestaat[[#This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" s="85">
        <f>IF(T93&gt;0,VLOOKUP($J93,Ruimtegroepen[],3,FALSE)*VLOOKUP($L93,Vloersoorten[],3,FALSE)*VLOOKUP($S93,Frequenties[],3,FALSE)*VLOOKUP($A93,Locaties[],3,FALSE),0)</f>
        <v>0</v>
      </c>
      <c r="V93" s="86">
        <f>Ruimtestaat[[#This Row],[Uitvoeringen werkdagen]]*Ruimtestaat[[#This Row],[Oppervlak (netto)]]</f>
        <v>2224</v>
      </c>
      <c r="W93" s="87">
        <f>IF(U93&gt;0,Ruimtestaat[[#This Row],[Prest. (m2 /jaar) werkdagen]]/Ruimtestaat[[#This Row],[Norm (m2/uur) werkdagen]],0)</f>
        <v>0</v>
      </c>
      <c r="X93" s="88">
        <f>Ruimtestaat[[#This Row],[uren / jaar werkdagen]]*Tariefsopbouw!$E$35</f>
        <v>0</v>
      </c>
      <c r="Y93" s="85"/>
      <c r="Z93" s="89">
        <f>IF(Ruimtestaat[[#This Row],[Frequentie weekend]]&gt;0,VALUE(LEFT(Y93,1))*R93,0)</f>
        <v>0</v>
      </c>
      <c r="AA93" s="85">
        <f>IF($Z93&gt;0,VLOOKUP($J93,Ruimtegroepen[],3,FALSE)*VLOOKUP($L93,Vloersoorten[],3,FALSE)*VLOOKUP($Y93,Frequenties[],3,FALSE)*VLOOKUP($A88,Locaties[],3,FALSE),0)</f>
        <v>0</v>
      </c>
      <c r="AB93" s="87">
        <f>Ruimtestaat[[#This Row],[Uitvoeringen weekend]]*Ruimtestaat[[#This Row],[Oppervlak (netto)]]</f>
        <v>0</v>
      </c>
      <c r="AC93" s="90">
        <f>IF(AB93&gt;0,Ruimtestaat[[#This Row],[Prest. (m2 /jaar) weekend]]/Ruimtestaat[[#This Row],[Norm (m2/uur) weekend]],0)</f>
        <v>0</v>
      </c>
      <c r="AD93" s="91">
        <f>Ruimtestaat[[#This Row],[uren / jaar weekend]]*Tariefsopbouw!$D$40</f>
        <v>0</v>
      </c>
      <c r="AE93" s="60">
        <f>Ruimtestaat[[#This Row],[Prest. (m2 /jaar) weekend]]+Ruimtestaat[[#This Row],[Prest. (m2 /jaar) werkdagen]]</f>
        <v>2224</v>
      </c>
      <c r="AF93" s="60">
        <f>Ruimtestaat[[#This Row],[uren / jaar weekend]]+Ruimtestaat[[#This Row],[uren / jaar werkdagen]]</f>
        <v>0</v>
      </c>
      <c r="AG93" s="61">
        <f>Ruimtestaat[[#This Row],[kosten / jaar weekend]]+Ruimtestaat[[#This Row],[kosten / jaar werkdagen]]</f>
        <v>0</v>
      </c>
      <c r="AH93" s="92"/>
      <c r="HL93" s="59"/>
    </row>
    <row r="94" spans="1:220">
      <c r="A94" s="24">
        <v>1</v>
      </c>
      <c r="B94" s="24" t="str">
        <f>VLOOKUP(Ruimtestaat[[#This Row],[Code]],Locaties[#All],2,FALSE)</f>
        <v>Boerhaave + buitenunits</v>
      </c>
      <c r="C94" s="24" t="str">
        <f>VLOOKUP(Ruimtestaat[[#This Row],[Code]],Locaties[#All],4,FALSE)</f>
        <v>Herman Boerhaavelaan 1</v>
      </c>
      <c r="D94" s="24" t="str">
        <f>VLOOKUP(Ruimtestaat[[#This Row],[Code]],Locaties[#All],5,FALSE)</f>
        <v>7415 ES</v>
      </c>
      <c r="E94" s="24" t="str">
        <f>VLOOKUP(Ruimtestaat[[#This Row],[Code]],Locaties[#All],6,FALSE)</f>
        <v>Deventer</v>
      </c>
      <c r="F94" s="54"/>
      <c r="G94" s="24" t="s">
        <v>367</v>
      </c>
      <c r="H94" s="28" t="s">
        <v>511</v>
      </c>
      <c r="I94" s="54" t="s">
        <v>372</v>
      </c>
      <c r="J94" s="24">
        <v>10</v>
      </c>
      <c r="K94" s="54" t="str">
        <f>VLOOKUP(J94,Ruimtegroepen[],2,FALSE)</f>
        <v>Trappenhuizen/lift</v>
      </c>
      <c r="L94" s="24" t="s">
        <v>305</v>
      </c>
      <c r="M94" s="24" t="s">
        <v>373</v>
      </c>
      <c r="N94" s="83">
        <v>25.76</v>
      </c>
      <c r="O94" s="94"/>
      <c r="P94" s="93" t="str">
        <f>LEFT(VLOOKUP(Ruimtestaat[[#This Row],[Ruimte code]],Ruimtegroepen[#All],4,1),2)</f>
        <v>Ve</v>
      </c>
      <c r="Q94" s="95"/>
      <c r="R94" s="84">
        <v>40</v>
      </c>
      <c r="S94" s="84" t="s">
        <v>318</v>
      </c>
      <c r="T94" s="85">
        <f>IF(R94&gt;0,IF(RIGHT(Ruimtestaat[[#This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" s="85">
        <f>IF(T94&gt;0,VLOOKUP($J94,Ruimtegroepen[],3,FALSE)*VLOOKUP($L94,Vloersoorten[],3,FALSE)*VLOOKUP($S94,Frequenties[],3,FALSE)*VLOOKUP($A94,Locaties[],3,FALSE),0)</f>
        <v>0</v>
      </c>
      <c r="V94" s="86">
        <f>Ruimtestaat[[#This Row],[Uitvoeringen werkdagen]]*Ruimtestaat[[#This Row],[Oppervlak (netto)]]</f>
        <v>5152</v>
      </c>
      <c r="W94" s="87">
        <f>IF(U94&gt;0,Ruimtestaat[[#This Row],[Prest. (m2 /jaar) werkdagen]]/Ruimtestaat[[#This Row],[Norm (m2/uur) werkdagen]],0)</f>
        <v>0</v>
      </c>
      <c r="X94" s="88">
        <f>Ruimtestaat[[#This Row],[uren / jaar werkdagen]]*Tariefsopbouw!$E$35</f>
        <v>0</v>
      </c>
      <c r="Y94" s="85"/>
      <c r="Z94" s="89">
        <f>IF(Ruimtestaat[[#This Row],[Frequentie weekend]]&gt;0,VALUE(LEFT(Y94,1))*R94,0)</f>
        <v>0</v>
      </c>
      <c r="AA94" s="85">
        <f>IF($Z94&gt;0,VLOOKUP($J94,Ruimtegroepen[],3,FALSE)*VLOOKUP($L94,Vloersoorten[],3,FALSE)*VLOOKUP($Y94,Frequenties[],3,FALSE)*VLOOKUP($A90,Locaties[],3,FALSE),0)</f>
        <v>0</v>
      </c>
      <c r="AB94" s="87">
        <f>Ruimtestaat[[#This Row],[Uitvoeringen weekend]]*Ruimtestaat[[#This Row],[Oppervlak (netto)]]</f>
        <v>0</v>
      </c>
      <c r="AC94" s="90">
        <f>IF(AB94&gt;0,Ruimtestaat[[#This Row],[Prest. (m2 /jaar) weekend]]/Ruimtestaat[[#This Row],[Norm (m2/uur) weekend]],0)</f>
        <v>0</v>
      </c>
      <c r="AD94" s="91">
        <f>Ruimtestaat[[#This Row],[uren / jaar weekend]]*Tariefsopbouw!$D$40</f>
        <v>0</v>
      </c>
      <c r="AE94" s="60">
        <f>Ruimtestaat[[#This Row],[Prest. (m2 /jaar) weekend]]+Ruimtestaat[[#This Row],[Prest. (m2 /jaar) werkdagen]]</f>
        <v>5152</v>
      </c>
      <c r="AF94" s="60">
        <f>Ruimtestaat[[#This Row],[uren / jaar weekend]]+Ruimtestaat[[#This Row],[uren / jaar werkdagen]]</f>
        <v>0</v>
      </c>
      <c r="AG94" s="61">
        <f>Ruimtestaat[[#This Row],[kosten / jaar weekend]]+Ruimtestaat[[#This Row],[kosten / jaar werkdagen]]</f>
        <v>0</v>
      </c>
      <c r="AH94" s="92"/>
      <c r="HL94" s="59"/>
    </row>
    <row r="95" spans="1:220">
      <c r="A95" s="24">
        <v>1</v>
      </c>
      <c r="B95" s="24" t="str">
        <f>VLOOKUP(Ruimtestaat[[#This Row],[Code]],Locaties[#All],2,FALSE)</f>
        <v>Boerhaave + buitenunits</v>
      </c>
      <c r="C95" s="24" t="str">
        <f>VLOOKUP(Ruimtestaat[[#This Row],[Code]],Locaties[#All],4,FALSE)</f>
        <v>Herman Boerhaavelaan 1</v>
      </c>
      <c r="D95" s="24" t="str">
        <f>VLOOKUP(Ruimtestaat[[#This Row],[Code]],Locaties[#All],5,FALSE)</f>
        <v>7415 ES</v>
      </c>
      <c r="E95" s="24" t="str">
        <f>VLOOKUP(Ruimtestaat[[#This Row],[Code]],Locaties[#All],6,FALSE)</f>
        <v>Deventer</v>
      </c>
      <c r="F95" s="54"/>
      <c r="G95" s="24" t="s">
        <v>512</v>
      </c>
      <c r="H95" s="28" t="s">
        <v>513</v>
      </c>
      <c r="I95" s="4" t="s">
        <v>103</v>
      </c>
      <c r="J95" s="24">
        <v>10</v>
      </c>
      <c r="K95" s="54" t="str">
        <f>VLOOKUP(J95,Ruimtegroepen[],2,FALSE)</f>
        <v>Trappenhuizen/lift</v>
      </c>
      <c r="L95" s="24" t="s">
        <v>311</v>
      </c>
      <c r="M95" s="24" t="s">
        <v>370</v>
      </c>
      <c r="N95" s="83">
        <v>3.78</v>
      </c>
      <c r="O95" s="83"/>
      <c r="P95" s="93" t="str">
        <f>LEFT(VLOOKUP(Ruimtestaat[[#This Row],[Ruimte code]],Ruimtegroepen[#All],4,1),2)</f>
        <v>Ve</v>
      </c>
      <c r="Q95" s="93"/>
      <c r="R95" s="84">
        <v>40</v>
      </c>
      <c r="S95" s="84" t="s">
        <v>318</v>
      </c>
      <c r="T95" s="85">
        <f>IF(R95&gt;0,IF(RIGHT(Ruimtestaat[[#This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" s="85">
        <f>IF(T95&gt;0,VLOOKUP($J95,Ruimtegroepen[],3,FALSE)*VLOOKUP($L95,Vloersoorten[],3,FALSE)*VLOOKUP($S95,Frequenties[],3,FALSE)*VLOOKUP($A95,Locaties[],3,FALSE),0)</f>
        <v>0</v>
      </c>
      <c r="V95" s="86">
        <f>Ruimtestaat[[#This Row],[Uitvoeringen werkdagen]]*Ruimtestaat[[#This Row],[Oppervlak (netto)]]</f>
        <v>756</v>
      </c>
      <c r="W95" s="87">
        <f>IF(U95&gt;0,Ruimtestaat[[#This Row],[Prest. (m2 /jaar) werkdagen]]/Ruimtestaat[[#This Row],[Norm (m2/uur) werkdagen]],0)</f>
        <v>0</v>
      </c>
      <c r="X95" s="88">
        <f>Ruimtestaat[[#This Row],[uren / jaar werkdagen]]*Tariefsopbouw!$E$35</f>
        <v>0</v>
      </c>
      <c r="Y95" s="85"/>
      <c r="Z95" s="89">
        <f>IF(Ruimtestaat[[#This Row],[Frequentie weekend]]&gt;0,VALUE(LEFT(Y95,1))*R95,0)</f>
        <v>0</v>
      </c>
      <c r="AA95" s="85">
        <f>IF($Z95&gt;0,VLOOKUP($J95,Ruimtegroepen[],3,FALSE)*VLOOKUP($L95,Vloersoorten[],3,FALSE)*VLOOKUP($Y95,Frequenties[],3,FALSE)*VLOOKUP($A91,Locaties[],3,FALSE),0)</f>
        <v>0</v>
      </c>
      <c r="AB95" s="87">
        <f>Ruimtestaat[[#This Row],[Uitvoeringen weekend]]*Ruimtestaat[[#This Row],[Oppervlak (netto)]]</f>
        <v>0</v>
      </c>
      <c r="AC95" s="90">
        <f>IF(AB95&gt;0,Ruimtestaat[[#This Row],[Prest. (m2 /jaar) weekend]]/Ruimtestaat[[#This Row],[Norm (m2/uur) weekend]],0)</f>
        <v>0</v>
      </c>
      <c r="AD95" s="91">
        <f>Ruimtestaat[[#This Row],[uren / jaar weekend]]*Tariefsopbouw!$D$40</f>
        <v>0</v>
      </c>
      <c r="AE95" s="60">
        <f>Ruimtestaat[[#This Row],[Prest. (m2 /jaar) weekend]]+Ruimtestaat[[#This Row],[Prest. (m2 /jaar) werkdagen]]</f>
        <v>756</v>
      </c>
      <c r="AF95" s="60">
        <f>Ruimtestaat[[#This Row],[uren / jaar weekend]]+Ruimtestaat[[#This Row],[uren / jaar werkdagen]]</f>
        <v>0</v>
      </c>
      <c r="AG95" s="61">
        <f>Ruimtestaat[[#This Row],[kosten / jaar weekend]]+Ruimtestaat[[#This Row],[kosten / jaar werkdagen]]</f>
        <v>0</v>
      </c>
      <c r="AH95" s="92"/>
      <c r="HL95" s="59"/>
    </row>
    <row r="96" spans="1:220">
      <c r="A96" s="24">
        <v>1</v>
      </c>
      <c r="B96" s="24" t="str">
        <f>VLOOKUP(Ruimtestaat[[#This Row],[Code]],Locaties[#All],2,FALSE)</f>
        <v>Boerhaave + buitenunits</v>
      </c>
      <c r="C96" s="24" t="str">
        <f>VLOOKUP(Ruimtestaat[[#This Row],[Code]],Locaties[#All],4,FALSE)</f>
        <v>Herman Boerhaavelaan 1</v>
      </c>
      <c r="D96" s="24" t="str">
        <f>VLOOKUP(Ruimtestaat[[#This Row],[Code]],Locaties[#All],5,FALSE)</f>
        <v>7415 ES</v>
      </c>
      <c r="E96" s="24" t="str">
        <f>VLOOKUP(Ruimtestaat[[#This Row],[Code]],Locaties[#All],6,FALSE)</f>
        <v>Deventer</v>
      </c>
      <c r="F96" s="54"/>
      <c r="G96" s="24" t="s">
        <v>512</v>
      </c>
      <c r="H96" s="28" t="s">
        <v>514</v>
      </c>
      <c r="I96" s="4" t="s">
        <v>515</v>
      </c>
      <c r="J96" s="24">
        <v>2</v>
      </c>
      <c r="K96" s="54" t="str">
        <f>VLOOKUP(J96,Ruimtegroepen[],2,FALSE)</f>
        <v>Kantoren</v>
      </c>
      <c r="L96" s="24" t="s">
        <v>311</v>
      </c>
      <c r="M96" s="24" t="s">
        <v>370</v>
      </c>
      <c r="N96" s="83">
        <v>25.5</v>
      </c>
      <c r="O96" s="83"/>
      <c r="P96" s="93" t="str">
        <f>LEFT(VLOOKUP(Ruimtestaat[[#This Row],[Ruimte code]],Ruimtegroepen[#All],4,1),2)</f>
        <v>Bu</v>
      </c>
      <c r="Q96" s="93"/>
      <c r="R96" s="84">
        <v>42</v>
      </c>
      <c r="S96" s="84" t="s">
        <v>322</v>
      </c>
      <c r="T96" s="85">
        <f>IF(R96&gt;0,IF(RIGHT(Ruimtestaat[[#This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6" s="85">
        <f>IF(T96&gt;0,VLOOKUP($J96,Ruimtegroepen[],3,FALSE)*VLOOKUP($L96,Vloersoorten[],3,FALSE)*VLOOKUP($S96,Frequenties[],3,FALSE)*VLOOKUP($A96,Locaties[],3,FALSE),0)</f>
        <v>0</v>
      </c>
      <c r="V96" s="86">
        <f>Ruimtestaat[[#This Row],[Uitvoeringen werkdagen]]*Ruimtestaat[[#This Row],[Oppervlak (netto)]]</f>
        <v>3213</v>
      </c>
      <c r="W96" s="87">
        <f>IF(U96&gt;0,Ruimtestaat[[#This Row],[Prest. (m2 /jaar) werkdagen]]/Ruimtestaat[[#This Row],[Norm (m2/uur) werkdagen]],0)</f>
        <v>0</v>
      </c>
      <c r="X96" s="88">
        <f>Ruimtestaat[[#This Row],[uren / jaar werkdagen]]*Tariefsopbouw!$E$35</f>
        <v>0</v>
      </c>
      <c r="Y96" s="85"/>
      <c r="Z96" s="89">
        <f>IF(Ruimtestaat[[#This Row],[Frequentie weekend]]&gt;0,VALUE(LEFT(Y96,1))*R96,0)</f>
        <v>0</v>
      </c>
      <c r="AA96" s="85">
        <f>IF($Z96&gt;0,VLOOKUP($J96,Ruimtegroepen[],3,FALSE)*VLOOKUP($L96,Vloersoorten[],3,FALSE)*VLOOKUP($Y96,Frequenties[],3,FALSE)*VLOOKUP($A92,Locaties[],3,FALSE),0)</f>
        <v>0</v>
      </c>
      <c r="AB96" s="87">
        <f>Ruimtestaat[[#This Row],[Uitvoeringen weekend]]*Ruimtestaat[[#This Row],[Oppervlak (netto)]]</f>
        <v>0</v>
      </c>
      <c r="AC96" s="90">
        <f>IF(AB96&gt;0,Ruimtestaat[[#This Row],[Prest. (m2 /jaar) weekend]]/Ruimtestaat[[#This Row],[Norm (m2/uur) weekend]],0)</f>
        <v>0</v>
      </c>
      <c r="AD96" s="91">
        <f>Ruimtestaat[[#This Row],[uren / jaar weekend]]*Tariefsopbouw!$D$40</f>
        <v>0</v>
      </c>
      <c r="AE96" s="60">
        <f>Ruimtestaat[[#This Row],[Prest. (m2 /jaar) weekend]]+Ruimtestaat[[#This Row],[Prest. (m2 /jaar) werkdagen]]</f>
        <v>3213</v>
      </c>
      <c r="AF96" s="60">
        <f>Ruimtestaat[[#This Row],[uren / jaar weekend]]+Ruimtestaat[[#This Row],[uren / jaar werkdagen]]</f>
        <v>0</v>
      </c>
      <c r="AG96" s="61">
        <f>Ruimtestaat[[#This Row],[kosten / jaar weekend]]+Ruimtestaat[[#This Row],[kosten / jaar werkdagen]]</f>
        <v>0</v>
      </c>
      <c r="AH96" s="92"/>
      <c r="HL96" s="59"/>
    </row>
    <row r="97" spans="1:220">
      <c r="A97" s="24">
        <v>1</v>
      </c>
      <c r="B97" s="24" t="str">
        <f>VLOOKUP(Ruimtestaat[[#This Row],[Code]],Locaties[#All],2,FALSE)</f>
        <v>Boerhaave + buitenunits</v>
      </c>
      <c r="C97" s="24" t="str">
        <f>VLOOKUP(Ruimtestaat[[#This Row],[Code]],Locaties[#All],4,FALSE)</f>
        <v>Herman Boerhaavelaan 1</v>
      </c>
      <c r="D97" s="24" t="str">
        <f>VLOOKUP(Ruimtestaat[[#This Row],[Code]],Locaties[#All],5,FALSE)</f>
        <v>7415 ES</v>
      </c>
      <c r="E97" s="24" t="str">
        <f>VLOOKUP(Ruimtestaat[[#This Row],[Code]],Locaties[#All],6,FALSE)</f>
        <v>Deventer</v>
      </c>
      <c r="F97" s="54"/>
      <c r="G97" s="24" t="s">
        <v>512</v>
      </c>
      <c r="H97" s="28" t="s">
        <v>516</v>
      </c>
      <c r="I97" s="4" t="s">
        <v>515</v>
      </c>
      <c r="J97" s="24">
        <v>2</v>
      </c>
      <c r="K97" s="54" t="str">
        <f>VLOOKUP(J97,Ruimtegroepen[],2,FALSE)</f>
        <v>Kantoren</v>
      </c>
      <c r="L97" s="24" t="s">
        <v>311</v>
      </c>
      <c r="M97" s="24" t="s">
        <v>370</v>
      </c>
      <c r="N97" s="83">
        <v>26.3</v>
      </c>
      <c r="O97" s="83"/>
      <c r="P97" s="93" t="str">
        <f>LEFT(VLOOKUP(Ruimtestaat[[#This Row],[Ruimte code]],Ruimtegroepen[#All],4,1),2)</f>
        <v>Bu</v>
      </c>
      <c r="Q97" s="93"/>
      <c r="R97" s="84">
        <v>42</v>
      </c>
      <c r="S97" s="84" t="s">
        <v>322</v>
      </c>
      <c r="T97" s="85">
        <f>IF(R97&gt;0,IF(RIGHT(Ruimtestaat[[#This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" s="85">
        <f>IF(T97&gt;0,VLOOKUP($J97,Ruimtegroepen[],3,FALSE)*VLOOKUP($L97,Vloersoorten[],3,FALSE)*VLOOKUP($S97,Frequenties[],3,FALSE)*VLOOKUP($A97,Locaties[],3,FALSE),0)</f>
        <v>0</v>
      </c>
      <c r="V97" s="86">
        <f>Ruimtestaat[[#This Row],[Uitvoeringen werkdagen]]*Ruimtestaat[[#This Row],[Oppervlak (netto)]]</f>
        <v>3313.8</v>
      </c>
      <c r="W97" s="87">
        <f>IF(U97&gt;0,Ruimtestaat[[#This Row],[Prest. (m2 /jaar) werkdagen]]/Ruimtestaat[[#This Row],[Norm (m2/uur) werkdagen]],0)</f>
        <v>0</v>
      </c>
      <c r="X97" s="88">
        <f>Ruimtestaat[[#This Row],[uren / jaar werkdagen]]*Tariefsopbouw!$E$35</f>
        <v>0</v>
      </c>
      <c r="Y97" s="85"/>
      <c r="Z97" s="89">
        <f>IF(Ruimtestaat[[#This Row],[Frequentie weekend]]&gt;0,VALUE(LEFT(Y97,1))*R97,0)</f>
        <v>0</v>
      </c>
      <c r="AA97" s="85">
        <f>IF($Z97&gt;0,VLOOKUP($J97,Ruimtegroepen[],3,FALSE)*VLOOKUP($L97,Vloersoorten[],3,FALSE)*VLOOKUP($Y97,Frequenties[],3,FALSE)*VLOOKUP($A93,Locaties[],3,FALSE),0)</f>
        <v>0</v>
      </c>
      <c r="AB97" s="87">
        <f>Ruimtestaat[[#This Row],[Uitvoeringen weekend]]*Ruimtestaat[[#This Row],[Oppervlak (netto)]]</f>
        <v>0</v>
      </c>
      <c r="AC97" s="90">
        <f>IF(AB97&gt;0,Ruimtestaat[[#This Row],[Prest. (m2 /jaar) weekend]]/Ruimtestaat[[#This Row],[Norm (m2/uur) weekend]],0)</f>
        <v>0</v>
      </c>
      <c r="AD97" s="91">
        <f>Ruimtestaat[[#This Row],[uren / jaar weekend]]*Tariefsopbouw!$D$40</f>
        <v>0</v>
      </c>
      <c r="AE97" s="60">
        <f>Ruimtestaat[[#This Row],[Prest. (m2 /jaar) weekend]]+Ruimtestaat[[#This Row],[Prest. (m2 /jaar) werkdagen]]</f>
        <v>3313.8</v>
      </c>
      <c r="AF97" s="60">
        <f>Ruimtestaat[[#This Row],[uren / jaar weekend]]+Ruimtestaat[[#This Row],[uren / jaar werkdagen]]</f>
        <v>0</v>
      </c>
      <c r="AG97" s="61">
        <f>Ruimtestaat[[#This Row],[kosten / jaar weekend]]+Ruimtestaat[[#This Row],[kosten / jaar werkdagen]]</f>
        <v>0</v>
      </c>
      <c r="AH97" s="92"/>
      <c r="HL97" s="59"/>
    </row>
    <row r="98" spans="1:220">
      <c r="A98" s="24">
        <v>1</v>
      </c>
      <c r="B98" s="24" t="str">
        <f>VLOOKUP(Ruimtestaat[[#This Row],[Code]],Locaties[#All],2,FALSE)</f>
        <v>Boerhaave + buitenunits</v>
      </c>
      <c r="C98" s="24" t="str">
        <f>VLOOKUP(Ruimtestaat[[#This Row],[Code]],Locaties[#All],4,FALSE)</f>
        <v>Herman Boerhaavelaan 1</v>
      </c>
      <c r="D98" s="24" t="str">
        <f>VLOOKUP(Ruimtestaat[[#This Row],[Code]],Locaties[#All],5,FALSE)</f>
        <v>7415 ES</v>
      </c>
      <c r="E98" s="24" t="str">
        <f>VLOOKUP(Ruimtestaat[[#This Row],[Code]],Locaties[#All],6,FALSE)</f>
        <v>Deventer</v>
      </c>
      <c r="F98" s="54"/>
      <c r="G98" s="24" t="s">
        <v>512</v>
      </c>
      <c r="H98" s="28" t="s">
        <v>517</v>
      </c>
      <c r="I98" s="4" t="s">
        <v>515</v>
      </c>
      <c r="J98" s="24">
        <v>2</v>
      </c>
      <c r="K98" s="54" t="str">
        <f>VLOOKUP(J98,Ruimtegroepen[],2,FALSE)</f>
        <v>Kantoren</v>
      </c>
      <c r="L98" s="24" t="s">
        <v>311</v>
      </c>
      <c r="M98" s="24" t="s">
        <v>370</v>
      </c>
      <c r="N98" s="83">
        <v>26.37</v>
      </c>
      <c r="O98" s="83"/>
      <c r="P98" s="93" t="str">
        <f>LEFT(VLOOKUP(Ruimtestaat[[#This Row],[Ruimte code]],Ruimtegroepen[#All],4,1),2)</f>
        <v>Bu</v>
      </c>
      <c r="Q98" s="93"/>
      <c r="R98" s="84">
        <v>42</v>
      </c>
      <c r="S98" s="84" t="s">
        <v>322</v>
      </c>
      <c r="T98" s="85">
        <f>IF(R98&gt;0,IF(RIGHT(Ruimtestaat[[#This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8" s="85">
        <f>IF(T98&gt;0,VLOOKUP($J98,Ruimtegroepen[],3,FALSE)*VLOOKUP($L98,Vloersoorten[],3,FALSE)*VLOOKUP($S98,Frequenties[],3,FALSE)*VLOOKUP($A98,Locaties[],3,FALSE),0)</f>
        <v>0</v>
      </c>
      <c r="V98" s="86">
        <f>Ruimtestaat[[#This Row],[Uitvoeringen werkdagen]]*Ruimtestaat[[#This Row],[Oppervlak (netto)]]</f>
        <v>3322.6200000000003</v>
      </c>
      <c r="W98" s="87">
        <f>IF(U98&gt;0,Ruimtestaat[[#This Row],[Prest. (m2 /jaar) werkdagen]]/Ruimtestaat[[#This Row],[Norm (m2/uur) werkdagen]],0)</f>
        <v>0</v>
      </c>
      <c r="X98" s="88">
        <f>Ruimtestaat[[#This Row],[uren / jaar werkdagen]]*Tariefsopbouw!$E$35</f>
        <v>0</v>
      </c>
      <c r="Y98" s="85"/>
      <c r="Z98" s="89">
        <f>IF(Ruimtestaat[[#This Row],[Frequentie weekend]]&gt;0,VALUE(LEFT(Y98,1))*R98,0)</f>
        <v>0</v>
      </c>
      <c r="AA98" s="85">
        <f>IF($Z98&gt;0,VLOOKUP($J98,Ruimtegroepen[],3,FALSE)*VLOOKUP($L98,Vloersoorten[],3,FALSE)*VLOOKUP($Y98,Frequenties[],3,FALSE)*VLOOKUP($A94,Locaties[],3,FALSE),0)</f>
        <v>0</v>
      </c>
      <c r="AB98" s="87">
        <f>Ruimtestaat[[#This Row],[Uitvoeringen weekend]]*Ruimtestaat[[#This Row],[Oppervlak (netto)]]</f>
        <v>0</v>
      </c>
      <c r="AC98" s="90">
        <f>IF(AB98&gt;0,Ruimtestaat[[#This Row],[Prest. (m2 /jaar) weekend]]/Ruimtestaat[[#This Row],[Norm (m2/uur) weekend]],0)</f>
        <v>0</v>
      </c>
      <c r="AD98" s="91">
        <f>Ruimtestaat[[#This Row],[uren / jaar weekend]]*Tariefsopbouw!$D$40</f>
        <v>0</v>
      </c>
      <c r="AE98" s="60">
        <f>Ruimtestaat[[#This Row],[Prest. (m2 /jaar) weekend]]+Ruimtestaat[[#This Row],[Prest. (m2 /jaar) werkdagen]]</f>
        <v>3322.6200000000003</v>
      </c>
      <c r="AF98" s="60">
        <f>Ruimtestaat[[#This Row],[uren / jaar weekend]]+Ruimtestaat[[#This Row],[uren / jaar werkdagen]]</f>
        <v>0</v>
      </c>
      <c r="AG98" s="61">
        <f>Ruimtestaat[[#This Row],[kosten / jaar weekend]]+Ruimtestaat[[#This Row],[kosten / jaar werkdagen]]</f>
        <v>0</v>
      </c>
      <c r="AH98" s="92"/>
      <c r="HL98" s="59"/>
    </row>
    <row r="99" spans="1:220">
      <c r="A99" s="24">
        <v>1</v>
      </c>
      <c r="B99" s="24" t="str">
        <f>VLOOKUP(Ruimtestaat[[#This Row],[Code]],Locaties[#All],2,FALSE)</f>
        <v>Boerhaave + buitenunits</v>
      </c>
      <c r="C99" s="24" t="str">
        <f>VLOOKUP(Ruimtestaat[[#This Row],[Code]],Locaties[#All],4,FALSE)</f>
        <v>Herman Boerhaavelaan 1</v>
      </c>
      <c r="D99" s="24" t="str">
        <f>VLOOKUP(Ruimtestaat[[#This Row],[Code]],Locaties[#All],5,FALSE)</f>
        <v>7415 ES</v>
      </c>
      <c r="E99" s="24" t="str">
        <f>VLOOKUP(Ruimtestaat[[#This Row],[Code]],Locaties[#All],6,FALSE)</f>
        <v>Deventer</v>
      </c>
      <c r="F99" s="54"/>
      <c r="G99" s="24" t="s">
        <v>512</v>
      </c>
      <c r="H99" s="28" t="s">
        <v>518</v>
      </c>
      <c r="I99" s="4" t="s">
        <v>519</v>
      </c>
      <c r="J99" s="24">
        <v>2</v>
      </c>
      <c r="K99" s="54" t="str">
        <f>VLOOKUP(J99,Ruimtegroepen[],2,FALSE)</f>
        <v>Kantoren</v>
      </c>
      <c r="L99" s="24" t="s">
        <v>311</v>
      </c>
      <c r="M99" s="24" t="s">
        <v>370</v>
      </c>
      <c r="N99" s="83">
        <v>25.07</v>
      </c>
      <c r="O99" s="83"/>
      <c r="P99" s="93" t="str">
        <f>LEFT(VLOOKUP(Ruimtestaat[[#This Row],[Ruimte code]],Ruimtegroepen[#All],4,1),2)</f>
        <v>Bu</v>
      </c>
      <c r="Q99" s="93"/>
      <c r="R99" s="84">
        <v>42</v>
      </c>
      <c r="S99" s="84" t="s">
        <v>322</v>
      </c>
      <c r="T99" s="85">
        <f>IF(R99&gt;0,IF(RIGHT(Ruimtestaat[[#This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9" s="85">
        <f>IF(T99&gt;0,VLOOKUP($J99,Ruimtegroepen[],3,FALSE)*VLOOKUP($L99,Vloersoorten[],3,FALSE)*VLOOKUP($S99,Frequenties[],3,FALSE)*VLOOKUP($A99,Locaties[],3,FALSE),0)</f>
        <v>0</v>
      </c>
      <c r="V99" s="86">
        <f>Ruimtestaat[[#This Row],[Uitvoeringen werkdagen]]*Ruimtestaat[[#This Row],[Oppervlak (netto)]]</f>
        <v>3158.82</v>
      </c>
      <c r="W99" s="87">
        <f>IF(U99&gt;0,Ruimtestaat[[#This Row],[Prest. (m2 /jaar) werkdagen]]/Ruimtestaat[[#This Row],[Norm (m2/uur) werkdagen]],0)</f>
        <v>0</v>
      </c>
      <c r="X99" s="88">
        <f>Ruimtestaat[[#This Row],[uren / jaar werkdagen]]*Tariefsopbouw!$E$35</f>
        <v>0</v>
      </c>
      <c r="Y99" s="85"/>
      <c r="Z99" s="89">
        <f>IF(Ruimtestaat[[#This Row],[Frequentie weekend]]&gt;0,VALUE(LEFT(Y99,1))*R99,0)</f>
        <v>0</v>
      </c>
      <c r="AA99" s="85">
        <f>IF($Z99&gt;0,VLOOKUP($J99,Ruimtegroepen[],3,FALSE)*VLOOKUP($L99,Vloersoorten[],3,FALSE)*VLOOKUP($Y99,Frequenties[],3,FALSE)*VLOOKUP($A95,Locaties[],3,FALSE),0)</f>
        <v>0</v>
      </c>
      <c r="AB99" s="87">
        <f>Ruimtestaat[[#This Row],[Uitvoeringen weekend]]*Ruimtestaat[[#This Row],[Oppervlak (netto)]]</f>
        <v>0</v>
      </c>
      <c r="AC99" s="90">
        <f>IF(AB99&gt;0,Ruimtestaat[[#This Row],[Prest. (m2 /jaar) weekend]]/Ruimtestaat[[#This Row],[Norm (m2/uur) weekend]],0)</f>
        <v>0</v>
      </c>
      <c r="AD99" s="91">
        <f>Ruimtestaat[[#This Row],[uren / jaar weekend]]*Tariefsopbouw!$D$40</f>
        <v>0</v>
      </c>
      <c r="AE99" s="60">
        <f>Ruimtestaat[[#This Row],[Prest. (m2 /jaar) weekend]]+Ruimtestaat[[#This Row],[Prest. (m2 /jaar) werkdagen]]</f>
        <v>3158.82</v>
      </c>
      <c r="AF99" s="60">
        <f>Ruimtestaat[[#This Row],[uren / jaar weekend]]+Ruimtestaat[[#This Row],[uren / jaar werkdagen]]</f>
        <v>0</v>
      </c>
      <c r="AG99" s="61">
        <f>Ruimtestaat[[#This Row],[kosten / jaar weekend]]+Ruimtestaat[[#This Row],[kosten / jaar werkdagen]]</f>
        <v>0</v>
      </c>
      <c r="AH99" s="92"/>
      <c r="HL99" s="59"/>
    </row>
    <row r="100" spans="1:220">
      <c r="A100" s="24">
        <v>1</v>
      </c>
      <c r="B100" s="24" t="str">
        <f>VLOOKUP(Ruimtestaat[[#This Row],[Code]],Locaties[#All],2,FALSE)</f>
        <v>Boerhaave + buitenunits</v>
      </c>
      <c r="C100" s="24" t="str">
        <f>VLOOKUP(Ruimtestaat[[#This Row],[Code]],Locaties[#All],4,FALSE)</f>
        <v>Herman Boerhaavelaan 1</v>
      </c>
      <c r="D100" s="24" t="str">
        <f>VLOOKUP(Ruimtestaat[[#This Row],[Code]],Locaties[#All],5,FALSE)</f>
        <v>7415 ES</v>
      </c>
      <c r="E100" s="24" t="str">
        <f>VLOOKUP(Ruimtestaat[[#This Row],[Code]],Locaties[#All],6,FALSE)</f>
        <v>Deventer</v>
      </c>
      <c r="F100" s="54"/>
      <c r="G100" s="24" t="s">
        <v>512</v>
      </c>
      <c r="H100" s="28" t="s">
        <v>520</v>
      </c>
      <c r="I100" s="4" t="s">
        <v>521</v>
      </c>
      <c r="J100" s="24">
        <v>16</v>
      </c>
      <c r="K100" s="54" t="str">
        <f>VLOOKUP(J100,Ruimtegroepen[],2,FALSE)</f>
        <v>Leslokalen theorie</v>
      </c>
      <c r="L100" s="24" t="s">
        <v>303</v>
      </c>
      <c r="M100" s="24" t="s">
        <v>387</v>
      </c>
      <c r="N100" s="83">
        <v>8.43</v>
      </c>
      <c r="O100" s="83"/>
      <c r="P100" s="93" t="str">
        <f>LEFT(VLOOKUP(Ruimtestaat[[#This Row],[Ruimte code]],Ruimtegroepen[#All],4,1),2)</f>
        <v>Le</v>
      </c>
      <c r="Q100" s="93"/>
      <c r="R100" s="84">
        <v>40</v>
      </c>
      <c r="S100" s="84" t="s">
        <v>318</v>
      </c>
      <c r="T100" s="85">
        <f>IF(R100&gt;0,IF(RIGHT(Ruimtestaat[[#This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" s="85">
        <f>IF(T100&gt;0,VLOOKUP($J100,Ruimtegroepen[],3,FALSE)*VLOOKUP($L100,Vloersoorten[],3,FALSE)*VLOOKUP($S100,Frequenties[],3,FALSE)*VLOOKUP($A100,Locaties[],3,FALSE),0)</f>
        <v>0</v>
      </c>
      <c r="V100" s="86">
        <f>Ruimtestaat[[#This Row],[Uitvoeringen werkdagen]]*Ruimtestaat[[#This Row],[Oppervlak (netto)]]</f>
        <v>1686</v>
      </c>
      <c r="W100" s="87">
        <f>IF(U100&gt;0,Ruimtestaat[[#This Row],[Prest. (m2 /jaar) werkdagen]]/Ruimtestaat[[#This Row],[Norm (m2/uur) werkdagen]],0)</f>
        <v>0</v>
      </c>
      <c r="X100" s="88">
        <f>Ruimtestaat[[#This Row],[uren / jaar werkdagen]]*Tariefsopbouw!$E$35</f>
        <v>0</v>
      </c>
      <c r="Y100" s="85"/>
      <c r="Z100" s="89">
        <f>IF(Ruimtestaat[[#This Row],[Frequentie weekend]]&gt;0,VALUE(LEFT(Y100,1))*R100,0)</f>
        <v>0</v>
      </c>
      <c r="AA100" s="85">
        <f>IF($Z100&gt;0,VLOOKUP($J100,Ruimtegroepen[],3,FALSE)*VLOOKUP($L100,Vloersoorten[],3,FALSE)*VLOOKUP($Y100,Frequenties[],3,FALSE)*VLOOKUP($A96,Locaties[],3,FALSE),0)</f>
        <v>0</v>
      </c>
      <c r="AB100" s="87">
        <f>Ruimtestaat[[#This Row],[Uitvoeringen weekend]]*Ruimtestaat[[#This Row],[Oppervlak (netto)]]</f>
        <v>0</v>
      </c>
      <c r="AC100" s="90">
        <f>IF(AB100&gt;0,Ruimtestaat[[#This Row],[Prest. (m2 /jaar) weekend]]/Ruimtestaat[[#This Row],[Norm (m2/uur) weekend]],0)</f>
        <v>0</v>
      </c>
      <c r="AD100" s="91">
        <f>Ruimtestaat[[#This Row],[uren / jaar weekend]]*Tariefsopbouw!$D$40</f>
        <v>0</v>
      </c>
      <c r="AE100" s="60">
        <f>Ruimtestaat[[#This Row],[Prest. (m2 /jaar) weekend]]+Ruimtestaat[[#This Row],[Prest. (m2 /jaar) werkdagen]]</f>
        <v>1686</v>
      </c>
      <c r="AF100" s="60">
        <f>Ruimtestaat[[#This Row],[uren / jaar weekend]]+Ruimtestaat[[#This Row],[uren / jaar werkdagen]]</f>
        <v>0</v>
      </c>
      <c r="AG100" s="61">
        <f>Ruimtestaat[[#This Row],[kosten / jaar weekend]]+Ruimtestaat[[#This Row],[kosten / jaar werkdagen]]</f>
        <v>0</v>
      </c>
      <c r="AH100" s="92"/>
      <c r="HL100" s="59"/>
    </row>
    <row r="101" spans="1:220">
      <c r="A101" s="24">
        <v>1</v>
      </c>
      <c r="B101" s="24" t="str">
        <f>VLOOKUP(Ruimtestaat[[#This Row],[Code]],Locaties[#All],2,FALSE)</f>
        <v>Boerhaave + buitenunits</v>
      </c>
      <c r="C101" s="24" t="str">
        <f>VLOOKUP(Ruimtestaat[[#This Row],[Code]],Locaties[#All],4,FALSE)</f>
        <v>Herman Boerhaavelaan 1</v>
      </c>
      <c r="D101" s="24" t="str">
        <f>VLOOKUP(Ruimtestaat[[#This Row],[Code]],Locaties[#All],5,FALSE)</f>
        <v>7415 ES</v>
      </c>
      <c r="E101" s="24" t="str">
        <f>VLOOKUP(Ruimtestaat[[#This Row],[Code]],Locaties[#All],6,FALSE)</f>
        <v>Deventer</v>
      </c>
      <c r="F101" s="54"/>
      <c r="G101" s="24" t="s">
        <v>512</v>
      </c>
      <c r="H101" s="28" t="s">
        <v>522</v>
      </c>
      <c r="I101" s="4" t="s">
        <v>521</v>
      </c>
      <c r="J101" s="24">
        <v>16</v>
      </c>
      <c r="K101" s="54" t="str">
        <f>VLOOKUP(J101,Ruimtegroepen[],2,FALSE)</f>
        <v>Leslokalen theorie</v>
      </c>
      <c r="L101" s="24" t="s">
        <v>303</v>
      </c>
      <c r="M101" s="24" t="s">
        <v>387</v>
      </c>
      <c r="N101" s="83">
        <v>9.2899999999999991</v>
      </c>
      <c r="O101" s="83"/>
      <c r="P101" s="93" t="str">
        <f>LEFT(VLOOKUP(Ruimtestaat[[#This Row],[Ruimte code]],Ruimtegroepen[#All],4,1),2)</f>
        <v>Le</v>
      </c>
      <c r="Q101" s="93"/>
      <c r="R101" s="84">
        <v>40</v>
      </c>
      <c r="S101" s="84" t="s">
        <v>318</v>
      </c>
      <c r="T101" s="85">
        <f>IF(R101&gt;0,IF(RIGHT(Ruimtestaat[[#This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" s="85">
        <f>IF(T101&gt;0,VLOOKUP($J101,Ruimtegroepen[],3,FALSE)*VLOOKUP($L101,Vloersoorten[],3,FALSE)*VLOOKUP($S101,Frequenties[],3,FALSE)*VLOOKUP($A101,Locaties[],3,FALSE),0)</f>
        <v>0</v>
      </c>
      <c r="V101" s="86">
        <f>Ruimtestaat[[#This Row],[Uitvoeringen werkdagen]]*Ruimtestaat[[#This Row],[Oppervlak (netto)]]</f>
        <v>1857.9999999999998</v>
      </c>
      <c r="W101" s="87">
        <f>IF(U101&gt;0,Ruimtestaat[[#This Row],[Prest. (m2 /jaar) werkdagen]]/Ruimtestaat[[#This Row],[Norm (m2/uur) werkdagen]],0)</f>
        <v>0</v>
      </c>
      <c r="X101" s="88">
        <f>Ruimtestaat[[#This Row],[uren / jaar werkdagen]]*Tariefsopbouw!$E$35</f>
        <v>0</v>
      </c>
      <c r="Y101" s="85"/>
      <c r="Z101" s="89">
        <f>IF(Ruimtestaat[[#This Row],[Frequentie weekend]]&gt;0,VALUE(LEFT(Y101,1))*R101,0)</f>
        <v>0</v>
      </c>
      <c r="AA101" s="85">
        <f>IF($Z101&gt;0,VLOOKUP($J101,Ruimtegroepen[],3,FALSE)*VLOOKUP($L101,Vloersoorten[],3,FALSE)*VLOOKUP($Y101,Frequenties[],3,FALSE)*VLOOKUP($A97,Locaties[],3,FALSE),0)</f>
        <v>0</v>
      </c>
      <c r="AB101" s="87">
        <f>Ruimtestaat[[#This Row],[Uitvoeringen weekend]]*Ruimtestaat[[#This Row],[Oppervlak (netto)]]</f>
        <v>0</v>
      </c>
      <c r="AC101" s="90">
        <f>IF(AB101&gt;0,Ruimtestaat[[#This Row],[Prest. (m2 /jaar) weekend]]/Ruimtestaat[[#This Row],[Norm (m2/uur) weekend]],0)</f>
        <v>0</v>
      </c>
      <c r="AD101" s="91">
        <f>Ruimtestaat[[#This Row],[uren / jaar weekend]]*Tariefsopbouw!$D$40</f>
        <v>0</v>
      </c>
      <c r="AE101" s="60">
        <f>Ruimtestaat[[#This Row],[Prest. (m2 /jaar) weekend]]+Ruimtestaat[[#This Row],[Prest. (m2 /jaar) werkdagen]]</f>
        <v>1857.9999999999998</v>
      </c>
      <c r="AF101" s="60">
        <f>Ruimtestaat[[#This Row],[uren / jaar weekend]]+Ruimtestaat[[#This Row],[uren / jaar werkdagen]]</f>
        <v>0</v>
      </c>
      <c r="AG101" s="61">
        <f>Ruimtestaat[[#This Row],[kosten / jaar weekend]]+Ruimtestaat[[#This Row],[kosten / jaar werkdagen]]</f>
        <v>0</v>
      </c>
      <c r="AH101" s="92"/>
      <c r="HL101" s="59"/>
    </row>
    <row r="102" spans="1:220">
      <c r="A102" s="24">
        <v>1</v>
      </c>
      <c r="B102" s="24" t="str">
        <f>VLOOKUP(Ruimtestaat[[#This Row],[Code]],Locaties[#All],2,FALSE)</f>
        <v>Boerhaave + buitenunits</v>
      </c>
      <c r="C102" s="24" t="str">
        <f>VLOOKUP(Ruimtestaat[[#This Row],[Code]],Locaties[#All],4,FALSE)</f>
        <v>Herman Boerhaavelaan 1</v>
      </c>
      <c r="D102" s="24" t="str">
        <f>VLOOKUP(Ruimtestaat[[#This Row],[Code]],Locaties[#All],5,FALSE)</f>
        <v>7415 ES</v>
      </c>
      <c r="E102" s="24" t="str">
        <f>VLOOKUP(Ruimtestaat[[#This Row],[Code]],Locaties[#All],6,FALSE)</f>
        <v>Deventer</v>
      </c>
      <c r="F102" s="54"/>
      <c r="G102" s="24" t="s">
        <v>512</v>
      </c>
      <c r="H102" s="28" t="s">
        <v>523</v>
      </c>
      <c r="I102" s="4" t="s">
        <v>524</v>
      </c>
      <c r="J102" s="24">
        <v>22</v>
      </c>
      <c r="K102" s="54" t="str">
        <f>VLOOKUP(J102,Ruimtegroepen[],2,FALSE)</f>
        <v>Niet in onderhoud</v>
      </c>
      <c r="L102" s="24" t="s">
        <v>305</v>
      </c>
      <c r="M102" s="24" t="s">
        <v>376</v>
      </c>
      <c r="N102" s="83"/>
      <c r="O102" s="83">
        <v>9.9</v>
      </c>
      <c r="P102" s="93" t="str">
        <f>LEFT(VLOOKUP(Ruimtestaat[[#This Row],[Ruimte code]],Ruimtegroepen[#All],4,1),2)</f>
        <v/>
      </c>
      <c r="Q102" s="93"/>
      <c r="R102" s="84"/>
      <c r="S102" s="84"/>
      <c r="T102" s="85">
        <f>IF(R102&gt;0,IF(RIGHT(Ruimtestaat[[#This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2" s="85">
        <f>IF(T102&gt;0,VLOOKUP($J102,Ruimtegroepen[],3,FALSE)*VLOOKUP($L102,Vloersoorten[],3,FALSE)*VLOOKUP($S102,Frequenties[],3,FALSE)*VLOOKUP($A102,Locaties[],3,FALSE),0)</f>
        <v>0</v>
      </c>
      <c r="V102" s="86">
        <f>Ruimtestaat[[#This Row],[Uitvoeringen werkdagen]]*Ruimtestaat[[#This Row],[Oppervlak (netto)]]</f>
        <v>0</v>
      </c>
      <c r="W102" s="87">
        <f>IF(U102&gt;0,Ruimtestaat[[#This Row],[Prest. (m2 /jaar) werkdagen]]/Ruimtestaat[[#This Row],[Norm (m2/uur) werkdagen]],0)</f>
        <v>0</v>
      </c>
      <c r="X102" s="88">
        <f>Ruimtestaat[[#This Row],[uren / jaar werkdagen]]*Tariefsopbouw!$E$35</f>
        <v>0</v>
      </c>
      <c r="Y102" s="85"/>
      <c r="Z102" s="89">
        <f>IF(Ruimtestaat[[#This Row],[Frequentie weekend]]&gt;0,VALUE(LEFT(Y102,1))*R102,0)</f>
        <v>0</v>
      </c>
      <c r="AA102" s="85">
        <f>IF($Z102&gt;0,VLOOKUP($J102,Ruimtegroepen[],3,FALSE)*VLOOKUP($L102,Vloersoorten[],3,FALSE)*VLOOKUP($Y102,Frequenties[],3,FALSE)*VLOOKUP($A96,Locaties[],3,FALSE),0)</f>
        <v>0</v>
      </c>
      <c r="AB102" s="87">
        <f>Ruimtestaat[[#This Row],[Uitvoeringen weekend]]*Ruimtestaat[[#This Row],[Oppervlak (netto)]]</f>
        <v>0</v>
      </c>
      <c r="AC102" s="90">
        <f>IF(AB102&gt;0,Ruimtestaat[[#This Row],[Prest. (m2 /jaar) weekend]]/Ruimtestaat[[#This Row],[Norm (m2/uur) weekend]],0)</f>
        <v>0</v>
      </c>
      <c r="AD102" s="91">
        <f>Ruimtestaat[[#This Row],[uren / jaar weekend]]*Tariefsopbouw!$D$40</f>
        <v>0</v>
      </c>
      <c r="AE102" s="60">
        <f>Ruimtestaat[[#This Row],[Prest. (m2 /jaar) weekend]]+Ruimtestaat[[#This Row],[Prest. (m2 /jaar) werkdagen]]</f>
        <v>0</v>
      </c>
      <c r="AF102" s="60">
        <f>Ruimtestaat[[#This Row],[uren / jaar weekend]]+Ruimtestaat[[#This Row],[uren / jaar werkdagen]]</f>
        <v>0</v>
      </c>
      <c r="AG102" s="61">
        <f>Ruimtestaat[[#This Row],[kosten / jaar weekend]]+Ruimtestaat[[#This Row],[kosten / jaar werkdagen]]</f>
        <v>0</v>
      </c>
      <c r="AH102" s="92"/>
      <c r="HL102" s="59"/>
    </row>
    <row r="103" spans="1:220">
      <c r="A103" s="24">
        <v>1</v>
      </c>
      <c r="B103" s="24" t="str">
        <f>VLOOKUP(Ruimtestaat[[#This Row],[Code]],Locaties[#All],2,FALSE)</f>
        <v>Boerhaave + buitenunits</v>
      </c>
      <c r="C103" s="24" t="str">
        <f>VLOOKUP(Ruimtestaat[[#This Row],[Code]],Locaties[#All],4,FALSE)</f>
        <v>Herman Boerhaavelaan 1</v>
      </c>
      <c r="D103" s="24" t="str">
        <f>VLOOKUP(Ruimtestaat[[#This Row],[Code]],Locaties[#All],5,FALSE)</f>
        <v>7415 ES</v>
      </c>
      <c r="E103" s="24" t="str">
        <f>VLOOKUP(Ruimtestaat[[#This Row],[Code]],Locaties[#All],6,FALSE)</f>
        <v>Deventer</v>
      </c>
      <c r="F103" s="54"/>
      <c r="G103" s="24" t="s">
        <v>512</v>
      </c>
      <c r="H103" s="28" t="s">
        <v>525</v>
      </c>
      <c r="I103" s="4" t="s">
        <v>521</v>
      </c>
      <c r="J103" s="24">
        <v>16</v>
      </c>
      <c r="K103" s="54" t="str">
        <f>VLOOKUP(J103,Ruimtegroepen[],2,FALSE)</f>
        <v>Leslokalen theorie</v>
      </c>
      <c r="L103" s="24" t="s">
        <v>303</v>
      </c>
      <c r="M103" s="24" t="s">
        <v>387</v>
      </c>
      <c r="N103" s="83">
        <v>9.2899999999999991</v>
      </c>
      <c r="O103" s="83"/>
      <c r="P103" s="93" t="str">
        <f>LEFT(VLOOKUP(Ruimtestaat[[#This Row],[Ruimte code]],Ruimtegroepen[#All],4,1),2)</f>
        <v>Le</v>
      </c>
      <c r="Q103" s="93"/>
      <c r="R103" s="84">
        <v>40</v>
      </c>
      <c r="S103" s="84" t="s">
        <v>318</v>
      </c>
      <c r="T103" s="85">
        <f>IF(R103&gt;0,IF(RIGHT(Ruimtestaat[[#This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" s="85">
        <f>IF(T103&gt;0,VLOOKUP($J103,Ruimtegroepen[],3,FALSE)*VLOOKUP($L103,Vloersoorten[],3,FALSE)*VLOOKUP($S103,Frequenties[],3,FALSE)*VLOOKUP($A103,Locaties[],3,FALSE),0)</f>
        <v>0</v>
      </c>
      <c r="V103" s="86">
        <f>Ruimtestaat[[#This Row],[Uitvoeringen werkdagen]]*Ruimtestaat[[#This Row],[Oppervlak (netto)]]</f>
        <v>1857.9999999999998</v>
      </c>
      <c r="W103" s="87">
        <f>IF(U103&gt;0,Ruimtestaat[[#This Row],[Prest. (m2 /jaar) werkdagen]]/Ruimtestaat[[#This Row],[Norm (m2/uur) werkdagen]],0)</f>
        <v>0</v>
      </c>
      <c r="X103" s="88">
        <f>Ruimtestaat[[#This Row],[uren / jaar werkdagen]]*Tariefsopbouw!$E$35</f>
        <v>0</v>
      </c>
      <c r="Y103" s="85"/>
      <c r="Z103" s="89">
        <f>IF(Ruimtestaat[[#This Row],[Frequentie weekend]]&gt;0,VALUE(LEFT(Y103,1))*R103,0)</f>
        <v>0</v>
      </c>
      <c r="AA103" s="85">
        <f>IF($Z103&gt;0,VLOOKUP($J103,Ruimtegroepen[],3,FALSE)*VLOOKUP($L103,Vloersoorten[],3,FALSE)*VLOOKUP($Y103,Frequenties[],3,FALSE)*VLOOKUP($A97,Locaties[],3,FALSE),0)</f>
        <v>0</v>
      </c>
      <c r="AB103" s="87">
        <f>Ruimtestaat[[#This Row],[Uitvoeringen weekend]]*Ruimtestaat[[#This Row],[Oppervlak (netto)]]</f>
        <v>0</v>
      </c>
      <c r="AC103" s="90">
        <f>IF(AB103&gt;0,Ruimtestaat[[#This Row],[Prest. (m2 /jaar) weekend]]/Ruimtestaat[[#This Row],[Norm (m2/uur) weekend]],0)</f>
        <v>0</v>
      </c>
      <c r="AD103" s="91">
        <f>Ruimtestaat[[#This Row],[uren / jaar weekend]]*Tariefsopbouw!$D$40</f>
        <v>0</v>
      </c>
      <c r="AE103" s="60">
        <f>Ruimtestaat[[#This Row],[Prest. (m2 /jaar) weekend]]+Ruimtestaat[[#This Row],[Prest. (m2 /jaar) werkdagen]]</f>
        <v>1857.9999999999998</v>
      </c>
      <c r="AF103" s="60">
        <f>Ruimtestaat[[#This Row],[uren / jaar weekend]]+Ruimtestaat[[#This Row],[uren / jaar werkdagen]]</f>
        <v>0</v>
      </c>
      <c r="AG103" s="61">
        <f>Ruimtestaat[[#This Row],[kosten / jaar weekend]]+Ruimtestaat[[#This Row],[kosten / jaar werkdagen]]</f>
        <v>0</v>
      </c>
      <c r="AH103" s="92"/>
      <c r="HL103" s="59"/>
    </row>
    <row r="104" spans="1:220">
      <c r="A104" s="24">
        <v>1</v>
      </c>
      <c r="B104" s="24" t="str">
        <f>VLOOKUP(Ruimtestaat[[#This Row],[Code]],Locaties[#All],2,FALSE)</f>
        <v>Boerhaave + buitenunits</v>
      </c>
      <c r="C104" s="24" t="str">
        <f>VLOOKUP(Ruimtestaat[[#This Row],[Code]],Locaties[#All],4,FALSE)</f>
        <v>Herman Boerhaavelaan 1</v>
      </c>
      <c r="D104" s="24" t="str">
        <f>VLOOKUP(Ruimtestaat[[#This Row],[Code]],Locaties[#All],5,FALSE)</f>
        <v>7415 ES</v>
      </c>
      <c r="E104" s="24" t="str">
        <f>VLOOKUP(Ruimtestaat[[#This Row],[Code]],Locaties[#All],6,FALSE)</f>
        <v>Deventer</v>
      </c>
      <c r="F104" s="54"/>
      <c r="G104" s="24" t="s">
        <v>512</v>
      </c>
      <c r="H104" s="28" t="s">
        <v>526</v>
      </c>
      <c r="I104" s="4" t="s">
        <v>508</v>
      </c>
      <c r="J104" s="24">
        <v>10</v>
      </c>
      <c r="K104" s="54" t="str">
        <f>VLOOKUP(J104,Ruimtegroepen[],2,FALSE)</f>
        <v>Trappenhuizen/lift</v>
      </c>
      <c r="L104" s="24" t="s">
        <v>311</v>
      </c>
      <c r="M104" s="24" t="s">
        <v>370</v>
      </c>
      <c r="N104" s="83">
        <v>7.93</v>
      </c>
      <c r="O104" s="83"/>
      <c r="P104" s="93" t="str">
        <f>LEFT(VLOOKUP(Ruimtestaat[[#This Row],[Ruimte code]],Ruimtegroepen[#All],4,1),2)</f>
        <v>Ve</v>
      </c>
      <c r="Q104" s="93"/>
      <c r="R104" s="84">
        <v>40</v>
      </c>
      <c r="S104" s="84" t="s">
        <v>318</v>
      </c>
      <c r="T104" s="85">
        <f>IF(R104&gt;0,IF(RIGHT(Ruimtestaat[[#This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" s="85">
        <f>IF(T104&gt;0,VLOOKUP($J104,Ruimtegroepen[],3,FALSE)*VLOOKUP($L104,Vloersoorten[],3,FALSE)*VLOOKUP($S104,Frequenties[],3,FALSE)*VLOOKUP($A104,Locaties[],3,FALSE),0)</f>
        <v>0</v>
      </c>
      <c r="V104" s="86">
        <f>Ruimtestaat[[#This Row],[Uitvoeringen werkdagen]]*Ruimtestaat[[#This Row],[Oppervlak (netto)]]</f>
        <v>1586</v>
      </c>
      <c r="W104" s="87">
        <f>IF(U104&gt;0,Ruimtestaat[[#This Row],[Prest. (m2 /jaar) werkdagen]]/Ruimtestaat[[#This Row],[Norm (m2/uur) werkdagen]],0)</f>
        <v>0</v>
      </c>
      <c r="X104" s="88">
        <f>Ruimtestaat[[#This Row],[uren / jaar werkdagen]]*Tariefsopbouw!$E$35</f>
        <v>0</v>
      </c>
      <c r="Y104" s="85"/>
      <c r="Z104" s="89">
        <f>IF(Ruimtestaat[[#This Row],[Frequentie weekend]]&gt;0,VALUE(LEFT(Y104,1))*R104,0)</f>
        <v>0</v>
      </c>
      <c r="AA104" s="85">
        <f>IF($Z104&gt;0,VLOOKUP($J104,Ruimtegroepen[],3,FALSE)*VLOOKUP($L104,Vloersoorten[],3,FALSE)*VLOOKUP($Y104,Frequenties[],3,FALSE)*VLOOKUP($A98,Locaties[],3,FALSE),0)</f>
        <v>0</v>
      </c>
      <c r="AB104" s="87">
        <f>Ruimtestaat[[#This Row],[Uitvoeringen weekend]]*Ruimtestaat[[#This Row],[Oppervlak (netto)]]</f>
        <v>0</v>
      </c>
      <c r="AC104" s="90">
        <f>IF(AB104&gt;0,Ruimtestaat[[#This Row],[Prest. (m2 /jaar) weekend]]/Ruimtestaat[[#This Row],[Norm (m2/uur) weekend]],0)</f>
        <v>0</v>
      </c>
      <c r="AD104" s="91">
        <f>Ruimtestaat[[#This Row],[uren / jaar weekend]]*Tariefsopbouw!$D$40</f>
        <v>0</v>
      </c>
      <c r="AE104" s="60">
        <f>Ruimtestaat[[#This Row],[Prest. (m2 /jaar) weekend]]+Ruimtestaat[[#This Row],[Prest. (m2 /jaar) werkdagen]]</f>
        <v>1586</v>
      </c>
      <c r="AF104" s="60">
        <f>Ruimtestaat[[#This Row],[uren / jaar weekend]]+Ruimtestaat[[#This Row],[uren / jaar werkdagen]]</f>
        <v>0</v>
      </c>
      <c r="AG104" s="61">
        <f>Ruimtestaat[[#This Row],[kosten / jaar weekend]]+Ruimtestaat[[#This Row],[kosten / jaar werkdagen]]</f>
        <v>0</v>
      </c>
      <c r="AH104" s="92"/>
      <c r="HL104" s="59"/>
    </row>
    <row r="105" spans="1:220">
      <c r="A105" s="24">
        <v>1</v>
      </c>
      <c r="B105" s="24" t="str">
        <f>VLOOKUP(Ruimtestaat[[#This Row],[Code]],Locaties[#All],2,FALSE)</f>
        <v>Boerhaave + buitenunits</v>
      </c>
      <c r="C105" s="24" t="str">
        <f>VLOOKUP(Ruimtestaat[[#This Row],[Code]],Locaties[#All],4,FALSE)</f>
        <v>Herman Boerhaavelaan 1</v>
      </c>
      <c r="D105" s="24" t="str">
        <f>VLOOKUP(Ruimtestaat[[#This Row],[Code]],Locaties[#All],5,FALSE)</f>
        <v>7415 ES</v>
      </c>
      <c r="E105" s="24" t="str">
        <f>VLOOKUP(Ruimtestaat[[#This Row],[Code]],Locaties[#All],6,FALSE)</f>
        <v>Deventer</v>
      </c>
      <c r="F105" s="54"/>
      <c r="G105" s="24" t="s">
        <v>512</v>
      </c>
      <c r="H105" s="28" t="s">
        <v>527</v>
      </c>
      <c r="I105" s="4" t="s">
        <v>524</v>
      </c>
      <c r="J105" s="24">
        <v>22</v>
      </c>
      <c r="K105" s="54" t="str">
        <f>VLOOKUP(J105,Ruimtegroepen[],2,FALSE)</f>
        <v>Niet in onderhoud</v>
      </c>
      <c r="L105" s="24" t="s">
        <v>311</v>
      </c>
      <c r="M105" s="24" t="s">
        <v>370</v>
      </c>
      <c r="N105" s="83"/>
      <c r="O105" s="83">
        <v>46.24</v>
      </c>
      <c r="P105" s="93" t="str">
        <f>LEFT(VLOOKUP(Ruimtestaat[[#This Row],[Ruimte code]],Ruimtegroepen[#All],4,1),2)</f>
        <v/>
      </c>
      <c r="Q105" s="93"/>
      <c r="R105" s="84"/>
      <c r="S105" s="84"/>
      <c r="T105" s="85">
        <f>IF(R105&gt;0,IF(RIGHT(Ruimtestaat[[#This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5" s="85">
        <f>IF(T105&gt;0,VLOOKUP($J105,Ruimtegroepen[],3,FALSE)*VLOOKUP($L105,Vloersoorten[],3,FALSE)*VLOOKUP($S105,Frequenties[],3,FALSE)*VLOOKUP($A105,Locaties[],3,FALSE),0)</f>
        <v>0</v>
      </c>
      <c r="V105" s="86">
        <f>Ruimtestaat[[#This Row],[Uitvoeringen werkdagen]]*Ruimtestaat[[#This Row],[Oppervlak (netto)]]</f>
        <v>0</v>
      </c>
      <c r="W105" s="87">
        <f>IF(U105&gt;0,Ruimtestaat[[#This Row],[Prest. (m2 /jaar) werkdagen]]/Ruimtestaat[[#This Row],[Norm (m2/uur) werkdagen]],0)</f>
        <v>0</v>
      </c>
      <c r="X105" s="88">
        <f>Ruimtestaat[[#This Row],[uren / jaar werkdagen]]*Tariefsopbouw!$E$35</f>
        <v>0</v>
      </c>
      <c r="Y105" s="85"/>
      <c r="Z105" s="89">
        <f>IF(Ruimtestaat[[#This Row],[Frequentie weekend]]&gt;0,VALUE(LEFT(Y105,1))*R105,0)</f>
        <v>0</v>
      </c>
      <c r="AA105" s="85">
        <f>IF($Z105&gt;0,VLOOKUP($J105,Ruimtegroepen[],3,FALSE)*VLOOKUP($L105,Vloersoorten[],3,FALSE)*VLOOKUP($Y105,Frequenties[],3,FALSE)*VLOOKUP($A99,Locaties[],3,FALSE),0)</f>
        <v>0</v>
      </c>
      <c r="AB105" s="87">
        <f>Ruimtestaat[[#This Row],[Uitvoeringen weekend]]*Ruimtestaat[[#This Row],[Oppervlak (netto)]]</f>
        <v>0</v>
      </c>
      <c r="AC105" s="90">
        <f>IF(AB105&gt;0,Ruimtestaat[[#This Row],[Prest. (m2 /jaar) weekend]]/Ruimtestaat[[#This Row],[Norm (m2/uur) weekend]],0)</f>
        <v>0</v>
      </c>
      <c r="AD105" s="91">
        <f>Ruimtestaat[[#This Row],[uren / jaar weekend]]*Tariefsopbouw!$D$40</f>
        <v>0</v>
      </c>
      <c r="AE105" s="60">
        <f>Ruimtestaat[[#This Row],[Prest. (m2 /jaar) weekend]]+Ruimtestaat[[#This Row],[Prest. (m2 /jaar) werkdagen]]</f>
        <v>0</v>
      </c>
      <c r="AF105" s="60">
        <f>Ruimtestaat[[#This Row],[uren / jaar weekend]]+Ruimtestaat[[#This Row],[uren / jaar werkdagen]]</f>
        <v>0</v>
      </c>
      <c r="AG105" s="61">
        <f>Ruimtestaat[[#This Row],[kosten / jaar weekend]]+Ruimtestaat[[#This Row],[kosten / jaar werkdagen]]</f>
        <v>0</v>
      </c>
      <c r="AH105" s="92"/>
      <c r="HL105" s="59"/>
    </row>
    <row r="106" spans="1:220">
      <c r="A106" s="24">
        <v>1</v>
      </c>
      <c r="B106" s="24" t="str">
        <f>VLOOKUP(Ruimtestaat[[#This Row],[Code]],Locaties[#All],2,FALSE)</f>
        <v>Boerhaave + buitenunits</v>
      </c>
      <c r="C106" s="24" t="str">
        <f>VLOOKUP(Ruimtestaat[[#This Row],[Code]],Locaties[#All],4,FALSE)</f>
        <v>Herman Boerhaavelaan 1</v>
      </c>
      <c r="D106" s="24" t="str">
        <f>VLOOKUP(Ruimtestaat[[#This Row],[Code]],Locaties[#All],5,FALSE)</f>
        <v>7415 ES</v>
      </c>
      <c r="E106" s="24" t="str">
        <f>VLOOKUP(Ruimtestaat[[#This Row],[Code]],Locaties[#All],6,FALSE)</f>
        <v>Deventer</v>
      </c>
      <c r="F106" s="54"/>
      <c r="G106" s="24" t="s">
        <v>512</v>
      </c>
      <c r="H106" s="28" t="s">
        <v>528</v>
      </c>
      <c r="I106" s="4" t="s">
        <v>524</v>
      </c>
      <c r="J106" s="24">
        <v>22</v>
      </c>
      <c r="K106" s="54" t="str">
        <f>VLOOKUP(J106,Ruimtegroepen[],2,FALSE)</f>
        <v>Niet in onderhoud</v>
      </c>
      <c r="L106" s="24" t="s">
        <v>311</v>
      </c>
      <c r="M106" s="24" t="s">
        <v>370</v>
      </c>
      <c r="N106" s="83"/>
      <c r="O106" s="83">
        <v>14.58</v>
      </c>
      <c r="P106" s="93" t="str">
        <f>LEFT(VLOOKUP(Ruimtestaat[[#This Row],[Ruimte code]],Ruimtegroepen[#All],4,1),2)</f>
        <v/>
      </c>
      <c r="Q106" s="93"/>
      <c r="R106" s="84"/>
      <c r="S106" s="84"/>
      <c r="T106" s="85">
        <f>IF(R106&gt;0,IF(RIGHT(Ruimtestaat[[#This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6" s="85">
        <f>IF(T106&gt;0,VLOOKUP($J106,Ruimtegroepen[],3,FALSE)*VLOOKUP($L106,Vloersoorten[],3,FALSE)*VLOOKUP($S106,Frequenties[],3,FALSE)*VLOOKUP($A106,Locaties[],3,FALSE),0)</f>
        <v>0</v>
      </c>
      <c r="V106" s="86">
        <f>Ruimtestaat[[#This Row],[Uitvoeringen werkdagen]]*Ruimtestaat[[#This Row],[Oppervlak (netto)]]</f>
        <v>0</v>
      </c>
      <c r="W106" s="87">
        <f>IF(U106&gt;0,Ruimtestaat[[#This Row],[Prest. (m2 /jaar) werkdagen]]/Ruimtestaat[[#This Row],[Norm (m2/uur) werkdagen]],0)</f>
        <v>0</v>
      </c>
      <c r="X106" s="88">
        <f>Ruimtestaat[[#This Row],[uren / jaar werkdagen]]*Tariefsopbouw!$E$35</f>
        <v>0</v>
      </c>
      <c r="Y106" s="85"/>
      <c r="Z106" s="89">
        <f>IF(Ruimtestaat[[#This Row],[Frequentie weekend]]&gt;0,VALUE(LEFT(Y106,1))*R106,0)</f>
        <v>0</v>
      </c>
      <c r="AA106" s="85">
        <f>IF($Z106&gt;0,VLOOKUP($J106,Ruimtegroepen[],3,FALSE)*VLOOKUP($L106,Vloersoorten[],3,FALSE)*VLOOKUP($Y106,Frequenties[],3,FALSE)*VLOOKUP($A102,Locaties[],3,FALSE),0)</f>
        <v>0</v>
      </c>
      <c r="AB106" s="87">
        <f>Ruimtestaat[[#This Row],[Uitvoeringen weekend]]*Ruimtestaat[[#This Row],[Oppervlak (netto)]]</f>
        <v>0</v>
      </c>
      <c r="AC106" s="90">
        <f>IF(AB106&gt;0,Ruimtestaat[[#This Row],[Prest. (m2 /jaar) weekend]]/Ruimtestaat[[#This Row],[Norm (m2/uur) weekend]],0)</f>
        <v>0</v>
      </c>
      <c r="AD106" s="91">
        <f>Ruimtestaat[[#This Row],[uren / jaar weekend]]*Tariefsopbouw!$D$40</f>
        <v>0</v>
      </c>
      <c r="AE106" s="60">
        <f>Ruimtestaat[[#This Row],[Prest. (m2 /jaar) weekend]]+Ruimtestaat[[#This Row],[Prest. (m2 /jaar) werkdagen]]</f>
        <v>0</v>
      </c>
      <c r="AF106" s="60">
        <f>Ruimtestaat[[#This Row],[uren / jaar weekend]]+Ruimtestaat[[#This Row],[uren / jaar werkdagen]]</f>
        <v>0</v>
      </c>
      <c r="AG106" s="61">
        <f>Ruimtestaat[[#This Row],[kosten / jaar weekend]]+Ruimtestaat[[#This Row],[kosten / jaar werkdagen]]</f>
        <v>0</v>
      </c>
      <c r="AH106" s="92"/>
      <c r="HL106" s="59"/>
    </row>
    <row r="107" spans="1:220">
      <c r="A107" s="24">
        <v>1</v>
      </c>
      <c r="B107" s="24" t="str">
        <f>VLOOKUP(Ruimtestaat[[#This Row],[Code]],Locaties[#All],2,FALSE)</f>
        <v>Boerhaave + buitenunits</v>
      </c>
      <c r="C107" s="24" t="str">
        <f>VLOOKUP(Ruimtestaat[[#This Row],[Code]],Locaties[#All],4,FALSE)</f>
        <v>Herman Boerhaavelaan 1</v>
      </c>
      <c r="D107" s="24" t="str">
        <f>VLOOKUP(Ruimtestaat[[#This Row],[Code]],Locaties[#All],5,FALSE)</f>
        <v>7415 ES</v>
      </c>
      <c r="E107" s="24" t="str">
        <f>VLOOKUP(Ruimtestaat[[#This Row],[Code]],Locaties[#All],6,FALSE)</f>
        <v>Deventer</v>
      </c>
      <c r="F107" s="54"/>
      <c r="G107" s="24" t="s">
        <v>512</v>
      </c>
      <c r="H107" s="28" t="s">
        <v>529</v>
      </c>
      <c r="I107" s="4" t="s">
        <v>530</v>
      </c>
      <c r="J107" s="24">
        <v>16</v>
      </c>
      <c r="K107" s="54" t="str">
        <f>VLOOKUP(J107,Ruimtegroepen[],2,FALSE)</f>
        <v>Leslokalen theorie</v>
      </c>
      <c r="L107" s="24" t="s">
        <v>311</v>
      </c>
      <c r="M107" s="24" t="s">
        <v>370</v>
      </c>
      <c r="N107" s="83">
        <v>43.59</v>
      </c>
      <c r="O107" s="83"/>
      <c r="P107" s="93" t="str">
        <f>LEFT(VLOOKUP(Ruimtestaat[[#This Row],[Ruimte code]],Ruimtegroepen[#All],4,1),2)</f>
        <v>Le</v>
      </c>
      <c r="Q107" s="93"/>
      <c r="R107" s="84">
        <v>40</v>
      </c>
      <c r="S107" s="84" t="s">
        <v>318</v>
      </c>
      <c r="T107" s="85">
        <f>IF(R107&gt;0,IF(RIGHT(Ruimtestaat[[#This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" s="85">
        <f>IF(T107&gt;0,VLOOKUP($J107,Ruimtegroepen[],3,FALSE)*VLOOKUP($L107,Vloersoorten[],3,FALSE)*VLOOKUP($S107,Frequenties[],3,FALSE)*VLOOKUP($A107,Locaties[],3,FALSE),0)</f>
        <v>0</v>
      </c>
      <c r="V107" s="86">
        <f>Ruimtestaat[[#This Row],[Uitvoeringen werkdagen]]*Ruimtestaat[[#This Row],[Oppervlak (netto)]]</f>
        <v>8718</v>
      </c>
      <c r="W107" s="87">
        <f>IF(U107&gt;0,Ruimtestaat[[#This Row],[Prest. (m2 /jaar) werkdagen]]/Ruimtestaat[[#This Row],[Norm (m2/uur) werkdagen]],0)</f>
        <v>0</v>
      </c>
      <c r="X107" s="88">
        <f>Ruimtestaat[[#This Row],[uren / jaar werkdagen]]*Tariefsopbouw!$E$35</f>
        <v>0</v>
      </c>
      <c r="Y107" s="85"/>
      <c r="Z107" s="89">
        <f>IF(Ruimtestaat[[#This Row],[Frequentie weekend]]&gt;0,VALUE(LEFT(Y107,1))*R107,0)</f>
        <v>0</v>
      </c>
      <c r="AA107" s="85">
        <f>IF($Z107&gt;0,VLOOKUP($J107,Ruimtegroepen[],3,FALSE)*VLOOKUP($L107,Vloersoorten[],3,FALSE)*VLOOKUP($Y107,Frequenties[],3,FALSE)*VLOOKUP($A103,Locaties[],3,FALSE),0)</f>
        <v>0</v>
      </c>
      <c r="AB107" s="87">
        <f>Ruimtestaat[[#This Row],[Uitvoeringen weekend]]*Ruimtestaat[[#This Row],[Oppervlak (netto)]]</f>
        <v>0</v>
      </c>
      <c r="AC107" s="90">
        <f>IF(AB107&gt;0,Ruimtestaat[[#This Row],[Prest. (m2 /jaar) weekend]]/Ruimtestaat[[#This Row],[Norm (m2/uur) weekend]],0)</f>
        <v>0</v>
      </c>
      <c r="AD107" s="91">
        <f>Ruimtestaat[[#This Row],[uren / jaar weekend]]*Tariefsopbouw!$D$40</f>
        <v>0</v>
      </c>
      <c r="AE107" s="60">
        <f>Ruimtestaat[[#This Row],[Prest. (m2 /jaar) weekend]]+Ruimtestaat[[#This Row],[Prest. (m2 /jaar) werkdagen]]</f>
        <v>8718</v>
      </c>
      <c r="AF107" s="60">
        <f>Ruimtestaat[[#This Row],[uren / jaar weekend]]+Ruimtestaat[[#This Row],[uren / jaar werkdagen]]</f>
        <v>0</v>
      </c>
      <c r="AG107" s="61">
        <f>Ruimtestaat[[#This Row],[kosten / jaar weekend]]+Ruimtestaat[[#This Row],[kosten / jaar werkdagen]]</f>
        <v>0</v>
      </c>
      <c r="AH107" s="92"/>
      <c r="HL107" s="59"/>
    </row>
    <row r="108" spans="1:220">
      <c r="A108" s="24">
        <v>1</v>
      </c>
      <c r="B108" s="24" t="str">
        <f>VLOOKUP(Ruimtestaat[[#This Row],[Code]],Locaties[#All],2,FALSE)</f>
        <v>Boerhaave + buitenunits</v>
      </c>
      <c r="C108" s="24" t="str">
        <f>VLOOKUP(Ruimtestaat[[#This Row],[Code]],Locaties[#All],4,FALSE)</f>
        <v>Herman Boerhaavelaan 1</v>
      </c>
      <c r="D108" s="24" t="str">
        <f>VLOOKUP(Ruimtestaat[[#This Row],[Code]],Locaties[#All],5,FALSE)</f>
        <v>7415 ES</v>
      </c>
      <c r="E108" s="24" t="str">
        <f>VLOOKUP(Ruimtestaat[[#This Row],[Code]],Locaties[#All],6,FALSE)</f>
        <v>Deventer</v>
      </c>
      <c r="F108" s="54"/>
      <c r="G108" s="24" t="s">
        <v>512</v>
      </c>
      <c r="H108" s="28" t="s">
        <v>531</v>
      </c>
      <c r="I108" s="4" t="s">
        <v>530</v>
      </c>
      <c r="J108" s="24">
        <v>16</v>
      </c>
      <c r="K108" s="54" t="str">
        <f>VLOOKUP(J108,Ruimtegroepen[],2,FALSE)</f>
        <v>Leslokalen theorie</v>
      </c>
      <c r="L108" s="24" t="s">
        <v>311</v>
      </c>
      <c r="M108" s="24" t="s">
        <v>370</v>
      </c>
      <c r="N108" s="83">
        <v>43.59</v>
      </c>
      <c r="O108" s="83"/>
      <c r="P108" s="93" t="str">
        <f>LEFT(VLOOKUP(Ruimtestaat[[#This Row],[Ruimte code]],Ruimtegroepen[#All],4,1),2)</f>
        <v>Le</v>
      </c>
      <c r="Q108" s="93"/>
      <c r="R108" s="84">
        <v>40</v>
      </c>
      <c r="S108" s="84" t="s">
        <v>318</v>
      </c>
      <c r="T108" s="85">
        <f>IF(R108&gt;0,IF(RIGHT(Ruimtestaat[[#This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8" s="85">
        <f>IF(T108&gt;0,VLOOKUP($J108,Ruimtegroepen[],3,FALSE)*VLOOKUP($L108,Vloersoorten[],3,FALSE)*VLOOKUP($S108,Frequenties[],3,FALSE)*VLOOKUP($A108,Locaties[],3,FALSE),0)</f>
        <v>0</v>
      </c>
      <c r="V108" s="86">
        <f>Ruimtestaat[[#This Row],[Uitvoeringen werkdagen]]*Ruimtestaat[[#This Row],[Oppervlak (netto)]]</f>
        <v>8718</v>
      </c>
      <c r="W108" s="87">
        <f>IF(U108&gt;0,Ruimtestaat[[#This Row],[Prest. (m2 /jaar) werkdagen]]/Ruimtestaat[[#This Row],[Norm (m2/uur) werkdagen]],0)</f>
        <v>0</v>
      </c>
      <c r="X108" s="88">
        <f>Ruimtestaat[[#This Row],[uren / jaar werkdagen]]*Tariefsopbouw!$E$35</f>
        <v>0</v>
      </c>
      <c r="Y108" s="85"/>
      <c r="Z108" s="89">
        <f>IF(Ruimtestaat[[#This Row],[Frequentie weekend]]&gt;0,VALUE(LEFT(Y108,1))*R108,0)</f>
        <v>0</v>
      </c>
      <c r="AA108" s="85">
        <f>IF($Z108&gt;0,VLOOKUP($J108,Ruimtegroepen[],3,FALSE)*VLOOKUP($L108,Vloersoorten[],3,FALSE)*VLOOKUP($Y108,Frequenties[],3,FALSE)*VLOOKUP($A103,Locaties[],3,FALSE),0)</f>
        <v>0</v>
      </c>
      <c r="AB108" s="87">
        <f>Ruimtestaat[[#This Row],[Uitvoeringen weekend]]*Ruimtestaat[[#This Row],[Oppervlak (netto)]]</f>
        <v>0</v>
      </c>
      <c r="AC108" s="90">
        <f>IF(AB108&gt;0,Ruimtestaat[[#This Row],[Prest. (m2 /jaar) weekend]]/Ruimtestaat[[#This Row],[Norm (m2/uur) weekend]],0)</f>
        <v>0</v>
      </c>
      <c r="AD108" s="91">
        <f>Ruimtestaat[[#This Row],[uren / jaar weekend]]*Tariefsopbouw!$D$40</f>
        <v>0</v>
      </c>
      <c r="AE108" s="60">
        <f>Ruimtestaat[[#This Row],[Prest. (m2 /jaar) weekend]]+Ruimtestaat[[#This Row],[Prest. (m2 /jaar) werkdagen]]</f>
        <v>8718</v>
      </c>
      <c r="AF108" s="60">
        <f>Ruimtestaat[[#This Row],[uren / jaar weekend]]+Ruimtestaat[[#This Row],[uren / jaar werkdagen]]</f>
        <v>0</v>
      </c>
      <c r="AG108" s="61">
        <f>Ruimtestaat[[#This Row],[kosten / jaar weekend]]+Ruimtestaat[[#This Row],[kosten / jaar werkdagen]]</f>
        <v>0</v>
      </c>
      <c r="AH108" s="92"/>
      <c r="HL108" s="59"/>
    </row>
    <row r="109" spans="1:220">
      <c r="A109" s="24">
        <v>1</v>
      </c>
      <c r="B109" s="24" t="str">
        <f>VLOOKUP(Ruimtestaat[[#This Row],[Code]],Locaties[#All],2,FALSE)</f>
        <v>Boerhaave + buitenunits</v>
      </c>
      <c r="C109" s="24" t="str">
        <f>VLOOKUP(Ruimtestaat[[#This Row],[Code]],Locaties[#All],4,FALSE)</f>
        <v>Herman Boerhaavelaan 1</v>
      </c>
      <c r="D109" s="24" t="str">
        <f>VLOOKUP(Ruimtestaat[[#This Row],[Code]],Locaties[#All],5,FALSE)</f>
        <v>7415 ES</v>
      </c>
      <c r="E109" s="24" t="str">
        <f>VLOOKUP(Ruimtestaat[[#This Row],[Code]],Locaties[#All],6,FALSE)</f>
        <v>Deventer</v>
      </c>
      <c r="F109" s="54"/>
      <c r="G109" s="24" t="s">
        <v>512</v>
      </c>
      <c r="H109" s="28" t="s">
        <v>532</v>
      </c>
      <c r="I109" s="4" t="s">
        <v>530</v>
      </c>
      <c r="J109" s="24">
        <v>16</v>
      </c>
      <c r="K109" s="54" t="str">
        <f>VLOOKUP(J109,Ruimtegroepen[],2,FALSE)</f>
        <v>Leslokalen theorie</v>
      </c>
      <c r="L109" s="24" t="s">
        <v>311</v>
      </c>
      <c r="M109" s="24" t="s">
        <v>370</v>
      </c>
      <c r="N109" s="83">
        <v>43.59</v>
      </c>
      <c r="O109" s="83"/>
      <c r="P109" s="93" t="str">
        <f>LEFT(VLOOKUP(Ruimtestaat[[#This Row],[Ruimte code]],Ruimtegroepen[#All],4,1),2)</f>
        <v>Le</v>
      </c>
      <c r="Q109" s="93"/>
      <c r="R109" s="84">
        <v>40</v>
      </c>
      <c r="S109" s="84" t="s">
        <v>318</v>
      </c>
      <c r="T109" s="85">
        <f>IF(R109&gt;0,IF(RIGHT(Ruimtestaat[[#This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9" s="85">
        <f>IF(T109&gt;0,VLOOKUP($J109,Ruimtegroepen[],3,FALSE)*VLOOKUP($L109,Vloersoorten[],3,FALSE)*VLOOKUP($S109,Frequenties[],3,FALSE)*VLOOKUP($A109,Locaties[],3,FALSE),0)</f>
        <v>0</v>
      </c>
      <c r="V109" s="86">
        <f>Ruimtestaat[[#This Row],[Uitvoeringen werkdagen]]*Ruimtestaat[[#This Row],[Oppervlak (netto)]]</f>
        <v>8718</v>
      </c>
      <c r="W109" s="87">
        <f>IF(U109&gt;0,Ruimtestaat[[#This Row],[Prest. (m2 /jaar) werkdagen]]/Ruimtestaat[[#This Row],[Norm (m2/uur) werkdagen]],0)</f>
        <v>0</v>
      </c>
      <c r="X109" s="88">
        <f>Ruimtestaat[[#This Row],[uren / jaar werkdagen]]*Tariefsopbouw!$E$35</f>
        <v>0</v>
      </c>
      <c r="Y109" s="85"/>
      <c r="Z109" s="89">
        <f>IF(Ruimtestaat[[#This Row],[Frequentie weekend]]&gt;0,VALUE(LEFT(Y109,1))*R109,0)</f>
        <v>0</v>
      </c>
      <c r="AA109" s="85">
        <f>IF($Z109&gt;0,VLOOKUP($J109,Ruimtegroepen[],3,FALSE)*VLOOKUP($L109,Vloersoorten[],3,FALSE)*VLOOKUP($Y109,Frequenties[],3,FALSE)*VLOOKUP($A104,Locaties[],3,FALSE),0)</f>
        <v>0</v>
      </c>
      <c r="AB109" s="87">
        <f>Ruimtestaat[[#This Row],[Uitvoeringen weekend]]*Ruimtestaat[[#This Row],[Oppervlak (netto)]]</f>
        <v>0</v>
      </c>
      <c r="AC109" s="90">
        <f>IF(AB109&gt;0,Ruimtestaat[[#This Row],[Prest. (m2 /jaar) weekend]]/Ruimtestaat[[#This Row],[Norm (m2/uur) weekend]],0)</f>
        <v>0</v>
      </c>
      <c r="AD109" s="91">
        <f>Ruimtestaat[[#This Row],[uren / jaar weekend]]*Tariefsopbouw!$D$40</f>
        <v>0</v>
      </c>
      <c r="AE109" s="60">
        <f>Ruimtestaat[[#This Row],[Prest. (m2 /jaar) weekend]]+Ruimtestaat[[#This Row],[Prest. (m2 /jaar) werkdagen]]</f>
        <v>8718</v>
      </c>
      <c r="AF109" s="60">
        <f>Ruimtestaat[[#This Row],[uren / jaar weekend]]+Ruimtestaat[[#This Row],[uren / jaar werkdagen]]</f>
        <v>0</v>
      </c>
      <c r="AG109" s="61">
        <f>Ruimtestaat[[#This Row],[kosten / jaar weekend]]+Ruimtestaat[[#This Row],[kosten / jaar werkdagen]]</f>
        <v>0</v>
      </c>
      <c r="AH109" s="92"/>
      <c r="HL109" s="59"/>
    </row>
    <row r="110" spans="1:220">
      <c r="A110" s="24">
        <v>1</v>
      </c>
      <c r="B110" s="24" t="str">
        <f>VLOOKUP(Ruimtestaat[[#This Row],[Code]],Locaties[#All],2,FALSE)</f>
        <v>Boerhaave + buitenunits</v>
      </c>
      <c r="C110" s="24" t="str">
        <f>VLOOKUP(Ruimtestaat[[#This Row],[Code]],Locaties[#All],4,FALSE)</f>
        <v>Herman Boerhaavelaan 1</v>
      </c>
      <c r="D110" s="24" t="str">
        <f>VLOOKUP(Ruimtestaat[[#This Row],[Code]],Locaties[#All],5,FALSE)</f>
        <v>7415 ES</v>
      </c>
      <c r="E110" s="24" t="str">
        <f>VLOOKUP(Ruimtestaat[[#This Row],[Code]],Locaties[#All],6,FALSE)</f>
        <v>Deventer</v>
      </c>
      <c r="F110" s="54"/>
      <c r="G110" s="24" t="s">
        <v>512</v>
      </c>
      <c r="H110" s="28" t="s">
        <v>533</v>
      </c>
      <c r="I110" s="4" t="s">
        <v>530</v>
      </c>
      <c r="J110" s="24">
        <v>16</v>
      </c>
      <c r="K110" s="54" t="str">
        <f>VLOOKUP(J110,Ruimtegroepen[],2,FALSE)</f>
        <v>Leslokalen theorie</v>
      </c>
      <c r="L110" s="24" t="s">
        <v>311</v>
      </c>
      <c r="M110" s="24" t="s">
        <v>370</v>
      </c>
      <c r="N110" s="83">
        <v>43.59</v>
      </c>
      <c r="O110" s="83"/>
      <c r="P110" s="93" t="str">
        <f>LEFT(VLOOKUP(Ruimtestaat[[#This Row],[Ruimte code]],Ruimtegroepen[#All],4,1),2)</f>
        <v>Le</v>
      </c>
      <c r="Q110" s="93"/>
      <c r="R110" s="84">
        <v>40</v>
      </c>
      <c r="S110" s="84" t="s">
        <v>318</v>
      </c>
      <c r="T110" s="85">
        <f>IF(R110&gt;0,IF(RIGHT(Ruimtestaat[[#This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" s="85">
        <f>IF(T110&gt;0,VLOOKUP($J110,Ruimtegroepen[],3,FALSE)*VLOOKUP($L110,Vloersoorten[],3,FALSE)*VLOOKUP($S110,Frequenties[],3,FALSE)*VLOOKUP($A110,Locaties[],3,FALSE),0)</f>
        <v>0</v>
      </c>
      <c r="V110" s="86">
        <f>Ruimtestaat[[#This Row],[Uitvoeringen werkdagen]]*Ruimtestaat[[#This Row],[Oppervlak (netto)]]</f>
        <v>8718</v>
      </c>
      <c r="W110" s="87">
        <f>IF(U110&gt;0,Ruimtestaat[[#This Row],[Prest. (m2 /jaar) werkdagen]]/Ruimtestaat[[#This Row],[Norm (m2/uur) werkdagen]],0)</f>
        <v>0</v>
      </c>
      <c r="X110" s="88">
        <f>Ruimtestaat[[#This Row],[uren / jaar werkdagen]]*Tariefsopbouw!$E$35</f>
        <v>0</v>
      </c>
      <c r="Y110" s="85"/>
      <c r="Z110" s="89">
        <f>IF(Ruimtestaat[[#This Row],[Frequentie weekend]]&gt;0,VALUE(LEFT(Y110,1))*R110,0)</f>
        <v>0</v>
      </c>
      <c r="AA110" s="85">
        <f>IF($Z110&gt;0,VLOOKUP($J110,Ruimtegroepen[],3,FALSE)*VLOOKUP($L110,Vloersoorten[],3,FALSE)*VLOOKUP($Y110,Frequenties[],3,FALSE)*VLOOKUP($A105,Locaties[],3,FALSE),0)</f>
        <v>0</v>
      </c>
      <c r="AB110" s="87">
        <f>Ruimtestaat[[#This Row],[Uitvoeringen weekend]]*Ruimtestaat[[#This Row],[Oppervlak (netto)]]</f>
        <v>0</v>
      </c>
      <c r="AC110" s="90">
        <f>IF(AB110&gt;0,Ruimtestaat[[#This Row],[Prest. (m2 /jaar) weekend]]/Ruimtestaat[[#This Row],[Norm (m2/uur) weekend]],0)</f>
        <v>0</v>
      </c>
      <c r="AD110" s="91">
        <f>Ruimtestaat[[#This Row],[uren / jaar weekend]]*Tariefsopbouw!$D$40</f>
        <v>0</v>
      </c>
      <c r="AE110" s="60">
        <f>Ruimtestaat[[#This Row],[Prest. (m2 /jaar) weekend]]+Ruimtestaat[[#This Row],[Prest. (m2 /jaar) werkdagen]]</f>
        <v>8718</v>
      </c>
      <c r="AF110" s="60">
        <f>Ruimtestaat[[#This Row],[uren / jaar weekend]]+Ruimtestaat[[#This Row],[uren / jaar werkdagen]]</f>
        <v>0</v>
      </c>
      <c r="AG110" s="61">
        <f>Ruimtestaat[[#This Row],[kosten / jaar weekend]]+Ruimtestaat[[#This Row],[kosten / jaar werkdagen]]</f>
        <v>0</v>
      </c>
      <c r="AH110" s="92"/>
      <c r="HL110" s="59"/>
    </row>
    <row r="111" spans="1:220">
      <c r="A111" s="24">
        <v>1</v>
      </c>
      <c r="B111" s="24" t="str">
        <f>VLOOKUP(Ruimtestaat[[#This Row],[Code]],Locaties[#All],2,FALSE)</f>
        <v>Boerhaave + buitenunits</v>
      </c>
      <c r="C111" s="24" t="str">
        <f>VLOOKUP(Ruimtestaat[[#This Row],[Code]],Locaties[#All],4,FALSE)</f>
        <v>Herman Boerhaavelaan 1</v>
      </c>
      <c r="D111" s="24" t="str">
        <f>VLOOKUP(Ruimtestaat[[#This Row],[Code]],Locaties[#All],5,FALSE)</f>
        <v>7415 ES</v>
      </c>
      <c r="E111" s="24" t="str">
        <f>VLOOKUP(Ruimtestaat[[#This Row],[Code]],Locaties[#All],6,FALSE)</f>
        <v>Deventer</v>
      </c>
      <c r="F111" s="54"/>
      <c r="G111" s="24" t="s">
        <v>512</v>
      </c>
      <c r="H111" s="28" t="s">
        <v>534</v>
      </c>
      <c r="I111" s="4" t="s">
        <v>535</v>
      </c>
      <c r="J111" s="24">
        <v>22</v>
      </c>
      <c r="K111" s="54" t="str">
        <f>VLOOKUP(J111,Ruimtegroepen[],2,FALSE)</f>
        <v>Niet in onderhoud</v>
      </c>
      <c r="L111" s="24" t="s">
        <v>305</v>
      </c>
      <c r="M111" s="24" t="s">
        <v>376</v>
      </c>
      <c r="N111" s="83"/>
      <c r="O111" s="83">
        <v>1.91</v>
      </c>
      <c r="P111" s="93" t="str">
        <f>LEFT(VLOOKUP(Ruimtestaat[[#This Row],[Ruimte code]],Ruimtegroepen[#All],4,1),2)</f>
        <v/>
      </c>
      <c r="Q111" s="93"/>
      <c r="R111" s="84"/>
      <c r="S111" s="84"/>
      <c r="T111" s="85">
        <f>IF(R111&gt;0,IF(RIGHT(Ruimtestaat[[#This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1" s="85">
        <f>IF(T111&gt;0,VLOOKUP($J111,Ruimtegroepen[],3,FALSE)*VLOOKUP($L111,Vloersoorten[],3,FALSE)*VLOOKUP($S111,Frequenties[],3,FALSE)*VLOOKUP($A111,Locaties[],3,FALSE),0)</f>
        <v>0</v>
      </c>
      <c r="V111" s="86">
        <f>Ruimtestaat[[#This Row],[Uitvoeringen werkdagen]]*Ruimtestaat[[#This Row],[Oppervlak (netto)]]</f>
        <v>0</v>
      </c>
      <c r="W111" s="87">
        <f>IF(U111&gt;0,Ruimtestaat[[#This Row],[Prest. (m2 /jaar) werkdagen]]/Ruimtestaat[[#This Row],[Norm (m2/uur) werkdagen]],0)</f>
        <v>0</v>
      </c>
      <c r="X111" s="88">
        <f>Ruimtestaat[[#This Row],[uren / jaar werkdagen]]*Tariefsopbouw!$E$35</f>
        <v>0</v>
      </c>
      <c r="Y111" s="85"/>
      <c r="Z111" s="89">
        <f>IF(Ruimtestaat[[#This Row],[Frequentie weekend]]&gt;0,VALUE(LEFT(Y111,1))*R111,0)</f>
        <v>0</v>
      </c>
      <c r="AA111" s="85">
        <f>IF($Z111&gt;0,VLOOKUP($J111,Ruimtegroepen[],3,FALSE)*VLOOKUP($L111,Vloersoorten[],3,FALSE)*VLOOKUP($Y111,Frequenties[],3,FALSE)*VLOOKUP($A106,Locaties[],3,FALSE),0)</f>
        <v>0</v>
      </c>
      <c r="AB111" s="87">
        <f>Ruimtestaat[[#This Row],[Uitvoeringen weekend]]*Ruimtestaat[[#This Row],[Oppervlak (netto)]]</f>
        <v>0</v>
      </c>
      <c r="AC111" s="90">
        <f>IF(AB111&gt;0,Ruimtestaat[[#This Row],[Prest. (m2 /jaar) weekend]]/Ruimtestaat[[#This Row],[Norm (m2/uur) weekend]],0)</f>
        <v>0</v>
      </c>
      <c r="AD111" s="91">
        <f>Ruimtestaat[[#This Row],[uren / jaar weekend]]*Tariefsopbouw!$D$40</f>
        <v>0</v>
      </c>
      <c r="AE111" s="60">
        <f>Ruimtestaat[[#This Row],[Prest. (m2 /jaar) weekend]]+Ruimtestaat[[#This Row],[Prest. (m2 /jaar) werkdagen]]</f>
        <v>0</v>
      </c>
      <c r="AF111" s="60">
        <f>Ruimtestaat[[#This Row],[uren / jaar weekend]]+Ruimtestaat[[#This Row],[uren / jaar werkdagen]]</f>
        <v>0</v>
      </c>
      <c r="AG111" s="61">
        <f>Ruimtestaat[[#This Row],[kosten / jaar weekend]]+Ruimtestaat[[#This Row],[kosten / jaar werkdagen]]</f>
        <v>0</v>
      </c>
      <c r="AH111" s="92"/>
      <c r="HL111" s="59"/>
    </row>
    <row r="112" spans="1:220">
      <c r="A112" s="24">
        <v>1</v>
      </c>
      <c r="B112" s="24" t="str">
        <f>VLOOKUP(Ruimtestaat[[#This Row],[Code]],Locaties[#All],2,FALSE)</f>
        <v>Boerhaave + buitenunits</v>
      </c>
      <c r="C112" s="24" t="str">
        <f>VLOOKUP(Ruimtestaat[[#This Row],[Code]],Locaties[#All],4,FALSE)</f>
        <v>Herman Boerhaavelaan 1</v>
      </c>
      <c r="D112" s="24" t="str">
        <f>VLOOKUP(Ruimtestaat[[#This Row],[Code]],Locaties[#All],5,FALSE)</f>
        <v>7415 ES</v>
      </c>
      <c r="E112" s="24" t="str">
        <f>VLOOKUP(Ruimtestaat[[#This Row],[Code]],Locaties[#All],6,FALSE)</f>
        <v>Deventer</v>
      </c>
      <c r="F112" s="54"/>
      <c r="G112" s="24" t="s">
        <v>512</v>
      </c>
      <c r="H112" s="28" t="s">
        <v>536</v>
      </c>
      <c r="I112" s="4" t="s">
        <v>413</v>
      </c>
      <c r="J112" s="24">
        <v>5</v>
      </c>
      <c r="K112" s="54" t="str">
        <f>VLOOKUP(J112,Ruimtegroepen[],2,FALSE)</f>
        <v>Sanitair</v>
      </c>
      <c r="L112" s="24" t="s">
        <v>305</v>
      </c>
      <c r="M112" s="24" t="s">
        <v>400</v>
      </c>
      <c r="N112" s="83">
        <v>16.14</v>
      </c>
      <c r="O112" s="83"/>
      <c r="P112" s="93" t="str">
        <f>LEFT(VLOOKUP(Ruimtestaat[[#This Row],[Ruimte code]],Ruimtegroepen[#All],4,1),2)</f>
        <v>Sa</v>
      </c>
      <c r="Q112" s="93"/>
      <c r="R112" s="84">
        <v>42</v>
      </c>
      <c r="S112" s="84" t="s">
        <v>316</v>
      </c>
      <c r="T112" s="85">
        <f>IF(R112&gt;0,IF(RIGHT(Ruimtestaat[[#This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2" s="85">
        <f>IF(T112&gt;0,VLOOKUP($J112,Ruimtegroepen[],3,FALSE)*VLOOKUP($L112,Vloersoorten[],3,FALSE)*VLOOKUP($S112,Frequenties[],3,FALSE)*VLOOKUP($A112,Locaties[],3,FALSE),0)</f>
        <v>0</v>
      </c>
      <c r="V112" s="86">
        <f>Ruimtestaat[[#This Row],[Uitvoeringen werkdagen]]*Ruimtestaat[[#This Row],[Oppervlak (netto)]]</f>
        <v>6778.8</v>
      </c>
      <c r="W112" s="87">
        <f>IF(U112&gt;0,Ruimtestaat[[#This Row],[Prest. (m2 /jaar) werkdagen]]/Ruimtestaat[[#This Row],[Norm (m2/uur) werkdagen]],0)</f>
        <v>0</v>
      </c>
      <c r="X112" s="88">
        <f>Ruimtestaat[[#This Row],[uren / jaar werkdagen]]*Tariefsopbouw!$E$35</f>
        <v>0</v>
      </c>
      <c r="Y112" s="85"/>
      <c r="Z112" s="89">
        <f>IF(Ruimtestaat[[#This Row],[Frequentie weekend]]&gt;0,VALUE(LEFT(Y112,1))*R112,0)</f>
        <v>0</v>
      </c>
      <c r="AA112" s="85">
        <f>IF($Z112&gt;0,VLOOKUP($J112,Ruimtegroepen[],3,FALSE)*VLOOKUP($L112,Vloersoorten[],3,FALSE)*VLOOKUP($Y112,Frequenties[],3,FALSE)*VLOOKUP($A108,Locaties[],3,FALSE),0)</f>
        <v>0</v>
      </c>
      <c r="AB112" s="87">
        <f>Ruimtestaat[[#This Row],[Uitvoeringen weekend]]*Ruimtestaat[[#This Row],[Oppervlak (netto)]]</f>
        <v>0</v>
      </c>
      <c r="AC112" s="90">
        <f>IF(AB112&gt;0,Ruimtestaat[[#This Row],[Prest. (m2 /jaar) weekend]]/Ruimtestaat[[#This Row],[Norm (m2/uur) weekend]],0)</f>
        <v>0</v>
      </c>
      <c r="AD112" s="91">
        <f>Ruimtestaat[[#This Row],[uren / jaar weekend]]*Tariefsopbouw!$D$40</f>
        <v>0</v>
      </c>
      <c r="AE112" s="60">
        <f>Ruimtestaat[[#This Row],[Prest. (m2 /jaar) weekend]]+Ruimtestaat[[#This Row],[Prest. (m2 /jaar) werkdagen]]</f>
        <v>6778.8</v>
      </c>
      <c r="AF112" s="60">
        <f>Ruimtestaat[[#This Row],[uren / jaar weekend]]+Ruimtestaat[[#This Row],[uren / jaar werkdagen]]</f>
        <v>0</v>
      </c>
      <c r="AG112" s="61">
        <f>Ruimtestaat[[#This Row],[kosten / jaar weekend]]+Ruimtestaat[[#This Row],[kosten / jaar werkdagen]]</f>
        <v>0</v>
      </c>
      <c r="AH112" s="92"/>
      <c r="HL112" s="59"/>
    </row>
    <row r="113" spans="1:220">
      <c r="A113" s="24">
        <v>1</v>
      </c>
      <c r="B113" s="24" t="str">
        <f>VLOOKUP(Ruimtestaat[[#This Row],[Code]],Locaties[#All],2,FALSE)</f>
        <v>Boerhaave + buitenunits</v>
      </c>
      <c r="C113" s="24" t="str">
        <f>VLOOKUP(Ruimtestaat[[#This Row],[Code]],Locaties[#All],4,FALSE)</f>
        <v>Herman Boerhaavelaan 1</v>
      </c>
      <c r="D113" s="24" t="str">
        <f>VLOOKUP(Ruimtestaat[[#This Row],[Code]],Locaties[#All],5,FALSE)</f>
        <v>7415 ES</v>
      </c>
      <c r="E113" s="24" t="str">
        <f>VLOOKUP(Ruimtestaat[[#This Row],[Code]],Locaties[#All],6,FALSE)</f>
        <v>Deventer</v>
      </c>
      <c r="F113" s="54"/>
      <c r="G113" s="24" t="s">
        <v>512</v>
      </c>
      <c r="H113" s="28" t="s">
        <v>537</v>
      </c>
      <c r="I113" s="4" t="s">
        <v>530</v>
      </c>
      <c r="J113" s="24">
        <v>16</v>
      </c>
      <c r="K113" s="54" t="str">
        <f>VLOOKUP(J113,Ruimtegroepen[],2,FALSE)</f>
        <v>Leslokalen theorie</v>
      </c>
      <c r="L113" s="24" t="s">
        <v>311</v>
      </c>
      <c r="M113" s="24" t="s">
        <v>370</v>
      </c>
      <c r="N113" s="83">
        <v>43.59</v>
      </c>
      <c r="O113" s="83"/>
      <c r="P113" s="93" t="str">
        <f>LEFT(VLOOKUP(Ruimtestaat[[#This Row],[Ruimte code]],Ruimtegroepen[#All],4,1),2)</f>
        <v>Le</v>
      </c>
      <c r="Q113" s="93"/>
      <c r="R113" s="84">
        <v>40</v>
      </c>
      <c r="S113" s="84" t="s">
        <v>318</v>
      </c>
      <c r="T113" s="85">
        <f>IF(R113&gt;0,IF(RIGHT(Ruimtestaat[[#This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3" s="85">
        <f>IF(T113&gt;0,VLOOKUP($J113,Ruimtegroepen[],3,FALSE)*VLOOKUP($L113,Vloersoorten[],3,FALSE)*VLOOKUP($S113,Frequenties[],3,FALSE)*VLOOKUP($A113,Locaties[],3,FALSE),0)</f>
        <v>0</v>
      </c>
      <c r="V113" s="86">
        <f>Ruimtestaat[[#This Row],[Uitvoeringen werkdagen]]*Ruimtestaat[[#This Row],[Oppervlak (netto)]]</f>
        <v>8718</v>
      </c>
      <c r="W113" s="87">
        <f>IF(U113&gt;0,Ruimtestaat[[#This Row],[Prest. (m2 /jaar) werkdagen]]/Ruimtestaat[[#This Row],[Norm (m2/uur) werkdagen]],0)</f>
        <v>0</v>
      </c>
      <c r="X113" s="88">
        <f>Ruimtestaat[[#This Row],[uren / jaar werkdagen]]*Tariefsopbouw!$E$35</f>
        <v>0</v>
      </c>
      <c r="Y113" s="85"/>
      <c r="Z113" s="89">
        <f>IF(Ruimtestaat[[#This Row],[Frequentie weekend]]&gt;0,VALUE(LEFT(Y113,1))*R113,0)</f>
        <v>0</v>
      </c>
      <c r="AA113" s="85">
        <f>IF($Z113&gt;0,VLOOKUP($J113,Ruimtegroepen[],3,FALSE)*VLOOKUP($L113,Vloersoorten[],3,FALSE)*VLOOKUP($Y113,Frequenties[],3,FALSE)*VLOOKUP($A109,Locaties[],3,FALSE),0)</f>
        <v>0</v>
      </c>
      <c r="AB113" s="87">
        <f>Ruimtestaat[[#This Row],[Uitvoeringen weekend]]*Ruimtestaat[[#This Row],[Oppervlak (netto)]]</f>
        <v>0</v>
      </c>
      <c r="AC113" s="90">
        <f>IF(AB113&gt;0,Ruimtestaat[[#This Row],[Prest. (m2 /jaar) weekend]]/Ruimtestaat[[#This Row],[Norm (m2/uur) weekend]],0)</f>
        <v>0</v>
      </c>
      <c r="AD113" s="91">
        <f>Ruimtestaat[[#This Row],[uren / jaar weekend]]*Tariefsopbouw!$D$40</f>
        <v>0</v>
      </c>
      <c r="AE113" s="60">
        <f>Ruimtestaat[[#This Row],[Prest. (m2 /jaar) weekend]]+Ruimtestaat[[#This Row],[Prest. (m2 /jaar) werkdagen]]</f>
        <v>8718</v>
      </c>
      <c r="AF113" s="60">
        <f>Ruimtestaat[[#This Row],[uren / jaar weekend]]+Ruimtestaat[[#This Row],[uren / jaar werkdagen]]</f>
        <v>0</v>
      </c>
      <c r="AG113" s="61">
        <f>Ruimtestaat[[#This Row],[kosten / jaar weekend]]+Ruimtestaat[[#This Row],[kosten / jaar werkdagen]]</f>
        <v>0</v>
      </c>
      <c r="AH113" s="92"/>
      <c r="HL113" s="59"/>
    </row>
    <row r="114" spans="1:220">
      <c r="A114" s="24">
        <v>1</v>
      </c>
      <c r="B114" s="24" t="str">
        <f>VLOOKUP(Ruimtestaat[[#This Row],[Code]],Locaties[#All],2,FALSE)</f>
        <v>Boerhaave + buitenunits</v>
      </c>
      <c r="C114" s="24" t="str">
        <f>VLOOKUP(Ruimtestaat[[#This Row],[Code]],Locaties[#All],4,FALSE)</f>
        <v>Herman Boerhaavelaan 1</v>
      </c>
      <c r="D114" s="24" t="str">
        <f>VLOOKUP(Ruimtestaat[[#This Row],[Code]],Locaties[#All],5,FALSE)</f>
        <v>7415 ES</v>
      </c>
      <c r="E114" s="24" t="str">
        <f>VLOOKUP(Ruimtestaat[[#This Row],[Code]],Locaties[#All],6,FALSE)</f>
        <v>Deventer</v>
      </c>
      <c r="F114" s="54"/>
      <c r="G114" s="24" t="s">
        <v>512</v>
      </c>
      <c r="H114" s="28" t="s">
        <v>538</v>
      </c>
      <c r="I114" s="4" t="s">
        <v>539</v>
      </c>
      <c r="J114" s="24">
        <v>22</v>
      </c>
      <c r="K114" s="54" t="str">
        <f>VLOOKUP(J114,Ruimtegroepen[],2,FALSE)</f>
        <v>Niet in onderhoud</v>
      </c>
      <c r="L114" s="24" t="s">
        <v>311</v>
      </c>
      <c r="M114" s="24" t="s">
        <v>370</v>
      </c>
      <c r="N114" s="83"/>
      <c r="O114" s="83">
        <v>14.59</v>
      </c>
      <c r="P114" s="93" t="str">
        <f>LEFT(VLOOKUP(Ruimtestaat[[#This Row],[Ruimte code]],Ruimtegroepen[#All],4,1),2)</f>
        <v/>
      </c>
      <c r="Q114" s="93"/>
      <c r="R114" s="84"/>
      <c r="S114" s="84"/>
      <c r="T114" s="85">
        <f>IF(R114&gt;0,IF(RIGHT(Ruimtestaat[[#This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" s="85">
        <f>IF(T114&gt;0,VLOOKUP($J114,Ruimtegroepen[],3,FALSE)*VLOOKUP($L114,Vloersoorten[],3,FALSE)*VLOOKUP($S114,Frequenties[],3,FALSE)*VLOOKUP($A114,Locaties[],3,FALSE),0)</f>
        <v>0</v>
      </c>
      <c r="V114" s="86">
        <f>Ruimtestaat[[#This Row],[Uitvoeringen werkdagen]]*Ruimtestaat[[#This Row],[Oppervlak (netto)]]</f>
        <v>0</v>
      </c>
      <c r="W114" s="87">
        <f>IF(U114&gt;0,Ruimtestaat[[#This Row],[Prest. (m2 /jaar) werkdagen]]/Ruimtestaat[[#This Row],[Norm (m2/uur) werkdagen]],0)</f>
        <v>0</v>
      </c>
      <c r="X114" s="88">
        <f>Ruimtestaat[[#This Row],[uren / jaar werkdagen]]*Tariefsopbouw!$E$35</f>
        <v>0</v>
      </c>
      <c r="Y114" s="85"/>
      <c r="Z114" s="89">
        <f>IF(Ruimtestaat[[#This Row],[Frequentie weekend]]&gt;0,VALUE(LEFT(Y114,1))*R114,0)</f>
        <v>0</v>
      </c>
      <c r="AA114" s="85">
        <f>IF($Z114&gt;0,VLOOKUP($J114,Ruimtegroepen[],3,FALSE)*VLOOKUP($L114,Vloersoorten[],3,FALSE)*VLOOKUP($Y114,Frequenties[],3,FALSE)*VLOOKUP($A110,Locaties[],3,FALSE),0)</f>
        <v>0</v>
      </c>
      <c r="AB114" s="87">
        <f>Ruimtestaat[[#This Row],[Uitvoeringen weekend]]*Ruimtestaat[[#This Row],[Oppervlak (netto)]]</f>
        <v>0</v>
      </c>
      <c r="AC114" s="90">
        <f>IF(AB114&gt;0,Ruimtestaat[[#This Row],[Prest. (m2 /jaar) weekend]]/Ruimtestaat[[#This Row],[Norm (m2/uur) weekend]],0)</f>
        <v>0</v>
      </c>
      <c r="AD114" s="91">
        <f>Ruimtestaat[[#This Row],[uren / jaar weekend]]*Tariefsopbouw!$D$40</f>
        <v>0</v>
      </c>
      <c r="AE114" s="60">
        <f>Ruimtestaat[[#This Row],[Prest. (m2 /jaar) weekend]]+Ruimtestaat[[#This Row],[Prest. (m2 /jaar) werkdagen]]</f>
        <v>0</v>
      </c>
      <c r="AF114" s="60">
        <f>Ruimtestaat[[#This Row],[uren / jaar weekend]]+Ruimtestaat[[#This Row],[uren / jaar werkdagen]]</f>
        <v>0</v>
      </c>
      <c r="AG114" s="61">
        <f>Ruimtestaat[[#This Row],[kosten / jaar weekend]]+Ruimtestaat[[#This Row],[kosten / jaar werkdagen]]</f>
        <v>0</v>
      </c>
      <c r="AH114" s="92"/>
      <c r="HL114" s="59"/>
    </row>
    <row r="115" spans="1:220">
      <c r="A115" s="24">
        <v>1</v>
      </c>
      <c r="B115" s="24" t="str">
        <f>VLOOKUP(Ruimtestaat[[#This Row],[Code]],Locaties[#All],2,FALSE)</f>
        <v>Boerhaave + buitenunits</v>
      </c>
      <c r="C115" s="24" t="str">
        <f>VLOOKUP(Ruimtestaat[[#This Row],[Code]],Locaties[#All],4,FALSE)</f>
        <v>Herman Boerhaavelaan 1</v>
      </c>
      <c r="D115" s="24" t="str">
        <f>VLOOKUP(Ruimtestaat[[#This Row],[Code]],Locaties[#All],5,FALSE)</f>
        <v>7415 ES</v>
      </c>
      <c r="E115" s="24" t="str">
        <f>VLOOKUP(Ruimtestaat[[#This Row],[Code]],Locaties[#All],6,FALSE)</f>
        <v>Deventer</v>
      </c>
      <c r="F115" s="54"/>
      <c r="G115" s="24" t="s">
        <v>512</v>
      </c>
      <c r="H115" s="28" t="s">
        <v>540</v>
      </c>
      <c r="I115" s="4" t="s">
        <v>541</v>
      </c>
      <c r="J115" s="24">
        <v>2</v>
      </c>
      <c r="K115" s="54" t="str">
        <f>VLOOKUP(J115,Ruimtegroepen[],2,FALSE)</f>
        <v>Kantoren</v>
      </c>
      <c r="L115" s="24" t="s">
        <v>311</v>
      </c>
      <c r="M115" s="24" t="s">
        <v>370</v>
      </c>
      <c r="N115" s="83">
        <v>28.17</v>
      </c>
      <c r="O115" s="83"/>
      <c r="P115" s="93" t="str">
        <f>LEFT(VLOOKUP(Ruimtestaat[[#This Row],[Ruimte code]],Ruimtegroepen[#All],4,1),2)</f>
        <v>Bu</v>
      </c>
      <c r="Q115" s="93"/>
      <c r="R115" s="84">
        <v>42</v>
      </c>
      <c r="S115" s="84" t="s">
        <v>322</v>
      </c>
      <c r="T115" s="85">
        <f>IF(R115&gt;0,IF(RIGHT(Ruimtestaat[[#This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5" s="85">
        <f>IF(T115&gt;0,VLOOKUP($J115,Ruimtegroepen[],3,FALSE)*VLOOKUP($L115,Vloersoorten[],3,FALSE)*VLOOKUP($S115,Frequenties[],3,FALSE)*VLOOKUP($A115,Locaties[],3,FALSE),0)</f>
        <v>0</v>
      </c>
      <c r="V115" s="86">
        <f>Ruimtestaat[[#This Row],[Uitvoeringen werkdagen]]*Ruimtestaat[[#This Row],[Oppervlak (netto)]]</f>
        <v>3549.42</v>
      </c>
      <c r="W115" s="87">
        <f>IF(U115&gt;0,Ruimtestaat[[#This Row],[Prest. (m2 /jaar) werkdagen]]/Ruimtestaat[[#This Row],[Norm (m2/uur) werkdagen]],0)</f>
        <v>0</v>
      </c>
      <c r="X115" s="88">
        <f>Ruimtestaat[[#This Row],[uren / jaar werkdagen]]*Tariefsopbouw!$E$35</f>
        <v>0</v>
      </c>
      <c r="Y115" s="85"/>
      <c r="Z115" s="89">
        <f>IF(Ruimtestaat[[#This Row],[Frequentie weekend]]&gt;0,VALUE(LEFT(Y115,1))*R115,0)</f>
        <v>0</v>
      </c>
      <c r="AA115" s="85">
        <f>IF($Z115&gt;0,VLOOKUP($J115,Ruimtegroepen[],3,FALSE)*VLOOKUP($L115,Vloersoorten[],3,FALSE)*VLOOKUP($Y115,Frequenties[],3,FALSE)*VLOOKUP($A111,Locaties[],3,FALSE),0)</f>
        <v>0</v>
      </c>
      <c r="AB115" s="87">
        <f>Ruimtestaat[[#This Row],[Uitvoeringen weekend]]*Ruimtestaat[[#This Row],[Oppervlak (netto)]]</f>
        <v>0</v>
      </c>
      <c r="AC115" s="90">
        <f>IF(AB115&gt;0,Ruimtestaat[[#This Row],[Prest. (m2 /jaar) weekend]]/Ruimtestaat[[#This Row],[Norm (m2/uur) weekend]],0)</f>
        <v>0</v>
      </c>
      <c r="AD115" s="91">
        <f>Ruimtestaat[[#This Row],[uren / jaar weekend]]*Tariefsopbouw!$D$40</f>
        <v>0</v>
      </c>
      <c r="AE115" s="60">
        <f>Ruimtestaat[[#This Row],[Prest. (m2 /jaar) weekend]]+Ruimtestaat[[#This Row],[Prest. (m2 /jaar) werkdagen]]</f>
        <v>3549.42</v>
      </c>
      <c r="AF115" s="60">
        <f>Ruimtestaat[[#This Row],[uren / jaar weekend]]+Ruimtestaat[[#This Row],[uren / jaar werkdagen]]</f>
        <v>0</v>
      </c>
      <c r="AG115" s="61">
        <f>Ruimtestaat[[#This Row],[kosten / jaar weekend]]+Ruimtestaat[[#This Row],[kosten / jaar werkdagen]]</f>
        <v>0</v>
      </c>
      <c r="AH115" s="92"/>
      <c r="HL115" s="59"/>
    </row>
    <row r="116" spans="1:220">
      <c r="A116" s="24">
        <v>1</v>
      </c>
      <c r="B116" s="24" t="str">
        <f>VLOOKUP(Ruimtestaat[[#This Row],[Code]],Locaties[#All],2,FALSE)</f>
        <v>Boerhaave + buitenunits</v>
      </c>
      <c r="C116" s="24" t="str">
        <f>VLOOKUP(Ruimtestaat[[#This Row],[Code]],Locaties[#All],4,FALSE)</f>
        <v>Herman Boerhaavelaan 1</v>
      </c>
      <c r="D116" s="24" t="str">
        <f>VLOOKUP(Ruimtestaat[[#This Row],[Code]],Locaties[#All],5,FALSE)</f>
        <v>7415 ES</v>
      </c>
      <c r="E116" s="24" t="str">
        <f>VLOOKUP(Ruimtestaat[[#This Row],[Code]],Locaties[#All],6,FALSE)</f>
        <v>Deventer</v>
      </c>
      <c r="F116" s="54"/>
      <c r="G116" s="24" t="s">
        <v>512</v>
      </c>
      <c r="H116" s="28" t="s">
        <v>542</v>
      </c>
      <c r="I116" s="4" t="s">
        <v>543</v>
      </c>
      <c r="J116" s="24">
        <v>16</v>
      </c>
      <c r="K116" s="54" t="str">
        <f>VLOOKUP(J116,Ruimtegroepen[],2,FALSE)</f>
        <v>Leslokalen theorie</v>
      </c>
      <c r="L116" s="24" t="s">
        <v>311</v>
      </c>
      <c r="M116" s="24" t="s">
        <v>370</v>
      </c>
      <c r="N116" s="83">
        <v>88.62</v>
      </c>
      <c r="O116" s="83"/>
      <c r="P116" s="93" t="str">
        <f>LEFT(VLOOKUP(Ruimtestaat[[#This Row],[Ruimte code]],Ruimtegroepen[#All],4,1),2)</f>
        <v>Le</v>
      </c>
      <c r="Q116" s="93"/>
      <c r="R116" s="84">
        <v>40</v>
      </c>
      <c r="S116" s="84" t="s">
        <v>318</v>
      </c>
      <c r="T116" s="85">
        <f>IF(R116&gt;0,IF(RIGHT(Ruimtestaat[[#This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" s="85">
        <f>IF(T116&gt;0,VLOOKUP($J116,Ruimtegroepen[],3,FALSE)*VLOOKUP($L116,Vloersoorten[],3,FALSE)*VLOOKUP($S116,Frequenties[],3,FALSE)*VLOOKUP($A116,Locaties[],3,FALSE),0)</f>
        <v>0</v>
      </c>
      <c r="V116" s="86">
        <f>Ruimtestaat[[#This Row],[Uitvoeringen werkdagen]]*Ruimtestaat[[#This Row],[Oppervlak (netto)]]</f>
        <v>17724</v>
      </c>
      <c r="W116" s="87">
        <f>IF(U116&gt;0,Ruimtestaat[[#This Row],[Prest. (m2 /jaar) werkdagen]]/Ruimtestaat[[#This Row],[Norm (m2/uur) werkdagen]],0)</f>
        <v>0</v>
      </c>
      <c r="X116" s="88">
        <f>Ruimtestaat[[#This Row],[uren / jaar werkdagen]]*Tariefsopbouw!$E$35</f>
        <v>0</v>
      </c>
      <c r="Y116" s="85"/>
      <c r="Z116" s="89">
        <f>IF(Ruimtestaat[[#This Row],[Frequentie weekend]]&gt;0,VALUE(LEFT(Y116,1))*R116,0)</f>
        <v>0</v>
      </c>
      <c r="AA116" s="85">
        <f>IF($Z116&gt;0,VLOOKUP($J116,Ruimtegroepen[],3,FALSE)*VLOOKUP($L116,Vloersoorten[],3,FALSE)*VLOOKUP($Y116,Frequenties[],3,FALSE)*VLOOKUP($A112,Locaties[],3,FALSE),0)</f>
        <v>0</v>
      </c>
      <c r="AB116" s="87">
        <f>Ruimtestaat[[#This Row],[Uitvoeringen weekend]]*Ruimtestaat[[#This Row],[Oppervlak (netto)]]</f>
        <v>0</v>
      </c>
      <c r="AC116" s="90">
        <f>IF(AB116&gt;0,Ruimtestaat[[#This Row],[Prest. (m2 /jaar) weekend]]/Ruimtestaat[[#This Row],[Norm (m2/uur) weekend]],0)</f>
        <v>0</v>
      </c>
      <c r="AD116" s="91">
        <f>Ruimtestaat[[#This Row],[uren / jaar weekend]]*Tariefsopbouw!$D$40</f>
        <v>0</v>
      </c>
      <c r="AE116" s="60">
        <f>Ruimtestaat[[#This Row],[Prest. (m2 /jaar) weekend]]+Ruimtestaat[[#This Row],[Prest. (m2 /jaar) werkdagen]]</f>
        <v>17724</v>
      </c>
      <c r="AF116" s="60">
        <f>Ruimtestaat[[#This Row],[uren / jaar weekend]]+Ruimtestaat[[#This Row],[uren / jaar werkdagen]]</f>
        <v>0</v>
      </c>
      <c r="AG116" s="61">
        <f>Ruimtestaat[[#This Row],[kosten / jaar weekend]]+Ruimtestaat[[#This Row],[kosten / jaar werkdagen]]</f>
        <v>0</v>
      </c>
      <c r="AH116" s="92"/>
      <c r="HL116" s="59"/>
    </row>
    <row r="117" spans="1:220">
      <c r="A117" s="24">
        <v>1</v>
      </c>
      <c r="B117" s="24" t="str">
        <f>VLOOKUP(Ruimtestaat[[#This Row],[Code]],Locaties[#All],2,FALSE)</f>
        <v>Boerhaave + buitenunits</v>
      </c>
      <c r="C117" s="24" t="str">
        <f>VLOOKUP(Ruimtestaat[[#This Row],[Code]],Locaties[#All],4,FALSE)</f>
        <v>Herman Boerhaavelaan 1</v>
      </c>
      <c r="D117" s="24" t="str">
        <f>VLOOKUP(Ruimtestaat[[#This Row],[Code]],Locaties[#All],5,FALSE)</f>
        <v>7415 ES</v>
      </c>
      <c r="E117" s="24" t="str">
        <f>VLOOKUP(Ruimtestaat[[#This Row],[Code]],Locaties[#All],6,FALSE)</f>
        <v>Deventer</v>
      </c>
      <c r="F117" s="54"/>
      <c r="G117" s="24" t="s">
        <v>512</v>
      </c>
      <c r="H117" s="28" t="s">
        <v>544</v>
      </c>
      <c r="I117" s="4" t="s">
        <v>545</v>
      </c>
      <c r="J117" s="24">
        <v>22</v>
      </c>
      <c r="K117" s="54" t="str">
        <f>VLOOKUP(J117,Ruimtegroepen[],2,FALSE)</f>
        <v>Niet in onderhoud</v>
      </c>
      <c r="L117" s="24" t="s">
        <v>305</v>
      </c>
      <c r="M117" s="24" t="s">
        <v>400</v>
      </c>
      <c r="N117" s="83"/>
      <c r="O117" s="83">
        <v>3.66</v>
      </c>
      <c r="P117" s="93" t="str">
        <f>LEFT(VLOOKUP(Ruimtestaat[[#This Row],[Ruimte code]],Ruimtegroepen[#All],4,1),2)</f>
        <v/>
      </c>
      <c r="Q117" s="93"/>
      <c r="R117" s="84"/>
      <c r="S117" s="84"/>
      <c r="T117" s="85">
        <f>IF(R117&gt;0,IF(RIGHT(Ruimtestaat[[#This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7" s="85">
        <f>IF(T117&gt;0,VLOOKUP($J117,Ruimtegroepen[],3,FALSE)*VLOOKUP($L117,Vloersoorten[],3,FALSE)*VLOOKUP($S117,Frequenties[],3,FALSE)*VLOOKUP($A117,Locaties[],3,FALSE),0)</f>
        <v>0</v>
      </c>
      <c r="V117" s="86">
        <f>Ruimtestaat[[#This Row],[Uitvoeringen werkdagen]]*Ruimtestaat[[#This Row],[Oppervlak (netto)]]</f>
        <v>0</v>
      </c>
      <c r="W117" s="87">
        <f>IF(U117&gt;0,Ruimtestaat[[#This Row],[Prest. (m2 /jaar) werkdagen]]/Ruimtestaat[[#This Row],[Norm (m2/uur) werkdagen]],0)</f>
        <v>0</v>
      </c>
      <c r="X117" s="88">
        <f>Ruimtestaat[[#This Row],[uren / jaar werkdagen]]*Tariefsopbouw!$E$35</f>
        <v>0</v>
      </c>
      <c r="Y117" s="85"/>
      <c r="Z117" s="89">
        <f>IF(Ruimtestaat[[#This Row],[Frequentie weekend]]&gt;0,VALUE(LEFT(Y117,1))*R117,0)</f>
        <v>0</v>
      </c>
      <c r="AA117" s="85">
        <f>IF($Z117&gt;0,VLOOKUP($J117,Ruimtegroepen[],3,FALSE)*VLOOKUP($L117,Vloersoorten[],3,FALSE)*VLOOKUP($Y117,Frequenties[],3,FALSE)*VLOOKUP($A113,Locaties[],3,FALSE),0)</f>
        <v>0</v>
      </c>
      <c r="AB117" s="87">
        <f>Ruimtestaat[[#This Row],[Uitvoeringen weekend]]*Ruimtestaat[[#This Row],[Oppervlak (netto)]]</f>
        <v>0</v>
      </c>
      <c r="AC117" s="90">
        <f>IF(AB117&gt;0,Ruimtestaat[[#This Row],[Prest. (m2 /jaar) weekend]]/Ruimtestaat[[#This Row],[Norm (m2/uur) weekend]],0)</f>
        <v>0</v>
      </c>
      <c r="AD117" s="91">
        <f>Ruimtestaat[[#This Row],[uren / jaar weekend]]*Tariefsopbouw!$D$40</f>
        <v>0</v>
      </c>
      <c r="AE117" s="60">
        <f>Ruimtestaat[[#This Row],[Prest. (m2 /jaar) weekend]]+Ruimtestaat[[#This Row],[Prest. (m2 /jaar) werkdagen]]</f>
        <v>0</v>
      </c>
      <c r="AF117" s="60">
        <f>Ruimtestaat[[#This Row],[uren / jaar weekend]]+Ruimtestaat[[#This Row],[uren / jaar werkdagen]]</f>
        <v>0</v>
      </c>
      <c r="AG117" s="61">
        <f>Ruimtestaat[[#This Row],[kosten / jaar weekend]]+Ruimtestaat[[#This Row],[kosten / jaar werkdagen]]</f>
        <v>0</v>
      </c>
      <c r="AH117" s="92"/>
      <c r="HL117" s="59"/>
    </row>
    <row r="118" spans="1:220">
      <c r="A118" s="24">
        <v>1</v>
      </c>
      <c r="B118" s="24" t="str">
        <f>VLOOKUP(Ruimtestaat[[#This Row],[Code]],Locaties[#All],2,FALSE)</f>
        <v>Boerhaave + buitenunits</v>
      </c>
      <c r="C118" s="24" t="str">
        <f>VLOOKUP(Ruimtestaat[[#This Row],[Code]],Locaties[#All],4,FALSE)</f>
        <v>Herman Boerhaavelaan 1</v>
      </c>
      <c r="D118" s="24" t="str">
        <f>VLOOKUP(Ruimtestaat[[#This Row],[Code]],Locaties[#All],5,FALSE)</f>
        <v>7415 ES</v>
      </c>
      <c r="E118" s="24" t="str">
        <f>VLOOKUP(Ruimtestaat[[#This Row],[Code]],Locaties[#All],6,FALSE)</f>
        <v>Deventer</v>
      </c>
      <c r="F118" s="54"/>
      <c r="G118" s="24" t="s">
        <v>512</v>
      </c>
      <c r="H118" s="28" t="s">
        <v>546</v>
      </c>
      <c r="I118" s="4" t="s">
        <v>420</v>
      </c>
      <c r="J118" s="24">
        <v>5</v>
      </c>
      <c r="K118" s="54" t="str">
        <f>VLOOKUP(J118,Ruimtegroepen[],2,FALSE)</f>
        <v>Sanitair</v>
      </c>
      <c r="L118" s="24" t="s">
        <v>305</v>
      </c>
      <c r="M118" s="24" t="s">
        <v>400</v>
      </c>
      <c r="N118" s="83">
        <v>11.51</v>
      </c>
      <c r="O118" s="83"/>
      <c r="P118" s="93" t="str">
        <f>LEFT(VLOOKUP(Ruimtestaat[[#This Row],[Ruimte code]],Ruimtegroepen[#All],4,1),2)</f>
        <v>Sa</v>
      </c>
      <c r="Q118" s="93"/>
      <c r="R118" s="84">
        <v>42</v>
      </c>
      <c r="S118" s="84" t="s">
        <v>316</v>
      </c>
      <c r="T118" s="85">
        <f>IF(R118&gt;0,IF(RIGHT(Ruimtestaat[[#This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" s="85">
        <f>IF(T118&gt;0,VLOOKUP($J118,Ruimtegroepen[],3,FALSE)*VLOOKUP($L118,Vloersoorten[],3,FALSE)*VLOOKUP($S118,Frequenties[],3,FALSE)*VLOOKUP($A118,Locaties[],3,FALSE),0)</f>
        <v>0</v>
      </c>
      <c r="V118" s="86">
        <f>Ruimtestaat[[#This Row],[Uitvoeringen werkdagen]]*Ruimtestaat[[#This Row],[Oppervlak (netto)]]</f>
        <v>4834.2</v>
      </c>
      <c r="W118" s="87">
        <f>IF(U118&gt;0,Ruimtestaat[[#This Row],[Prest. (m2 /jaar) werkdagen]]/Ruimtestaat[[#This Row],[Norm (m2/uur) werkdagen]],0)</f>
        <v>0</v>
      </c>
      <c r="X118" s="88">
        <f>Ruimtestaat[[#This Row],[uren / jaar werkdagen]]*Tariefsopbouw!$E$35</f>
        <v>0</v>
      </c>
      <c r="Y118" s="85"/>
      <c r="Z118" s="89">
        <f>IF(Ruimtestaat[[#This Row],[Frequentie weekend]]&gt;0,VALUE(LEFT(Y118,1))*R118,0)</f>
        <v>0</v>
      </c>
      <c r="AA118" s="85">
        <f>IF($Z118&gt;0,VLOOKUP($J118,Ruimtegroepen[],3,FALSE)*VLOOKUP($L118,Vloersoorten[],3,FALSE)*VLOOKUP($Y118,Frequenties[],3,FALSE)*VLOOKUP($A114,Locaties[],3,FALSE),0)</f>
        <v>0</v>
      </c>
      <c r="AB118" s="87">
        <f>Ruimtestaat[[#This Row],[Uitvoeringen weekend]]*Ruimtestaat[[#This Row],[Oppervlak (netto)]]</f>
        <v>0</v>
      </c>
      <c r="AC118" s="90">
        <f>IF(AB118&gt;0,Ruimtestaat[[#This Row],[Prest. (m2 /jaar) weekend]]/Ruimtestaat[[#This Row],[Norm (m2/uur) weekend]],0)</f>
        <v>0</v>
      </c>
      <c r="AD118" s="91">
        <f>Ruimtestaat[[#This Row],[uren / jaar weekend]]*Tariefsopbouw!$D$40</f>
        <v>0</v>
      </c>
      <c r="AE118" s="60">
        <f>Ruimtestaat[[#This Row],[Prest. (m2 /jaar) weekend]]+Ruimtestaat[[#This Row],[Prest. (m2 /jaar) werkdagen]]</f>
        <v>4834.2</v>
      </c>
      <c r="AF118" s="60">
        <f>Ruimtestaat[[#This Row],[uren / jaar weekend]]+Ruimtestaat[[#This Row],[uren / jaar werkdagen]]</f>
        <v>0</v>
      </c>
      <c r="AG118" s="61">
        <f>Ruimtestaat[[#This Row],[kosten / jaar weekend]]+Ruimtestaat[[#This Row],[kosten / jaar werkdagen]]</f>
        <v>0</v>
      </c>
      <c r="AH118" s="92"/>
      <c r="HL118" s="59"/>
    </row>
    <row r="119" spans="1:220">
      <c r="A119" s="24">
        <v>1</v>
      </c>
      <c r="B119" s="24" t="str">
        <f>VLOOKUP(Ruimtestaat[[#This Row],[Code]],Locaties[#All],2,FALSE)</f>
        <v>Boerhaave + buitenunits</v>
      </c>
      <c r="C119" s="24" t="str">
        <f>VLOOKUP(Ruimtestaat[[#This Row],[Code]],Locaties[#All],4,FALSE)</f>
        <v>Herman Boerhaavelaan 1</v>
      </c>
      <c r="D119" s="24" t="str">
        <f>VLOOKUP(Ruimtestaat[[#This Row],[Code]],Locaties[#All],5,FALSE)</f>
        <v>7415 ES</v>
      </c>
      <c r="E119" s="24" t="str">
        <f>VLOOKUP(Ruimtestaat[[#This Row],[Code]],Locaties[#All],6,FALSE)</f>
        <v>Deventer</v>
      </c>
      <c r="F119" s="54"/>
      <c r="G119" s="24" t="s">
        <v>512</v>
      </c>
      <c r="H119" s="28" t="s">
        <v>547</v>
      </c>
      <c r="I119" s="4" t="s">
        <v>535</v>
      </c>
      <c r="J119" s="24">
        <v>22</v>
      </c>
      <c r="K119" s="54" t="str">
        <f>VLOOKUP(J119,Ruimtegroepen[],2,FALSE)</f>
        <v>Niet in onderhoud</v>
      </c>
      <c r="L119" s="24" t="s">
        <v>305</v>
      </c>
      <c r="M119" s="24" t="s">
        <v>376</v>
      </c>
      <c r="N119" s="83"/>
      <c r="O119" s="83">
        <v>2.69</v>
      </c>
      <c r="P119" s="93" t="str">
        <f>LEFT(VLOOKUP(Ruimtestaat[[#This Row],[Ruimte code]],Ruimtegroepen[#All],4,1),2)</f>
        <v/>
      </c>
      <c r="Q119" s="93"/>
      <c r="R119" s="84"/>
      <c r="S119" s="84"/>
      <c r="T119" s="85">
        <f>IF(R119&gt;0,IF(RIGHT(Ruimtestaat[[#This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9" s="85">
        <f>IF(T119&gt;0,VLOOKUP($J119,Ruimtegroepen[],3,FALSE)*VLOOKUP($L119,Vloersoorten[],3,FALSE)*VLOOKUP($S119,Frequenties[],3,FALSE)*VLOOKUP($A119,Locaties[],3,FALSE),0)</f>
        <v>0</v>
      </c>
      <c r="V119" s="86">
        <f>Ruimtestaat[[#This Row],[Uitvoeringen werkdagen]]*Ruimtestaat[[#This Row],[Oppervlak (netto)]]</f>
        <v>0</v>
      </c>
      <c r="W119" s="87">
        <f>IF(U119&gt;0,Ruimtestaat[[#This Row],[Prest. (m2 /jaar) werkdagen]]/Ruimtestaat[[#This Row],[Norm (m2/uur) werkdagen]],0)</f>
        <v>0</v>
      </c>
      <c r="X119" s="88">
        <f>Ruimtestaat[[#This Row],[uren / jaar werkdagen]]*Tariefsopbouw!$E$35</f>
        <v>0</v>
      </c>
      <c r="Y119" s="85"/>
      <c r="Z119" s="89">
        <f>IF(Ruimtestaat[[#This Row],[Frequentie weekend]]&gt;0,VALUE(LEFT(Y119,1))*R119,0)</f>
        <v>0</v>
      </c>
      <c r="AA119" s="85">
        <f>IF($Z119&gt;0,VLOOKUP($J119,Ruimtegroepen[],3,FALSE)*VLOOKUP($L119,Vloersoorten[],3,FALSE)*VLOOKUP($Y119,Frequenties[],3,FALSE)*VLOOKUP($A114,Locaties[],3,FALSE),0)</f>
        <v>0</v>
      </c>
      <c r="AB119" s="87">
        <f>Ruimtestaat[[#This Row],[Uitvoeringen weekend]]*Ruimtestaat[[#This Row],[Oppervlak (netto)]]</f>
        <v>0</v>
      </c>
      <c r="AC119" s="90">
        <f>IF(AB119&gt;0,Ruimtestaat[[#This Row],[Prest. (m2 /jaar) weekend]]/Ruimtestaat[[#This Row],[Norm (m2/uur) weekend]],0)</f>
        <v>0</v>
      </c>
      <c r="AD119" s="91">
        <f>Ruimtestaat[[#This Row],[uren / jaar weekend]]*Tariefsopbouw!$D$40</f>
        <v>0</v>
      </c>
      <c r="AE119" s="60">
        <f>Ruimtestaat[[#This Row],[Prest. (m2 /jaar) weekend]]+Ruimtestaat[[#This Row],[Prest. (m2 /jaar) werkdagen]]</f>
        <v>0</v>
      </c>
      <c r="AF119" s="60">
        <f>Ruimtestaat[[#This Row],[uren / jaar weekend]]+Ruimtestaat[[#This Row],[uren / jaar werkdagen]]</f>
        <v>0</v>
      </c>
      <c r="AG119" s="61">
        <f>Ruimtestaat[[#This Row],[kosten / jaar weekend]]+Ruimtestaat[[#This Row],[kosten / jaar werkdagen]]</f>
        <v>0</v>
      </c>
      <c r="AH119" s="92"/>
      <c r="HL119" s="59"/>
    </row>
    <row r="120" spans="1:220">
      <c r="A120" s="24">
        <v>1</v>
      </c>
      <c r="B120" s="24" t="str">
        <f>VLOOKUP(Ruimtestaat[[#This Row],[Code]],Locaties[#All],2,FALSE)</f>
        <v>Boerhaave + buitenunits</v>
      </c>
      <c r="C120" s="24" t="str">
        <f>VLOOKUP(Ruimtestaat[[#This Row],[Code]],Locaties[#All],4,FALSE)</f>
        <v>Herman Boerhaavelaan 1</v>
      </c>
      <c r="D120" s="24" t="str">
        <f>VLOOKUP(Ruimtestaat[[#This Row],[Code]],Locaties[#All],5,FALSE)</f>
        <v>7415 ES</v>
      </c>
      <c r="E120" s="24" t="str">
        <f>VLOOKUP(Ruimtestaat[[#This Row],[Code]],Locaties[#All],6,FALSE)</f>
        <v>Deventer</v>
      </c>
      <c r="F120" s="54"/>
      <c r="G120" s="24" t="s">
        <v>512</v>
      </c>
      <c r="H120" s="28" t="s">
        <v>548</v>
      </c>
      <c r="I120" s="4" t="s">
        <v>549</v>
      </c>
      <c r="J120" s="24">
        <v>13</v>
      </c>
      <c r="K120" s="54" t="str">
        <f>VLOOKUP(J120,Ruimtegroepen[],2,FALSE)</f>
        <v>HV/Technieklokaal</v>
      </c>
      <c r="L120" s="24" t="s">
        <v>311</v>
      </c>
      <c r="M120" s="24" t="s">
        <v>370</v>
      </c>
      <c r="N120" s="83">
        <v>107.39</v>
      </c>
      <c r="O120" s="83"/>
      <c r="P120" s="93" t="str">
        <f>LEFT(VLOOKUP(Ruimtestaat[[#This Row],[Ruimte code]],Ruimtegroepen[#All],4,1),2)</f>
        <v>Le</v>
      </c>
      <c r="Q120" s="93"/>
      <c r="R120" s="84">
        <v>40</v>
      </c>
      <c r="S120" s="84" t="s">
        <v>318</v>
      </c>
      <c r="T120" s="85">
        <f>IF(R120&gt;0,IF(RIGHT(Ruimtestaat[[#This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" s="85">
        <f>IF(T120&gt;0,VLOOKUP($J120,Ruimtegroepen[],3,FALSE)*VLOOKUP($L120,Vloersoorten[],3,FALSE)*VLOOKUP($S120,Frequenties[],3,FALSE)*VLOOKUP($A120,Locaties[],3,FALSE),0)</f>
        <v>0</v>
      </c>
      <c r="V120" s="86">
        <f>Ruimtestaat[[#This Row],[Uitvoeringen werkdagen]]*Ruimtestaat[[#This Row],[Oppervlak (netto)]]</f>
        <v>21478</v>
      </c>
      <c r="W120" s="87">
        <f>IF(U120&gt;0,Ruimtestaat[[#This Row],[Prest. (m2 /jaar) werkdagen]]/Ruimtestaat[[#This Row],[Norm (m2/uur) werkdagen]],0)</f>
        <v>0</v>
      </c>
      <c r="X120" s="88">
        <f>Ruimtestaat[[#This Row],[uren / jaar werkdagen]]*Tariefsopbouw!$E$35</f>
        <v>0</v>
      </c>
      <c r="Y120" s="85"/>
      <c r="Z120" s="89">
        <f>IF(Ruimtestaat[[#This Row],[Frequentie weekend]]&gt;0,VALUE(LEFT(Y120,1))*R120,0)</f>
        <v>0</v>
      </c>
      <c r="AA120" s="85">
        <f>IF($Z120&gt;0,VLOOKUP($J120,Ruimtegroepen[],3,FALSE)*VLOOKUP($L120,Vloersoorten[],3,FALSE)*VLOOKUP($Y120,Frequenties[],3,FALSE)*VLOOKUP($A115,Locaties[],3,FALSE),0)</f>
        <v>0</v>
      </c>
      <c r="AB120" s="87">
        <f>Ruimtestaat[[#This Row],[Uitvoeringen weekend]]*Ruimtestaat[[#This Row],[Oppervlak (netto)]]</f>
        <v>0</v>
      </c>
      <c r="AC120" s="90">
        <f>IF(AB120&gt;0,Ruimtestaat[[#This Row],[Prest. (m2 /jaar) weekend]]/Ruimtestaat[[#This Row],[Norm (m2/uur) weekend]],0)</f>
        <v>0</v>
      </c>
      <c r="AD120" s="91">
        <f>Ruimtestaat[[#This Row],[uren / jaar weekend]]*Tariefsopbouw!$D$40</f>
        <v>0</v>
      </c>
      <c r="AE120" s="60">
        <f>Ruimtestaat[[#This Row],[Prest. (m2 /jaar) weekend]]+Ruimtestaat[[#This Row],[Prest. (m2 /jaar) werkdagen]]</f>
        <v>21478</v>
      </c>
      <c r="AF120" s="60">
        <f>Ruimtestaat[[#This Row],[uren / jaar weekend]]+Ruimtestaat[[#This Row],[uren / jaar werkdagen]]</f>
        <v>0</v>
      </c>
      <c r="AG120" s="61">
        <f>Ruimtestaat[[#This Row],[kosten / jaar weekend]]+Ruimtestaat[[#This Row],[kosten / jaar werkdagen]]</f>
        <v>0</v>
      </c>
      <c r="AH120" s="92"/>
      <c r="HL120" s="59"/>
    </row>
    <row r="121" spans="1:220">
      <c r="A121" s="24">
        <v>1</v>
      </c>
      <c r="B121" s="24" t="str">
        <f>VLOOKUP(Ruimtestaat[[#This Row],[Code]],Locaties[#All],2,FALSE)</f>
        <v>Boerhaave + buitenunits</v>
      </c>
      <c r="C121" s="24" t="str">
        <f>VLOOKUP(Ruimtestaat[[#This Row],[Code]],Locaties[#All],4,FALSE)</f>
        <v>Herman Boerhaavelaan 1</v>
      </c>
      <c r="D121" s="24" t="str">
        <f>VLOOKUP(Ruimtestaat[[#This Row],[Code]],Locaties[#All],5,FALSE)</f>
        <v>7415 ES</v>
      </c>
      <c r="E121" s="24" t="str">
        <f>VLOOKUP(Ruimtestaat[[#This Row],[Code]],Locaties[#All],6,FALSE)</f>
        <v>Deventer</v>
      </c>
      <c r="F121" s="54"/>
      <c r="G121" s="24" t="s">
        <v>512</v>
      </c>
      <c r="H121" s="28" t="s">
        <v>550</v>
      </c>
      <c r="I121" s="4" t="s">
        <v>551</v>
      </c>
      <c r="J121" s="24">
        <v>22</v>
      </c>
      <c r="K121" s="54" t="str">
        <f>VLOOKUP(J121,Ruimtegroepen[],2,FALSE)</f>
        <v>Niet in onderhoud</v>
      </c>
      <c r="L121" s="24" t="s">
        <v>311</v>
      </c>
      <c r="M121" s="24" t="s">
        <v>370</v>
      </c>
      <c r="N121" s="83"/>
      <c r="O121" s="83">
        <v>1.21</v>
      </c>
      <c r="P121" s="93" t="str">
        <f>LEFT(VLOOKUP(Ruimtestaat[[#This Row],[Ruimte code]],Ruimtegroepen[#All],4,1),2)</f>
        <v/>
      </c>
      <c r="Q121" s="93"/>
      <c r="R121" s="84"/>
      <c r="S121" s="84"/>
      <c r="T121" s="85">
        <f>IF(R121&gt;0,IF(RIGHT(Ruimtestaat[[#This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" s="85">
        <f>IF(T121&gt;0,VLOOKUP($J121,Ruimtegroepen[],3,FALSE)*VLOOKUP($L121,Vloersoorten[],3,FALSE)*VLOOKUP($S121,Frequenties[],3,FALSE)*VLOOKUP($A121,Locaties[],3,FALSE),0)</f>
        <v>0</v>
      </c>
      <c r="V121" s="86">
        <f>Ruimtestaat[[#This Row],[Uitvoeringen werkdagen]]*Ruimtestaat[[#This Row],[Oppervlak (netto)]]</f>
        <v>0</v>
      </c>
      <c r="W121" s="87">
        <f>IF(U121&gt;0,Ruimtestaat[[#This Row],[Prest. (m2 /jaar) werkdagen]]/Ruimtestaat[[#This Row],[Norm (m2/uur) werkdagen]],0)</f>
        <v>0</v>
      </c>
      <c r="X121" s="88">
        <f>Ruimtestaat[[#This Row],[uren / jaar werkdagen]]*Tariefsopbouw!$E$35</f>
        <v>0</v>
      </c>
      <c r="Y121" s="85"/>
      <c r="Z121" s="89">
        <f>IF(Ruimtestaat[[#This Row],[Frequentie weekend]]&gt;0,VALUE(LEFT(Y121,1))*R121,0)</f>
        <v>0</v>
      </c>
      <c r="AA121" s="85">
        <f>IF($Z121&gt;0,VLOOKUP($J121,Ruimtegroepen[],3,FALSE)*VLOOKUP($L121,Vloersoorten[],3,FALSE)*VLOOKUP($Y121,Frequenties[],3,FALSE)*VLOOKUP($A116,Locaties[],3,FALSE),0)</f>
        <v>0</v>
      </c>
      <c r="AB121" s="87">
        <f>Ruimtestaat[[#This Row],[Uitvoeringen weekend]]*Ruimtestaat[[#This Row],[Oppervlak (netto)]]</f>
        <v>0</v>
      </c>
      <c r="AC121" s="90">
        <f>IF(AB121&gt;0,Ruimtestaat[[#This Row],[Prest. (m2 /jaar) weekend]]/Ruimtestaat[[#This Row],[Norm (m2/uur) weekend]],0)</f>
        <v>0</v>
      </c>
      <c r="AD121" s="91">
        <f>Ruimtestaat[[#This Row],[uren / jaar weekend]]*Tariefsopbouw!$D$40</f>
        <v>0</v>
      </c>
      <c r="AE121" s="60">
        <f>Ruimtestaat[[#This Row],[Prest. (m2 /jaar) weekend]]+Ruimtestaat[[#This Row],[Prest. (m2 /jaar) werkdagen]]</f>
        <v>0</v>
      </c>
      <c r="AF121" s="60">
        <f>Ruimtestaat[[#This Row],[uren / jaar weekend]]+Ruimtestaat[[#This Row],[uren / jaar werkdagen]]</f>
        <v>0</v>
      </c>
      <c r="AG121" s="61">
        <f>Ruimtestaat[[#This Row],[kosten / jaar weekend]]+Ruimtestaat[[#This Row],[kosten / jaar werkdagen]]</f>
        <v>0</v>
      </c>
      <c r="AH121" s="92"/>
      <c r="HL121" s="59"/>
    </row>
    <row r="122" spans="1:220">
      <c r="A122" s="24">
        <v>1</v>
      </c>
      <c r="B122" s="24" t="str">
        <f>VLOOKUP(Ruimtestaat[[#This Row],[Code]],Locaties[#All],2,FALSE)</f>
        <v>Boerhaave + buitenunits</v>
      </c>
      <c r="C122" s="24" t="str">
        <f>VLOOKUP(Ruimtestaat[[#This Row],[Code]],Locaties[#All],4,FALSE)</f>
        <v>Herman Boerhaavelaan 1</v>
      </c>
      <c r="D122" s="24" t="str">
        <f>VLOOKUP(Ruimtestaat[[#This Row],[Code]],Locaties[#All],5,FALSE)</f>
        <v>7415 ES</v>
      </c>
      <c r="E122" s="24" t="str">
        <f>VLOOKUP(Ruimtestaat[[#This Row],[Code]],Locaties[#All],6,FALSE)</f>
        <v>Deventer</v>
      </c>
      <c r="F122" s="54"/>
      <c r="G122" s="24" t="s">
        <v>512</v>
      </c>
      <c r="H122" s="28" t="s">
        <v>552</v>
      </c>
      <c r="I122" s="4" t="s">
        <v>394</v>
      </c>
      <c r="J122" s="24">
        <v>22</v>
      </c>
      <c r="K122" s="54" t="str">
        <f>VLOOKUP(J122,Ruimtegroepen[],2,FALSE)</f>
        <v>Niet in onderhoud</v>
      </c>
      <c r="L122" s="24" t="s">
        <v>311</v>
      </c>
      <c r="M122" s="24" t="s">
        <v>370</v>
      </c>
      <c r="N122" s="83"/>
      <c r="O122" s="83">
        <v>17.46</v>
      </c>
      <c r="P122" s="93" t="str">
        <f>LEFT(VLOOKUP(Ruimtestaat[[#This Row],[Ruimte code]],Ruimtegroepen[#All],4,1),2)</f>
        <v/>
      </c>
      <c r="Q122" s="93"/>
      <c r="R122" s="84"/>
      <c r="S122" s="84"/>
      <c r="T122" s="85">
        <f>IF(R122&gt;0,IF(RIGHT(Ruimtestaat[[#This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" s="85">
        <f>IF(T122&gt;0,VLOOKUP($J122,Ruimtegroepen[],3,FALSE)*VLOOKUP($L122,Vloersoorten[],3,FALSE)*VLOOKUP($S122,Frequenties[],3,FALSE)*VLOOKUP($A122,Locaties[],3,FALSE),0)</f>
        <v>0</v>
      </c>
      <c r="V122" s="86">
        <f>Ruimtestaat[[#This Row],[Uitvoeringen werkdagen]]*Ruimtestaat[[#This Row],[Oppervlak (netto)]]</f>
        <v>0</v>
      </c>
      <c r="W122" s="87">
        <f>IF(U122&gt;0,Ruimtestaat[[#This Row],[Prest. (m2 /jaar) werkdagen]]/Ruimtestaat[[#This Row],[Norm (m2/uur) werkdagen]],0)</f>
        <v>0</v>
      </c>
      <c r="X122" s="88">
        <f>Ruimtestaat[[#This Row],[uren / jaar werkdagen]]*Tariefsopbouw!$E$35</f>
        <v>0</v>
      </c>
      <c r="Y122" s="85"/>
      <c r="Z122" s="89">
        <f>IF(Ruimtestaat[[#This Row],[Frequentie weekend]]&gt;0,VALUE(LEFT(Y122,1))*R122,0)</f>
        <v>0</v>
      </c>
      <c r="AA122" s="85">
        <f>IF($Z122&gt;0,VLOOKUP($J122,Ruimtegroepen[],3,FALSE)*VLOOKUP($L122,Vloersoorten[],3,FALSE)*VLOOKUP($Y122,Frequenties[],3,FALSE)*VLOOKUP($A117,Locaties[],3,FALSE),0)</f>
        <v>0</v>
      </c>
      <c r="AB122" s="87">
        <f>Ruimtestaat[[#This Row],[Uitvoeringen weekend]]*Ruimtestaat[[#This Row],[Oppervlak (netto)]]</f>
        <v>0</v>
      </c>
      <c r="AC122" s="90">
        <f>IF(AB122&gt;0,Ruimtestaat[[#This Row],[Prest. (m2 /jaar) weekend]]/Ruimtestaat[[#This Row],[Norm (m2/uur) weekend]],0)</f>
        <v>0</v>
      </c>
      <c r="AD122" s="91">
        <f>Ruimtestaat[[#This Row],[uren / jaar weekend]]*Tariefsopbouw!$D$40</f>
        <v>0</v>
      </c>
      <c r="AE122" s="60">
        <f>Ruimtestaat[[#This Row],[Prest. (m2 /jaar) weekend]]+Ruimtestaat[[#This Row],[Prest. (m2 /jaar) werkdagen]]</f>
        <v>0</v>
      </c>
      <c r="AF122" s="60">
        <f>Ruimtestaat[[#This Row],[uren / jaar weekend]]+Ruimtestaat[[#This Row],[uren / jaar werkdagen]]</f>
        <v>0</v>
      </c>
      <c r="AG122" s="61">
        <f>Ruimtestaat[[#This Row],[kosten / jaar weekend]]+Ruimtestaat[[#This Row],[kosten / jaar werkdagen]]</f>
        <v>0</v>
      </c>
      <c r="AH122" s="92"/>
      <c r="HL122" s="59"/>
    </row>
    <row r="123" spans="1:220">
      <c r="A123" s="24">
        <v>1</v>
      </c>
      <c r="B123" s="24" t="str">
        <f>VLOOKUP(Ruimtestaat[[#This Row],[Code]],Locaties[#All],2,FALSE)</f>
        <v>Boerhaave + buitenunits</v>
      </c>
      <c r="C123" s="24" t="str">
        <f>VLOOKUP(Ruimtestaat[[#This Row],[Code]],Locaties[#All],4,FALSE)</f>
        <v>Herman Boerhaavelaan 1</v>
      </c>
      <c r="D123" s="24" t="str">
        <f>VLOOKUP(Ruimtestaat[[#This Row],[Code]],Locaties[#All],5,FALSE)</f>
        <v>7415 ES</v>
      </c>
      <c r="E123" s="24" t="str">
        <f>VLOOKUP(Ruimtestaat[[#This Row],[Code]],Locaties[#All],6,FALSE)</f>
        <v>Deventer</v>
      </c>
      <c r="F123" s="54"/>
      <c r="G123" s="24" t="s">
        <v>512</v>
      </c>
      <c r="H123" s="28" t="s">
        <v>553</v>
      </c>
      <c r="I123" s="4" t="s">
        <v>394</v>
      </c>
      <c r="J123" s="24">
        <v>22</v>
      </c>
      <c r="K123" s="54" t="str">
        <f>VLOOKUP(J123,Ruimtegroepen[],2,FALSE)</f>
        <v>Niet in onderhoud</v>
      </c>
      <c r="L123" s="24" t="s">
        <v>311</v>
      </c>
      <c r="M123" s="24" t="s">
        <v>370</v>
      </c>
      <c r="N123" s="83"/>
      <c r="O123" s="83">
        <v>21</v>
      </c>
      <c r="P123" s="93" t="str">
        <f>LEFT(VLOOKUP(Ruimtestaat[[#This Row],[Ruimte code]],Ruimtegroepen[#All],4,1),2)</f>
        <v/>
      </c>
      <c r="Q123" s="93"/>
      <c r="R123" s="84"/>
      <c r="S123" s="84"/>
      <c r="T123" s="85">
        <f>IF(R123&gt;0,IF(RIGHT(Ruimtestaat[[#This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3" s="85">
        <f>IF(T123&gt;0,VLOOKUP($J123,Ruimtegroepen[],3,FALSE)*VLOOKUP($L123,Vloersoorten[],3,FALSE)*VLOOKUP($S123,Frequenties[],3,FALSE)*VLOOKUP($A123,Locaties[],3,FALSE),0)</f>
        <v>0</v>
      </c>
      <c r="V123" s="86">
        <f>Ruimtestaat[[#This Row],[Uitvoeringen werkdagen]]*Ruimtestaat[[#This Row],[Oppervlak (netto)]]</f>
        <v>0</v>
      </c>
      <c r="W123" s="87">
        <f>IF(U123&gt;0,Ruimtestaat[[#This Row],[Prest. (m2 /jaar) werkdagen]]/Ruimtestaat[[#This Row],[Norm (m2/uur) werkdagen]],0)</f>
        <v>0</v>
      </c>
      <c r="X123" s="88">
        <f>Ruimtestaat[[#This Row],[uren / jaar werkdagen]]*Tariefsopbouw!$E$35</f>
        <v>0</v>
      </c>
      <c r="Y123" s="85"/>
      <c r="Z123" s="89">
        <f>IF(Ruimtestaat[[#This Row],[Frequentie weekend]]&gt;0,VALUE(LEFT(Y123,1))*R123,0)</f>
        <v>0</v>
      </c>
      <c r="AA123" s="85">
        <f>IF($Z123&gt;0,VLOOKUP($J123,Ruimtegroepen[],3,FALSE)*VLOOKUP($L123,Vloersoorten[],3,FALSE)*VLOOKUP($Y123,Frequenties[],3,FALSE)*VLOOKUP($A119,Locaties[],3,FALSE),0)</f>
        <v>0</v>
      </c>
      <c r="AB123" s="87">
        <f>Ruimtestaat[[#This Row],[Uitvoeringen weekend]]*Ruimtestaat[[#This Row],[Oppervlak (netto)]]</f>
        <v>0</v>
      </c>
      <c r="AC123" s="90">
        <f>IF(AB123&gt;0,Ruimtestaat[[#This Row],[Prest. (m2 /jaar) weekend]]/Ruimtestaat[[#This Row],[Norm (m2/uur) weekend]],0)</f>
        <v>0</v>
      </c>
      <c r="AD123" s="91">
        <f>Ruimtestaat[[#This Row],[uren / jaar weekend]]*Tariefsopbouw!$D$40</f>
        <v>0</v>
      </c>
      <c r="AE123" s="60">
        <f>Ruimtestaat[[#This Row],[Prest. (m2 /jaar) weekend]]+Ruimtestaat[[#This Row],[Prest. (m2 /jaar) werkdagen]]</f>
        <v>0</v>
      </c>
      <c r="AF123" s="60">
        <f>Ruimtestaat[[#This Row],[uren / jaar weekend]]+Ruimtestaat[[#This Row],[uren / jaar werkdagen]]</f>
        <v>0</v>
      </c>
      <c r="AG123" s="61">
        <f>Ruimtestaat[[#This Row],[kosten / jaar weekend]]+Ruimtestaat[[#This Row],[kosten / jaar werkdagen]]</f>
        <v>0</v>
      </c>
      <c r="AH123" s="92"/>
      <c r="HL123" s="59"/>
    </row>
    <row r="124" spans="1:220">
      <c r="A124" s="24">
        <v>1</v>
      </c>
      <c r="B124" s="24" t="str">
        <f>VLOOKUP(Ruimtestaat[[#This Row],[Code]],Locaties[#All],2,FALSE)</f>
        <v>Boerhaave + buitenunits</v>
      </c>
      <c r="C124" s="24" t="str">
        <f>VLOOKUP(Ruimtestaat[[#This Row],[Code]],Locaties[#All],4,FALSE)</f>
        <v>Herman Boerhaavelaan 1</v>
      </c>
      <c r="D124" s="24" t="str">
        <f>VLOOKUP(Ruimtestaat[[#This Row],[Code]],Locaties[#All],5,FALSE)</f>
        <v>7415 ES</v>
      </c>
      <c r="E124" s="24" t="str">
        <f>VLOOKUP(Ruimtestaat[[#This Row],[Code]],Locaties[#All],6,FALSE)</f>
        <v>Deventer</v>
      </c>
      <c r="F124" s="54"/>
      <c r="G124" s="24" t="s">
        <v>512</v>
      </c>
      <c r="H124" s="28" t="s">
        <v>554</v>
      </c>
      <c r="I124" s="4" t="s">
        <v>555</v>
      </c>
      <c r="J124" s="24">
        <v>16</v>
      </c>
      <c r="K124" s="54" t="str">
        <f>VLOOKUP(J124,Ruimtegroepen[],2,FALSE)</f>
        <v>Leslokalen theorie</v>
      </c>
      <c r="L124" s="24" t="s">
        <v>311</v>
      </c>
      <c r="M124" s="24" t="s">
        <v>370</v>
      </c>
      <c r="N124" s="83">
        <v>52.29</v>
      </c>
      <c r="O124" s="83"/>
      <c r="P124" s="93" t="str">
        <f>LEFT(VLOOKUP(Ruimtestaat[[#This Row],[Ruimte code]],Ruimtegroepen[#All],4,1),2)</f>
        <v>Le</v>
      </c>
      <c r="Q124" s="93"/>
      <c r="R124" s="84">
        <v>40</v>
      </c>
      <c r="S124" s="84" t="s">
        <v>318</v>
      </c>
      <c r="T124" s="85">
        <f>IF(R124&gt;0,IF(RIGHT(Ruimtestaat[[#This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" s="85">
        <f>IF(T124&gt;0,VLOOKUP($J124,Ruimtegroepen[],3,FALSE)*VLOOKUP($L124,Vloersoorten[],3,FALSE)*VLOOKUP($S124,Frequenties[],3,FALSE)*VLOOKUP($A124,Locaties[],3,FALSE),0)</f>
        <v>0</v>
      </c>
      <c r="V124" s="86">
        <f>Ruimtestaat[[#This Row],[Uitvoeringen werkdagen]]*Ruimtestaat[[#This Row],[Oppervlak (netto)]]</f>
        <v>10458</v>
      </c>
      <c r="W124" s="87">
        <f>IF(U124&gt;0,Ruimtestaat[[#This Row],[Prest. (m2 /jaar) werkdagen]]/Ruimtestaat[[#This Row],[Norm (m2/uur) werkdagen]],0)</f>
        <v>0</v>
      </c>
      <c r="X124" s="88">
        <f>Ruimtestaat[[#This Row],[uren / jaar werkdagen]]*Tariefsopbouw!$E$35</f>
        <v>0</v>
      </c>
      <c r="Y124" s="85"/>
      <c r="Z124" s="89">
        <f>IF(Ruimtestaat[[#This Row],[Frequentie weekend]]&gt;0,VALUE(LEFT(Y124,1))*R124,0)</f>
        <v>0</v>
      </c>
      <c r="AA124" s="85">
        <f>IF($Z124&gt;0,VLOOKUP($J124,Ruimtegroepen[],3,FALSE)*VLOOKUP($L124,Vloersoorten[],3,FALSE)*VLOOKUP($Y124,Frequenties[],3,FALSE)*VLOOKUP($A120,Locaties[],3,FALSE),0)</f>
        <v>0</v>
      </c>
      <c r="AB124" s="87">
        <f>Ruimtestaat[[#This Row],[Uitvoeringen weekend]]*Ruimtestaat[[#This Row],[Oppervlak (netto)]]</f>
        <v>0</v>
      </c>
      <c r="AC124" s="90">
        <f>IF(AB124&gt;0,Ruimtestaat[[#This Row],[Prest. (m2 /jaar) weekend]]/Ruimtestaat[[#This Row],[Norm (m2/uur) weekend]],0)</f>
        <v>0</v>
      </c>
      <c r="AD124" s="91">
        <f>Ruimtestaat[[#This Row],[uren / jaar weekend]]*Tariefsopbouw!$D$40</f>
        <v>0</v>
      </c>
      <c r="AE124" s="60">
        <f>Ruimtestaat[[#This Row],[Prest. (m2 /jaar) weekend]]+Ruimtestaat[[#This Row],[Prest. (m2 /jaar) werkdagen]]</f>
        <v>10458</v>
      </c>
      <c r="AF124" s="60">
        <f>Ruimtestaat[[#This Row],[uren / jaar weekend]]+Ruimtestaat[[#This Row],[uren / jaar werkdagen]]</f>
        <v>0</v>
      </c>
      <c r="AG124" s="61">
        <f>Ruimtestaat[[#This Row],[kosten / jaar weekend]]+Ruimtestaat[[#This Row],[kosten / jaar werkdagen]]</f>
        <v>0</v>
      </c>
      <c r="AH124" s="92"/>
      <c r="HL124" s="59"/>
    </row>
    <row r="125" spans="1:220">
      <c r="A125" s="24">
        <v>1</v>
      </c>
      <c r="B125" s="24" t="str">
        <f>VLOOKUP(Ruimtestaat[[#This Row],[Code]],Locaties[#All],2,FALSE)</f>
        <v>Boerhaave + buitenunits</v>
      </c>
      <c r="C125" s="24" t="str">
        <f>VLOOKUP(Ruimtestaat[[#This Row],[Code]],Locaties[#All],4,FALSE)</f>
        <v>Herman Boerhaavelaan 1</v>
      </c>
      <c r="D125" s="24" t="str">
        <f>VLOOKUP(Ruimtestaat[[#This Row],[Code]],Locaties[#All],5,FALSE)</f>
        <v>7415 ES</v>
      </c>
      <c r="E125" s="24" t="str">
        <f>VLOOKUP(Ruimtestaat[[#This Row],[Code]],Locaties[#All],6,FALSE)</f>
        <v>Deventer</v>
      </c>
      <c r="F125" s="54"/>
      <c r="G125" s="24" t="s">
        <v>512</v>
      </c>
      <c r="H125" s="28" t="s">
        <v>556</v>
      </c>
      <c r="I125" s="4" t="s">
        <v>557</v>
      </c>
      <c r="J125" s="24">
        <v>14</v>
      </c>
      <c r="K125" s="54" t="str">
        <f>VLOOKUP(J125,Ruimtegroepen[],2,FALSE)</f>
        <v>Praktijklokalen binas/zorg</v>
      </c>
      <c r="L125" s="24" t="s">
        <v>311</v>
      </c>
      <c r="M125" s="24" t="s">
        <v>370</v>
      </c>
      <c r="N125" s="83">
        <v>81.92</v>
      </c>
      <c r="O125" s="83"/>
      <c r="P125" s="93" t="str">
        <f>LEFT(VLOOKUP(Ruimtestaat[[#This Row],[Ruimte code]],Ruimtegroepen[#All],4,1),2)</f>
        <v>Le</v>
      </c>
      <c r="Q125" s="93"/>
      <c r="R125" s="84">
        <v>40</v>
      </c>
      <c r="S125" s="84" t="s">
        <v>318</v>
      </c>
      <c r="T125" s="85">
        <f>IF(R125&gt;0,IF(RIGHT(Ruimtestaat[[#This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5" s="85">
        <f>IF(T125&gt;0,VLOOKUP($J125,Ruimtegroepen[],3,FALSE)*VLOOKUP($L125,Vloersoorten[],3,FALSE)*VLOOKUP($S125,Frequenties[],3,FALSE)*VLOOKUP($A125,Locaties[],3,FALSE),0)</f>
        <v>0</v>
      </c>
      <c r="V125" s="86">
        <f>Ruimtestaat[[#This Row],[Uitvoeringen werkdagen]]*Ruimtestaat[[#This Row],[Oppervlak (netto)]]</f>
        <v>16384</v>
      </c>
      <c r="W125" s="87">
        <f>IF(U125&gt;0,Ruimtestaat[[#This Row],[Prest. (m2 /jaar) werkdagen]]/Ruimtestaat[[#This Row],[Norm (m2/uur) werkdagen]],0)</f>
        <v>0</v>
      </c>
      <c r="X125" s="88">
        <f>Ruimtestaat[[#This Row],[uren / jaar werkdagen]]*Tariefsopbouw!$E$35</f>
        <v>0</v>
      </c>
      <c r="Y125" s="85"/>
      <c r="Z125" s="89">
        <f>IF(Ruimtestaat[[#This Row],[Frequentie weekend]]&gt;0,VALUE(LEFT(Y125,1))*R125,0)</f>
        <v>0</v>
      </c>
      <c r="AA125" s="85">
        <f>IF($Z125&gt;0,VLOOKUP($J125,Ruimtegroepen[],3,FALSE)*VLOOKUP($L125,Vloersoorten[],3,FALSE)*VLOOKUP($Y125,Frequenties[],3,FALSE)*VLOOKUP($A121,Locaties[],3,FALSE),0)</f>
        <v>0</v>
      </c>
      <c r="AB125" s="87">
        <f>Ruimtestaat[[#This Row],[Uitvoeringen weekend]]*Ruimtestaat[[#This Row],[Oppervlak (netto)]]</f>
        <v>0</v>
      </c>
      <c r="AC125" s="90">
        <f>IF(AB125&gt;0,Ruimtestaat[[#This Row],[Prest. (m2 /jaar) weekend]]/Ruimtestaat[[#This Row],[Norm (m2/uur) weekend]],0)</f>
        <v>0</v>
      </c>
      <c r="AD125" s="91">
        <f>Ruimtestaat[[#This Row],[uren / jaar weekend]]*Tariefsopbouw!$D$40</f>
        <v>0</v>
      </c>
      <c r="AE125" s="60">
        <f>Ruimtestaat[[#This Row],[Prest. (m2 /jaar) weekend]]+Ruimtestaat[[#This Row],[Prest. (m2 /jaar) werkdagen]]</f>
        <v>16384</v>
      </c>
      <c r="AF125" s="60">
        <f>Ruimtestaat[[#This Row],[uren / jaar weekend]]+Ruimtestaat[[#This Row],[uren / jaar werkdagen]]</f>
        <v>0</v>
      </c>
      <c r="AG125" s="61">
        <f>Ruimtestaat[[#This Row],[kosten / jaar weekend]]+Ruimtestaat[[#This Row],[kosten / jaar werkdagen]]</f>
        <v>0</v>
      </c>
      <c r="AH125" s="92"/>
      <c r="HL125" s="59"/>
    </row>
    <row r="126" spans="1:220">
      <c r="A126" s="24">
        <v>1</v>
      </c>
      <c r="B126" s="24" t="str">
        <f>VLOOKUP(Ruimtestaat[[#This Row],[Code]],Locaties[#All],2,FALSE)</f>
        <v>Boerhaave + buitenunits</v>
      </c>
      <c r="C126" s="24" t="str">
        <f>VLOOKUP(Ruimtestaat[[#This Row],[Code]],Locaties[#All],4,FALSE)</f>
        <v>Herman Boerhaavelaan 1</v>
      </c>
      <c r="D126" s="24" t="str">
        <f>VLOOKUP(Ruimtestaat[[#This Row],[Code]],Locaties[#All],5,FALSE)</f>
        <v>7415 ES</v>
      </c>
      <c r="E126" s="24" t="str">
        <f>VLOOKUP(Ruimtestaat[[#This Row],[Code]],Locaties[#All],6,FALSE)</f>
        <v>Deventer</v>
      </c>
      <c r="F126" s="54"/>
      <c r="G126" s="24" t="s">
        <v>512</v>
      </c>
      <c r="H126" s="28" t="s">
        <v>558</v>
      </c>
      <c r="I126" s="4" t="s">
        <v>559</v>
      </c>
      <c r="J126" s="24">
        <v>20</v>
      </c>
      <c r="K126" s="54" t="str">
        <f>VLOOKUP(J126,Ruimtegroepen[],2,FALSE)</f>
        <v>Kabinet</v>
      </c>
      <c r="L126" s="24" t="s">
        <v>311</v>
      </c>
      <c r="M126" s="24" t="s">
        <v>370</v>
      </c>
      <c r="N126" s="83">
        <v>33.47</v>
      </c>
      <c r="O126" s="83"/>
      <c r="P126" s="93" t="str">
        <f>LEFT(VLOOKUP(Ruimtestaat[[#This Row],[Ruimte code]],Ruimtegroepen[#All],4,1),2)</f>
        <v>Ve</v>
      </c>
      <c r="Q126" s="93"/>
      <c r="R126" s="84">
        <v>40</v>
      </c>
      <c r="S126" s="84" t="s">
        <v>318</v>
      </c>
      <c r="T126" s="85">
        <f>IF(R126&gt;0,IF(RIGHT(Ruimtestaat[[#This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" s="85">
        <f>IF(T126&gt;0,VLOOKUP($J126,Ruimtegroepen[],3,FALSE)*VLOOKUP($L126,Vloersoorten[],3,FALSE)*VLOOKUP($S126,Frequenties[],3,FALSE)*VLOOKUP($A126,Locaties[],3,FALSE),0)</f>
        <v>0</v>
      </c>
      <c r="V126" s="86">
        <f>Ruimtestaat[[#This Row],[Uitvoeringen werkdagen]]*Ruimtestaat[[#This Row],[Oppervlak (netto)]]</f>
        <v>6694</v>
      </c>
      <c r="W126" s="87">
        <f>IF(U126&gt;0,Ruimtestaat[[#This Row],[Prest. (m2 /jaar) werkdagen]]/Ruimtestaat[[#This Row],[Norm (m2/uur) werkdagen]],0)</f>
        <v>0</v>
      </c>
      <c r="X126" s="88">
        <f>Ruimtestaat[[#This Row],[uren / jaar werkdagen]]*Tariefsopbouw!$E$35</f>
        <v>0</v>
      </c>
      <c r="Y126" s="85"/>
      <c r="Z126" s="89">
        <f>IF(Ruimtestaat[[#This Row],[Frequentie weekend]]&gt;0,VALUE(LEFT(Y126,1))*R126,0)</f>
        <v>0</v>
      </c>
      <c r="AA126" s="85">
        <f>IF($Z126&gt;0,VLOOKUP($J126,Ruimtegroepen[],3,FALSE)*VLOOKUP($L126,Vloersoorten[],3,FALSE)*VLOOKUP($Y126,Frequenties[],3,FALSE)*VLOOKUP($A122,Locaties[],3,FALSE),0)</f>
        <v>0</v>
      </c>
      <c r="AB126" s="87">
        <f>Ruimtestaat[[#This Row],[Uitvoeringen weekend]]*Ruimtestaat[[#This Row],[Oppervlak (netto)]]</f>
        <v>0</v>
      </c>
      <c r="AC126" s="90">
        <f>IF(AB126&gt;0,Ruimtestaat[[#This Row],[Prest. (m2 /jaar) weekend]]/Ruimtestaat[[#This Row],[Norm (m2/uur) weekend]],0)</f>
        <v>0</v>
      </c>
      <c r="AD126" s="91">
        <f>Ruimtestaat[[#This Row],[uren / jaar weekend]]*Tariefsopbouw!$D$40</f>
        <v>0</v>
      </c>
      <c r="AE126" s="60">
        <f>Ruimtestaat[[#This Row],[Prest. (m2 /jaar) weekend]]+Ruimtestaat[[#This Row],[Prest. (m2 /jaar) werkdagen]]</f>
        <v>6694</v>
      </c>
      <c r="AF126" s="60">
        <f>Ruimtestaat[[#This Row],[uren / jaar weekend]]+Ruimtestaat[[#This Row],[uren / jaar werkdagen]]</f>
        <v>0</v>
      </c>
      <c r="AG126" s="61">
        <f>Ruimtestaat[[#This Row],[kosten / jaar weekend]]+Ruimtestaat[[#This Row],[kosten / jaar werkdagen]]</f>
        <v>0</v>
      </c>
      <c r="AH126" s="92"/>
      <c r="HL126" s="59"/>
    </row>
    <row r="127" spans="1:220">
      <c r="A127" s="24">
        <v>1</v>
      </c>
      <c r="B127" s="24" t="str">
        <f>VLOOKUP(Ruimtestaat[[#This Row],[Code]],Locaties[#All],2,FALSE)</f>
        <v>Boerhaave + buitenunits</v>
      </c>
      <c r="C127" s="24" t="str">
        <f>VLOOKUP(Ruimtestaat[[#This Row],[Code]],Locaties[#All],4,FALSE)</f>
        <v>Herman Boerhaavelaan 1</v>
      </c>
      <c r="D127" s="24" t="str">
        <f>VLOOKUP(Ruimtestaat[[#This Row],[Code]],Locaties[#All],5,FALSE)</f>
        <v>7415 ES</v>
      </c>
      <c r="E127" s="24" t="str">
        <f>VLOOKUP(Ruimtestaat[[#This Row],[Code]],Locaties[#All],6,FALSE)</f>
        <v>Deventer</v>
      </c>
      <c r="F127" s="54"/>
      <c r="G127" s="24" t="s">
        <v>512</v>
      </c>
      <c r="H127" s="28" t="s">
        <v>560</v>
      </c>
      <c r="I127" s="4" t="s">
        <v>394</v>
      </c>
      <c r="J127" s="24">
        <v>22</v>
      </c>
      <c r="K127" s="54" t="str">
        <f>VLOOKUP(J127,Ruimtegroepen[],2,FALSE)</f>
        <v>Niet in onderhoud</v>
      </c>
      <c r="L127" s="24" t="s">
        <v>311</v>
      </c>
      <c r="M127" s="24" t="s">
        <v>370</v>
      </c>
      <c r="N127" s="83"/>
      <c r="O127" s="83">
        <v>12.29</v>
      </c>
      <c r="P127" s="93" t="str">
        <f>LEFT(VLOOKUP(Ruimtestaat[[#This Row],[Ruimte code]],Ruimtegroepen[#All],4,1),2)</f>
        <v/>
      </c>
      <c r="Q127" s="93"/>
      <c r="R127" s="84"/>
      <c r="S127" s="84"/>
      <c r="T127" s="85">
        <f>IF(R127&gt;0,IF(RIGHT(Ruimtestaat[[#This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" s="85">
        <f>IF(T127&gt;0,VLOOKUP($J127,Ruimtegroepen[],3,FALSE)*VLOOKUP($L127,Vloersoorten[],3,FALSE)*VLOOKUP($S127,Frequenties[],3,FALSE)*VLOOKUP($A127,Locaties[],3,FALSE),0)</f>
        <v>0</v>
      </c>
      <c r="V127" s="86">
        <f>Ruimtestaat[[#This Row],[Uitvoeringen werkdagen]]*Ruimtestaat[[#This Row],[Oppervlak (netto)]]</f>
        <v>0</v>
      </c>
      <c r="W127" s="87">
        <f>IF(U127&gt;0,Ruimtestaat[[#This Row],[Prest. (m2 /jaar) werkdagen]]/Ruimtestaat[[#This Row],[Norm (m2/uur) werkdagen]],0)</f>
        <v>0</v>
      </c>
      <c r="X127" s="88">
        <f>Ruimtestaat[[#This Row],[uren / jaar werkdagen]]*Tariefsopbouw!$E$35</f>
        <v>0</v>
      </c>
      <c r="Y127" s="85"/>
      <c r="Z127" s="89">
        <f>IF(Ruimtestaat[[#This Row],[Frequentie weekend]]&gt;0,VALUE(LEFT(Y127,1))*R127,0)</f>
        <v>0</v>
      </c>
      <c r="AA127" s="85">
        <f>IF($Z127&gt;0,VLOOKUP($J127,Ruimtegroepen[],3,FALSE)*VLOOKUP($L127,Vloersoorten[],3,FALSE)*VLOOKUP($Y127,Frequenties[],3,FALSE)*VLOOKUP($A98,Locaties[],3,FALSE),0)</f>
        <v>0</v>
      </c>
      <c r="AB127" s="87">
        <f>Ruimtestaat[[#This Row],[Uitvoeringen weekend]]*Ruimtestaat[[#This Row],[Oppervlak (netto)]]</f>
        <v>0</v>
      </c>
      <c r="AC127" s="90">
        <f>IF(AB127&gt;0,Ruimtestaat[[#This Row],[Prest. (m2 /jaar) weekend]]/Ruimtestaat[[#This Row],[Norm (m2/uur) weekend]],0)</f>
        <v>0</v>
      </c>
      <c r="AD127" s="91">
        <f>Ruimtestaat[[#This Row],[uren / jaar weekend]]*Tariefsopbouw!$D$40</f>
        <v>0</v>
      </c>
      <c r="AE127" s="60">
        <f>Ruimtestaat[[#This Row],[Prest. (m2 /jaar) weekend]]+Ruimtestaat[[#This Row],[Prest. (m2 /jaar) werkdagen]]</f>
        <v>0</v>
      </c>
      <c r="AF127" s="60">
        <f>Ruimtestaat[[#This Row],[uren / jaar weekend]]+Ruimtestaat[[#This Row],[uren / jaar werkdagen]]</f>
        <v>0</v>
      </c>
      <c r="AG127" s="61">
        <f>Ruimtestaat[[#This Row],[kosten / jaar weekend]]+Ruimtestaat[[#This Row],[kosten / jaar werkdagen]]</f>
        <v>0</v>
      </c>
      <c r="AH127" s="92"/>
      <c r="HL127" s="59"/>
    </row>
    <row r="128" spans="1:220">
      <c r="A128" s="24">
        <v>1</v>
      </c>
      <c r="B128" s="24" t="str">
        <f>VLOOKUP(Ruimtestaat[[#This Row],[Code]],Locaties[#All],2,FALSE)</f>
        <v>Boerhaave + buitenunits</v>
      </c>
      <c r="C128" s="24" t="str">
        <f>VLOOKUP(Ruimtestaat[[#This Row],[Code]],Locaties[#All],4,FALSE)</f>
        <v>Herman Boerhaavelaan 1</v>
      </c>
      <c r="D128" s="24" t="str">
        <f>VLOOKUP(Ruimtestaat[[#This Row],[Code]],Locaties[#All],5,FALSE)</f>
        <v>7415 ES</v>
      </c>
      <c r="E128" s="24" t="str">
        <f>VLOOKUP(Ruimtestaat[[#This Row],[Code]],Locaties[#All],6,FALSE)</f>
        <v>Deventer</v>
      </c>
      <c r="F128" s="54"/>
      <c r="G128" s="24" t="s">
        <v>512</v>
      </c>
      <c r="H128" s="28" t="s">
        <v>561</v>
      </c>
      <c r="I128" s="4" t="s">
        <v>555</v>
      </c>
      <c r="J128" s="24">
        <v>16</v>
      </c>
      <c r="K128" s="54" t="str">
        <f>VLOOKUP(J128,Ruimtegroepen[],2,FALSE)</f>
        <v>Leslokalen theorie</v>
      </c>
      <c r="L128" s="24" t="s">
        <v>311</v>
      </c>
      <c r="M128" s="24" t="s">
        <v>370</v>
      </c>
      <c r="N128" s="83">
        <v>86.71</v>
      </c>
      <c r="O128" s="83"/>
      <c r="P128" s="93" t="str">
        <f>LEFT(VLOOKUP(Ruimtestaat[[#This Row],[Ruimte code]],Ruimtegroepen[#All],4,1),2)</f>
        <v>Le</v>
      </c>
      <c r="Q128" s="93"/>
      <c r="R128" s="84">
        <v>40</v>
      </c>
      <c r="S128" s="84" t="s">
        <v>318</v>
      </c>
      <c r="T128" s="85">
        <f>IF(R128&gt;0,IF(RIGHT(Ruimtestaat[[#This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" s="85">
        <f>IF(T128&gt;0,VLOOKUP($J128,Ruimtegroepen[],3,FALSE)*VLOOKUP($L128,Vloersoorten[],3,FALSE)*VLOOKUP($S128,Frequenties[],3,FALSE)*VLOOKUP($A128,Locaties[],3,FALSE),0)</f>
        <v>0</v>
      </c>
      <c r="V128" s="86">
        <f>Ruimtestaat[[#This Row],[Uitvoeringen werkdagen]]*Ruimtestaat[[#This Row],[Oppervlak (netto)]]</f>
        <v>17342</v>
      </c>
      <c r="W128" s="87">
        <f>IF(U128&gt;0,Ruimtestaat[[#This Row],[Prest. (m2 /jaar) werkdagen]]/Ruimtestaat[[#This Row],[Norm (m2/uur) werkdagen]],0)</f>
        <v>0</v>
      </c>
      <c r="X128" s="88">
        <f>Ruimtestaat[[#This Row],[uren / jaar werkdagen]]*Tariefsopbouw!$E$35</f>
        <v>0</v>
      </c>
      <c r="Y128" s="85"/>
      <c r="Z128" s="89">
        <f>IF(Ruimtestaat[[#This Row],[Frequentie weekend]]&gt;0,VALUE(LEFT(Y128,1))*R128,0)</f>
        <v>0</v>
      </c>
      <c r="AA128" s="85">
        <f>IF($Z128&gt;0,VLOOKUP($J128,Ruimtegroepen[],3,FALSE)*VLOOKUP($L128,Vloersoorten[],3,FALSE)*VLOOKUP($Y128,Frequenties[],3,FALSE)*VLOOKUP($A99,Locaties[],3,FALSE),0)</f>
        <v>0</v>
      </c>
      <c r="AB128" s="87">
        <f>Ruimtestaat[[#This Row],[Uitvoeringen weekend]]*Ruimtestaat[[#This Row],[Oppervlak (netto)]]</f>
        <v>0</v>
      </c>
      <c r="AC128" s="90">
        <f>IF(AB128&gt;0,Ruimtestaat[[#This Row],[Prest. (m2 /jaar) weekend]]/Ruimtestaat[[#This Row],[Norm (m2/uur) weekend]],0)</f>
        <v>0</v>
      </c>
      <c r="AD128" s="91">
        <f>Ruimtestaat[[#This Row],[uren / jaar weekend]]*Tariefsopbouw!$D$40</f>
        <v>0</v>
      </c>
      <c r="AE128" s="60">
        <f>Ruimtestaat[[#This Row],[Prest. (m2 /jaar) weekend]]+Ruimtestaat[[#This Row],[Prest. (m2 /jaar) werkdagen]]</f>
        <v>17342</v>
      </c>
      <c r="AF128" s="60">
        <f>Ruimtestaat[[#This Row],[uren / jaar weekend]]+Ruimtestaat[[#This Row],[uren / jaar werkdagen]]</f>
        <v>0</v>
      </c>
      <c r="AG128" s="61">
        <f>Ruimtestaat[[#This Row],[kosten / jaar weekend]]+Ruimtestaat[[#This Row],[kosten / jaar werkdagen]]</f>
        <v>0</v>
      </c>
      <c r="AH128" s="92"/>
      <c r="HL128" s="59"/>
    </row>
    <row r="129" spans="1:220">
      <c r="A129" s="24">
        <v>1</v>
      </c>
      <c r="B129" s="24" t="str">
        <f>VLOOKUP(Ruimtestaat[[#This Row],[Code]],Locaties[#All],2,FALSE)</f>
        <v>Boerhaave + buitenunits</v>
      </c>
      <c r="C129" s="24" t="str">
        <f>VLOOKUP(Ruimtestaat[[#This Row],[Code]],Locaties[#All],4,FALSE)</f>
        <v>Herman Boerhaavelaan 1</v>
      </c>
      <c r="D129" s="24" t="str">
        <f>VLOOKUP(Ruimtestaat[[#This Row],[Code]],Locaties[#All],5,FALSE)</f>
        <v>7415 ES</v>
      </c>
      <c r="E129" s="24" t="str">
        <f>VLOOKUP(Ruimtestaat[[#This Row],[Code]],Locaties[#All],6,FALSE)</f>
        <v>Deventer</v>
      </c>
      <c r="F129" s="54"/>
      <c r="G129" s="24" t="s">
        <v>512</v>
      </c>
      <c r="H129" s="28" t="s">
        <v>562</v>
      </c>
      <c r="I129" s="4" t="s">
        <v>557</v>
      </c>
      <c r="J129" s="24">
        <v>14</v>
      </c>
      <c r="K129" s="54" t="str">
        <f>VLOOKUP(J129,Ruimtegroepen[],2,FALSE)</f>
        <v>Praktijklokalen binas/zorg</v>
      </c>
      <c r="L129" s="24" t="s">
        <v>303</v>
      </c>
      <c r="M129" s="24" t="s">
        <v>387</v>
      </c>
      <c r="N129" s="83">
        <v>91.2</v>
      </c>
      <c r="O129" s="83"/>
      <c r="P129" s="93" t="str">
        <f>LEFT(VLOOKUP(Ruimtestaat[[#This Row],[Ruimte code]],Ruimtegroepen[#All],4,1),2)</f>
        <v>Le</v>
      </c>
      <c r="Q129" s="93"/>
      <c r="R129" s="84">
        <v>40</v>
      </c>
      <c r="S129" s="84" t="s">
        <v>318</v>
      </c>
      <c r="T129" s="85">
        <f>IF(R129&gt;0,IF(RIGHT(Ruimtestaat[[#This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" s="85">
        <f>IF(T129&gt;0,VLOOKUP($J129,Ruimtegroepen[],3,FALSE)*VLOOKUP($L129,Vloersoorten[],3,FALSE)*VLOOKUP($S129,Frequenties[],3,FALSE)*VLOOKUP($A129,Locaties[],3,FALSE),0)</f>
        <v>0</v>
      </c>
      <c r="V129" s="86">
        <f>Ruimtestaat[[#This Row],[Uitvoeringen werkdagen]]*Ruimtestaat[[#This Row],[Oppervlak (netto)]]</f>
        <v>18240</v>
      </c>
      <c r="W129" s="87">
        <f>IF(U129&gt;0,Ruimtestaat[[#This Row],[Prest. (m2 /jaar) werkdagen]]/Ruimtestaat[[#This Row],[Norm (m2/uur) werkdagen]],0)</f>
        <v>0</v>
      </c>
      <c r="X129" s="88">
        <f>Ruimtestaat[[#This Row],[uren / jaar werkdagen]]*Tariefsopbouw!$E$35</f>
        <v>0</v>
      </c>
      <c r="Y129" s="85"/>
      <c r="Z129" s="89">
        <f>IF(Ruimtestaat[[#This Row],[Frequentie weekend]]&gt;0,VALUE(LEFT(Y129,1))*R129,0)</f>
        <v>0</v>
      </c>
      <c r="AA129" s="85">
        <f>IF($Z129&gt;0,VLOOKUP($J129,Ruimtegroepen[],3,FALSE)*VLOOKUP($L129,Vloersoorten[],3,FALSE)*VLOOKUP($Y129,Frequenties[],3,FALSE)*VLOOKUP($A100,Locaties[],3,FALSE),0)</f>
        <v>0</v>
      </c>
      <c r="AB129" s="87">
        <f>Ruimtestaat[[#This Row],[Uitvoeringen weekend]]*Ruimtestaat[[#This Row],[Oppervlak (netto)]]</f>
        <v>0</v>
      </c>
      <c r="AC129" s="90">
        <f>IF(AB129&gt;0,Ruimtestaat[[#This Row],[Prest. (m2 /jaar) weekend]]/Ruimtestaat[[#This Row],[Norm (m2/uur) weekend]],0)</f>
        <v>0</v>
      </c>
      <c r="AD129" s="91">
        <f>Ruimtestaat[[#This Row],[uren / jaar weekend]]*Tariefsopbouw!$D$40</f>
        <v>0</v>
      </c>
      <c r="AE129" s="60">
        <f>Ruimtestaat[[#This Row],[Prest. (m2 /jaar) weekend]]+Ruimtestaat[[#This Row],[Prest. (m2 /jaar) werkdagen]]</f>
        <v>18240</v>
      </c>
      <c r="AF129" s="60">
        <f>Ruimtestaat[[#This Row],[uren / jaar weekend]]+Ruimtestaat[[#This Row],[uren / jaar werkdagen]]</f>
        <v>0</v>
      </c>
      <c r="AG129" s="61">
        <f>Ruimtestaat[[#This Row],[kosten / jaar weekend]]+Ruimtestaat[[#This Row],[kosten / jaar werkdagen]]</f>
        <v>0</v>
      </c>
      <c r="AH129" s="92"/>
      <c r="HL129" s="59"/>
    </row>
    <row r="130" spans="1:220">
      <c r="A130" s="24">
        <v>1</v>
      </c>
      <c r="B130" s="24" t="str">
        <f>VLOOKUP(Ruimtestaat[[#This Row],[Code]],Locaties[#All],2,FALSE)</f>
        <v>Boerhaave + buitenunits</v>
      </c>
      <c r="C130" s="24" t="str">
        <f>VLOOKUP(Ruimtestaat[[#This Row],[Code]],Locaties[#All],4,FALSE)</f>
        <v>Herman Boerhaavelaan 1</v>
      </c>
      <c r="D130" s="24" t="str">
        <f>VLOOKUP(Ruimtestaat[[#This Row],[Code]],Locaties[#All],5,FALSE)</f>
        <v>7415 ES</v>
      </c>
      <c r="E130" s="24" t="str">
        <f>VLOOKUP(Ruimtestaat[[#This Row],[Code]],Locaties[#All],6,FALSE)</f>
        <v>Deventer</v>
      </c>
      <c r="F130" s="54"/>
      <c r="G130" s="24" t="s">
        <v>512</v>
      </c>
      <c r="H130" s="28" t="s">
        <v>563</v>
      </c>
      <c r="I130" s="4" t="s">
        <v>530</v>
      </c>
      <c r="J130" s="24">
        <v>16</v>
      </c>
      <c r="K130" s="54" t="str">
        <f>VLOOKUP(J130,Ruimtegroepen[],2,FALSE)</f>
        <v>Leslokalen theorie</v>
      </c>
      <c r="L130" s="24" t="s">
        <v>311</v>
      </c>
      <c r="M130" s="24" t="s">
        <v>370</v>
      </c>
      <c r="N130" s="83">
        <v>36</v>
      </c>
      <c r="O130" s="83"/>
      <c r="P130" s="93" t="str">
        <f>LEFT(VLOOKUP(Ruimtestaat[[#This Row],[Ruimte code]],Ruimtegroepen[#All],4,1),2)</f>
        <v>Le</v>
      </c>
      <c r="Q130" s="93"/>
      <c r="R130" s="84">
        <v>40</v>
      </c>
      <c r="S130" s="84" t="s">
        <v>318</v>
      </c>
      <c r="T130" s="85">
        <f>IF(R130&gt;0,IF(RIGHT(Ruimtestaat[[#This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" s="85">
        <f>IF(T130&gt;0,VLOOKUP($J130,Ruimtegroepen[],3,FALSE)*VLOOKUP($L130,Vloersoorten[],3,FALSE)*VLOOKUP($S130,Frequenties[],3,FALSE)*VLOOKUP($A130,Locaties[],3,FALSE),0)</f>
        <v>0</v>
      </c>
      <c r="V130" s="86">
        <f>Ruimtestaat[[#This Row],[Uitvoeringen werkdagen]]*Ruimtestaat[[#This Row],[Oppervlak (netto)]]</f>
        <v>7200</v>
      </c>
      <c r="W130" s="87">
        <f>IF(U130&gt;0,Ruimtestaat[[#This Row],[Prest. (m2 /jaar) werkdagen]]/Ruimtestaat[[#This Row],[Norm (m2/uur) werkdagen]],0)</f>
        <v>0</v>
      </c>
      <c r="X130" s="88">
        <f>Ruimtestaat[[#This Row],[uren / jaar werkdagen]]*Tariefsopbouw!$E$35</f>
        <v>0</v>
      </c>
      <c r="Y130" s="85"/>
      <c r="Z130" s="89">
        <f>IF(Ruimtestaat[[#This Row],[Frequentie weekend]]&gt;0,VALUE(LEFT(Y130,1))*R130,0)</f>
        <v>0</v>
      </c>
      <c r="AA130" s="85">
        <f>IF($Z130&gt;0,VLOOKUP($J130,Ruimtegroepen[],3,FALSE)*VLOOKUP($L130,Vloersoorten[],3,FALSE)*VLOOKUP($Y130,Frequenties[],3,FALSE)*VLOOKUP($A101,Locaties[],3,FALSE),0)</f>
        <v>0</v>
      </c>
      <c r="AB130" s="87">
        <f>Ruimtestaat[[#This Row],[Uitvoeringen weekend]]*Ruimtestaat[[#This Row],[Oppervlak (netto)]]</f>
        <v>0</v>
      </c>
      <c r="AC130" s="90">
        <f>IF(AB130&gt;0,Ruimtestaat[[#This Row],[Prest. (m2 /jaar) weekend]]/Ruimtestaat[[#This Row],[Norm (m2/uur) weekend]],0)</f>
        <v>0</v>
      </c>
      <c r="AD130" s="91">
        <f>Ruimtestaat[[#This Row],[uren / jaar weekend]]*Tariefsopbouw!$D$40</f>
        <v>0</v>
      </c>
      <c r="AE130" s="60">
        <f>Ruimtestaat[[#This Row],[Prest. (m2 /jaar) weekend]]+Ruimtestaat[[#This Row],[Prest. (m2 /jaar) werkdagen]]</f>
        <v>7200</v>
      </c>
      <c r="AF130" s="60">
        <f>Ruimtestaat[[#This Row],[uren / jaar weekend]]+Ruimtestaat[[#This Row],[uren / jaar werkdagen]]</f>
        <v>0</v>
      </c>
      <c r="AG130" s="61">
        <f>Ruimtestaat[[#This Row],[kosten / jaar weekend]]+Ruimtestaat[[#This Row],[kosten / jaar werkdagen]]</f>
        <v>0</v>
      </c>
      <c r="AH130" s="92"/>
      <c r="HL130" s="59"/>
    </row>
    <row r="131" spans="1:220">
      <c r="A131" s="24">
        <v>1</v>
      </c>
      <c r="B131" s="24" t="str">
        <f>VLOOKUP(Ruimtestaat[[#This Row],[Code]],Locaties[#All],2,FALSE)</f>
        <v>Boerhaave + buitenunits</v>
      </c>
      <c r="C131" s="24" t="str">
        <f>VLOOKUP(Ruimtestaat[[#This Row],[Code]],Locaties[#All],4,FALSE)</f>
        <v>Herman Boerhaavelaan 1</v>
      </c>
      <c r="D131" s="24" t="str">
        <f>VLOOKUP(Ruimtestaat[[#This Row],[Code]],Locaties[#All],5,FALSE)</f>
        <v>7415 ES</v>
      </c>
      <c r="E131" s="24" t="str">
        <f>VLOOKUP(Ruimtestaat[[#This Row],[Code]],Locaties[#All],6,FALSE)</f>
        <v>Deventer</v>
      </c>
      <c r="F131" s="54"/>
      <c r="G131" s="24" t="s">
        <v>512</v>
      </c>
      <c r="H131" s="28" t="s">
        <v>564</v>
      </c>
      <c r="I131" s="4" t="s">
        <v>372</v>
      </c>
      <c r="J131" s="24">
        <v>10</v>
      </c>
      <c r="K131" s="54" t="str">
        <f>VLOOKUP(J131,Ruimtegroepen[],2,FALSE)</f>
        <v>Trappenhuizen/lift</v>
      </c>
      <c r="L131" s="24" t="s">
        <v>305</v>
      </c>
      <c r="M131" s="24" t="s">
        <v>373</v>
      </c>
      <c r="N131" s="83">
        <v>8.76</v>
      </c>
      <c r="O131" s="83"/>
      <c r="P131" s="93" t="str">
        <f>LEFT(VLOOKUP(Ruimtestaat[[#This Row],[Ruimte code]],Ruimtegroepen[#All],4,1),2)</f>
        <v>Ve</v>
      </c>
      <c r="Q131" s="93"/>
      <c r="R131" s="84">
        <v>40</v>
      </c>
      <c r="S131" s="84" t="s">
        <v>318</v>
      </c>
      <c r="T131" s="85">
        <f>IF(R131&gt;0,IF(RIGHT(Ruimtestaat[[#This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" s="85">
        <f>IF(T131&gt;0,VLOOKUP($J131,Ruimtegroepen[],3,FALSE)*VLOOKUP($L131,Vloersoorten[],3,FALSE)*VLOOKUP($S131,Frequenties[],3,FALSE)*VLOOKUP($A131,Locaties[],3,FALSE),0)</f>
        <v>0</v>
      </c>
      <c r="V131" s="86">
        <f>Ruimtestaat[[#This Row],[Uitvoeringen werkdagen]]*Ruimtestaat[[#This Row],[Oppervlak (netto)]]</f>
        <v>1752</v>
      </c>
      <c r="W131" s="87">
        <f>IF(U131&gt;0,Ruimtestaat[[#This Row],[Prest. (m2 /jaar) werkdagen]]/Ruimtestaat[[#This Row],[Norm (m2/uur) werkdagen]],0)</f>
        <v>0</v>
      </c>
      <c r="X131" s="88">
        <f>Ruimtestaat[[#This Row],[uren / jaar werkdagen]]*Tariefsopbouw!$E$35</f>
        <v>0</v>
      </c>
      <c r="Y131" s="85"/>
      <c r="Z131" s="89">
        <f>IF(Ruimtestaat[[#This Row],[Frequentie weekend]]&gt;0,VALUE(LEFT(Y131,1))*R131,0)</f>
        <v>0</v>
      </c>
      <c r="AA131" s="85">
        <f>IF($Z131&gt;0,VLOOKUP($J131,Ruimtegroepen[],3,FALSE)*VLOOKUP($L131,Vloersoorten[],3,FALSE)*VLOOKUP($Y131,Frequenties[],3,FALSE)*VLOOKUP($A102,Locaties[],3,FALSE),0)</f>
        <v>0</v>
      </c>
      <c r="AB131" s="87">
        <f>Ruimtestaat[[#This Row],[Uitvoeringen weekend]]*Ruimtestaat[[#This Row],[Oppervlak (netto)]]</f>
        <v>0</v>
      </c>
      <c r="AC131" s="90">
        <f>IF(AB131&gt;0,Ruimtestaat[[#This Row],[Prest. (m2 /jaar) weekend]]/Ruimtestaat[[#This Row],[Norm (m2/uur) weekend]],0)</f>
        <v>0</v>
      </c>
      <c r="AD131" s="91">
        <f>Ruimtestaat[[#This Row],[uren / jaar weekend]]*Tariefsopbouw!$D$40</f>
        <v>0</v>
      </c>
      <c r="AE131" s="60">
        <f>Ruimtestaat[[#This Row],[Prest. (m2 /jaar) weekend]]+Ruimtestaat[[#This Row],[Prest. (m2 /jaar) werkdagen]]</f>
        <v>1752</v>
      </c>
      <c r="AF131" s="60">
        <f>Ruimtestaat[[#This Row],[uren / jaar weekend]]+Ruimtestaat[[#This Row],[uren / jaar werkdagen]]</f>
        <v>0</v>
      </c>
      <c r="AG131" s="61">
        <f>Ruimtestaat[[#This Row],[kosten / jaar weekend]]+Ruimtestaat[[#This Row],[kosten / jaar werkdagen]]</f>
        <v>0</v>
      </c>
      <c r="AH131" s="92"/>
      <c r="HL131" s="59"/>
    </row>
    <row r="132" spans="1:220">
      <c r="A132" s="24">
        <v>1</v>
      </c>
      <c r="B132" s="24" t="str">
        <f>VLOOKUP(Ruimtestaat[[#This Row],[Code]],Locaties[#All],2,FALSE)</f>
        <v>Boerhaave + buitenunits</v>
      </c>
      <c r="C132" s="24" t="str">
        <f>VLOOKUP(Ruimtestaat[[#This Row],[Code]],Locaties[#All],4,FALSE)</f>
        <v>Herman Boerhaavelaan 1</v>
      </c>
      <c r="D132" s="24" t="str">
        <f>VLOOKUP(Ruimtestaat[[#This Row],[Code]],Locaties[#All],5,FALSE)</f>
        <v>7415 ES</v>
      </c>
      <c r="E132" s="24" t="str">
        <f>VLOOKUP(Ruimtestaat[[#This Row],[Code]],Locaties[#All],6,FALSE)</f>
        <v>Deventer</v>
      </c>
      <c r="F132" s="54"/>
      <c r="G132" s="24" t="s">
        <v>512</v>
      </c>
      <c r="H132" s="28" t="s">
        <v>565</v>
      </c>
      <c r="I132" s="4" t="s">
        <v>487</v>
      </c>
      <c r="J132" s="24">
        <v>6</v>
      </c>
      <c r="K132" s="54" t="str">
        <f>VLOOKUP(J132,Ruimtegroepen[],2,FALSE)</f>
        <v>Gangen/hallen</v>
      </c>
      <c r="L132" s="24" t="s">
        <v>311</v>
      </c>
      <c r="M132" s="24" t="s">
        <v>370</v>
      </c>
      <c r="N132" s="83">
        <v>10.55</v>
      </c>
      <c r="O132" s="83"/>
      <c r="P132" s="93" t="str">
        <f>LEFT(VLOOKUP(Ruimtestaat[[#This Row],[Ruimte code]],Ruimtegroepen[#All],4,1),2)</f>
        <v>Ve</v>
      </c>
      <c r="Q132" s="93"/>
      <c r="R132" s="84">
        <v>40</v>
      </c>
      <c r="S132" s="84" t="s">
        <v>318</v>
      </c>
      <c r="T132" s="85">
        <f>IF(R132&gt;0,IF(RIGHT(Ruimtestaat[[#This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" s="85">
        <f>IF(T132&gt;0,VLOOKUP($J132,Ruimtegroepen[],3,FALSE)*VLOOKUP($L132,Vloersoorten[],3,FALSE)*VLOOKUP($S132,Frequenties[],3,FALSE)*VLOOKUP($A132,Locaties[],3,FALSE),0)</f>
        <v>0</v>
      </c>
      <c r="V132" s="86">
        <f>Ruimtestaat[[#This Row],[Uitvoeringen werkdagen]]*Ruimtestaat[[#This Row],[Oppervlak (netto)]]</f>
        <v>2110</v>
      </c>
      <c r="W132" s="87">
        <f>IF(U132&gt;0,Ruimtestaat[[#This Row],[Prest. (m2 /jaar) werkdagen]]/Ruimtestaat[[#This Row],[Norm (m2/uur) werkdagen]],0)</f>
        <v>0</v>
      </c>
      <c r="X132" s="88">
        <f>Ruimtestaat[[#This Row],[uren / jaar werkdagen]]*Tariefsopbouw!$E$35</f>
        <v>0</v>
      </c>
      <c r="Y132" s="85"/>
      <c r="Z132" s="89">
        <f>IF(Ruimtestaat[[#This Row],[Frequentie weekend]]&gt;0,VALUE(LEFT(Y132,1))*R132,0)</f>
        <v>0</v>
      </c>
      <c r="AA132" s="85">
        <f>IF($Z132&gt;0,VLOOKUP($J132,Ruimtegroepen[],3,FALSE)*VLOOKUP($L132,Vloersoorten[],3,FALSE)*VLOOKUP($Y132,Frequenties[],3,FALSE)*VLOOKUP($A103,Locaties[],3,FALSE),0)</f>
        <v>0</v>
      </c>
      <c r="AB132" s="87">
        <f>Ruimtestaat[[#This Row],[Uitvoeringen weekend]]*Ruimtestaat[[#This Row],[Oppervlak (netto)]]</f>
        <v>0</v>
      </c>
      <c r="AC132" s="90">
        <f>IF(AB132&gt;0,Ruimtestaat[[#This Row],[Prest. (m2 /jaar) weekend]]/Ruimtestaat[[#This Row],[Norm (m2/uur) weekend]],0)</f>
        <v>0</v>
      </c>
      <c r="AD132" s="91">
        <f>Ruimtestaat[[#This Row],[uren / jaar weekend]]*Tariefsopbouw!$D$40</f>
        <v>0</v>
      </c>
      <c r="AE132" s="60">
        <f>Ruimtestaat[[#This Row],[Prest. (m2 /jaar) weekend]]+Ruimtestaat[[#This Row],[Prest. (m2 /jaar) werkdagen]]</f>
        <v>2110</v>
      </c>
      <c r="AF132" s="60">
        <f>Ruimtestaat[[#This Row],[uren / jaar weekend]]+Ruimtestaat[[#This Row],[uren / jaar werkdagen]]</f>
        <v>0</v>
      </c>
      <c r="AG132" s="61">
        <f>Ruimtestaat[[#This Row],[kosten / jaar weekend]]+Ruimtestaat[[#This Row],[kosten / jaar werkdagen]]</f>
        <v>0</v>
      </c>
      <c r="AH132" s="92"/>
      <c r="HL132" s="59"/>
    </row>
    <row r="133" spans="1:220">
      <c r="A133" s="24">
        <v>1</v>
      </c>
      <c r="B133" s="24" t="str">
        <f>VLOOKUP(Ruimtestaat[[#This Row],[Code]],Locaties[#All],2,FALSE)</f>
        <v>Boerhaave + buitenunits</v>
      </c>
      <c r="C133" s="24" t="str">
        <f>VLOOKUP(Ruimtestaat[[#This Row],[Code]],Locaties[#All],4,FALSE)</f>
        <v>Herman Boerhaavelaan 1</v>
      </c>
      <c r="D133" s="24" t="str">
        <f>VLOOKUP(Ruimtestaat[[#This Row],[Code]],Locaties[#All],5,FALSE)</f>
        <v>7415 ES</v>
      </c>
      <c r="E133" s="24" t="str">
        <f>VLOOKUP(Ruimtestaat[[#This Row],[Code]],Locaties[#All],6,FALSE)</f>
        <v>Deventer</v>
      </c>
      <c r="F133" s="54"/>
      <c r="G133" s="24" t="s">
        <v>512</v>
      </c>
      <c r="H133" s="28" t="s">
        <v>566</v>
      </c>
      <c r="I133" s="4" t="s">
        <v>487</v>
      </c>
      <c r="J133" s="24">
        <v>6</v>
      </c>
      <c r="K133" s="54" t="str">
        <f>VLOOKUP(J133,Ruimtegroepen[],2,FALSE)</f>
        <v>Gangen/hallen</v>
      </c>
      <c r="L133" s="24" t="s">
        <v>311</v>
      </c>
      <c r="M133" s="24" t="s">
        <v>370</v>
      </c>
      <c r="N133" s="83">
        <v>52.54</v>
      </c>
      <c r="O133" s="83"/>
      <c r="P133" s="93" t="str">
        <f>LEFT(VLOOKUP(Ruimtestaat[[#This Row],[Ruimte code]],Ruimtegroepen[#All],4,1),2)</f>
        <v>Ve</v>
      </c>
      <c r="Q133" s="93"/>
      <c r="R133" s="84">
        <v>40</v>
      </c>
      <c r="S133" s="84" t="s">
        <v>318</v>
      </c>
      <c r="T133" s="85">
        <f>IF(R133&gt;0,IF(RIGHT(Ruimtestaat[[#This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3" s="85">
        <f>IF(T133&gt;0,VLOOKUP($J133,Ruimtegroepen[],3,FALSE)*VLOOKUP($L133,Vloersoorten[],3,FALSE)*VLOOKUP($S133,Frequenties[],3,FALSE)*VLOOKUP($A133,Locaties[],3,FALSE),0)</f>
        <v>0</v>
      </c>
      <c r="V133" s="86">
        <f>Ruimtestaat[[#This Row],[Uitvoeringen werkdagen]]*Ruimtestaat[[#This Row],[Oppervlak (netto)]]</f>
        <v>10508</v>
      </c>
      <c r="W133" s="87">
        <f>IF(U133&gt;0,Ruimtestaat[[#This Row],[Prest. (m2 /jaar) werkdagen]]/Ruimtestaat[[#This Row],[Norm (m2/uur) werkdagen]],0)</f>
        <v>0</v>
      </c>
      <c r="X133" s="88">
        <f>Ruimtestaat[[#This Row],[uren / jaar werkdagen]]*Tariefsopbouw!$E$35</f>
        <v>0</v>
      </c>
      <c r="Y133" s="85"/>
      <c r="Z133" s="89">
        <f>IF(Ruimtestaat[[#This Row],[Frequentie weekend]]&gt;0,VALUE(LEFT(Y133,1))*R133,0)</f>
        <v>0</v>
      </c>
      <c r="AA133" s="85">
        <f>IF($Z133&gt;0,VLOOKUP($J133,Ruimtegroepen[],3,FALSE)*VLOOKUP($L133,Vloersoorten[],3,FALSE)*VLOOKUP($Y133,Frequenties[],3,FALSE)*VLOOKUP($A104,Locaties[],3,FALSE),0)</f>
        <v>0</v>
      </c>
      <c r="AB133" s="87">
        <f>Ruimtestaat[[#This Row],[Uitvoeringen weekend]]*Ruimtestaat[[#This Row],[Oppervlak (netto)]]</f>
        <v>0</v>
      </c>
      <c r="AC133" s="90">
        <f>IF(AB133&gt;0,Ruimtestaat[[#This Row],[Prest. (m2 /jaar) weekend]]/Ruimtestaat[[#This Row],[Norm (m2/uur) weekend]],0)</f>
        <v>0</v>
      </c>
      <c r="AD133" s="91">
        <f>Ruimtestaat[[#This Row],[uren / jaar weekend]]*Tariefsopbouw!$D$40</f>
        <v>0</v>
      </c>
      <c r="AE133" s="60">
        <f>Ruimtestaat[[#This Row],[Prest. (m2 /jaar) weekend]]+Ruimtestaat[[#This Row],[Prest. (m2 /jaar) werkdagen]]</f>
        <v>10508</v>
      </c>
      <c r="AF133" s="60">
        <f>Ruimtestaat[[#This Row],[uren / jaar weekend]]+Ruimtestaat[[#This Row],[uren / jaar werkdagen]]</f>
        <v>0</v>
      </c>
      <c r="AG133" s="61">
        <f>Ruimtestaat[[#This Row],[kosten / jaar weekend]]+Ruimtestaat[[#This Row],[kosten / jaar werkdagen]]</f>
        <v>0</v>
      </c>
      <c r="AH133" s="92"/>
      <c r="HL133" s="59"/>
    </row>
    <row r="134" spans="1:220">
      <c r="A134" s="24">
        <v>1</v>
      </c>
      <c r="B134" s="24" t="str">
        <f>VLOOKUP(Ruimtestaat[[#This Row],[Code]],Locaties[#All],2,FALSE)</f>
        <v>Boerhaave + buitenunits</v>
      </c>
      <c r="C134" s="24" t="str">
        <f>VLOOKUP(Ruimtestaat[[#This Row],[Code]],Locaties[#All],4,FALSE)</f>
        <v>Herman Boerhaavelaan 1</v>
      </c>
      <c r="D134" s="24" t="str">
        <f>VLOOKUP(Ruimtestaat[[#This Row],[Code]],Locaties[#All],5,FALSE)</f>
        <v>7415 ES</v>
      </c>
      <c r="E134" s="24" t="str">
        <f>VLOOKUP(Ruimtestaat[[#This Row],[Code]],Locaties[#All],6,FALSE)</f>
        <v>Deventer</v>
      </c>
      <c r="F134" s="54"/>
      <c r="G134" s="24" t="s">
        <v>512</v>
      </c>
      <c r="H134" s="28" t="s">
        <v>567</v>
      </c>
      <c r="I134" s="4" t="s">
        <v>487</v>
      </c>
      <c r="J134" s="24">
        <v>6</v>
      </c>
      <c r="K134" s="54" t="str">
        <f>VLOOKUP(J134,Ruimtegroepen[],2,FALSE)</f>
        <v>Gangen/hallen</v>
      </c>
      <c r="L134" s="24" t="s">
        <v>311</v>
      </c>
      <c r="M134" s="24" t="s">
        <v>370</v>
      </c>
      <c r="N134" s="83">
        <v>100.07</v>
      </c>
      <c r="O134" s="83"/>
      <c r="P134" s="93" t="str">
        <f>LEFT(VLOOKUP(Ruimtestaat[[#This Row],[Ruimte code]],Ruimtegroepen[#All],4,1),2)</f>
        <v>Ve</v>
      </c>
      <c r="Q134" s="93"/>
      <c r="R134" s="84">
        <v>40</v>
      </c>
      <c r="S134" s="84" t="s">
        <v>318</v>
      </c>
      <c r="T134" s="85">
        <f>IF(R134&gt;0,IF(RIGHT(Ruimtestaat[[#This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" s="85">
        <f>IF(T134&gt;0,VLOOKUP($J134,Ruimtegroepen[],3,FALSE)*VLOOKUP($L134,Vloersoorten[],3,FALSE)*VLOOKUP($S134,Frequenties[],3,FALSE)*VLOOKUP($A134,Locaties[],3,FALSE),0)</f>
        <v>0</v>
      </c>
      <c r="V134" s="86">
        <f>Ruimtestaat[[#This Row],[Uitvoeringen werkdagen]]*Ruimtestaat[[#This Row],[Oppervlak (netto)]]</f>
        <v>20014</v>
      </c>
      <c r="W134" s="87">
        <f>IF(U134&gt;0,Ruimtestaat[[#This Row],[Prest. (m2 /jaar) werkdagen]]/Ruimtestaat[[#This Row],[Norm (m2/uur) werkdagen]],0)</f>
        <v>0</v>
      </c>
      <c r="X134" s="88">
        <f>Ruimtestaat[[#This Row],[uren / jaar werkdagen]]*Tariefsopbouw!$E$35</f>
        <v>0</v>
      </c>
      <c r="Y134" s="85"/>
      <c r="Z134" s="89">
        <f>IF(Ruimtestaat[[#This Row],[Frequentie weekend]]&gt;0,VALUE(LEFT(Y134,1))*R134,0)</f>
        <v>0</v>
      </c>
      <c r="AA134" s="85">
        <f>IF($Z134&gt;0,VLOOKUP($J134,Ruimtegroepen[],3,FALSE)*VLOOKUP($L134,Vloersoorten[],3,FALSE)*VLOOKUP($Y134,Frequenties[],3,FALSE)*VLOOKUP($A105,Locaties[],3,FALSE),0)</f>
        <v>0</v>
      </c>
      <c r="AB134" s="87">
        <f>Ruimtestaat[[#This Row],[Uitvoeringen weekend]]*Ruimtestaat[[#This Row],[Oppervlak (netto)]]</f>
        <v>0</v>
      </c>
      <c r="AC134" s="90">
        <f>IF(AB134&gt;0,Ruimtestaat[[#This Row],[Prest. (m2 /jaar) weekend]]/Ruimtestaat[[#This Row],[Norm (m2/uur) weekend]],0)</f>
        <v>0</v>
      </c>
      <c r="AD134" s="91">
        <f>Ruimtestaat[[#This Row],[uren / jaar weekend]]*Tariefsopbouw!$D$40</f>
        <v>0</v>
      </c>
      <c r="AE134" s="60">
        <f>Ruimtestaat[[#This Row],[Prest. (m2 /jaar) weekend]]+Ruimtestaat[[#This Row],[Prest. (m2 /jaar) werkdagen]]</f>
        <v>20014</v>
      </c>
      <c r="AF134" s="60">
        <f>Ruimtestaat[[#This Row],[uren / jaar weekend]]+Ruimtestaat[[#This Row],[uren / jaar werkdagen]]</f>
        <v>0</v>
      </c>
      <c r="AG134" s="61">
        <f>Ruimtestaat[[#This Row],[kosten / jaar weekend]]+Ruimtestaat[[#This Row],[kosten / jaar werkdagen]]</f>
        <v>0</v>
      </c>
      <c r="AH134" s="92"/>
      <c r="HL134" s="59"/>
    </row>
    <row r="135" spans="1:220">
      <c r="A135" s="24">
        <v>1</v>
      </c>
      <c r="B135" s="24" t="str">
        <f>VLOOKUP(Ruimtestaat[[#This Row],[Code]],Locaties[#All],2,FALSE)</f>
        <v>Boerhaave + buitenunits</v>
      </c>
      <c r="C135" s="24" t="str">
        <f>VLOOKUP(Ruimtestaat[[#This Row],[Code]],Locaties[#All],4,FALSE)</f>
        <v>Herman Boerhaavelaan 1</v>
      </c>
      <c r="D135" s="24" t="str">
        <f>VLOOKUP(Ruimtestaat[[#This Row],[Code]],Locaties[#All],5,FALSE)</f>
        <v>7415 ES</v>
      </c>
      <c r="E135" s="24" t="str">
        <f>VLOOKUP(Ruimtestaat[[#This Row],[Code]],Locaties[#All],6,FALSE)</f>
        <v>Deventer</v>
      </c>
      <c r="F135" s="54"/>
      <c r="G135" s="24" t="s">
        <v>512</v>
      </c>
      <c r="H135" s="28" t="s">
        <v>568</v>
      </c>
      <c r="I135" s="4" t="s">
        <v>487</v>
      </c>
      <c r="J135" s="24">
        <v>6</v>
      </c>
      <c r="K135" s="54" t="str">
        <f>VLOOKUP(J135,Ruimtegroepen[],2,FALSE)</f>
        <v>Gangen/hallen</v>
      </c>
      <c r="L135" s="24" t="s">
        <v>311</v>
      </c>
      <c r="M135" s="24" t="s">
        <v>370</v>
      </c>
      <c r="N135" s="83">
        <v>74.03</v>
      </c>
      <c r="O135" s="83"/>
      <c r="P135" s="93" t="str">
        <f>LEFT(VLOOKUP(Ruimtestaat[[#This Row],[Ruimte code]],Ruimtegroepen[#All],4,1),2)</f>
        <v>Ve</v>
      </c>
      <c r="Q135" s="93"/>
      <c r="R135" s="84">
        <v>40</v>
      </c>
      <c r="S135" s="84" t="s">
        <v>318</v>
      </c>
      <c r="T135" s="85">
        <f>IF(R135&gt;0,IF(RIGHT(Ruimtestaat[[#This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5" s="85">
        <f>IF(T135&gt;0,VLOOKUP($J135,Ruimtegroepen[],3,FALSE)*VLOOKUP($L135,Vloersoorten[],3,FALSE)*VLOOKUP($S135,Frequenties[],3,FALSE)*VLOOKUP($A135,Locaties[],3,FALSE),0)</f>
        <v>0</v>
      </c>
      <c r="V135" s="86">
        <f>Ruimtestaat[[#This Row],[Uitvoeringen werkdagen]]*Ruimtestaat[[#This Row],[Oppervlak (netto)]]</f>
        <v>14806</v>
      </c>
      <c r="W135" s="87">
        <f>IF(U135&gt;0,Ruimtestaat[[#This Row],[Prest. (m2 /jaar) werkdagen]]/Ruimtestaat[[#This Row],[Norm (m2/uur) werkdagen]],0)</f>
        <v>0</v>
      </c>
      <c r="X135" s="88">
        <f>Ruimtestaat[[#This Row],[uren / jaar werkdagen]]*Tariefsopbouw!$E$35</f>
        <v>0</v>
      </c>
      <c r="Y135" s="85"/>
      <c r="Z135" s="89">
        <f>IF(Ruimtestaat[[#This Row],[Frequentie weekend]]&gt;0,VALUE(LEFT(Y135,1))*R135,0)</f>
        <v>0</v>
      </c>
      <c r="AA135" s="85">
        <f>IF($Z135&gt;0,VLOOKUP($J135,Ruimtegroepen[],3,FALSE)*VLOOKUP($L135,Vloersoorten[],3,FALSE)*VLOOKUP($Y135,Frequenties[],3,FALSE)*VLOOKUP($A106,Locaties[],3,FALSE),0)</f>
        <v>0</v>
      </c>
      <c r="AB135" s="87">
        <f>Ruimtestaat[[#This Row],[Uitvoeringen weekend]]*Ruimtestaat[[#This Row],[Oppervlak (netto)]]</f>
        <v>0</v>
      </c>
      <c r="AC135" s="90">
        <f>IF(AB135&gt;0,Ruimtestaat[[#This Row],[Prest. (m2 /jaar) weekend]]/Ruimtestaat[[#This Row],[Norm (m2/uur) weekend]],0)</f>
        <v>0</v>
      </c>
      <c r="AD135" s="91">
        <f>Ruimtestaat[[#This Row],[uren / jaar weekend]]*Tariefsopbouw!$D$40</f>
        <v>0</v>
      </c>
      <c r="AE135" s="60">
        <f>Ruimtestaat[[#This Row],[Prest. (m2 /jaar) weekend]]+Ruimtestaat[[#This Row],[Prest. (m2 /jaar) werkdagen]]</f>
        <v>14806</v>
      </c>
      <c r="AF135" s="60">
        <f>Ruimtestaat[[#This Row],[uren / jaar weekend]]+Ruimtestaat[[#This Row],[uren / jaar werkdagen]]</f>
        <v>0</v>
      </c>
      <c r="AG135" s="61">
        <f>Ruimtestaat[[#This Row],[kosten / jaar weekend]]+Ruimtestaat[[#This Row],[kosten / jaar werkdagen]]</f>
        <v>0</v>
      </c>
      <c r="AH135" s="92"/>
      <c r="HL135" s="59"/>
    </row>
    <row r="136" spans="1:220">
      <c r="A136" s="24">
        <v>1</v>
      </c>
      <c r="B136" s="24" t="str">
        <f>VLOOKUP(Ruimtestaat[[#This Row],[Code]],Locaties[#All],2,FALSE)</f>
        <v>Boerhaave + buitenunits</v>
      </c>
      <c r="C136" s="24" t="str">
        <f>VLOOKUP(Ruimtestaat[[#This Row],[Code]],Locaties[#All],4,FALSE)</f>
        <v>Herman Boerhaavelaan 1</v>
      </c>
      <c r="D136" s="24" t="str">
        <f>VLOOKUP(Ruimtestaat[[#This Row],[Code]],Locaties[#All],5,FALSE)</f>
        <v>7415 ES</v>
      </c>
      <c r="E136" s="24" t="str">
        <f>VLOOKUP(Ruimtestaat[[#This Row],[Code]],Locaties[#All],6,FALSE)</f>
        <v>Deventer</v>
      </c>
      <c r="F136" s="54"/>
      <c r="G136" s="24" t="s">
        <v>512</v>
      </c>
      <c r="H136" s="28" t="s">
        <v>504</v>
      </c>
      <c r="I136" s="4" t="s">
        <v>372</v>
      </c>
      <c r="J136" s="24">
        <v>10</v>
      </c>
      <c r="K136" s="54" t="str">
        <f>VLOOKUP(J136,Ruimtegroepen[],2,FALSE)</f>
        <v>Trappenhuizen/lift</v>
      </c>
      <c r="L136" s="24" t="s">
        <v>305</v>
      </c>
      <c r="M136" s="24" t="s">
        <v>373</v>
      </c>
      <c r="N136" s="83">
        <v>19.8</v>
      </c>
      <c r="O136" s="83"/>
      <c r="P136" s="93" t="str">
        <f>LEFT(VLOOKUP(Ruimtestaat[[#This Row],[Ruimte code]],Ruimtegroepen[#All],4,1),2)</f>
        <v>Ve</v>
      </c>
      <c r="Q136" s="93"/>
      <c r="R136" s="84">
        <v>40</v>
      </c>
      <c r="S136" s="84" t="s">
        <v>318</v>
      </c>
      <c r="T136" s="85">
        <f>IF(R136&gt;0,IF(RIGHT(Ruimtestaat[[#This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6" s="85">
        <f>IF(T136&gt;0,VLOOKUP($J136,Ruimtegroepen[],3,FALSE)*VLOOKUP($L136,Vloersoorten[],3,FALSE)*VLOOKUP($S136,Frequenties[],3,FALSE)*VLOOKUP($A136,Locaties[],3,FALSE),0)</f>
        <v>0</v>
      </c>
      <c r="V136" s="86">
        <f>Ruimtestaat[[#This Row],[Uitvoeringen werkdagen]]*Ruimtestaat[[#This Row],[Oppervlak (netto)]]</f>
        <v>3960</v>
      </c>
      <c r="W136" s="87">
        <f>IF(U136&gt;0,Ruimtestaat[[#This Row],[Prest. (m2 /jaar) werkdagen]]/Ruimtestaat[[#This Row],[Norm (m2/uur) werkdagen]],0)</f>
        <v>0</v>
      </c>
      <c r="X136" s="88">
        <f>Ruimtestaat[[#This Row],[uren / jaar werkdagen]]*Tariefsopbouw!$E$35</f>
        <v>0</v>
      </c>
      <c r="Y136" s="85"/>
      <c r="Z136" s="89">
        <f>IF(Ruimtestaat[[#This Row],[Frequentie weekend]]&gt;0,VALUE(LEFT(Y136,1))*R136,0)</f>
        <v>0</v>
      </c>
      <c r="AA136" s="85">
        <f>IF($Z136&gt;0,VLOOKUP($J136,Ruimtegroepen[],3,FALSE)*VLOOKUP($L136,Vloersoorten[],3,FALSE)*VLOOKUP($Y136,Frequenties[],3,FALSE)*VLOOKUP($A107,Locaties[],3,FALSE),0)</f>
        <v>0</v>
      </c>
      <c r="AB136" s="87">
        <f>Ruimtestaat[[#This Row],[Uitvoeringen weekend]]*Ruimtestaat[[#This Row],[Oppervlak (netto)]]</f>
        <v>0</v>
      </c>
      <c r="AC136" s="90">
        <f>IF(AB136&gt;0,Ruimtestaat[[#This Row],[Prest. (m2 /jaar) weekend]]/Ruimtestaat[[#This Row],[Norm (m2/uur) weekend]],0)</f>
        <v>0</v>
      </c>
      <c r="AD136" s="91">
        <f>Ruimtestaat[[#This Row],[uren / jaar weekend]]*Tariefsopbouw!$D$40</f>
        <v>0</v>
      </c>
      <c r="AE136" s="60">
        <f>Ruimtestaat[[#This Row],[Prest. (m2 /jaar) weekend]]+Ruimtestaat[[#This Row],[Prest. (m2 /jaar) werkdagen]]</f>
        <v>3960</v>
      </c>
      <c r="AF136" s="60">
        <f>Ruimtestaat[[#This Row],[uren / jaar weekend]]+Ruimtestaat[[#This Row],[uren / jaar werkdagen]]</f>
        <v>0</v>
      </c>
      <c r="AG136" s="61">
        <f>Ruimtestaat[[#This Row],[kosten / jaar weekend]]+Ruimtestaat[[#This Row],[kosten / jaar werkdagen]]</f>
        <v>0</v>
      </c>
      <c r="AH136" s="92"/>
      <c r="HL136" s="59"/>
    </row>
    <row r="137" spans="1:220">
      <c r="A137" s="24">
        <v>1</v>
      </c>
      <c r="B137" s="24" t="str">
        <f>VLOOKUP(Ruimtestaat[[#This Row],[Code]],Locaties[#All],2,FALSE)</f>
        <v>Boerhaave + buitenunits</v>
      </c>
      <c r="C137" s="24" t="str">
        <f>VLOOKUP(Ruimtestaat[[#This Row],[Code]],Locaties[#All],4,FALSE)</f>
        <v>Herman Boerhaavelaan 1</v>
      </c>
      <c r="D137" s="24" t="str">
        <f>VLOOKUP(Ruimtestaat[[#This Row],[Code]],Locaties[#All],5,FALSE)</f>
        <v>7415 ES</v>
      </c>
      <c r="E137" s="24" t="str">
        <f>VLOOKUP(Ruimtestaat[[#This Row],[Code]],Locaties[#All],6,FALSE)</f>
        <v>Deventer</v>
      </c>
      <c r="F137" s="54"/>
      <c r="G137" s="24" t="s">
        <v>512</v>
      </c>
      <c r="H137" s="28" t="s">
        <v>505</v>
      </c>
      <c r="I137" s="4" t="s">
        <v>372</v>
      </c>
      <c r="J137" s="24">
        <v>10</v>
      </c>
      <c r="K137" s="54" t="str">
        <f>VLOOKUP(J137,Ruimtegroepen[],2,FALSE)</f>
        <v>Trappenhuizen/lift</v>
      </c>
      <c r="L137" s="24" t="s">
        <v>305</v>
      </c>
      <c r="M137" s="24" t="s">
        <v>373</v>
      </c>
      <c r="N137" s="83">
        <v>55.42</v>
      </c>
      <c r="O137" s="83"/>
      <c r="P137" s="93" t="str">
        <f>LEFT(VLOOKUP(Ruimtestaat[[#This Row],[Ruimte code]],Ruimtegroepen[#All],4,1),2)</f>
        <v>Ve</v>
      </c>
      <c r="Q137" s="93"/>
      <c r="R137" s="84">
        <v>40</v>
      </c>
      <c r="S137" s="84" t="s">
        <v>318</v>
      </c>
      <c r="T137" s="85">
        <f>IF(R137&gt;0,IF(RIGHT(Ruimtestaat[[#This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7" s="85">
        <f>IF(T137&gt;0,VLOOKUP($J137,Ruimtegroepen[],3,FALSE)*VLOOKUP($L137,Vloersoorten[],3,FALSE)*VLOOKUP($S137,Frequenties[],3,FALSE)*VLOOKUP($A137,Locaties[],3,FALSE),0)</f>
        <v>0</v>
      </c>
      <c r="V137" s="86">
        <f>Ruimtestaat[[#This Row],[Uitvoeringen werkdagen]]*Ruimtestaat[[#This Row],[Oppervlak (netto)]]</f>
        <v>11084</v>
      </c>
      <c r="W137" s="87">
        <f>IF(U137&gt;0,Ruimtestaat[[#This Row],[Prest. (m2 /jaar) werkdagen]]/Ruimtestaat[[#This Row],[Norm (m2/uur) werkdagen]],0)</f>
        <v>0</v>
      </c>
      <c r="X137" s="88">
        <f>Ruimtestaat[[#This Row],[uren / jaar werkdagen]]*Tariefsopbouw!$E$35</f>
        <v>0</v>
      </c>
      <c r="Y137" s="85"/>
      <c r="Z137" s="89">
        <f>IF(Ruimtestaat[[#This Row],[Frequentie weekend]]&gt;0,VALUE(LEFT(Y137,1))*R137,0)</f>
        <v>0</v>
      </c>
      <c r="AA137" s="85">
        <f>IF($Z137&gt;0,VLOOKUP($J137,Ruimtegroepen[],3,FALSE)*VLOOKUP($L137,Vloersoorten[],3,FALSE)*VLOOKUP($Y137,Frequenties[],3,FALSE)*VLOOKUP($A108,Locaties[],3,FALSE),0)</f>
        <v>0</v>
      </c>
      <c r="AB137" s="87">
        <f>Ruimtestaat[[#This Row],[Uitvoeringen weekend]]*Ruimtestaat[[#This Row],[Oppervlak (netto)]]</f>
        <v>0</v>
      </c>
      <c r="AC137" s="90">
        <f>IF(AB137&gt;0,Ruimtestaat[[#This Row],[Prest. (m2 /jaar) weekend]]/Ruimtestaat[[#This Row],[Norm (m2/uur) weekend]],0)</f>
        <v>0</v>
      </c>
      <c r="AD137" s="91">
        <f>Ruimtestaat[[#This Row],[uren / jaar weekend]]*Tariefsopbouw!$D$40</f>
        <v>0</v>
      </c>
      <c r="AE137" s="60">
        <f>Ruimtestaat[[#This Row],[Prest. (m2 /jaar) weekend]]+Ruimtestaat[[#This Row],[Prest. (m2 /jaar) werkdagen]]</f>
        <v>11084</v>
      </c>
      <c r="AF137" s="60">
        <f>Ruimtestaat[[#This Row],[uren / jaar weekend]]+Ruimtestaat[[#This Row],[uren / jaar werkdagen]]</f>
        <v>0</v>
      </c>
      <c r="AG137" s="61">
        <f>Ruimtestaat[[#This Row],[kosten / jaar weekend]]+Ruimtestaat[[#This Row],[kosten / jaar werkdagen]]</f>
        <v>0</v>
      </c>
      <c r="AH137" s="92"/>
      <c r="HL137" s="59"/>
    </row>
    <row r="138" spans="1:220">
      <c r="A138" s="24">
        <v>1</v>
      </c>
      <c r="B138" s="24" t="str">
        <f>VLOOKUP(Ruimtestaat[[#This Row],[Code]],Locaties[#All],2,FALSE)</f>
        <v>Boerhaave + buitenunits</v>
      </c>
      <c r="C138" s="24" t="str">
        <f>VLOOKUP(Ruimtestaat[[#This Row],[Code]],Locaties[#All],4,FALSE)</f>
        <v>Herman Boerhaavelaan 1</v>
      </c>
      <c r="D138" s="24" t="str">
        <f>VLOOKUP(Ruimtestaat[[#This Row],[Code]],Locaties[#All],5,FALSE)</f>
        <v>7415 ES</v>
      </c>
      <c r="E138" s="24" t="str">
        <f>VLOOKUP(Ruimtestaat[[#This Row],[Code]],Locaties[#All],6,FALSE)</f>
        <v>Deventer</v>
      </c>
      <c r="F138" s="54"/>
      <c r="G138" s="24" t="s">
        <v>512</v>
      </c>
      <c r="H138" s="28" t="s">
        <v>506</v>
      </c>
      <c r="I138" s="4" t="s">
        <v>372</v>
      </c>
      <c r="J138" s="24">
        <v>10</v>
      </c>
      <c r="K138" s="54" t="str">
        <f>VLOOKUP(J138,Ruimtegroepen[],2,FALSE)</f>
        <v>Trappenhuizen/lift</v>
      </c>
      <c r="L138" s="24" t="s">
        <v>305</v>
      </c>
      <c r="M138" s="24" t="s">
        <v>373</v>
      </c>
      <c r="N138" s="83">
        <v>29.15</v>
      </c>
      <c r="O138" s="83"/>
      <c r="P138" s="93" t="str">
        <f>LEFT(VLOOKUP(Ruimtestaat[[#This Row],[Ruimte code]],Ruimtegroepen[#All],4,1),2)</f>
        <v>Ve</v>
      </c>
      <c r="Q138" s="93"/>
      <c r="R138" s="84">
        <v>40</v>
      </c>
      <c r="S138" s="84" t="s">
        <v>318</v>
      </c>
      <c r="T138" s="85">
        <f>IF(R138&gt;0,IF(RIGHT(Ruimtestaat[[#This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" s="85">
        <f>IF(T138&gt;0,VLOOKUP($J138,Ruimtegroepen[],3,FALSE)*VLOOKUP($L138,Vloersoorten[],3,FALSE)*VLOOKUP($S138,Frequenties[],3,FALSE)*VLOOKUP($A138,Locaties[],3,FALSE),0)</f>
        <v>0</v>
      </c>
      <c r="V138" s="86">
        <f>Ruimtestaat[[#This Row],[Uitvoeringen werkdagen]]*Ruimtestaat[[#This Row],[Oppervlak (netto)]]</f>
        <v>5830</v>
      </c>
      <c r="W138" s="87">
        <f>IF(U138&gt;0,Ruimtestaat[[#This Row],[Prest. (m2 /jaar) werkdagen]]/Ruimtestaat[[#This Row],[Norm (m2/uur) werkdagen]],0)</f>
        <v>0</v>
      </c>
      <c r="X138" s="88">
        <f>Ruimtestaat[[#This Row],[uren / jaar werkdagen]]*Tariefsopbouw!$E$35</f>
        <v>0</v>
      </c>
      <c r="Y138" s="85"/>
      <c r="Z138" s="89">
        <f>IF(Ruimtestaat[[#This Row],[Frequentie weekend]]&gt;0,VALUE(LEFT(Y138,1))*R138,0)</f>
        <v>0</v>
      </c>
      <c r="AA138" s="85">
        <f>IF($Z138&gt;0,VLOOKUP($J138,Ruimtegroepen[],3,FALSE)*VLOOKUP($L138,Vloersoorten[],3,FALSE)*VLOOKUP($Y138,Frequenties[],3,FALSE)*VLOOKUP($A109,Locaties[],3,FALSE),0)</f>
        <v>0</v>
      </c>
      <c r="AB138" s="87">
        <f>Ruimtestaat[[#This Row],[Uitvoeringen weekend]]*Ruimtestaat[[#This Row],[Oppervlak (netto)]]</f>
        <v>0</v>
      </c>
      <c r="AC138" s="90">
        <f>IF(AB138&gt;0,Ruimtestaat[[#This Row],[Prest. (m2 /jaar) weekend]]/Ruimtestaat[[#This Row],[Norm (m2/uur) weekend]],0)</f>
        <v>0</v>
      </c>
      <c r="AD138" s="91">
        <f>Ruimtestaat[[#This Row],[uren / jaar weekend]]*Tariefsopbouw!$D$40</f>
        <v>0</v>
      </c>
      <c r="AE138" s="60">
        <f>Ruimtestaat[[#This Row],[Prest. (m2 /jaar) weekend]]+Ruimtestaat[[#This Row],[Prest. (m2 /jaar) werkdagen]]</f>
        <v>5830</v>
      </c>
      <c r="AF138" s="60">
        <f>Ruimtestaat[[#This Row],[uren / jaar weekend]]+Ruimtestaat[[#This Row],[uren / jaar werkdagen]]</f>
        <v>0</v>
      </c>
      <c r="AG138" s="61">
        <f>Ruimtestaat[[#This Row],[kosten / jaar weekend]]+Ruimtestaat[[#This Row],[kosten / jaar werkdagen]]</f>
        <v>0</v>
      </c>
      <c r="AH138" s="92"/>
      <c r="HL138" s="59"/>
    </row>
    <row r="139" spans="1:220">
      <c r="A139" s="24">
        <v>1</v>
      </c>
      <c r="B139" s="24" t="str">
        <f>VLOOKUP(Ruimtestaat[[#This Row],[Code]],Locaties[#All],2,FALSE)</f>
        <v>Boerhaave + buitenunits</v>
      </c>
      <c r="C139" s="24" t="str">
        <f>VLOOKUP(Ruimtestaat[[#This Row],[Code]],Locaties[#All],4,FALSE)</f>
        <v>Herman Boerhaavelaan 1</v>
      </c>
      <c r="D139" s="24" t="str">
        <f>VLOOKUP(Ruimtestaat[[#This Row],[Code]],Locaties[#All],5,FALSE)</f>
        <v>7415 ES</v>
      </c>
      <c r="E139" s="24" t="str">
        <f>VLOOKUP(Ruimtestaat[[#This Row],[Code]],Locaties[#All],6,FALSE)</f>
        <v>Deventer</v>
      </c>
      <c r="F139" s="54"/>
      <c r="G139" s="24" t="s">
        <v>512</v>
      </c>
      <c r="H139" s="28" t="s">
        <v>510</v>
      </c>
      <c r="I139" s="4" t="s">
        <v>372</v>
      </c>
      <c r="J139" s="24">
        <v>10</v>
      </c>
      <c r="K139" s="54" t="str">
        <f>VLOOKUP(J139,Ruimtegroepen[],2,FALSE)</f>
        <v>Trappenhuizen/lift</v>
      </c>
      <c r="L139" s="24" t="s">
        <v>305</v>
      </c>
      <c r="M139" s="24" t="s">
        <v>373</v>
      </c>
      <c r="N139" s="83">
        <v>11.12</v>
      </c>
      <c r="O139" s="83"/>
      <c r="P139" s="93" t="str">
        <f>LEFT(VLOOKUP(Ruimtestaat[[#This Row],[Ruimte code]],Ruimtegroepen[#All],4,1),2)</f>
        <v>Ve</v>
      </c>
      <c r="Q139" s="93"/>
      <c r="R139" s="84">
        <v>40</v>
      </c>
      <c r="S139" s="84" t="s">
        <v>318</v>
      </c>
      <c r="T139" s="85">
        <f>IF(R139&gt;0,IF(RIGHT(Ruimtestaat[[#This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9" s="85">
        <f>IF(T139&gt;0,VLOOKUP($J139,Ruimtegroepen[],3,FALSE)*VLOOKUP($L139,Vloersoorten[],3,FALSE)*VLOOKUP($S139,Frequenties[],3,FALSE)*VLOOKUP($A139,Locaties[],3,FALSE),0)</f>
        <v>0</v>
      </c>
      <c r="V139" s="86">
        <f>Ruimtestaat[[#This Row],[Uitvoeringen werkdagen]]*Ruimtestaat[[#This Row],[Oppervlak (netto)]]</f>
        <v>2224</v>
      </c>
      <c r="W139" s="87">
        <f>IF(U139&gt;0,Ruimtestaat[[#This Row],[Prest. (m2 /jaar) werkdagen]]/Ruimtestaat[[#This Row],[Norm (m2/uur) werkdagen]],0)</f>
        <v>0</v>
      </c>
      <c r="X139" s="88">
        <f>Ruimtestaat[[#This Row],[uren / jaar werkdagen]]*Tariefsopbouw!$E$35</f>
        <v>0</v>
      </c>
      <c r="Y139" s="85"/>
      <c r="Z139" s="89">
        <f>IF(Ruimtestaat[[#This Row],[Frequentie weekend]]&gt;0,VALUE(LEFT(Y139,1))*R139,0)</f>
        <v>0</v>
      </c>
      <c r="AA139" s="85">
        <f>IF($Z139&gt;0,VLOOKUP($J139,Ruimtegroepen[],3,FALSE)*VLOOKUP($L139,Vloersoorten[],3,FALSE)*VLOOKUP($Y139,Frequenties[],3,FALSE)*VLOOKUP($A110,Locaties[],3,FALSE),0)</f>
        <v>0</v>
      </c>
      <c r="AB139" s="87">
        <f>Ruimtestaat[[#This Row],[Uitvoeringen weekend]]*Ruimtestaat[[#This Row],[Oppervlak (netto)]]</f>
        <v>0</v>
      </c>
      <c r="AC139" s="90">
        <f>IF(AB139&gt;0,Ruimtestaat[[#This Row],[Prest. (m2 /jaar) weekend]]/Ruimtestaat[[#This Row],[Norm (m2/uur) weekend]],0)</f>
        <v>0</v>
      </c>
      <c r="AD139" s="91">
        <f>Ruimtestaat[[#This Row],[uren / jaar weekend]]*Tariefsopbouw!$D$40</f>
        <v>0</v>
      </c>
      <c r="AE139" s="60">
        <f>Ruimtestaat[[#This Row],[Prest. (m2 /jaar) weekend]]+Ruimtestaat[[#This Row],[Prest. (m2 /jaar) werkdagen]]</f>
        <v>2224</v>
      </c>
      <c r="AF139" s="60">
        <f>Ruimtestaat[[#This Row],[uren / jaar weekend]]+Ruimtestaat[[#This Row],[uren / jaar werkdagen]]</f>
        <v>0</v>
      </c>
      <c r="AG139" s="61">
        <f>Ruimtestaat[[#This Row],[kosten / jaar weekend]]+Ruimtestaat[[#This Row],[kosten / jaar werkdagen]]</f>
        <v>0</v>
      </c>
      <c r="AH139" s="92"/>
      <c r="HL139" s="59"/>
    </row>
    <row r="140" spans="1:220">
      <c r="A140" s="24">
        <v>1</v>
      </c>
      <c r="B140" s="24" t="str">
        <f>VLOOKUP(Ruimtestaat[[#This Row],[Code]],Locaties[#All],2,FALSE)</f>
        <v>Boerhaave + buitenunits</v>
      </c>
      <c r="C140" s="24" t="str">
        <f>VLOOKUP(Ruimtestaat[[#This Row],[Code]],Locaties[#All],4,FALSE)</f>
        <v>Herman Boerhaavelaan 1</v>
      </c>
      <c r="D140" s="24" t="str">
        <f>VLOOKUP(Ruimtestaat[[#This Row],[Code]],Locaties[#All],5,FALSE)</f>
        <v>7415 ES</v>
      </c>
      <c r="E140" s="24" t="str">
        <f>VLOOKUP(Ruimtestaat[[#This Row],[Code]],Locaties[#All],6,FALSE)</f>
        <v>Deventer</v>
      </c>
      <c r="F140" s="54"/>
      <c r="G140" s="24" t="s">
        <v>569</v>
      </c>
      <c r="H140" s="28" t="s">
        <v>570</v>
      </c>
      <c r="I140" s="4" t="s">
        <v>103</v>
      </c>
      <c r="J140" s="24">
        <v>10</v>
      </c>
      <c r="K140" s="54" t="str">
        <f>VLOOKUP(J140,Ruimtegroepen[],2,FALSE)</f>
        <v>Trappenhuizen/lift</v>
      </c>
      <c r="L140" s="24" t="s">
        <v>311</v>
      </c>
      <c r="M140" s="24" t="s">
        <v>370</v>
      </c>
      <c r="N140" s="83">
        <v>3.71</v>
      </c>
      <c r="O140" s="83"/>
      <c r="P140" s="93" t="str">
        <f>LEFT(VLOOKUP(Ruimtestaat[[#This Row],[Ruimte code]],Ruimtegroepen[#All],4,1),2)</f>
        <v>Ve</v>
      </c>
      <c r="Q140" s="93"/>
      <c r="R140" s="84">
        <v>40</v>
      </c>
      <c r="S140" s="84" t="s">
        <v>318</v>
      </c>
      <c r="T140" s="85">
        <f>IF(R140&gt;0,IF(RIGHT(Ruimtestaat[[#This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" s="85">
        <f>IF(T140&gt;0,VLOOKUP($J140,Ruimtegroepen[],3,FALSE)*VLOOKUP($L140,Vloersoorten[],3,FALSE)*VLOOKUP($S140,Frequenties[],3,FALSE)*VLOOKUP($A140,Locaties[],3,FALSE),0)</f>
        <v>0</v>
      </c>
      <c r="V140" s="86">
        <f>Ruimtestaat[[#This Row],[Uitvoeringen werkdagen]]*Ruimtestaat[[#This Row],[Oppervlak (netto)]]</f>
        <v>742</v>
      </c>
      <c r="W140" s="87">
        <f>IF(U140&gt;0,Ruimtestaat[[#This Row],[Prest. (m2 /jaar) werkdagen]]/Ruimtestaat[[#This Row],[Norm (m2/uur) werkdagen]],0)</f>
        <v>0</v>
      </c>
      <c r="X140" s="88">
        <f>Ruimtestaat[[#This Row],[uren / jaar werkdagen]]*Tariefsopbouw!$E$35</f>
        <v>0</v>
      </c>
      <c r="Y140" s="85"/>
      <c r="Z140" s="89">
        <f>IF(Ruimtestaat[[#This Row],[Frequentie weekend]]&gt;0,VALUE(LEFT(Y140,1))*R140,0)</f>
        <v>0</v>
      </c>
      <c r="AA140" s="85">
        <f>IF($Z140&gt;0,VLOOKUP($J140,Ruimtegroepen[],3,FALSE)*VLOOKUP($L140,Vloersoorten[],3,FALSE)*VLOOKUP($Y140,Frequenties[],3,FALSE)*VLOOKUP($A111,Locaties[],3,FALSE),0)</f>
        <v>0</v>
      </c>
      <c r="AB140" s="87">
        <f>Ruimtestaat[[#This Row],[Uitvoeringen weekend]]*Ruimtestaat[[#This Row],[Oppervlak (netto)]]</f>
        <v>0</v>
      </c>
      <c r="AC140" s="90">
        <f>IF(AB140&gt;0,Ruimtestaat[[#This Row],[Prest. (m2 /jaar) weekend]]/Ruimtestaat[[#This Row],[Norm (m2/uur) weekend]],0)</f>
        <v>0</v>
      </c>
      <c r="AD140" s="91">
        <f>Ruimtestaat[[#This Row],[uren / jaar weekend]]*Tariefsopbouw!$D$40</f>
        <v>0</v>
      </c>
      <c r="AE140" s="60">
        <f>Ruimtestaat[[#This Row],[Prest. (m2 /jaar) weekend]]+Ruimtestaat[[#This Row],[Prest. (m2 /jaar) werkdagen]]</f>
        <v>742</v>
      </c>
      <c r="AF140" s="60">
        <f>Ruimtestaat[[#This Row],[uren / jaar weekend]]+Ruimtestaat[[#This Row],[uren / jaar werkdagen]]</f>
        <v>0</v>
      </c>
      <c r="AG140" s="61">
        <f>Ruimtestaat[[#This Row],[kosten / jaar weekend]]+Ruimtestaat[[#This Row],[kosten / jaar werkdagen]]</f>
        <v>0</v>
      </c>
      <c r="AH140" s="92"/>
      <c r="HL140" s="59"/>
    </row>
    <row r="141" spans="1:220">
      <c r="A141" s="24">
        <v>1</v>
      </c>
      <c r="B141" s="24" t="str">
        <f>VLOOKUP(Ruimtestaat[[#This Row],[Code]],Locaties[#All],2,FALSE)</f>
        <v>Boerhaave + buitenunits</v>
      </c>
      <c r="C141" s="24" t="str">
        <f>VLOOKUP(Ruimtestaat[[#This Row],[Code]],Locaties[#All],4,FALSE)</f>
        <v>Herman Boerhaavelaan 1</v>
      </c>
      <c r="D141" s="24" t="str">
        <f>VLOOKUP(Ruimtestaat[[#This Row],[Code]],Locaties[#All],5,FALSE)</f>
        <v>7415 ES</v>
      </c>
      <c r="E141" s="24" t="str">
        <f>VLOOKUP(Ruimtestaat[[#This Row],[Code]],Locaties[#All],6,FALSE)</f>
        <v>Deventer</v>
      </c>
      <c r="F141" s="54"/>
      <c r="G141" s="24" t="s">
        <v>569</v>
      </c>
      <c r="H141" s="28" t="s">
        <v>571</v>
      </c>
      <c r="I141" s="4" t="s">
        <v>415</v>
      </c>
      <c r="J141" s="24">
        <v>16</v>
      </c>
      <c r="K141" s="54" t="str">
        <f>VLOOKUP(J141,Ruimtegroepen[],2,FALSE)</f>
        <v>Leslokalen theorie</v>
      </c>
      <c r="L141" s="24" t="s">
        <v>311</v>
      </c>
      <c r="M141" s="24" t="s">
        <v>370</v>
      </c>
      <c r="N141" s="83">
        <v>53.76</v>
      </c>
      <c r="O141" s="83"/>
      <c r="P141" s="93" t="str">
        <f>LEFT(VLOOKUP(Ruimtestaat[[#This Row],[Ruimte code]],Ruimtegroepen[#All],4,1),2)</f>
        <v>Le</v>
      </c>
      <c r="Q141" s="93"/>
      <c r="R141" s="84">
        <v>40</v>
      </c>
      <c r="S141" s="84" t="s">
        <v>318</v>
      </c>
      <c r="T141" s="85">
        <f>IF(R141&gt;0,IF(RIGHT(Ruimtestaat[[#This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" s="85">
        <f>IF(T141&gt;0,VLOOKUP($J141,Ruimtegroepen[],3,FALSE)*VLOOKUP($L141,Vloersoorten[],3,FALSE)*VLOOKUP($S141,Frequenties[],3,FALSE)*VLOOKUP($A141,Locaties[],3,FALSE),0)</f>
        <v>0</v>
      </c>
      <c r="V141" s="86">
        <f>Ruimtestaat[[#This Row],[Uitvoeringen werkdagen]]*Ruimtestaat[[#This Row],[Oppervlak (netto)]]</f>
        <v>10752</v>
      </c>
      <c r="W141" s="87">
        <f>IF(U141&gt;0,Ruimtestaat[[#This Row],[Prest. (m2 /jaar) werkdagen]]/Ruimtestaat[[#This Row],[Norm (m2/uur) werkdagen]],0)</f>
        <v>0</v>
      </c>
      <c r="X141" s="88">
        <f>Ruimtestaat[[#This Row],[uren / jaar werkdagen]]*Tariefsopbouw!$E$35</f>
        <v>0</v>
      </c>
      <c r="Y141" s="85"/>
      <c r="Z141" s="89">
        <f>IF(Ruimtestaat[[#This Row],[Frequentie weekend]]&gt;0,VALUE(LEFT(Y141,1))*R141,0)</f>
        <v>0</v>
      </c>
      <c r="AA141" s="85">
        <f>IF($Z141&gt;0,VLOOKUP($J141,Ruimtegroepen[],3,FALSE)*VLOOKUP($L141,Vloersoorten[],3,FALSE)*VLOOKUP($Y141,Frequenties[],3,FALSE)*VLOOKUP($A112,Locaties[],3,FALSE),0)</f>
        <v>0</v>
      </c>
      <c r="AB141" s="87">
        <f>Ruimtestaat[[#This Row],[Uitvoeringen weekend]]*Ruimtestaat[[#This Row],[Oppervlak (netto)]]</f>
        <v>0</v>
      </c>
      <c r="AC141" s="90">
        <f>IF(AB141&gt;0,Ruimtestaat[[#This Row],[Prest. (m2 /jaar) weekend]]/Ruimtestaat[[#This Row],[Norm (m2/uur) weekend]],0)</f>
        <v>0</v>
      </c>
      <c r="AD141" s="91">
        <f>Ruimtestaat[[#This Row],[uren / jaar weekend]]*Tariefsopbouw!$D$40</f>
        <v>0</v>
      </c>
      <c r="AE141" s="60">
        <f>Ruimtestaat[[#This Row],[Prest. (m2 /jaar) weekend]]+Ruimtestaat[[#This Row],[Prest. (m2 /jaar) werkdagen]]</f>
        <v>10752</v>
      </c>
      <c r="AF141" s="60">
        <f>Ruimtestaat[[#This Row],[uren / jaar weekend]]+Ruimtestaat[[#This Row],[uren / jaar werkdagen]]</f>
        <v>0</v>
      </c>
      <c r="AG141" s="61">
        <f>Ruimtestaat[[#This Row],[kosten / jaar weekend]]+Ruimtestaat[[#This Row],[kosten / jaar werkdagen]]</f>
        <v>0</v>
      </c>
      <c r="AH141" s="92"/>
      <c r="HL141" s="59"/>
    </row>
    <row r="142" spans="1:220">
      <c r="A142" s="24">
        <v>1</v>
      </c>
      <c r="B142" s="24" t="str">
        <f>VLOOKUP(Ruimtestaat[[#This Row],[Code]],Locaties[#All],2,FALSE)</f>
        <v>Boerhaave + buitenunits</v>
      </c>
      <c r="C142" s="24" t="str">
        <f>VLOOKUP(Ruimtestaat[[#This Row],[Code]],Locaties[#All],4,FALSE)</f>
        <v>Herman Boerhaavelaan 1</v>
      </c>
      <c r="D142" s="24" t="str">
        <f>VLOOKUP(Ruimtestaat[[#This Row],[Code]],Locaties[#All],5,FALSE)</f>
        <v>7415 ES</v>
      </c>
      <c r="E142" s="24" t="str">
        <f>VLOOKUP(Ruimtestaat[[#This Row],[Code]],Locaties[#All],6,FALSE)</f>
        <v>Deventer</v>
      </c>
      <c r="F142" s="54"/>
      <c r="G142" s="24" t="s">
        <v>569</v>
      </c>
      <c r="H142" s="28" t="s">
        <v>572</v>
      </c>
      <c r="I142" s="4" t="s">
        <v>415</v>
      </c>
      <c r="J142" s="24">
        <v>16</v>
      </c>
      <c r="K142" s="54" t="str">
        <f>VLOOKUP(J142,Ruimtegroepen[],2,FALSE)</f>
        <v>Leslokalen theorie</v>
      </c>
      <c r="L142" s="24" t="s">
        <v>311</v>
      </c>
      <c r="M142" s="24" t="s">
        <v>370</v>
      </c>
      <c r="N142" s="83">
        <v>53.62</v>
      </c>
      <c r="O142" s="83"/>
      <c r="P142" s="93" t="str">
        <f>LEFT(VLOOKUP(Ruimtestaat[[#This Row],[Ruimte code]],Ruimtegroepen[#All],4,1),2)</f>
        <v>Le</v>
      </c>
      <c r="Q142" s="93"/>
      <c r="R142" s="84">
        <v>40</v>
      </c>
      <c r="S142" s="84" t="s">
        <v>318</v>
      </c>
      <c r="T142" s="85">
        <f>IF(R142&gt;0,IF(RIGHT(Ruimtestaat[[#This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2" s="85">
        <f>IF(T142&gt;0,VLOOKUP($J142,Ruimtegroepen[],3,FALSE)*VLOOKUP($L142,Vloersoorten[],3,FALSE)*VLOOKUP($S142,Frequenties[],3,FALSE)*VLOOKUP($A142,Locaties[],3,FALSE),0)</f>
        <v>0</v>
      </c>
      <c r="V142" s="86">
        <f>Ruimtestaat[[#This Row],[Uitvoeringen werkdagen]]*Ruimtestaat[[#This Row],[Oppervlak (netto)]]</f>
        <v>10724</v>
      </c>
      <c r="W142" s="87">
        <f>IF(U142&gt;0,Ruimtestaat[[#This Row],[Prest. (m2 /jaar) werkdagen]]/Ruimtestaat[[#This Row],[Norm (m2/uur) werkdagen]],0)</f>
        <v>0</v>
      </c>
      <c r="X142" s="88">
        <f>Ruimtestaat[[#This Row],[uren / jaar werkdagen]]*Tariefsopbouw!$E$35</f>
        <v>0</v>
      </c>
      <c r="Y142" s="85"/>
      <c r="Z142" s="89">
        <f>IF(Ruimtestaat[[#This Row],[Frequentie weekend]]&gt;0,VALUE(LEFT(Y142,1))*R142,0)</f>
        <v>0</v>
      </c>
      <c r="AA142" s="85">
        <f>IF($Z142&gt;0,VLOOKUP($J142,Ruimtegroepen[],3,FALSE)*VLOOKUP($L142,Vloersoorten[],3,FALSE)*VLOOKUP($Y142,Frequenties[],3,FALSE)*VLOOKUP($A113,Locaties[],3,FALSE),0)</f>
        <v>0</v>
      </c>
      <c r="AB142" s="87">
        <f>Ruimtestaat[[#This Row],[Uitvoeringen weekend]]*Ruimtestaat[[#This Row],[Oppervlak (netto)]]</f>
        <v>0</v>
      </c>
      <c r="AC142" s="90">
        <f>IF(AB142&gt;0,Ruimtestaat[[#This Row],[Prest. (m2 /jaar) weekend]]/Ruimtestaat[[#This Row],[Norm (m2/uur) weekend]],0)</f>
        <v>0</v>
      </c>
      <c r="AD142" s="91">
        <f>Ruimtestaat[[#This Row],[uren / jaar weekend]]*Tariefsopbouw!$D$40</f>
        <v>0</v>
      </c>
      <c r="AE142" s="60">
        <f>Ruimtestaat[[#This Row],[Prest. (m2 /jaar) weekend]]+Ruimtestaat[[#This Row],[Prest. (m2 /jaar) werkdagen]]</f>
        <v>10724</v>
      </c>
      <c r="AF142" s="60">
        <f>Ruimtestaat[[#This Row],[uren / jaar weekend]]+Ruimtestaat[[#This Row],[uren / jaar werkdagen]]</f>
        <v>0</v>
      </c>
      <c r="AG142" s="61">
        <f>Ruimtestaat[[#This Row],[kosten / jaar weekend]]+Ruimtestaat[[#This Row],[kosten / jaar werkdagen]]</f>
        <v>0</v>
      </c>
      <c r="AH142" s="92"/>
      <c r="HL142" s="59"/>
    </row>
    <row r="143" spans="1:220">
      <c r="A143" s="24">
        <v>1</v>
      </c>
      <c r="B143" s="24" t="str">
        <f>VLOOKUP(Ruimtestaat[[#This Row],[Code]],Locaties[#All],2,FALSE)</f>
        <v>Boerhaave + buitenunits</v>
      </c>
      <c r="C143" s="24" t="str">
        <f>VLOOKUP(Ruimtestaat[[#This Row],[Code]],Locaties[#All],4,FALSE)</f>
        <v>Herman Boerhaavelaan 1</v>
      </c>
      <c r="D143" s="24" t="str">
        <f>VLOOKUP(Ruimtestaat[[#This Row],[Code]],Locaties[#All],5,FALSE)</f>
        <v>7415 ES</v>
      </c>
      <c r="E143" s="24" t="str">
        <f>VLOOKUP(Ruimtestaat[[#This Row],[Code]],Locaties[#All],6,FALSE)</f>
        <v>Deventer</v>
      </c>
      <c r="F143" s="54"/>
      <c r="G143" s="24" t="s">
        <v>569</v>
      </c>
      <c r="H143" s="28" t="s">
        <v>573</v>
      </c>
      <c r="I143" s="4" t="s">
        <v>415</v>
      </c>
      <c r="J143" s="24">
        <v>16</v>
      </c>
      <c r="K143" s="54" t="str">
        <f>VLOOKUP(J143,Ruimtegroepen[],2,FALSE)</f>
        <v>Leslokalen theorie</v>
      </c>
      <c r="L143" s="24" t="s">
        <v>311</v>
      </c>
      <c r="M143" s="24" t="s">
        <v>370</v>
      </c>
      <c r="N143" s="83">
        <v>43.58</v>
      </c>
      <c r="O143" s="83"/>
      <c r="P143" s="93" t="str">
        <f>LEFT(VLOOKUP(Ruimtestaat[[#This Row],[Ruimte code]],Ruimtegroepen[#All],4,1),2)</f>
        <v>Le</v>
      </c>
      <c r="Q143" s="93"/>
      <c r="R143" s="84">
        <v>40</v>
      </c>
      <c r="S143" s="84" t="s">
        <v>318</v>
      </c>
      <c r="T143" s="85">
        <f>IF(R143&gt;0,IF(RIGHT(Ruimtestaat[[#This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3" s="85">
        <f>IF(T143&gt;0,VLOOKUP($J143,Ruimtegroepen[],3,FALSE)*VLOOKUP($L143,Vloersoorten[],3,FALSE)*VLOOKUP($S143,Frequenties[],3,FALSE)*VLOOKUP($A143,Locaties[],3,FALSE),0)</f>
        <v>0</v>
      </c>
      <c r="V143" s="86">
        <f>Ruimtestaat[[#This Row],[Uitvoeringen werkdagen]]*Ruimtestaat[[#This Row],[Oppervlak (netto)]]</f>
        <v>8716</v>
      </c>
      <c r="W143" s="87">
        <f>IF(U143&gt;0,Ruimtestaat[[#This Row],[Prest. (m2 /jaar) werkdagen]]/Ruimtestaat[[#This Row],[Norm (m2/uur) werkdagen]],0)</f>
        <v>0</v>
      </c>
      <c r="X143" s="88">
        <f>Ruimtestaat[[#This Row],[uren / jaar werkdagen]]*Tariefsopbouw!$E$35</f>
        <v>0</v>
      </c>
      <c r="Y143" s="85"/>
      <c r="Z143" s="89">
        <f>IF(Ruimtestaat[[#This Row],[Frequentie weekend]]&gt;0,VALUE(LEFT(Y143,1))*R143,0)</f>
        <v>0</v>
      </c>
      <c r="AA143" s="85">
        <f>IF($Z143&gt;0,VLOOKUP($J143,Ruimtegroepen[],3,FALSE)*VLOOKUP($L143,Vloersoorten[],3,FALSE)*VLOOKUP($Y143,Frequenties[],3,FALSE)*VLOOKUP($A114,Locaties[],3,FALSE),0)</f>
        <v>0</v>
      </c>
      <c r="AB143" s="87">
        <f>Ruimtestaat[[#This Row],[Uitvoeringen weekend]]*Ruimtestaat[[#This Row],[Oppervlak (netto)]]</f>
        <v>0</v>
      </c>
      <c r="AC143" s="90">
        <f>IF(AB143&gt;0,Ruimtestaat[[#This Row],[Prest. (m2 /jaar) weekend]]/Ruimtestaat[[#This Row],[Norm (m2/uur) weekend]],0)</f>
        <v>0</v>
      </c>
      <c r="AD143" s="91">
        <f>Ruimtestaat[[#This Row],[uren / jaar weekend]]*Tariefsopbouw!$D$40</f>
        <v>0</v>
      </c>
      <c r="AE143" s="60">
        <f>Ruimtestaat[[#This Row],[Prest. (m2 /jaar) weekend]]+Ruimtestaat[[#This Row],[Prest. (m2 /jaar) werkdagen]]</f>
        <v>8716</v>
      </c>
      <c r="AF143" s="60">
        <f>Ruimtestaat[[#This Row],[uren / jaar weekend]]+Ruimtestaat[[#This Row],[uren / jaar werkdagen]]</f>
        <v>0</v>
      </c>
      <c r="AG143" s="61">
        <f>Ruimtestaat[[#This Row],[kosten / jaar weekend]]+Ruimtestaat[[#This Row],[kosten / jaar werkdagen]]</f>
        <v>0</v>
      </c>
      <c r="AH143" s="92"/>
      <c r="HL143" s="59"/>
    </row>
    <row r="144" spans="1:220">
      <c r="A144" s="24">
        <v>1</v>
      </c>
      <c r="B144" s="24" t="str">
        <f>VLOOKUP(Ruimtestaat[[#This Row],[Code]],Locaties[#All],2,FALSE)</f>
        <v>Boerhaave + buitenunits</v>
      </c>
      <c r="C144" s="24" t="str">
        <f>VLOOKUP(Ruimtestaat[[#This Row],[Code]],Locaties[#All],4,FALSE)</f>
        <v>Herman Boerhaavelaan 1</v>
      </c>
      <c r="D144" s="24" t="str">
        <f>VLOOKUP(Ruimtestaat[[#This Row],[Code]],Locaties[#All],5,FALSE)</f>
        <v>7415 ES</v>
      </c>
      <c r="E144" s="24" t="str">
        <f>VLOOKUP(Ruimtestaat[[#This Row],[Code]],Locaties[#All],6,FALSE)</f>
        <v>Deventer</v>
      </c>
      <c r="F144" s="54"/>
      <c r="G144" s="24" t="s">
        <v>569</v>
      </c>
      <c r="H144" s="28" t="s">
        <v>574</v>
      </c>
      <c r="I144" s="4" t="s">
        <v>415</v>
      </c>
      <c r="J144" s="24">
        <v>16</v>
      </c>
      <c r="K144" s="54" t="str">
        <f>VLOOKUP(J144,Ruimtegroepen[],2,FALSE)</f>
        <v>Leslokalen theorie</v>
      </c>
      <c r="L144" s="24" t="s">
        <v>311</v>
      </c>
      <c r="M144" s="24" t="s">
        <v>370</v>
      </c>
      <c r="N144" s="83">
        <v>43.59</v>
      </c>
      <c r="O144" s="83"/>
      <c r="P144" s="93" t="str">
        <f>LEFT(VLOOKUP(Ruimtestaat[[#This Row],[Ruimte code]],Ruimtegroepen[#All],4,1),2)</f>
        <v>Le</v>
      </c>
      <c r="Q144" s="93"/>
      <c r="R144" s="84">
        <v>40</v>
      </c>
      <c r="S144" s="84" t="s">
        <v>318</v>
      </c>
      <c r="T144" s="85">
        <f>IF(R144&gt;0,IF(RIGHT(Ruimtestaat[[#This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4" s="85">
        <f>IF(T144&gt;0,VLOOKUP($J144,Ruimtegroepen[],3,FALSE)*VLOOKUP($L144,Vloersoorten[],3,FALSE)*VLOOKUP($S144,Frequenties[],3,FALSE)*VLOOKUP($A144,Locaties[],3,FALSE),0)</f>
        <v>0</v>
      </c>
      <c r="V144" s="86">
        <f>Ruimtestaat[[#This Row],[Uitvoeringen werkdagen]]*Ruimtestaat[[#This Row],[Oppervlak (netto)]]</f>
        <v>8718</v>
      </c>
      <c r="W144" s="87">
        <f>IF(U144&gt;0,Ruimtestaat[[#This Row],[Prest. (m2 /jaar) werkdagen]]/Ruimtestaat[[#This Row],[Norm (m2/uur) werkdagen]],0)</f>
        <v>0</v>
      </c>
      <c r="X144" s="88">
        <f>Ruimtestaat[[#This Row],[uren / jaar werkdagen]]*Tariefsopbouw!$E$35</f>
        <v>0</v>
      </c>
      <c r="Y144" s="85"/>
      <c r="Z144" s="89">
        <f>IF(Ruimtestaat[[#This Row],[Frequentie weekend]]&gt;0,VALUE(LEFT(Y144,1))*R144,0)</f>
        <v>0</v>
      </c>
      <c r="AA144" s="85">
        <f>IF($Z144&gt;0,VLOOKUP($J144,Ruimtegroepen[],3,FALSE)*VLOOKUP($L144,Vloersoorten[],3,FALSE)*VLOOKUP($Y144,Frequenties[],3,FALSE)*VLOOKUP($A115,Locaties[],3,FALSE),0)</f>
        <v>0</v>
      </c>
      <c r="AB144" s="87">
        <f>Ruimtestaat[[#This Row],[Uitvoeringen weekend]]*Ruimtestaat[[#This Row],[Oppervlak (netto)]]</f>
        <v>0</v>
      </c>
      <c r="AC144" s="90">
        <f>IF(AB144&gt;0,Ruimtestaat[[#This Row],[Prest. (m2 /jaar) weekend]]/Ruimtestaat[[#This Row],[Norm (m2/uur) weekend]],0)</f>
        <v>0</v>
      </c>
      <c r="AD144" s="91">
        <f>Ruimtestaat[[#This Row],[uren / jaar weekend]]*Tariefsopbouw!$D$40</f>
        <v>0</v>
      </c>
      <c r="AE144" s="60">
        <f>Ruimtestaat[[#This Row],[Prest. (m2 /jaar) weekend]]+Ruimtestaat[[#This Row],[Prest. (m2 /jaar) werkdagen]]</f>
        <v>8718</v>
      </c>
      <c r="AF144" s="60">
        <f>Ruimtestaat[[#This Row],[uren / jaar weekend]]+Ruimtestaat[[#This Row],[uren / jaar werkdagen]]</f>
        <v>0</v>
      </c>
      <c r="AG144" s="61">
        <f>Ruimtestaat[[#This Row],[kosten / jaar weekend]]+Ruimtestaat[[#This Row],[kosten / jaar werkdagen]]</f>
        <v>0</v>
      </c>
      <c r="AH144" s="92"/>
      <c r="HL144" s="59"/>
    </row>
    <row r="145" spans="1:220">
      <c r="A145" s="24">
        <v>1</v>
      </c>
      <c r="B145" s="24" t="str">
        <f>VLOOKUP(Ruimtestaat[[#This Row],[Code]],Locaties[#All],2,FALSE)</f>
        <v>Boerhaave + buitenunits</v>
      </c>
      <c r="C145" s="24" t="str">
        <f>VLOOKUP(Ruimtestaat[[#This Row],[Code]],Locaties[#All],4,FALSE)</f>
        <v>Herman Boerhaavelaan 1</v>
      </c>
      <c r="D145" s="24" t="str">
        <f>VLOOKUP(Ruimtestaat[[#This Row],[Code]],Locaties[#All],5,FALSE)</f>
        <v>7415 ES</v>
      </c>
      <c r="E145" s="24" t="str">
        <f>VLOOKUP(Ruimtestaat[[#This Row],[Code]],Locaties[#All],6,FALSE)</f>
        <v>Deventer</v>
      </c>
      <c r="F145" s="54"/>
      <c r="G145" s="24" t="s">
        <v>569</v>
      </c>
      <c r="H145" s="28" t="s">
        <v>575</v>
      </c>
      <c r="I145" s="4" t="s">
        <v>415</v>
      </c>
      <c r="J145" s="24">
        <v>16</v>
      </c>
      <c r="K145" s="54" t="str">
        <f>VLOOKUP(J145,Ruimtegroepen[],2,FALSE)</f>
        <v>Leslokalen theorie</v>
      </c>
      <c r="L145" s="24" t="s">
        <v>311</v>
      </c>
      <c r="M145" s="24" t="s">
        <v>370</v>
      </c>
      <c r="N145" s="83">
        <v>43.59</v>
      </c>
      <c r="O145" s="83"/>
      <c r="P145" s="93" t="str">
        <f>LEFT(VLOOKUP(Ruimtestaat[[#This Row],[Ruimte code]],Ruimtegroepen[#All],4,1),2)</f>
        <v>Le</v>
      </c>
      <c r="Q145" s="93"/>
      <c r="R145" s="84">
        <v>40</v>
      </c>
      <c r="S145" s="84" t="s">
        <v>318</v>
      </c>
      <c r="T145" s="85">
        <f>IF(R145&gt;0,IF(RIGHT(Ruimtestaat[[#This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5" s="85">
        <f>IF(T145&gt;0,VLOOKUP($J145,Ruimtegroepen[],3,FALSE)*VLOOKUP($L145,Vloersoorten[],3,FALSE)*VLOOKUP($S145,Frequenties[],3,FALSE)*VLOOKUP($A145,Locaties[],3,FALSE),0)</f>
        <v>0</v>
      </c>
      <c r="V145" s="86">
        <f>Ruimtestaat[[#This Row],[Uitvoeringen werkdagen]]*Ruimtestaat[[#This Row],[Oppervlak (netto)]]</f>
        <v>8718</v>
      </c>
      <c r="W145" s="87">
        <f>IF(U145&gt;0,Ruimtestaat[[#This Row],[Prest. (m2 /jaar) werkdagen]]/Ruimtestaat[[#This Row],[Norm (m2/uur) werkdagen]],0)</f>
        <v>0</v>
      </c>
      <c r="X145" s="88">
        <f>Ruimtestaat[[#This Row],[uren / jaar werkdagen]]*Tariefsopbouw!$E$35</f>
        <v>0</v>
      </c>
      <c r="Y145" s="85"/>
      <c r="Z145" s="89">
        <f>IF(Ruimtestaat[[#This Row],[Frequentie weekend]]&gt;0,VALUE(LEFT(Y145,1))*R145,0)</f>
        <v>0</v>
      </c>
      <c r="AA145" s="85">
        <f>IF($Z145&gt;0,VLOOKUP($J145,Ruimtegroepen[],3,FALSE)*VLOOKUP($L145,Vloersoorten[],3,FALSE)*VLOOKUP($Y145,Frequenties[],3,FALSE)*VLOOKUP($A116,Locaties[],3,FALSE),0)</f>
        <v>0</v>
      </c>
      <c r="AB145" s="87">
        <f>Ruimtestaat[[#This Row],[Uitvoeringen weekend]]*Ruimtestaat[[#This Row],[Oppervlak (netto)]]</f>
        <v>0</v>
      </c>
      <c r="AC145" s="90">
        <f>IF(AB145&gt;0,Ruimtestaat[[#This Row],[Prest. (m2 /jaar) weekend]]/Ruimtestaat[[#This Row],[Norm (m2/uur) weekend]],0)</f>
        <v>0</v>
      </c>
      <c r="AD145" s="91">
        <f>Ruimtestaat[[#This Row],[uren / jaar weekend]]*Tariefsopbouw!$D$40</f>
        <v>0</v>
      </c>
      <c r="AE145" s="60">
        <f>Ruimtestaat[[#This Row],[Prest. (m2 /jaar) weekend]]+Ruimtestaat[[#This Row],[Prest. (m2 /jaar) werkdagen]]</f>
        <v>8718</v>
      </c>
      <c r="AF145" s="60">
        <f>Ruimtestaat[[#This Row],[uren / jaar weekend]]+Ruimtestaat[[#This Row],[uren / jaar werkdagen]]</f>
        <v>0</v>
      </c>
      <c r="AG145" s="61">
        <f>Ruimtestaat[[#This Row],[kosten / jaar weekend]]+Ruimtestaat[[#This Row],[kosten / jaar werkdagen]]</f>
        <v>0</v>
      </c>
      <c r="AH145" s="92"/>
      <c r="HL145" s="59"/>
    </row>
    <row r="146" spans="1:220">
      <c r="A146" s="24">
        <v>1</v>
      </c>
      <c r="B146" s="24" t="str">
        <f>VLOOKUP(Ruimtestaat[[#This Row],[Code]],Locaties[#All],2,FALSE)</f>
        <v>Boerhaave + buitenunits</v>
      </c>
      <c r="C146" s="24" t="str">
        <f>VLOOKUP(Ruimtestaat[[#This Row],[Code]],Locaties[#All],4,FALSE)</f>
        <v>Herman Boerhaavelaan 1</v>
      </c>
      <c r="D146" s="24" t="str">
        <f>VLOOKUP(Ruimtestaat[[#This Row],[Code]],Locaties[#All],5,FALSE)</f>
        <v>7415 ES</v>
      </c>
      <c r="E146" s="24" t="str">
        <f>VLOOKUP(Ruimtestaat[[#This Row],[Code]],Locaties[#All],6,FALSE)</f>
        <v>Deventer</v>
      </c>
      <c r="F146" s="54"/>
      <c r="G146" s="24" t="s">
        <v>569</v>
      </c>
      <c r="H146" s="28" t="s">
        <v>576</v>
      </c>
      <c r="I146" s="4" t="s">
        <v>415</v>
      </c>
      <c r="J146" s="24">
        <v>16</v>
      </c>
      <c r="K146" s="54" t="str">
        <f>VLOOKUP(J146,Ruimtegroepen[],2,FALSE)</f>
        <v>Leslokalen theorie</v>
      </c>
      <c r="L146" s="24" t="s">
        <v>311</v>
      </c>
      <c r="M146" s="24" t="s">
        <v>370</v>
      </c>
      <c r="N146" s="83">
        <v>43.59</v>
      </c>
      <c r="O146" s="83"/>
      <c r="P146" s="93" t="str">
        <f>LEFT(VLOOKUP(Ruimtestaat[[#This Row],[Ruimte code]],Ruimtegroepen[#All],4,1),2)</f>
        <v>Le</v>
      </c>
      <c r="Q146" s="93"/>
      <c r="R146" s="84">
        <v>40</v>
      </c>
      <c r="S146" s="84" t="s">
        <v>318</v>
      </c>
      <c r="T146" s="85">
        <f>IF(R146&gt;0,IF(RIGHT(Ruimtestaat[[#This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6" s="85">
        <f>IF(T146&gt;0,VLOOKUP($J146,Ruimtegroepen[],3,FALSE)*VLOOKUP($L146,Vloersoorten[],3,FALSE)*VLOOKUP($S146,Frequenties[],3,FALSE)*VLOOKUP($A146,Locaties[],3,FALSE),0)</f>
        <v>0</v>
      </c>
      <c r="V146" s="86">
        <f>Ruimtestaat[[#This Row],[Uitvoeringen werkdagen]]*Ruimtestaat[[#This Row],[Oppervlak (netto)]]</f>
        <v>8718</v>
      </c>
      <c r="W146" s="87">
        <f>IF(U146&gt;0,Ruimtestaat[[#This Row],[Prest. (m2 /jaar) werkdagen]]/Ruimtestaat[[#This Row],[Norm (m2/uur) werkdagen]],0)</f>
        <v>0</v>
      </c>
      <c r="X146" s="88">
        <f>Ruimtestaat[[#This Row],[uren / jaar werkdagen]]*Tariefsopbouw!$E$35</f>
        <v>0</v>
      </c>
      <c r="Y146" s="85"/>
      <c r="Z146" s="89">
        <f>IF(Ruimtestaat[[#This Row],[Frequentie weekend]]&gt;0,VALUE(LEFT(Y146,1))*R146,0)</f>
        <v>0</v>
      </c>
      <c r="AA146" s="85">
        <f>IF($Z146&gt;0,VLOOKUP($J146,Ruimtegroepen[],3,FALSE)*VLOOKUP($L146,Vloersoorten[],3,FALSE)*VLOOKUP($Y146,Frequenties[],3,FALSE)*VLOOKUP($A117,Locaties[],3,FALSE),0)</f>
        <v>0</v>
      </c>
      <c r="AB146" s="87">
        <f>Ruimtestaat[[#This Row],[Uitvoeringen weekend]]*Ruimtestaat[[#This Row],[Oppervlak (netto)]]</f>
        <v>0</v>
      </c>
      <c r="AC146" s="90">
        <f>IF(AB146&gt;0,Ruimtestaat[[#This Row],[Prest. (m2 /jaar) weekend]]/Ruimtestaat[[#This Row],[Norm (m2/uur) weekend]],0)</f>
        <v>0</v>
      </c>
      <c r="AD146" s="91">
        <f>Ruimtestaat[[#This Row],[uren / jaar weekend]]*Tariefsopbouw!$D$40</f>
        <v>0</v>
      </c>
      <c r="AE146" s="60">
        <f>Ruimtestaat[[#This Row],[Prest. (m2 /jaar) weekend]]+Ruimtestaat[[#This Row],[Prest. (m2 /jaar) werkdagen]]</f>
        <v>8718</v>
      </c>
      <c r="AF146" s="60">
        <f>Ruimtestaat[[#This Row],[uren / jaar weekend]]+Ruimtestaat[[#This Row],[uren / jaar werkdagen]]</f>
        <v>0</v>
      </c>
      <c r="AG146" s="61">
        <f>Ruimtestaat[[#This Row],[kosten / jaar weekend]]+Ruimtestaat[[#This Row],[kosten / jaar werkdagen]]</f>
        <v>0</v>
      </c>
      <c r="AH146" s="92"/>
      <c r="HL146" s="59"/>
    </row>
    <row r="147" spans="1:220">
      <c r="A147" s="24">
        <v>1</v>
      </c>
      <c r="B147" s="24" t="str">
        <f>VLOOKUP(Ruimtestaat[[#This Row],[Code]],Locaties[#All],2,FALSE)</f>
        <v>Boerhaave + buitenunits</v>
      </c>
      <c r="C147" s="24" t="str">
        <f>VLOOKUP(Ruimtestaat[[#This Row],[Code]],Locaties[#All],4,FALSE)</f>
        <v>Herman Boerhaavelaan 1</v>
      </c>
      <c r="D147" s="24" t="str">
        <f>VLOOKUP(Ruimtestaat[[#This Row],[Code]],Locaties[#All],5,FALSE)</f>
        <v>7415 ES</v>
      </c>
      <c r="E147" s="24" t="str">
        <f>VLOOKUP(Ruimtestaat[[#This Row],[Code]],Locaties[#All],6,FALSE)</f>
        <v>Deventer</v>
      </c>
      <c r="F147" s="54"/>
      <c r="G147" s="24" t="s">
        <v>569</v>
      </c>
      <c r="H147" s="28" t="s">
        <v>577</v>
      </c>
      <c r="I147" s="4" t="s">
        <v>535</v>
      </c>
      <c r="J147" s="24">
        <v>22</v>
      </c>
      <c r="K147" s="54" t="str">
        <f>VLOOKUP(J147,Ruimtegroepen[],2,FALSE)</f>
        <v>Niet in onderhoud</v>
      </c>
      <c r="L147" s="24" t="s">
        <v>305</v>
      </c>
      <c r="M147" s="24" t="s">
        <v>376</v>
      </c>
      <c r="N147" s="83"/>
      <c r="O147" s="83">
        <v>1.91</v>
      </c>
      <c r="P147" s="93" t="str">
        <f>LEFT(VLOOKUP(Ruimtestaat[[#This Row],[Ruimte code]],Ruimtegroepen[#All],4,1),2)</f>
        <v/>
      </c>
      <c r="Q147" s="93"/>
      <c r="R147" s="84"/>
      <c r="S147" s="84"/>
      <c r="T147" s="85">
        <f>IF(R147&gt;0,IF(RIGHT(Ruimtestaat[[#This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7" s="85">
        <f>IF(T147&gt;0,VLOOKUP($J147,Ruimtegroepen[],3,FALSE)*VLOOKUP($L147,Vloersoorten[],3,FALSE)*VLOOKUP($S147,Frequenties[],3,FALSE)*VLOOKUP($A147,Locaties[],3,FALSE),0)</f>
        <v>0</v>
      </c>
      <c r="V147" s="86">
        <f>Ruimtestaat[[#This Row],[Uitvoeringen werkdagen]]*Ruimtestaat[[#This Row],[Oppervlak (netto)]]</f>
        <v>0</v>
      </c>
      <c r="W147" s="87">
        <f>IF(U147&gt;0,Ruimtestaat[[#This Row],[Prest. (m2 /jaar) werkdagen]]/Ruimtestaat[[#This Row],[Norm (m2/uur) werkdagen]],0)</f>
        <v>0</v>
      </c>
      <c r="X147" s="88">
        <f>Ruimtestaat[[#This Row],[uren / jaar werkdagen]]*Tariefsopbouw!$E$35</f>
        <v>0</v>
      </c>
      <c r="Y147" s="85"/>
      <c r="Z147" s="89">
        <f>IF(Ruimtestaat[[#This Row],[Frequentie weekend]]&gt;0,VALUE(LEFT(Y147,1))*R147,0)</f>
        <v>0</v>
      </c>
      <c r="AA147" s="85">
        <f>IF($Z147&gt;0,VLOOKUP($J147,Ruimtegroepen[],3,FALSE)*VLOOKUP($L147,Vloersoorten[],3,FALSE)*VLOOKUP($Y147,Frequenties[],3,FALSE)*VLOOKUP($A118,Locaties[],3,FALSE),0)</f>
        <v>0</v>
      </c>
      <c r="AB147" s="87">
        <f>Ruimtestaat[[#This Row],[Uitvoeringen weekend]]*Ruimtestaat[[#This Row],[Oppervlak (netto)]]</f>
        <v>0</v>
      </c>
      <c r="AC147" s="90">
        <f>IF(AB147&gt;0,Ruimtestaat[[#This Row],[Prest. (m2 /jaar) weekend]]/Ruimtestaat[[#This Row],[Norm (m2/uur) weekend]],0)</f>
        <v>0</v>
      </c>
      <c r="AD147" s="91">
        <f>Ruimtestaat[[#This Row],[uren / jaar weekend]]*Tariefsopbouw!$D$40</f>
        <v>0</v>
      </c>
      <c r="AE147" s="60">
        <f>Ruimtestaat[[#This Row],[Prest. (m2 /jaar) weekend]]+Ruimtestaat[[#This Row],[Prest. (m2 /jaar) werkdagen]]</f>
        <v>0</v>
      </c>
      <c r="AF147" s="60">
        <f>Ruimtestaat[[#This Row],[uren / jaar weekend]]+Ruimtestaat[[#This Row],[uren / jaar werkdagen]]</f>
        <v>0</v>
      </c>
      <c r="AG147" s="61">
        <f>Ruimtestaat[[#This Row],[kosten / jaar weekend]]+Ruimtestaat[[#This Row],[kosten / jaar werkdagen]]</f>
        <v>0</v>
      </c>
      <c r="AH147" s="92"/>
      <c r="HL147" s="59"/>
    </row>
    <row r="148" spans="1:220">
      <c r="A148" s="24">
        <v>1</v>
      </c>
      <c r="B148" s="24" t="str">
        <f>VLOOKUP(Ruimtestaat[[#This Row],[Code]],Locaties[#All],2,FALSE)</f>
        <v>Boerhaave + buitenunits</v>
      </c>
      <c r="C148" s="24" t="str">
        <f>VLOOKUP(Ruimtestaat[[#This Row],[Code]],Locaties[#All],4,FALSE)</f>
        <v>Herman Boerhaavelaan 1</v>
      </c>
      <c r="D148" s="24" t="str">
        <f>VLOOKUP(Ruimtestaat[[#This Row],[Code]],Locaties[#All],5,FALSE)</f>
        <v>7415 ES</v>
      </c>
      <c r="E148" s="24" t="str">
        <f>VLOOKUP(Ruimtestaat[[#This Row],[Code]],Locaties[#All],6,FALSE)</f>
        <v>Deventer</v>
      </c>
      <c r="F148" s="54"/>
      <c r="G148" s="24" t="s">
        <v>569</v>
      </c>
      <c r="H148" s="28" t="s">
        <v>578</v>
      </c>
      <c r="I148" s="4" t="s">
        <v>413</v>
      </c>
      <c r="J148" s="24">
        <v>5</v>
      </c>
      <c r="K148" s="54" t="str">
        <f>VLOOKUP(J148,Ruimtegroepen[],2,FALSE)</f>
        <v>Sanitair</v>
      </c>
      <c r="L148" s="24" t="s">
        <v>305</v>
      </c>
      <c r="M148" s="24" t="s">
        <v>400</v>
      </c>
      <c r="N148" s="83">
        <v>16.22</v>
      </c>
      <c r="O148" s="83"/>
      <c r="P148" s="93" t="str">
        <f>LEFT(VLOOKUP(Ruimtestaat[[#This Row],[Ruimte code]],Ruimtegroepen[#All],4,1),2)</f>
        <v>Sa</v>
      </c>
      <c r="Q148" s="93"/>
      <c r="R148" s="84">
        <v>42</v>
      </c>
      <c r="S148" s="84" t="s">
        <v>316</v>
      </c>
      <c r="T148" s="85">
        <f>IF(R148&gt;0,IF(RIGHT(Ruimtestaat[[#This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8" s="85">
        <f>IF(T148&gt;0,VLOOKUP($J148,Ruimtegroepen[],3,FALSE)*VLOOKUP($L148,Vloersoorten[],3,FALSE)*VLOOKUP($S148,Frequenties[],3,FALSE)*VLOOKUP($A148,Locaties[],3,FALSE),0)</f>
        <v>0</v>
      </c>
      <c r="V148" s="86">
        <f>Ruimtestaat[[#This Row],[Uitvoeringen werkdagen]]*Ruimtestaat[[#This Row],[Oppervlak (netto)]]</f>
        <v>6812.4</v>
      </c>
      <c r="W148" s="87">
        <f>IF(U148&gt;0,Ruimtestaat[[#This Row],[Prest. (m2 /jaar) werkdagen]]/Ruimtestaat[[#This Row],[Norm (m2/uur) werkdagen]],0)</f>
        <v>0</v>
      </c>
      <c r="X148" s="88">
        <f>Ruimtestaat[[#This Row],[uren / jaar werkdagen]]*Tariefsopbouw!$E$35</f>
        <v>0</v>
      </c>
      <c r="Y148" s="85"/>
      <c r="Z148" s="89">
        <f>IF(Ruimtestaat[[#This Row],[Frequentie weekend]]&gt;0,VALUE(LEFT(Y148,1))*R148,0)</f>
        <v>0</v>
      </c>
      <c r="AA148" s="85">
        <f>IF($Z148&gt;0,VLOOKUP($J148,Ruimtegroepen[],3,FALSE)*VLOOKUP($L148,Vloersoorten[],3,FALSE)*VLOOKUP($Y148,Frequenties[],3,FALSE)*VLOOKUP($A119,Locaties[],3,FALSE),0)</f>
        <v>0</v>
      </c>
      <c r="AB148" s="87">
        <f>Ruimtestaat[[#This Row],[Uitvoeringen weekend]]*Ruimtestaat[[#This Row],[Oppervlak (netto)]]</f>
        <v>0</v>
      </c>
      <c r="AC148" s="90">
        <f>IF(AB148&gt;0,Ruimtestaat[[#This Row],[Prest. (m2 /jaar) weekend]]/Ruimtestaat[[#This Row],[Norm (m2/uur) weekend]],0)</f>
        <v>0</v>
      </c>
      <c r="AD148" s="91">
        <f>Ruimtestaat[[#This Row],[uren / jaar weekend]]*Tariefsopbouw!$D$40</f>
        <v>0</v>
      </c>
      <c r="AE148" s="60">
        <f>Ruimtestaat[[#This Row],[Prest. (m2 /jaar) weekend]]+Ruimtestaat[[#This Row],[Prest. (m2 /jaar) werkdagen]]</f>
        <v>6812.4</v>
      </c>
      <c r="AF148" s="60">
        <f>Ruimtestaat[[#This Row],[uren / jaar weekend]]+Ruimtestaat[[#This Row],[uren / jaar werkdagen]]</f>
        <v>0</v>
      </c>
      <c r="AG148" s="61">
        <f>Ruimtestaat[[#This Row],[kosten / jaar weekend]]+Ruimtestaat[[#This Row],[kosten / jaar werkdagen]]</f>
        <v>0</v>
      </c>
      <c r="AH148" s="92"/>
      <c r="HL148" s="59"/>
    </row>
    <row r="149" spans="1:220">
      <c r="A149" s="24">
        <v>1</v>
      </c>
      <c r="B149" s="24" t="str">
        <f>VLOOKUP(Ruimtestaat[[#This Row],[Code]],Locaties[#All],2,FALSE)</f>
        <v>Boerhaave + buitenunits</v>
      </c>
      <c r="C149" s="24" t="str">
        <f>VLOOKUP(Ruimtestaat[[#This Row],[Code]],Locaties[#All],4,FALSE)</f>
        <v>Herman Boerhaavelaan 1</v>
      </c>
      <c r="D149" s="24" t="str">
        <f>VLOOKUP(Ruimtestaat[[#This Row],[Code]],Locaties[#All],5,FALSE)</f>
        <v>7415 ES</v>
      </c>
      <c r="E149" s="24" t="str">
        <f>VLOOKUP(Ruimtestaat[[#This Row],[Code]],Locaties[#All],6,FALSE)</f>
        <v>Deventer</v>
      </c>
      <c r="F149" s="54"/>
      <c r="G149" s="24" t="s">
        <v>569</v>
      </c>
      <c r="H149" s="28" t="s">
        <v>579</v>
      </c>
      <c r="I149" s="4" t="s">
        <v>415</v>
      </c>
      <c r="J149" s="24">
        <v>16</v>
      </c>
      <c r="K149" s="54" t="str">
        <f>VLOOKUP(J149,Ruimtegroepen[],2,FALSE)</f>
        <v>Leslokalen theorie</v>
      </c>
      <c r="L149" s="24" t="s">
        <v>311</v>
      </c>
      <c r="M149" s="24" t="s">
        <v>370</v>
      </c>
      <c r="N149" s="83">
        <v>43.59</v>
      </c>
      <c r="O149" s="83"/>
      <c r="P149" s="93" t="str">
        <f>LEFT(VLOOKUP(Ruimtestaat[[#This Row],[Ruimte code]],Ruimtegroepen[#All],4,1),2)</f>
        <v>Le</v>
      </c>
      <c r="Q149" s="93"/>
      <c r="R149" s="84">
        <v>40</v>
      </c>
      <c r="S149" s="84" t="s">
        <v>318</v>
      </c>
      <c r="T149" s="85">
        <f>IF(R149&gt;0,IF(RIGHT(Ruimtestaat[[#This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9" s="85">
        <f>IF(T149&gt;0,VLOOKUP($J149,Ruimtegroepen[],3,FALSE)*VLOOKUP($L149,Vloersoorten[],3,FALSE)*VLOOKUP($S149,Frequenties[],3,FALSE)*VLOOKUP($A149,Locaties[],3,FALSE),0)</f>
        <v>0</v>
      </c>
      <c r="V149" s="86">
        <f>Ruimtestaat[[#This Row],[Uitvoeringen werkdagen]]*Ruimtestaat[[#This Row],[Oppervlak (netto)]]</f>
        <v>8718</v>
      </c>
      <c r="W149" s="87">
        <f>IF(U149&gt;0,Ruimtestaat[[#This Row],[Prest. (m2 /jaar) werkdagen]]/Ruimtestaat[[#This Row],[Norm (m2/uur) werkdagen]],0)</f>
        <v>0</v>
      </c>
      <c r="X149" s="88">
        <f>Ruimtestaat[[#This Row],[uren / jaar werkdagen]]*Tariefsopbouw!$E$35</f>
        <v>0</v>
      </c>
      <c r="Y149" s="85"/>
      <c r="Z149" s="89">
        <f>IF(Ruimtestaat[[#This Row],[Frequentie weekend]]&gt;0,VALUE(LEFT(Y149,1))*R149,0)</f>
        <v>0</v>
      </c>
      <c r="AA149" s="85">
        <f>IF($Z149&gt;0,VLOOKUP($J149,Ruimtegroepen[],3,FALSE)*VLOOKUP($L149,Vloersoorten[],3,FALSE)*VLOOKUP($Y149,Frequenties[],3,FALSE)*VLOOKUP($A120,Locaties[],3,FALSE),0)</f>
        <v>0</v>
      </c>
      <c r="AB149" s="87">
        <f>Ruimtestaat[[#This Row],[Uitvoeringen weekend]]*Ruimtestaat[[#This Row],[Oppervlak (netto)]]</f>
        <v>0</v>
      </c>
      <c r="AC149" s="90">
        <f>IF(AB149&gt;0,Ruimtestaat[[#This Row],[Prest. (m2 /jaar) weekend]]/Ruimtestaat[[#This Row],[Norm (m2/uur) weekend]],0)</f>
        <v>0</v>
      </c>
      <c r="AD149" s="91">
        <f>Ruimtestaat[[#This Row],[uren / jaar weekend]]*Tariefsopbouw!$D$40</f>
        <v>0</v>
      </c>
      <c r="AE149" s="60">
        <f>Ruimtestaat[[#This Row],[Prest. (m2 /jaar) weekend]]+Ruimtestaat[[#This Row],[Prest. (m2 /jaar) werkdagen]]</f>
        <v>8718</v>
      </c>
      <c r="AF149" s="60">
        <f>Ruimtestaat[[#This Row],[uren / jaar weekend]]+Ruimtestaat[[#This Row],[uren / jaar werkdagen]]</f>
        <v>0</v>
      </c>
      <c r="AG149" s="61">
        <f>Ruimtestaat[[#This Row],[kosten / jaar weekend]]+Ruimtestaat[[#This Row],[kosten / jaar werkdagen]]</f>
        <v>0</v>
      </c>
      <c r="AH149" s="92"/>
      <c r="HL149" s="59"/>
    </row>
    <row r="150" spans="1:220">
      <c r="A150" s="24">
        <v>1</v>
      </c>
      <c r="B150" s="24" t="str">
        <f>VLOOKUP(Ruimtestaat[[#This Row],[Code]],Locaties[#All],2,FALSE)</f>
        <v>Boerhaave + buitenunits</v>
      </c>
      <c r="C150" s="24" t="str">
        <f>VLOOKUP(Ruimtestaat[[#This Row],[Code]],Locaties[#All],4,FALSE)</f>
        <v>Herman Boerhaavelaan 1</v>
      </c>
      <c r="D150" s="24" t="str">
        <f>VLOOKUP(Ruimtestaat[[#This Row],[Code]],Locaties[#All],5,FALSE)</f>
        <v>7415 ES</v>
      </c>
      <c r="E150" s="24" t="str">
        <f>VLOOKUP(Ruimtestaat[[#This Row],[Code]],Locaties[#All],6,FALSE)</f>
        <v>Deventer</v>
      </c>
      <c r="F150" s="54"/>
      <c r="G150" s="24" t="s">
        <v>569</v>
      </c>
      <c r="H150" s="28" t="s">
        <v>580</v>
      </c>
      <c r="I150" s="4" t="s">
        <v>415</v>
      </c>
      <c r="J150" s="24">
        <v>16</v>
      </c>
      <c r="K150" s="54" t="str">
        <f>VLOOKUP(J150,Ruimtegroepen[],2,FALSE)</f>
        <v>Leslokalen theorie</v>
      </c>
      <c r="L150" s="24" t="s">
        <v>311</v>
      </c>
      <c r="M150" s="24" t="s">
        <v>370</v>
      </c>
      <c r="N150" s="83">
        <v>43.58</v>
      </c>
      <c r="O150" s="83"/>
      <c r="P150" s="93" t="str">
        <f>LEFT(VLOOKUP(Ruimtestaat[[#This Row],[Ruimte code]],Ruimtegroepen[#All],4,1),2)</f>
        <v>Le</v>
      </c>
      <c r="Q150" s="93"/>
      <c r="R150" s="84">
        <v>40</v>
      </c>
      <c r="S150" s="84" t="s">
        <v>318</v>
      </c>
      <c r="T150" s="85">
        <f>IF(R150&gt;0,IF(RIGHT(Ruimtestaat[[#This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0" s="85">
        <f>IF(T150&gt;0,VLOOKUP($J150,Ruimtegroepen[],3,FALSE)*VLOOKUP($L150,Vloersoorten[],3,FALSE)*VLOOKUP($S150,Frequenties[],3,FALSE)*VLOOKUP($A150,Locaties[],3,FALSE),0)</f>
        <v>0</v>
      </c>
      <c r="V150" s="86">
        <f>Ruimtestaat[[#This Row],[Uitvoeringen werkdagen]]*Ruimtestaat[[#This Row],[Oppervlak (netto)]]</f>
        <v>8716</v>
      </c>
      <c r="W150" s="87">
        <f>IF(U150&gt;0,Ruimtestaat[[#This Row],[Prest. (m2 /jaar) werkdagen]]/Ruimtestaat[[#This Row],[Norm (m2/uur) werkdagen]],0)</f>
        <v>0</v>
      </c>
      <c r="X150" s="88">
        <f>Ruimtestaat[[#This Row],[uren / jaar werkdagen]]*Tariefsopbouw!$E$35</f>
        <v>0</v>
      </c>
      <c r="Y150" s="85"/>
      <c r="Z150" s="89">
        <f>IF(Ruimtestaat[[#This Row],[Frequentie weekend]]&gt;0,VALUE(LEFT(Y150,1))*R150,0)</f>
        <v>0</v>
      </c>
      <c r="AA150" s="85">
        <f>IF($Z150&gt;0,VLOOKUP($J150,Ruimtegroepen[],3,FALSE)*VLOOKUP($L150,Vloersoorten[],3,FALSE)*VLOOKUP($Y150,Frequenties[],3,FALSE)*VLOOKUP($A121,Locaties[],3,FALSE),0)</f>
        <v>0</v>
      </c>
      <c r="AB150" s="87">
        <f>Ruimtestaat[[#This Row],[Uitvoeringen weekend]]*Ruimtestaat[[#This Row],[Oppervlak (netto)]]</f>
        <v>0</v>
      </c>
      <c r="AC150" s="90">
        <f>IF(AB150&gt;0,Ruimtestaat[[#This Row],[Prest. (m2 /jaar) weekend]]/Ruimtestaat[[#This Row],[Norm (m2/uur) weekend]],0)</f>
        <v>0</v>
      </c>
      <c r="AD150" s="91">
        <f>Ruimtestaat[[#This Row],[uren / jaar weekend]]*Tariefsopbouw!$D$40</f>
        <v>0</v>
      </c>
      <c r="AE150" s="60">
        <f>Ruimtestaat[[#This Row],[Prest. (m2 /jaar) weekend]]+Ruimtestaat[[#This Row],[Prest. (m2 /jaar) werkdagen]]</f>
        <v>8716</v>
      </c>
      <c r="AF150" s="60">
        <f>Ruimtestaat[[#This Row],[uren / jaar weekend]]+Ruimtestaat[[#This Row],[uren / jaar werkdagen]]</f>
        <v>0</v>
      </c>
      <c r="AG150" s="61">
        <f>Ruimtestaat[[#This Row],[kosten / jaar weekend]]+Ruimtestaat[[#This Row],[kosten / jaar werkdagen]]</f>
        <v>0</v>
      </c>
      <c r="AH150" s="92"/>
      <c r="HL150" s="59"/>
    </row>
    <row r="151" spans="1:220">
      <c r="A151" s="24">
        <v>1</v>
      </c>
      <c r="B151" s="24" t="str">
        <f>VLOOKUP(Ruimtestaat[[#This Row],[Code]],Locaties[#All],2,FALSE)</f>
        <v>Boerhaave + buitenunits</v>
      </c>
      <c r="C151" s="24" t="str">
        <f>VLOOKUP(Ruimtestaat[[#This Row],[Code]],Locaties[#All],4,FALSE)</f>
        <v>Herman Boerhaavelaan 1</v>
      </c>
      <c r="D151" s="24" t="str">
        <f>VLOOKUP(Ruimtestaat[[#This Row],[Code]],Locaties[#All],5,FALSE)</f>
        <v>7415 ES</v>
      </c>
      <c r="E151" s="24" t="str">
        <f>VLOOKUP(Ruimtestaat[[#This Row],[Code]],Locaties[#All],6,FALSE)</f>
        <v>Deventer</v>
      </c>
      <c r="F151" s="54"/>
      <c r="G151" s="24" t="s">
        <v>569</v>
      </c>
      <c r="H151" s="28" t="s">
        <v>581</v>
      </c>
      <c r="I151" s="4" t="s">
        <v>415</v>
      </c>
      <c r="J151" s="24">
        <v>16</v>
      </c>
      <c r="K151" s="54" t="str">
        <f>VLOOKUP(J151,Ruimtegroepen[],2,FALSE)</f>
        <v>Leslokalen theorie</v>
      </c>
      <c r="L151" s="24" t="s">
        <v>311</v>
      </c>
      <c r="M151" s="24" t="s">
        <v>370</v>
      </c>
      <c r="N151" s="83">
        <v>43.58</v>
      </c>
      <c r="O151" s="83"/>
      <c r="P151" s="93" t="str">
        <f>LEFT(VLOOKUP(Ruimtestaat[[#This Row],[Ruimte code]],Ruimtegroepen[#All],4,1),2)</f>
        <v>Le</v>
      </c>
      <c r="Q151" s="93"/>
      <c r="R151" s="84">
        <v>40</v>
      </c>
      <c r="S151" s="84" t="s">
        <v>318</v>
      </c>
      <c r="T151" s="85">
        <f>IF(R151&gt;0,IF(RIGHT(Ruimtestaat[[#This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1" s="85">
        <f>IF(T151&gt;0,VLOOKUP($J151,Ruimtegroepen[],3,FALSE)*VLOOKUP($L151,Vloersoorten[],3,FALSE)*VLOOKUP($S151,Frequenties[],3,FALSE)*VLOOKUP($A151,Locaties[],3,FALSE),0)</f>
        <v>0</v>
      </c>
      <c r="V151" s="86">
        <f>Ruimtestaat[[#This Row],[Uitvoeringen werkdagen]]*Ruimtestaat[[#This Row],[Oppervlak (netto)]]</f>
        <v>8716</v>
      </c>
      <c r="W151" s="87">
        <f>IF(U151&gt;0,Ruimtestaat[[#This Row],[Prest. (m2 /jaar) werkdagen]]/Ruimtestaat[[#This Row],[Norm (m2/uur) werkdagen]],0)</f>
        <v>0</v>
      </c>
      <c r="X151" s="88">
        <f>Ruimtestaat[[#This Row],[uren / jaar werkdagen]]*Tariefsopbouw!$E$35</f>
        <v>0</v>
      </c>
      <c r="Y151" s="85"/>
      <c r="Z151" s="89">
        <f>IF(Ruimtestaat[[#This Row],[Frequentie weekend]]&gt;0,VALUE(LEFT(Y151,1))*R151,0)</f>
        <v>0</v>
      </c>
      <c r="AA151" s="85">
        <f>IF($Z151&gt;0,VLOOKUP($J151,Ruimtegroepen[],3,FALSE)*VLOOKUP($L151,Vloersoorten[],3,FALSE)*VLOOKUP($Y151,Frequenties[],3,FALSE)*VLOOKUP($A122,Locaties[],3,FALSE),0)</f>
        <v>0</v>
      </c>
      <c r="AB151" s="87">
        <f>Ruimtestaat[[#This Row],[Uitvoeringen weekend]]*Ruimtestaat[[#This Row],[Oppervlak (netto)]]</f>
        <v>0</v>
      </c>
      <c r="AC151" s="90">
        <f>IF(AB151&gt;0,Ruimtestaat[[#This Row],[Prest. (m2 /jaar) weekend]]/Ruimtestaat[[#This Row],[Norm (m2/uur) weekend]],0)</f>
        <v>0</v>
      </c>
      <c r="AD151" s="91">
        <f>Ruimtestaat[[#This Row],[uren / jaar weekend]]*Tariefsopbouw!$D$40</f>
        <v>0</v>
      </c>
      <c r="AE151" s="60">
        <f>Ruimtestaat[[#This Row],[Prest. (m2 /jaar) weekend]]+Ruimtestaat[[#This Row],[Prest. (m2 /jaar) werkdagen]]</f>
        <v>8716</v>
      </c>
      <c r="AF151" s="60">
        <f>Ruimtestaat[[#This Row],[uren / jaar weekend]]+Ruimtestaat[[#This Row],[uren / jaar werkdagen]]</f>
        <v>0</v>
      </c>
      <c r="AG151" s="61">
        <f>Ruimtestaat[[#This Row],[kosten / jaar weekend]]+Ruimtestaat[[#This Row],[kosten / jaar werkdagen]]</f>
        <v>0</v>
      </c>
      <c r="AH151" s="92"/>
      <c r="HL151" s="59"/>
    </row>
    <row r="152" spans="1:220">
      <c r="A152" s="24">
        <v>1</v>
      </c>
      <c r="B152" s="24" t="str">
        <f>VLOOKUP(Ruimtestaat[[#This Row],[Code]],Locaties[#All],2,FALSE)</f>
        <v>Boerhaave + buitenunits</v>
      </c>
      <c r="C152" s="24" t="str">
        <f>VLOOKUP(Ruimtestaat[[#This Row],[Code]],Locaties[#All],4,FALSE)</f>
        <v>Herman Boerhaavelaan 1</v>
      </c>
      <c r="D152" s="24" t="str">
        <f>VLOOKUP(Ruimtestaat[[#This Row],[Code]],Locaties[#All],5,FALSE)</f>
        <v>7415 ES</v>
      </c>
      <c r="E152" s="24" t="str">
        <f>VLOOKUP(Ruimtestaat[[#This Row],[Code]],Locaties[#All],6,FALSE)</f>
        <v>Deventer</v>
      </c>
      <c r="F152" s="54"/>
      <c r="G152" s="24" t="s">
        <v>569</v>
      </c>
      <c r="H152" s="28" t="s">
        <v>582</v>
      </c>
      <c r="I152" s="4" t="s">
        <v>415</v>
      </c>
      <c r="J152" s="24">
        <v>16</v>
      </c>
      <c r="K152" s="54" t="str">
        <f>VLOOKUP(J152,Ruimtegroepen[],2,FALSE)</f>
        <v>Leslokalen theorie</v>
      </c>
      <c r="L152" s="24" t="s">
        <v>311</v>
      </c>
      <c r="M152" s="24" t="s">
        <v>370</v>
      </c>
      <c r="N152" s="83">
        <v>43.58</v>
      </c>
      <c r="O152" s="83"/>
      <c r="P152" s="93" t="str">
        <f>LEFT(VLOOKUP(Ruimtestaat[[#This Row],[Ruimte code]],Ruimtegroepen[#All],4,1),2)</f>
        <v>Le</v>
      </c>
      <c r="Q152" s="93"/>
      <c r="R152" s="84">
        <v>40</v>
      </c>
      <c r="S152" s="84" t="s">
        <v>318</v>
      </c>
      <c r="T152" s="85">
        <f>IF(R152&gt;0,IF(RIGHT(Ruimtestaat[[#This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2" s="85">
        <f>IF(T152&gt;0,VLOOKUP($J152,Ruimtegroepen[],3,FALSE)*VLOOKUP($L152,Vloersoorten[],3,FALSE)*VLOOKUP($S152,Frequenties[],3,FALSE)*VLOOKUP($A152,Locaties[],3,FALSE),0)</f>
        <v>0</v>
      </c>
      <c r="V152" s="86">
        <f>Ruimtestaat[[#This Row],[Uitvoeringen werkdagen]]*Ruimtestaat[[#This Row],[Oppervlak (netto)]]</f>
        <v>8716</v>
      </c>
      <c r="W152" s="87">
        <f>IF(U152&gt;0,Ruimtestaat[[#This Row],[Prest. (m2 /jaar) werkdagen]]/Ruimtestaat[[#This Row],[Norm (m2/uur) werkdagen]],0)</f>
        <v>0</v>
      </c>
      <c r="X152" s="88">
        <f>Ruimtestaat[[#This Row],[uren / jaar werkdagen]]*Tariefsopbouw!$E$35</f>
        <v>0</v>
      </c>
      <c r="Y152" s="85"/>
      <c r="Z152" s="89">
        <f>IF(Ruimtestaat[[#This Row],[Frequentie weekend]]&gt;0,VALUE(LEFT(Y152,1))*R152,0)</f>
        <v>0</v>
      </c>
      <c r="AA152" s="85">
        <f>IF($Z152&gt;0,VLOOKUP($J152,Ruimtegroepen[],3,FALSE)*VLOOKUP($L152,Vloersoorten[],3,FALSE)*VLOOKUP($Y152,Frequenties[],3,FALSE)*VLOOKUP($A123,Locaties[],3,FALSE),0)</f>
        <v>0</v>
      </c>
      <c r="AB152" s="87">
        <f>Ruimtestaat[[#This Row],[Uitvoeringen weekend]]*Ruimtestaat[[#This Row],[Oppervlak (netto)]]</f>
        <v>0</v>
      </c>
      <c r="AC152" s="90">
        <f>IF(AB152&gt;0,Ruimtestaat[[#This Row],[Prest. (m2 /jaar) weekend]]/Ruimtestaat[[#This Row],[Norm (m2/uur) weekend]],0)</f>
        <v>0</v>
      </c>
      <c r="AD152" s="91">
        <f>Ruimtestaat[[#This Row],[uren / jaar weekend]]*Tariefsopbouw!$D$40</f>
        <v>0</v>
      </c>
      <c r="AE152" s="60">
        <f>Ruimtestaat[[#This Row],[Prest. (m2 /jaar) weekend]]+Ruimtestaat[[#This Row],[Prest. (m2 /jaar) werkdagen]]</f>
        <v>8716</v>
      </c>
      <c r="AF152" s="60">
        <f>Ruimtestaat[[#This Row],[uren / jaar weekend]]+Ruimtestaat[[#This Row],[uren / jaar werkdagen]]</f>
        <v>0</v>
      </c>
      <c r="AG152" s="61">
        <f>Ruimtestaat[[#This Row],[kosten / jaar weekend]]+Ruimtestaat[[#This Row],[kosten / jaar werkdagen]]</f>
        <v>0</v>
      </c>
      <c r="AH152" s="92"/>
      <c r="HL152" s="59"/>
    </row>
    <row r="153" spans="1:220">
      <c r="A153" s="24">
        <v>1</v>
      </c>
      <c r="B153" s="24" t="str">
        <f>VLOOKUP(Ruimtestaat[[#This Row],[Code]],Locaties[#All],2,FALSE)</f>
        <v>Boerhaave + buitenunits</v>
      </c>
      <c r="C153" s="24" t="str">
        <f>VLOOKUP(Ruimtestaat[[#This Row],[Code]],Locaties[#All],4,FALSE)</f>
        <v>Herman Boerhaavelaan 1</v>
      </c>
      <c r="D153" s="24" t="str">
        <f>VLOOKUP(Ruimtestaat[[#This Row],[Code]],Locaties[#All],5,FALSE)</f>
        <v>7415 ES</v>
      </c>
      <c r="E153" s="24" t="str">
        <f>VLOOKUP(Ruimtestaat[[#This Row],[Code]],Locaties[#All],6,FALSE)</f>
        <v>Deventer</v>
      </c>
      <c r="F153" s="54"/>
      <c r="G153" s="24" t="s">
        <v>569</v>
      </c>
      <c r="H153" s="28" t="s">
        <v>583</v>
      </c>
      <c r="I153" s="4" t="s">
        <v>584</v>
      </c>
      <c r="J153" s="24">
        <v>22</v>
      </c>
      <c r="K153" s="54" t="str">
        <f>VLOOKUP(J153,Ruimtegroepen[],2,FALSE)</f>
        <v>Niet in onderhoud</v>
      </c>
      <c r="M153" s="24"/>
      <c r="N153" s="83"/>
      <c r="O153" s="83">
        <v>84.28</v>
      </c>
      <c r="P153" s="93" t="str">
        <f>LEFT(VLOOKUP(Ruimtestaat[[#This Row],[Ruimte code]],Ruimtegroepen[#All],4,1),2)</f>
        <v/>
      </c>
      <c r="Q153" s="93"/>
      <c r="R153" s="84"/>
      <c r="S153" s="84"/>
      <c r="T153" s="85">
        <f>IF(R153&gt;0,IF(RIGHT(Ruimtestaat[[#This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3" s="85">
        <f>IF(T153&gt;0,VLOOKUP($J153,Ruimtegroepen[],3,FALSE)*VLOOKUP($L153,Vloersoorten[],3,FALSE)*VLOOKUP($S153,Frequenties[],3,FALSE)*VLOOKUP($A153,Locaties[],3,FALSE),0)</f>
        <v>0</v>
      </c>
      <c r="V153" s="86">
        <f>Ruimtestaat[[#This Row],[Uitvoeringen werkdagen]]*Ruimtestaat[[#This Row],[Oppervlak (netto)]]</f>
        <v>0</v>
      </c>
      <c r="W153" s="87">
        <f>IF(U153&gt;0,Ruimtestaat[[#This Row],[Prest. (m2 /jaar) werkdagen]]/Ruimtestaat[[#This Row],[Norm (m2/uur) werkdagen]],0)</f>
        <v>0</v>
      </c>
      <c r="X153" s="88">
        <f>Ruimtestaat[[#This Row],[uren / jaar werkdagen]]*Tariefsopbouw!$E$35</f>
        <v>0</v>
      </c>
      <c r="Y153" s="85"/>
      <c r="Z153" s="89">
        <f>IF(Ruimtestaat[[#This Row],[Frequentie weekend]]&gt;0,VALUE(LEFT(Y153,1))*R153,0)</f>
        <v>0</v>
      </c>
      <c r="AA153" s="85">
        <f>IF($Z153&gt;0,VLOOKUP($J153,Ruimtegroepen[],3,FALSE)*VLOOKUP($L153,Vloersoorten[],3,FALSE)*VLOOKUP($Y153,Frequenties[],3,FALSE)*VLOOKUP($A124,Locaties[],3,FALSE),0)</f>
        <v>0</v>
      </c>
      <c r="AB153" s="87">
        <f>Ruimtestaat[[#This Row],[Uitvoeringen weekend]]*Ruimtestaat[[#This Row],[Oppervlak (netto)]]</f>
        <v>0</v>
      </c>
      <c r="AC153" s="90">
        <f>IF(AB153&gt;0,Ruimtestaat[[#This Row],[Prest. (m2 /jaar) weekend]]/Ruimtestaat[[#This Row],[Norm (m2/uur) weekend]],0)</f>
        <v>0</v>
      </c>
      <c r="AD153" s="91">
        <f>Ruimtestaat[[#This Row],[uren / jaar weekend]]*Tariefsopbouw!$D$40</f>
        <v>0</v>
      </c>
      <c r="AE153" s="60">
        <f>Ruimtestaat[[#This Row],[Prest. (m2 /jaar) weekend]]+Ruimtestaat[[#This Row],[Prest. (m2 /jaar) werkdagen]]</f>
        <v>0</v>
      </c>
      <c r="AF153" s="60">
        <f>Ruimtestaat[[#This Row],[uren / jaar weekend]]+Ruimtestaat[[#This Row],[uren / jaar werkdagen]]</f>
        <v>0</v>
      </c>
      <c r="AG153" s="61">
        <f>Ruimtestaat[[#This Row],[kosten / jaar weekend]]+Ruimtestaat[[#This Row],[kosten / jaar werkdagen]]</f>
        <v>0</v>
      </c>
      <c r="AH153" s="92"/>
      <c r="HL153" s="59"/>
    </row>
    <row r="154" spans="1:220">
      <c r="A154" s="24">
        <v>1</v>
      </c>
      <c r="B154" s="24" t="str">
        <f>VLOOKUP(Ruimtestaat[[#This Row],[Code]],Locaties[#All],2,FALSE)</f>
        <v>Boerhaave + buitenunits</v>
      </c>
      <c r="C154" s="24" t="str">
        <f>VLOOKUP(Ruimtestaat[[#This Row],[Code]],Locaties[#All],4,FALSE)</f>
        <v>Herman Boerhaavelaan 1</v>
      </c>
      <c r="D154" s="24" t="str">
        <f>VLOOKUP(Ruimtestaat[[#This Row],[Code]],Locaties[#All],5,FALSE)</f>
        <v>7415 ES</v>
      </c>
      <c r="E154" s="24" t="str">
        <f>VLOOKUP(Ruimtestaat[[#This Row],[Code]],Locaties[#All],6,FALSE)</f>
        <v>Deventer</v>
      </c>
      <c r="F154" s="54"/>
      <c r="G154" s="24" t="s">
        <v>569</v>
      </c>
      <c r="H154" s="28" t="s">
        <v>585</v>
      </c>
      <c r="I154" s="4" t="s">
        <v>420</v>
      </c>
      <c r="J154" s="24">
        <v>5</v>
      </c>
      <c r="K154" s="54" t="str">
        <f>VLOOKUP(J154,Ruimtegroepen[],2,FALSE)</f>
        <v>Sanitair</v>
      </c>
      <c r="L154" s="24" t="s">
        <v>305</v>
      </c>
      <c r="M154" s="24" t="s">
        <v>400</v>
      </c>
      <c r="N154" s="83">
        <v>11.55</v>
      </c>
      <c r="O154" s="83"/>
      <c r="P154" s="93" t="str">
        <f>LEFT(VLOOKUP(Ruimtestaat[[#This Row],[Ruimte code]],Ruimtegroepen[#All],4,1),2)</f>
        <v>Sa</v>
      </c>
      <c r="Q154" s="93"/>
      <c r="R154" s="84">
        <v>42</v>
      </c>
      <c r="S154" s="84" t="s">
        <v>316</v>
      </c>
      <c r="T154" s="85">
        <f>IF(R154&gt;0,IF(RIGHT(Ruimtestaat[[#This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54" s="85">
        <f>IF(T154&gt;0,VLOOKUP($J154,Ruimtegroepen[],3,FALSE)*VLOOKUP($L154,Vloersoorten[],3,FALSE)*VLOOKUP($S154,Frequenties[],3,FALSE)*VLOOKUP($A154,Locaties[],3,FALSE),0)</f>
        <v>0</v>
      </c>
      <c r="V154" s="86">
        <f>Ruimtestaat[[#This Row],[Uitvoeringen werkdagen]]*Ruimtestaat[[#This Row],[Oppervlak (netto)]]</f>
        <v>4851</v>
      </c>
      <c r="W154" s="87">
        <f>IF(U154&gt;0,Ruimtestaat[[#This Row],[Prest. (m2 /jaar) werkdagen]]/Ruimtestaat[[#This Row],[Norm (m2/uur) werkdagen]],0)</f>
        <v>0</v>
      </c>
      <c r="X154" s="88">
        <f>Ruimtestaat[[#This Row],[uren / jaar werkdagen]]*Tariefsopbouw!$E$35</f>
        <v>0</v>
      </c>
      <c r="Y154" s="85"/>
      <c r="Z154" s="89">
        <f>IF(Ruimtestaat[[#This Row],[Frequentie weekend]]&gt;0,VALUE(LEFT(Y154,1))*R154,0)</f>
        <v>0</v>
      </c>
      <c r="AA154" s="85">
        <f>IF($Z154&gt;0,VLOOKUP($J154,Ruimtegroepen[],3,FALSE)*VLOOKUP($L154,Vloersoorten[],3,FALSE)*VLOOKUP($Y154,Frequenties[],3,FALSE)*VLOOKUP($A125,Locaties[],3,FALSE),0)</f>
        <v>0</v>
      </c>
      <c r="AB154" s="87">
        <f>Ruimtestaat[[#This Row],[Uitvoeringen weekend]]*Ruimtestaat[[#This Row],[Oppervlak (netto)]]</f>
        <v>0</v>
      </c>
      <c r="AC154" s="90">
        <f>IF(AB154&gt;0,Ruimtestaat[[#This Row],[Prest. (m2 /jaar) weekend]]/Ruimtestaat[[#This Row],[Norm (m2/uur) weekend]],0)</f>
        <v>0</v>
      </c>
      <c r="AD154" s="91">
        <f>Ruimtestaat[[#This Row],[uren / jaar weekend]]*Tariefsopbouw!$D$40</f>
        <v>0</v>
      </c>
      <c r="AE154" s="60">
        <f>Ruimtestaat[[#This Row],[Prest. (m2 /jaar) weekend]]+Ruimtestaat[[#This Row],[Prest. (m2 /jaar) werkdagen]]</f>
        <v>4851</v>
      </c>
      <c r="AF154" s="60">
        <f>Ruimtestaat[[#This Row],[uren / jaar weekend]]+Ruimtestaat[[#This Row],[uren / jaar werkdagen]]</f>
        <v>0</v>
      </c>
      <c r="AG154" s="61">
        <f>Ruimtestaat[[#This Row],[kosten / jaar weekend]]+Ruimtestaat[[#This Row],[kosten / jaar werkdagen]]</f>
        <v>0</v>
      </c>
      <c r="AH154" s="92"/>
      <c r="HL154" s="59"/>
    </row>
    <row r="155" spans="1:220">
      <c r="A155" s="24">
        <v>1</v>
      </c>
      <c r="B155" s="24" t="str">
        <f>VLOOKUP(Ruimtestaat[[#This Row],[Code]],Locaties[#All],2,FALSE)</f>
        <v>Boerhaave + buitenunits</v>
      </c>
      <c r="C155" s="24" t="str">
        <f>VLOOKUP(Ruimtestaat[[#This Row],[Code]],Locaties[#All],4,FALSE)</f>
        <v>Herman Boerhaavelaan 1</v>
      </c>
      <c r="D155" s="24" t="str">
        <f>VLOOKUP(Ruimtestaat[[#This Row],[Code]],Locaties[#All],5,FALSE)</f>
        <v>7415 ES</v>
      </c>
      <c r="E155" s="24" t="str">
        <f>VLOOKUP(Ruimtestaat[[#This Row],[Code]],Locaties[#All],6,FALSE)</f>
        <v>Deventer</v>
      </c>
      <c r="F155" s="54"/>
      <c r="G155" s="24" t="s">
        <v>569</v>
      </c>
      <c r="H155" s="28" t="s">
        <v>586</v>
      </c>
      <c r="I155" s="4" t="s">
        <v>535</v>
      </c>
      <c r="J155" s="24">
        <v>22</v>
      </c>
      <c r="K155" s="54" t="str">
        <f>VLOOKUP(J155,Ruimtegroepen[],2,FALSE)</f>
        <v>Niet in onderhoud</v>
      </c>
      <c r="M155" s="24"/>
      <c r="N155" s="83"/>
      <c r="O155" s="83">
        <v>2.69</v>
      </c>
      <c r="P155" s="93" t="str">
        <f>LEFT(VLOOKUP(Ruimtestaat[[#This Row],[Ruimte code]],Ruimtegroepen[#All],4,1),2)</f>
        <v/>
      </c>
      <c r="Q155" s="93"/>
      <c r="R155" s="84"/>
      <c r="S155" s="84"/>
      <c r="T155" s="85">
        <f>IF(R155&gt;0,IF(RIGHT(Ruimtestaat[[#This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5" s="85">
        <f>IF(T155&gt;0,VLOOKUP($J155,Ruimtegroepen[],3,FALSE)*VLOOKUP($L155,Vloersoorten[],3,FALSE)*VLOOKUP($S155,Frequenties[],3,FALSE)*VLOOKUP($A155,Locaties[],3,FALSE),0)</f>
        <v>0</v>
      </c>
      <c r="V155" s="86">
        <f>Ruimtestaat[[#This Row],[Uitvoeringen werkdagen]]*Ruimtestaat[[#This Row],[Oppervlak (netto)]]</f>
        <v>0</v>
      </c>
      <c r="W155" s="87">
        <f>IF(U155&gt;0,Ruimtestaat[[#This Row],[Prest. (m2 /jaar) werkdagen]]/Ruimtestaat[[#This Row],[Norm (m2/uur) werkdagen]],0)</f>
        <v>0</v>
      </c>
      <c r="X155" s="88">
        <f>Ruimtestaat[[#This Row],[uren / jaar werkdagen]]*Tariefsopbouw!$E$35</f>
        <v>0</v>
      </c>
      <c r="Y155" s="85"/>
      <c r="Z155" s="89">
        <f>IF(Ruimtestaat[[#This Row],[Frequentie weekend]]&gt;0,VALUE(LEFT(Y155,1))*R155,0)</f>
        <v>0</v>
      </c>
      <c r="AA155" s="85">
        <f>IF($Z155&gt;0,VLOOKUP($J155,Ruimtegroepen[],3,FALSE)*VLOOKUP($L155,Vloersoorten[],3,FALSE)*VLOOKUP($Y155,Frequenties[],3,FALSE)*VLOOKUP($A126,Locaties[],3,FALSE),0)</f>
        <v>0</v>
      </c>
      <c r="AB155" s="87">
        <f>Ruimtestaat[[#This Row],[Uitvoeringen weekend]]*Ruimtestaat[[#This Row],[Oppervlak (netto)]]</f>
        <v>0</v>
      </c>
      <c r="AC155" s="90">
        <f>IF(AB155&gt;0,Ruimtestaat[[#This Row],[Prest. (m2 /jaar) weekend]]/Ruimtestaat[[#This Row],[Norm (m2/uur) weekend]],0)</f>
        <v>0</v>
      </c>
      <c r="AD155" s="91">
        <f>Ruimtestaat[[#This Row],[uren / jaar weekend]]*Tariefsopbouw!$D$40</f>
        <v>0</v>
      </c>
      <c r="AE155" s="60">
        <f>Ruimtestaat[[#This Row],[Prest. (m2 /jaar) weekend]]+Ruimtestaat[[#This Row],[Prest. (m2 /jaar) werkdagen]]</f>
        <v>0</v>
      </c>
      <c r="AF155" s="60">
        <f>Ruimtestaat[[#This Row],[uren / jaar weekend]]+Ruimtestaat[[#This Row],[uren / jaar werkdagen]]</f>
        <v>0</v>
      </c>
      <c r="AG155" s="61">
        <f>Ruimtestaat[[#This Row],[kosten / jaar weekend]]+Ruimtestaat[[#This Row],[kosten / jaar werkdagen]]</f>
        <v>0</v>
      </c>
      <c r="AH155" s="92"/>
      <c r="HL155" s="59"/>
    </row>
    <row r="156" spans="1:220">
      <c r="A156" s="24">
        <v>1</v>
      </c>
      <c r="B156" s="24" t="str">
        <f>VLOOKUP(Ruimtestaat[[#This Row],[Code]],Locaties[#All],2,FALSE)</f>
        <v>Boerhaave + buitenunits</v>
      </c>
      <c r="C156" s="24" t="str">
        <f>VLOOKUP(Ruimtestaat[[#This Row],[Code]],Locaties[#All],4,FALSE)</f>
        <v>Herman Boerhaavelaan 1</v>
      </c>
      <c r="D156" s="24" t="str">
        <f>VLOOKUP(Ruimtestaat[[#This Row],[Code]],Locaties[#All],5,FALSE)</f>
        <v>7415 ES</v>
      </c>
      <c r="E156" s="24" t="str">
        <f>VLOOKUP(Ruimtestaat[[#This Row],[Code]],Locaties[#All],6,FALSE)</f>
        <v>Deventer</v>
      </c>
      <c r="F156" s="54"/>
      <c r="G156" s="24" t="s">
        <v>569</v>
      </c>
      <c r="H156" s="28" t="s">
        <v>587</v>
      </c>
      <c r="I156" s="4" t="s">
        <v>545</v>
      </c>
      <c r="J156" s="24">
        <v>22</v>
      </c>
      <c r="K156" s="54" t="str">
        <f>VLOOKUP(J156,Ruimtegroepen[],2,FALSE)</f>
        <v>Niet in onderhoud</v>
      </c>
      <c r="L156" s="24" t="s">
        <v>305</v>
      </c>
      <c r="M156" s="24" t="s">
        <v>400</v>
      </c>
      <c r="N156" s="83"/>
      <c r="O156" s="83">
        <v>3.66</v>
      </c>
      <c r="P156" s="93" t="str">
        <f>LEFT(VLOOKUP(Ruimtestaat[[#This Row],[Ruimte code]],Ruimtegroepen[#All],4,1),2)</f>
        <v/>
      </c>
      <c r="Q156" s="93"/>
      <c r="R156" s="84"/>
      <c r="S156" s="84"/>
      <c r="T156" s="85">
        <f>IF(R156&gt;0,IF(RIGHT(Ruimtestaat[[#This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6" s="85">
        <f>IF(T156&gt;0,VLOOKUP($J156,Ruimtegroepen[],3,FALSE)*VLOOKUP($L156,Vloersoorten[],3,FALSE)*VLOOKUP($S156,Frequenties[],3,FALSE)*VLOOKUP($A156,Locaties[],3,FALSE),0)</f>
        <v>0</v>
      </c>
      <c r="V156" s="86">
        <f>Ruimtestaat[[#This Row],[Uitvoeringen werkdagen]]*Ruimtestaat[[#This Row],[Oppervlak (netto)]]</f>
        <v>0</v>
      </c>
      <c r="W156" s="87">
        <f>IF(U156&gt;0,Ruimtestaat[[#This Row],[Prest. (m2 /jaar) werkdagen]]/Ruimtestaat[[#This Row],[Norm (m2/uur) werkdagen]],0)</f>
        <v>0</v>
      </c>
      <c r="X156" s="88">
        <f>Ruimtestaat[[#This Row],[uren / jaar werkdagen]]*Tariefsopbouw!$E$35</f>
        <v>0</v>
      </c>
      <c r="Y156" s="85"/>
      <c r="Z156" s="89">
        <f>IF(Ruimtestaat[[#This Row],[Frequentie weekend]]&gt;0,VALUE(LEFT(Y156,1))*R156,0)</f>
        <v>0</v>
      </c>
      <c r="AA156" s="85">
        <f>IF($Z156&gt;0,VLOOKUP($J156,Ruimtegroepen[],3,FALSE)*VLOOKUP($L156,Vloersoorten[],3,FALSE)*VLOOKUP($Y156,Frequenties[],3,FALSE)*VLOOKUP($A127,Locaties[],3,FALSE),0)</f>
        <v>0</v>
      </c>
      <c r="AB156" s="87">
        <f>Ruimtestaat[[#This Row],[Uitvoeringen weekend]]*Ruimtestaat[[#This Row],[Oppervlak (netto)]]</f>
        <v>0</v>
      </c>
      <c r="AC156" s="90">
        <f>IF(AB156&gt;0,Ruimtestaat[[#This Row],[Prest. (m2 /jaar) weekend]]/Ruimtestaat[[#This Row],[Norm (m2/uur) weekend]],0)</f>
        <v>0</v>
      </c>
      <c r="AD156" s="91">
        <f>Ruimtestaat[[#This Row],[uren / jaar weekend]]*Tariefsopbouw!$D$40</f>
        <v>0</v>
      </c>
      <c r="AE156" s="60">
        <f>Ruimtestaat[[#This Row],[Prest. (m2 /jaar) weekend]]+Ruimtestaat[[#This Row],[Prest. (m2 /jaar) werkdagen]]</f>
        <v>0</v>
      </c>
      <c r="AF156" s="60">
        <f>Ruimtestaat[[#This Row],[uren / jaar weekend]]+Ruimtestaat[[#This Row],[uren / jaar werkdagen]]</f>
        <v>0</v>
      </c>
      <c r="AG156" s="61">
        <f>Ruimtestaat[[#This Row],[kosten / jaar weekend]]+Ruimtestaat[[#This Row],[kosten / jaar werkdagen]]</f>
        <v>0</v>
      </c>
      <c r="AH156" s="92"/>
      <c r="HL156" s="59"/>
    </row>
    <row r="157" spans="1:220">
      <c r="A157" s="24">
        <v>1</v>
      </c>
      <c r="B157" s="24" t="str">
        <f>VLOOKUP(Ruimtestaat[[#This Row],[Code]],Locaties[#All],2,FALSE)</f>
        <v>Boerhaave + buitenunits</v>
      </c>
      <c r="C157" s="24" t="str">
        <f>VLOOKUP(Ruimtestaat[[#This Row],[Code]],Locaties[#All],4,FALSE)</f>
        <v>Herman Boerhaavelaan 1</v>
      </c>
      <c r="D157" s="24" t="str">
        <f>VLOOKUP(Ruimtestaat[[#This Row],[Code]],Locaties[#All],5,FALSE)</f>
        <v>7415 ES</v>
      </c>
      <c r="E157" s="24" t="str">
        <f>VLOOKUP(Ruimtestaat[[#This Row],[Code]],Locaties[#All],6,FALSE)</f>
        <v>Deventer</v>
      </c>
      <c r="F157" s="54"/>
      <c r="G157" s="24" t="s">
        <v>569</v>
      </c>
      <c r="H157" s="28" t="s">
        <v>588</v>
      </c>
      <c r="I157" s="4" t="s">
        <v>589</v>
      </c>
      <c r="J157" s="24">
        <v>22</v>
      </c>
      <c r="K157" s="54" t="str">
        <f>VLOOKUP(J157,Ruimtegroepen[],2,FALSE)</f>
        <v>Niet in onderhoud</v>
      </c>
      <c r="L157" s="24" t="s">
        <v>308</v>
      </c>
      <c r="M157" s="24" t="s">
        <v>590</v>
      </c>
      <c r="N157" s="83"/>
      <c r="O157" s="83">
        <v>104.48</v>
      </c>
      <c r="P157" s="93" t="str">
        <f>LEFT(VLOOKUP(Ruimtestaat[[#This Row],[Ruimte code]],Ruimtegroepen[#All],4,1),2)</f>
        <v/>
      </c>
      <c r="Q157" s="93"/>
      <c r="R157" s="84"/>
      <c r="S157" s="84"/>
      <c r="T157" s="85">
        <f>IF(R157&gt;0,IF(RIGHT(Ruimtestaat[[#This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7" s="85">
        <f>IF(T157&gt;0,VLOOKUP($J157,Ruimtegroepen[],3,FALSE)*VLOOKUP($L157,Vloersoorten[],3,FALSE)*VLOOKUP($S157,Frequenties[],3,FALSE)*VLOOKUP($A157,Locaties[],3,FALSE),0)</f>
        <v>0</v>
      </c>
      <c r="V157" s="86">
        <f>Ruimtestaat[[#This Row],[Uitvoeringen werkdagen]]*Ruimtestaat[[#This Row],[Oppervlak (netto)]]</f>
        <v>0</v>
      </c>
      <c r="W157" s="87">
        <f>IF(U157&gt;0,Ruimtestaat[[#This Row],[Prest. (m2 /jaar) werkdagen]]/Ruimtestaat[[#This Row],[Norm (m2/uur) werkdagen]],0)</f>
        <v>0</v>
      </c>
      <c r="X157" s="88">
        <f>Ruimtestaat[[#This Row],[uren / jaar werkdagen]]*Tariefsopbouw!$E$35</f>
        <v>0</v>
      </c>
      <c r="Y157" s="85"/>
      <c r="Z157" s="89">
        <f>IF(Ruimtestaat[[#This Row],[Frequentie weekend]]&gt;0,VALUE(LEFT(Y157,1))*R157,0)</f>
        <v>0</v>
      </c>
      <c r="AA157" s="85">
        <f>IF($Z157&gt;0,VLOOKUP($J157,Ruimtegroepen[],3,FALSE)*VLOOKUP($L157,Vloersoorten[],3,FALSE)*VLOOKUP($Y157,Frequenties[],3,FALSE)*VLOOKUP($A128,Locaties[],3,FALSE),0)</f>
        <v>0</v>
      </c>
      <c r="AB157" s="87">
        <f>Ruimtestaat[[#This Row],[Uitvoeringen weekend]]*Ruimtestaat[[#This Row],[Oppervlak (netto)]]</f>
        <v>0</v>
      </c>
      <c r="AC157" s="90">
        <f>IF(AB157&gt;0,Ruimtestaat[[#This Row],[Prest. (m2 /jaar) weekend]]/Ruimtestaat[[#This Row],[Norm (m2/uur) weekend]],0)</f>
        <v>0</v>
      </c>
      <c r="AD157" s="91">
        <f>Ruimtestaat[[#This Row],[uren / jaar weekend]]*Tariefsopbouw!$D$40</f>
        <v>0</v>
      </c>
      <c r="AE157" s="60">
        <f>Ruimtestaat[[#This Row],[Prest. (m2 /jaar) weekend]]+Ruimtestaat[[#This Row],[Prest. (m2 /jaar) werkdagen]]</f>
        <v>0</v>
      </c>
      <c r="AF157" s="60">
        <f>Ruimtestaat[[#This Row],[uren / jaar weekend]]+Ruimtestaat[[#This Row],[uren / jaar werkdagen]]</f>
        <v>0</v>
      </c>
      <c r="AG157" s="61">
        <f>Ruimtestaat[[#This Row],[kosten / jaar weekend]]+Ruimtestaat[[#This Row],[kosten / jaar werkdagen]]</f>
        <v>0</v>
      </c>
      <c r="AH157" s="92"/>
      <c r="HL157" s="59"/>
    </row>
    <row r="158" spans="1:220">
      <c r="A158" s="24">
        <v>1</v>
      </c>
      <c r="B158" s="24" t="str">
        <f>VLOOKUP(Ruimtestaat[[#This Row],[Code]],Locaties[#All],2,FALSE)</f>
        <v>Boerhaave + buitenunits</v>
      </c>
      <c r="C158" s="24" t="str">
        <f>VLOOKUP(Ruimtestaat[[#This Row],[Code]],Locaties[#All],4,FALSE)</f>
        <v>Herman Boerhaavelaan 1</v>
      </c>
      <c r="D158" s="24" t="str">
        <f>VLOOKUP(Ruimtestaat[[#This Row],[Code]],Locaties[#All],5,FALSE)</f>
        <v>7415 ES</v>
      </c>
      <c r="E158" s="24" t="str">
        <f>VLOOKUP(Ruimtestaat[[#This Row],[Code]],Locaties[#All],6,FALSE)</f>
        <v>Deventer</v>
      </c>
      <c r="F158" s="54"/>
      <c r="G158" s="24" t="s">
        <v>569</v>
      </c>
      <c r="H158" s="28" t="s">
        <v>591</v>
      </c>
      <c r="I158" s="4" t="s">
        <v>592</v>
      </c>
      <c r="J158" s="24">
        <v>22</v>
      </c>
      <c r="K158" s="54" t="str">
        <f>VLOOKUP(J158,Ruimtegroepen[],2,FALSE)</f>
        <v>Niet in onderhoud</v>
      </c>
      <c r="L158" s="24" t="s">
        <v>311</v>
      </c>
      <c r="M158" s="24" t="s">
        <v>370</v>
      </c>
      <c r="N158" s="83"/>
      <c r="O158" s="83">
        <v>9.08</v>
      </c>
      <c r="P158" s="93" t="str">
        <f>LEFT(VLOOKUP(Ruimtestaat[[#This Row],[Ruimte code]],Ruimtegroepen[#All],4,1),2)</f>
        <v/>
      </c>
      <c r="Q158" s="93"/>
      <c r="R158" s="84"/>
      <c r="S158" s="84"/>
      <c r="T158" s="85">
        <f>IF(R158&gt;0,IF(RIGHT(Ruimtestaat[[#This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8" s="85">
        <f>IF(T158&gt;0,VLOOKUP($J158,Ruimtegroepen[],3,FALSE)*VLOOKUP($L158,Vloersoorten[],3,FALSE)*VLOOKUP($S158,Frequenties[],3,FALSE)*VLOOKUP($A158,Locaties[],3,FALSE),0)</f>
        <v>0</v>
      </c>
      <c r="V158" s="86">
        <f>Ruimtestaat[[#This Row],[Uitvoeringen werkdagen]]*Ruimtestaat[[#This Row],[Oppervlak (netto)]]</f>
        <v>0</v>
      </c>
      <c r="W158" s="87">
        <f>IF(U158&gt;0,Ruimtestaat[[#This Row],[Prest. (m2 /jaar) werkdagen]]/Ruimtestaat[[#This Row],[Norm (m2/uur) werkdagen]],0)</f>
        <v>0</v>
      </c>
      <c r="X158" s="88">
        <f>Ruimtestaat[[#This Row],[uren / jaar werkdagen]]*Tariefsopbouw!$E$35</f>
        <v>0</v>
      </c>
      <c r="Y158" s="85"/>
      <c r="Z158" s="89">
        <f>IF(Ruimtestaat[[#This Row],[Frequentie weekend]]&gt;0,VALUE(LEFT(Y158,1))*R158,0)</f>
        <v>0</v>
      </c>
      <c r="AA158" s="85">
        <f>IF($Z158&gt;0,VLOOKUP($J158,Ruimtegroepen[],3,FALSE)*VLOOKUP($L158,Vloersoorten[],3,FALSE)*VLOOKUP($Y158,Frequenties[],3,FALSE)*VLOOKUP($A129,Locaties[],3,FALSE),0)</f>
        <v>0</v>
      </c>
      <c r="AB158" s="87">
        <f>Ruimtestaat[[#This Row],[Uitvoeringen weekend]]*Ruimtestaat[[#This Row],[Oppervlak (netto)]]</f>
        <v>0</v>
      </c>
      <c r="AC158" s="90">
        <f>IF(AB158&gt;0,Ruimtestaat[[#This Row],[Prest. (m2 /jaar) weekend]]/Ruimtestaat[[#This Row],[Norm (m2/uur) weekend]],0)</f>
        <v>0</v>
      </c>
      <c r="AD158" s="91">
        <f>Ruimtestaat[[#This Row],[uren / jaar weekend]]*Tariefsopbouw!$D$40</f>
        <v>0</v>
      </c>
      <c r="AE158" s="60">
        <f>Ruimtestaat[[#This Row],[Prest. (m2 /jaar) weekend]]+Ruimtestaat[[#This Row],[Prest. (m2 /jaar) werkdagen]]</f>
        <v>0</v>
      </c>
      <c r="AF158" s="60">
        <f>Ruimtestaat[[#This Row],[uren / jaar weekend]]+Ruimtestaat[[#This Row],[uren / jaar werkdagen]]</f>
        <v>0</v>
      </c>
      <c r="AG158" s="61">
        <f>Ruimtestaat[[#This Row],[kosten / jaar weekend]]+Ruimtestaat[[#This Row],[kosten / jaar werkdagen]]</f>
        <v>0</v>
      </c>
      <c r="AH158" s="92"/>
      <c r="HL158" s="59"/>
    </row>
    <row r="159" spans="1:220">
      <c r="A159" s="24">
        <v>1</v>
      </c>
      <c r="B159" s="24" t="str">
        <f>VLOOKUP(Ruimtestaat[[#This Row],[Code]],Locaties[#All],2,FALSE)</f>
        <v>Boerhaave + buitenunits</v>
      </c>
      <c r="C159" s="24" t="str">
        <f>VLOOKUP(Ruimtestaat[[#This Row],[Code]],Locaties[#All],4,FALSE)</f>
        <v>Herman Boerhaavelaan 1</v>
      </c>
      <c r="D159" s="24" t="str">
        <f>VLOOKUP(Ruimtestaat[[#This Row],[Code]],Locaties[#All],5,FALSE)</f>
        <v>7415 ES</v>
      </c>
      <c r="E159" s="24" t="str">
        <f>VLOOKUP(Ruimtestaat[[#This Row],[Code]],Locaties[#All],6,FALSE)</f>
        <v>Deventer</v>
      </c>
      <c r="F159" s="54"/>
      <c r="G159" s="24" t="s">
        <v>569</v>
      </c>
      <c r="H159" s="28" t="s">
        <v>593</v>
      </c>
      <c r="I159" s="4" t="s">
        <v>594</v>
      </c>
      <c r="J159" s="24">
        <v>13</v>
      </c>
      <c r="K159" s="54" t="str">
        <f>VLOOKUP(J159,Ruimtegroepen[],2,FALSE)</f>
        <v>HV/Technieklokaal</v>
      </c>
      <c r="L159" s="24" t="s">
        <v>311</v>
      </c>
      <c r="M159" s="24" t="s">
        <v>370</v>
      </c>
      <c r="N159" s="83">
        <v>162.15</v>
      </c>
      <c r="O159" s="83"/>
      <c r="P159" s="93" t="str">
        <f>LEFT(VLOOKUP(Ruimtestaat[[#This Row],[Ruimte code]],Ruimtegroepen[#All],4,1),2)</f>
        <v>Le</v>
      </c>
      <c r="Q159" s="93"/>
      <c r="R159" s="84">
        <v>40</v>
      </c>
      <c r="S159" s="84" t="s">
        <v>318</v>
      </c>
      <c r="T159" s="85">
        <f>IF(R159&gt;0,IF(RIGHT(Ruimtestaat[[#This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9" s="85">
        <f>IF(T159&gt;0,VLOOKUP($J159,Ruimtegroepen[],3,FALSE)*VLOOKUP($L159,Vloersoorten[],3,FALSE)*VLOOKUP($S159,Frequenties[],3,FALSE)*VLOOKUP($A159,Locaties[],3,FALSE),0)</f>
        <v>0</v>
      </c>
      <c r="V159" s="86">
        <f>Ruimtestaat[[#This Row],[Uitvoeringen werkdagen]]*Ruimtestaat[[#This Row],[Oppervlak (netto)]]</f>
        <v>32430</v>
      </c>
      <c r="W159" s="87">
        <f>IF(U159&gt;0,Ruimtestaat[[#This Row],[Prest. (m2 /jaar) werkdagen]]/Ruimtestaat[[#This Row],[Norm (m2/uur) werkdagen]],0)</f>
        <v>0</v>
      </c>
      <c r="X159" s="88">
        <f>Ruimtestaat[[#This Row],[uren / jaar werkdagen]]*Tariefsopbouw!$E$35</f>
        <v>0</v>
      </c>
      <c r="Y159" s="85"/>
      <c r="Z159" s="89">
        <f>IF(Ruimtestaat[[#This Row],[Frequentie weekend]]&gt;0,VALUE(LEFT(Y159,1))*R159,0)</f>
        <v>0</v>
      </c>
      <c r="AA159" s="85">
        <f>IF($Z159&gt;0,VLOOKUP($J159,Ruimtegroepen[],3,FALSE)*VLOOKUP($L159,Vloersoorten[],3,FALSE)*VLOOKUP($Y159,Frequenties[],3,FALSE)*VLOOKUP($A130,Locaties[],3,FALSE),0)</f>
        <v>0</v>
      </c>
      <c r="AB159" s="87">
        <f>Ruimtestaat[[#This Row],[Uitvoeringen weekend]]*Ruimtestaat[[#This Row],[Oppervlak (netto)]]</f>
        <v>0</v>
      </c>
      <c r="AC159" s="90">
        <f>IF(AB159&gt;0,Ruimtestaat[[#This Row],[Prest. (m2 /jaar) weekend]]/Ruimtestaat[[#This Row],[Norm (m2/uur) weekend]],0)</f>
        <v>0</v>
      </c>
      <c r="AD159" s="91">
        <f>Ruimtestaat[[#This Row],[uren / jaar weekend]]*Tariefsopbouw!$D$40</f>
        <v>0</v>
      </c>
      <c r="AE159" s="60">
        <f>Ruimtestaat[[#This Row],[Prest. (m2 /jaar) weekend]]+Ruimtestaat[[#This Row],[Prest. (m2 /jaar) werkdagen]]</f>
        <v>32430</v>
      </c>
      <c r="AF159" s="60">
        <f>Ruimtestaat[[#This Row],[uren / jaar weekend]]+Ruimtestaat[[#This Row],[uren / jaar werkdagen]]</f>
        <v>0</v>
      </c>
      <c r="AG159" s="61">
        <f>Ruimtestaat[[#This Row],[kosten / jaar weekend]]+Ruimtestaat[[#This Row],[kosten / jaar werkdagen]]</f>
        <v>0</v>
      </c>
      <c r="AH159" s="92"/>
      <c r="HL159" s="59"/>
    </row>
    <row r="160" spans="1:220">
      <c r="A160" s="24">
        <v>1</v>
      </c>
      <c r="B160" s="24" t="str">
        <f>VLOOKUP(Ruimtestaat[[#This Row],[Code]],Locaties[#All],2,FALSE)</f>
        <v>Boerhaave + buitenunits</v>
      </c>
      <c r="C160" s="24" t="str">
        <f>VLOOKUP(Ruimtestaat[[#This Row],[Code]],Locaties[#All],4,FALSE)</f>
        <v>Herman Boerhaavelaan 1</v>
      </c>
      <c r="D160" s="24" t="str">
        <f>VLOOKUP(Ruimtestaat[[#This Row],[Code]],Locaties[#All],5,FALSE)</f>
        <v>7415 ES</v>
      </c>
      <c r="E160" s="24" t="str">
        <f>VLOOKUP(Ruimtestaat[[#This Row],[Code]],Locaties[#All],6,FALSE)</f>
        <v>Deventer</v>
      </c>
      <c r="F160" s="54"/>
      <c r="G160" s="24" t="s">
        <v>569</v>
      </c>
      <c r="H160" s="28" t="s">
        <v>595</v>
      </c>
      <c r="I160" s="4" t="s">
        <v>394</v>
      </c>
      <c r="J160" s="24">
        <v>22</v>
      </c>
      <c r="K160" s="54" t="str">
        <f>VLOOKUP(J160,Ruimtegroepen[],2,FALSE)</f>
        <v>Niet in onderhoud</v>
      </c>
      <c r="L160" s="24" t="s">
        <v>308</v>
      </c>
      <c r="M160" s="24" t="s">
        <v>590</v>
      </c>
      <c r="N160" s="83"/>
      <c r="O160" s="83">
        <v>3.55</v>
      </c>
      <c r="P160" s="93" t="str">
        <f>LEFT(VLOOKUP(Ruimtestaat[[#This Row],[Ruimte code]],Ruimtegroepen[#All],4,1),2)</f>
        <v/>
      </c>
      <c r="Q160" s="93"/>
      <c r="R160" s="84"/>
      <c r="S160" s="84"/>
      <c r="T160" s="85">
        <f>IF(R160&gt;0,IF(RIGHT(Ruimtestaat[[#This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0" s="85">
        <f>IF(T160&gt;0,VLOOKUP($J160,Ruimtegroepen[],3,FALSE)*VLOOKUP($L160,Vloersoorten[],3,FALSE)*VLOOKUP($S160,Frequenties[],3,FALSE)*VLOOKUP($A160,Locaties[],3,FALSE),0)</f>
        <v>0</v>
      </c>
      <c r="V160" s="86">
        <f>Ruimtestaat[[#This Row],[Uitvoeringen werkdagen]]*Ruimtestaat[[#This Row],[Oppervlak (netto)]]</f>
        <v>0</v>
      </c>
      <c r="W160" s="87">
        <f>IF(U160&gt;0,Ruimtestaat[[#This Row],[Prest. (m2 /jaar) werkdagen]]/Ruimtestaat[[#This Row],[Norm (m2/uur) werkdagen]],0)</f>
        <v>0</v>
      </c>
      <c r="X160" s="88">
        <f>Ruimtestaat[[#This Row],[uren / jaar werkdagen]]*Tariefsopbouw!$E$35</f>
        <v>0</v>
      </c>
      <c r="Y160" s="85"/>
      <c r="Z160" s="89">
        <f>IF(Ruimtestaat[[#This Row],[Frequentie weekend]]&gt;0,VALUE(LEFT(Y160,1))*R160,0)</f>
        <v>0</v>
      </c>
      <c r="AA160" s="85">
        <f>IF($Z160&gt;0,VLOOKUP($J160,Ruimtegroepen[],3,FALSE)*VLOOKUP($L160,Vloersoorten[],3,FALSE)*VLOOKUP($Y160,Frequenties[],3,FALSE)*VLOOKUP($A131,Locaties[],3,FALSE),0)</f>
        <v>0</v>
      </c>
      <c r="AB160" s="87">
        <f>Ruimtestaat[[#This Row],[Uitvoeringen weekend]]*Ruimtestaat[[#This Row],[Oppervlak (netto)]]</f>
        <v>0</v>
      </c>
      <c r="AC160" s="90">
        <f>IF(AB160&gt;0,Ruimtestaat[[#This Row],[Prest. (m2 /jaar) weekend]]/Ruimtestaat[[#This Row],[Norm (m2/uur) weekend]],0)</f>
        <v>0</v>
      </c>
      <c r="AD160" s="91">
        <f>Ruimtestaat[[#This Row],[uren / jaar weekend]]*Tariefsopbouw!$D$40</f>
        <v>0</v>
      </c>
      <c r="AE160" s="60">
        <f>Ruimtestaat[[#This Row],[Prest. (m2 /jaar) weekend]]+Ruimtestaat[[#This Row],[Prest. (m2 /jaar) werkdagen]]</f>
        <v>0</v>
      </c>
      <c r="AF160" s="60">
        <f>Ruimtestaat[[#This Row],[uren / jaar weekend]]+Ruimtestaat[[#This Row],[uren / jaar werkdagen]]</f>
        <v>0</v>
      </c>
      <c r="AG160" s="61">
        <f>Ruimtestaat[[#This Row],[kosten / jaar weekend]]+Ruimtestaat[[#This Row],[kosten / jaar werkdagen]]</f>
        <v>0</v>
      </c>
      <c r="AH160" s="92"/>
      <c r="HL160" s="59"/>
    </row>
    <row r="161" spans="1:220">
      <c r="A161" s="24">
        <v>1</v>
      </c>
      <c r="B161" s="24" t="str">
        <f>VLOOKUP(Ruimtestaat[[#This Row],[Code]],Locaties[#All],2,FALSE)</f>
        <v>Boerhaave + buitenunits</v>
      </c>
      <c r="C161" s="24" t="str">
        <f>VLOOKUP(Ruimtestaat[[#This Row],[Code]],Locaties[#All],4,FALSE)</f>
        <v>Herman Boerhaavelaan 1</v>
      </c>
      <c r="D161" s="24" t="str">
        <f>VLOOKUP(Ruimtestaat[[#This Row],[Code]],Locaties[#All],5,FALSE)</f>
        <v>7415 ES</v>
      </c>
      <c r="E161" s="24" t="str">
        <f>VLOOKUP(Ruimtestaat[[#This Row],[Code]],Locaties[#All],6,FALSE)</f>
        <v>Deventer</v>
      </c>
      <c r="F161" s="54"/>
      <c r="G161" s="24" t="s">
        <v>569</v>
      </c>
      <c r="H161" s="28" t="s">
        <v>596</v>
      </c>
      <c r="I161" s="4" t="s">
        <v>487</v>
      </c>
      <c r="J161" s="24">
        <v>6</v>
      </c>
      <c r="K161" s="54" t="str">
        <f>VLOOKUP(J161,Ruimtegroepen[],2,FALSE)</f>
        <v>Gangen/hallen</v>
      </c>
      <c r="L161" s="24" t="s">
        <v>311</v>
      </c>
      <c r="M161" s="24" t="s">
        <v>370</v>
      </c>
      <c r="N161" s="83">
        <v>10.37</v>
      </c>
      <c r="O161" s="83"/>
      <c r="P161" s="93" t="str">
        <f>LEFT(VLOOKUP(Ruimtestaat[[#This Row],[Ruimte code]],Ruimtegroepen[#All],4,1),2)</f>
        <v>Ve</v>
      </c>
      <c r="Q161" s="93"/>
      <c r="R161" s="84">
        <v>40</v>
      </c>
      <c r="S161" s="84" t="s">
        <v>318</v>
      </c>
      <c r="T161" s="85">
        <f>IF(R161&gt;0,IF(RIGHT(Ruimtestaat[[#This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1" s="85">
        <f>IF(T161&gt;0,VLOOKUP($J161,Ruimtegroepen[],3,FALSE)*VLOOKUP($L161,Vloersoorten[],3,FALSE)*VLOOKUP($S161,Frequenties[],3,FALSE)*VLOOKUP($A161,Locaties[],3,FALSE),0)</f>
        <v>0</v>
      </c>
      <c r="V161" s="86">
        <f>Ruimtestaat[[#This Row],[Uitvoeringen werkdagen]]*Ruimtestaat[[#This Row],[Oppervlak (netto)]]</f>
        <v>2074</v>
      </c>
      <c r="W161" s="87">
        <f>IF(U161&gt;0,Ruimtestaat[[#This Row],[Prest. (m2 /jaar) werkdagen]]/Ruimtestaat[[#This Row],[Norm (m2/uur) werkdagen]],0)</f>
        <v>0</v>
      </c>
      <c r="X161" s="88">
        <f>Ruimtestaat[[#This Row],[uren / jaar werkdagen]]*Tariefsopbouw!$E$35</f>
        <v>0</v>
      </c>
      <c r="Y161" s="85"/>
      <c r="Z161" s="89">
        <f>IF(Ruimtestaat[[#This Row],[Frequentie weekend]]&gt;0,VALUE(LEFT(Y161,1))*R161,0)</f>
        <v>0</v>
      </c>
      <c r="AA161" s="85">
        <f>IF($Z161&gt;0,VLOOKUP($J161,Ruimtegroepen[],3,FALSE)*VLOOKUP($L161,Vloersoorten[],3,FALSE)*VLOOKUP($Y161,Frequenties[],3,FALSE)*VLOOKUP($A132,Locaties[],3,FALSE),0)</f>
        <v>0</v>
      </c>
      <c r="AB161" s="87">
        <f>Ruimtestaat[[#This Row],[Uitvoeringen weekend]]*Ruimtestaat[[#This Row],[Oppervlak (netto)]]</f>
        <v>0</v>
      </c>
      <c r="AC161" s="90">
        <f>IF(AB161&gt;0,Ruimtestaat[[#This Row],[Prest. (m2 /jaar) weekend]]/Ruimtestaat[[#This Row],[Norm (m2/uur) weekend]],0)</f>
        <v>0</v>
      </c>
      <c r="AD161" s="91">
        <f>Ruimtestaat[[#This Row],[uren / jaar weekend]]*Tariefsopbouw!$D$40</f>
        <v>0</v>
      </c>
      <c r="AE161" s="60">
        <f>Ruimtestaat[[#This Row],[Prest. (m2 /jaar) weekend]]+Ruimtestaat[[#This Row],[Prest. (m2 /jaar) werkdagen]]</f>
        <v>2074</v>
      </c>
      <c r="AF161" s="60">
        <f>Ruimtestaat[[#This Row],[uren / jaar weekend]]+Ruimtestaat[[#This Row],[uren / jaar werkdagen]]</f>
        <v>0</v>
      </c>
      <c r="AG161" s="61">
        <f>Ruimtestaat[[#This Row],[kosten / jaar weekend]]+Ruimtestaat[[#This Row],[kosten / jaar werkdagen]]</f>
        <v>0</v>
      </c>
      <c r="AH161" s="92"/>
      <c r="HL161" s="59"/>
    </row>
    <row r="162" spans="1:220">
      <c r="A162" s="24">
        <v>1</v>
      </c>
      <c r="B162" s="24" t="str">
        <f>VLOOKUP(Ruimtestaat[[#This Row],[Code]],Locaties[#All],2,FALSE)</f>
        <v>Boerhaave + buitenunits</v>
      </c>
      <c r="C162" s="24" t="str">
        <f>VLOOKUP(Ruimtestaat[[#This Row],[Code]],Locaties[#All],4,FALSE)</f>
        <v>Herman Boerhaavelaan 1</v>
      </c>
      <c r="D162" s="24" t="str">
        <f>VLOOKUP(Ruimtestaat[[#This Row],[Code]],Locaties[#All],5,FALSE)</f>
        <v>7415 ES</v>
      </c>
      <c r="E162" s="24" t="str">
        <f>VLOOKUP(Ruimtestaat[[#This Row],[Code]],Locaties[#All],6,FALSE)</f>
        <v>Deventer</v>
      </c>
      <c r="F162" s="54"/>
      <c r="G162" s="24" t="s">
        <v>569</v>
      </c>
      <c r="H162" s="28" t="s">
        <v>597</v>
      </c>
      <c r="I162" s="4" t="s">
        <v>487</v>
      </c>
      <c r="J162" s="24">
        <v>6</v>
      </c>
      <c r="K162" s="54" t="str">
        <f>VLOOKUP(J162,Ruimtegroepen[],2,FALSE)</f>
        <v>Gangen/hallen</v>
      </c>
      <c r="L162" s="24" t="s">
        <v>311</v>
      </c>
      <c r="M162" s="24" t="s">
        <v>370</v>
      </c>
      <c r="N162" s="83">
        <v>52.23</v>
      </c>
      <c r="O162" s="83"/>
      <c r="P162" s="93" t="str">
        <f>LEFT(VLOOKUP(Ruimtestaat[[#This Row],[Ruimte code]],Ruimtegroepen[#All],4,1),2)</f>
        <v>Ve</v>
      </c>
      <c r="Q162" s="93"/>
      <c r="R162" s="84">
        <v>40</v>
      </c>
      <c r="S162" s="84" t="s">
        <v>318</v>
      </c>
      <c r="T162" s="85">
        <f>IF(R162&gt;0,IF(RIGHT(Ruimtestaat[[#This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2" s="85">
        <f>IF(T162&gt;0,VLOOKUP($J162,Ruimtegroepen[],3,FALSE)*VLOOKUP($L162,Vloersoorten[],3,FALSE)*VLOOKUP($S162,Frequenties[],3,FALSE)*VLOOKUP($A162,Locaties[],3,FALSE),0)</f>
        <v>0</v>
      </c>
      <c r="V162" s="86">
        <f>Ruimtestaat[[#This Row],[Uitvoeringen werkdagen]]*Ruimtestaat[[#This Row],[Oppervlak (netto)]]</f>
        <v>10446</v>
      </c>
      <c r="W162" s="87">
        <f>IF(U162&gt;0,Ruimtestaat[[#This Row],[Prest. (m2 /jaar) werkdagen]]/Ruimtestaat[[#This Row],[Norm (m2/uur) werkdagen]],0)</f>
        <v>0</v>
      </c>
      <c r="X162" s="88">
        <f>Ruimtestaat[[#This Row],[uren / jaar werkdagen]]*Tariefsopbouw!$E$35</f>
        <v>0</v>
      </c>
      <c r="Y162" s="85"/>
      <c r="Z162" s="89">
        <f>IF(Ruimtestaat[[#This Row],[Frequentie weekend]]&gt;0,VALUE(LEFT(Y162,1))*R162,0)</f>
        <v>0</v>
      </c>
      <c r="AA162" s="85">
        <f>IF($Z162&gt;0,VLOOKUP($J162,Ruimtegroepen[],3,FALSE)*VLOOKUP($L162,Vloersoorten[],3,FALSE)*VLOOKUP($Y162,Frequenties[],3,FALSE)*VLOOKUP($A133,Locaties[],3,FALSE),0)</f>
        <v>0</v>
      </c>
      <c r="AB162" s="87">
        <f>Ruimtestaat[[#This Row],[Uitvoeringen weekend]]*Ruimtestaat[[#This Row],[Oppervlak (netto)]]</f>
        <v>0</v>
      </c>
      <c r="AC162" s="90">
        <f>IF(AB162&gt;0,Ruimtestaat[[#This Row],[Prest. (m2 /jaar) weekend]]/Ruimtestaat[[#This Row],[Norm (m2/uur) weekend]],0)</f>
        <v>0</v>
      </c>
      <c r="AD162" s="91">
        <f>Ruimtestaat[[#This Row],[uren / jaar weekend]]*Tariefsopbouw!$D$40</f>
        <v>0</v>
      </c>
      <c r="AE162" s="60">
        <f>Ruimtestaat[[#This Row],[Prest. (m2 /jaar) weekend]]+Ruimtestaat[[#This Row],[Prest. (m2 /jaar) werkdagen]]</f>
        <v>10446</v>
      </c>
      <c r="AF162" s="60">
        <f>Ruimtestaat[[#This Row],[uren / jaar weekend]]+Ruimtestaat[[#This Row],[uren / jaar werkdagen]]</f>
        <v>0</v>
      </c>
      <c r="AG162" s="61">
        <f>Ruimtestaat[[#This Row],[kosten / jaar weekend]]+Ruimtestaat[[#This Row],[kosten / jaar werkdagen]]</f>
        <v>0</v>
      </c>
      <c r="AH162" s="92"/>
      <c r="HL162" s="59"/>
    </row>
    <row r="163" spans="1:220">
      <c r="A163" s="24">
        <v>1</v>
      </c>
      <c r="B163" s="24" t="str">
        <f>VLOOKUP(Ruimtestaat[[#This Row],[Code]],Locaties[#All],2,FALSE)</f>
        <v>Boerhaave + buitenunits</v>
      </c>
      <c r="C163" s="24" t="str">
        <f>VLOOKUP(Ruimtestaat[[#This Row],[Code]],Locaties[#All],4,FALSE)</f>
        <v>Herman Boerhaavelaan 1</v>
      </c>
      <c r="D163" s="24" t="str">
        <f>VLOOKUP(Ruimtestaat[[#This Row],[Code]],Locaties[#All],5,FALSE)</f>
        <v>7415 ES</v>
      </c>
      <c r="E163" s="24" t="str">
        <f>VLOOKUP(Ruimtestaat[[#This Row],[Code]],Locaties[#All],6,FALSE)</f>
        <v>Deventer</v>
      </c>
      <c r="F163" s="54"/>
      <c r="G163" s="24" t="s">
        <v>569</v>
      </c>
      <c r="H163" s="28" t="s">
        <v>598</v>
      </c>
      <c r="I163" s="4" t="s">
        <v>487</v>
      </c>
      <c r="J163" s="24">
        <v>6</v>
      </c>
      <c r="K163" s="54" t="str">
        <f>VLOOKUP(J163,Ruimtegroepen[],2,FALSE)</f>
        <v>Gangen/hallen</v>
      </c>
      <c r="L163" s="24" t="s">
        <v>311</v>
      </c>
      <c r="M163" s="24" t="s">
        <v>370</v>
      </c>
      <c r="N163" s="83">
        <v>100.18</v>
      </c>
      <c r="O163" s="83"/>
      <c r="P163" s="93" t="str">
        <f>LEFT(VLOOKUP(Ruimtestaat[[#This Row],[Ruimte code]],Ruimtegroepen[#All],4,1),2)</f>
        <v>Ve</v>
      </c>
      <c r="Q163" s="93"/>
      <c r="R163" s="84">
        <v>40</v>
      </c>
      <c r="S163" s="84" t="s">
        <v>318</v>
      </c>
      <c r="T163" s="85">
        <f>IF(R163&gt;0,IF(RIGHT(Ruimtestaat[[#This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3" s="85">
        <f>IF(T163&gt;0,VLOOKUP($J163,Ruimtegroepen[],3,FALSE)*VLOOKUP($L163,Vloersoorten[],3,FALSE)*VLOOKUP($S163,Frequenties[],3,FALSE)*VLOOKUP($A163,Locaties[],3,FALSE),0)</f>
        <v>0</v>
      </c>
      <c r="V163" s="86">
        <f>Ruimtestaat[[#This Row],[Uitvoeringen werkdagen]]*Ruimtestaat[[#This Row],[Oppervlak (netto)]]</f>
        <v>20036</v>
      </c>
      <c r="W163" s="87">
        <f>IF(U163&gt;0,Ruimtestaat[[#This Row],[Prest. (m2 /jaar) werkdagen]]/Ruimtestaat[[#This Row],[Norm (m2/uur) werkdagen]],0)</f>
        <v>0</v>
      </c>
      <c r="X163" s="88">
        <f>Ruimtestaat[[#This Row],[uren / jaar werkdagen]]*Tariefsopbouw!$E$35</f>
        <v>0</v>
      </c>
      <c r="Y163" s="85"/>
      <c r="Z163" s="89">
        <f>IF(Ruimtestaat[[#This Row],[Frequentie weekend]]&gt;0,VALUE(LEFT(Y163,1))*R163,0)</f>
        <v>0</v>
      </c>
      <c r="AA163" s="85">
        <f>IF($Z163&gt;0,VLOOKUP($J163,Ruimtegroepen[],3,FALSE)*VLOOKUP($L163,Vloersoorten[],3,FALSE)*VLOOKUP($Y163,Frequenties[],3,FALSE)*VLOOKUP($A134,Locaties[],3,FALSE),0)</f>
        <v>0</v>
      </c>
      <c r="AB163" s="87">
        <f>Ruimtestaat[[#This Row],[Uitvoeringen weekend]]*Ruimtestaat[[#This Row],[Oppervlak (netto)]]</f>
        <v>0</v>
      </c>
      <c r="AC163" s="90">
        <f>IF(AB163&gt;0,Ruimtestaat[[#This Row],[Prest. (m2 /jaar) weekend]]/Ruimtestaat[[#This Row],[Norm (m2/uur) weekend]],0)</f>
        <v>0</v>
      </c>
      <c r="AD163" s="91">
        <f>Ruimtestaat[[#This Row],[uren / jaar weekend]]*Tariefsopbouw!$D$40</f>
        <v>0</v>
      </c>
      <c r="AE163" s="60">
        <f>Ruimtestaat[[#This Row],[Prest. (m2 /jaar) weekend]]+Ruimtestaat[[#This Row],[Prest. (m2 /jaar) werkdagen]]</f>
        <v>20036</v>
      </c>
      <c r="AF163" s="60">
        <f>Ruimtestaat[[#This Row],[uren / jaar weekend]]+Ruimtestaat[[#This Row],[uren / jaar werkdagen]]</f>
        <v>0</v>
      </c>
      <c r="AG163" s="61">
        <f>Ruimtestaat[[#This Row],[kosten / jaar weekend]]+Ruimtestaat[[#This Row],[kosten / jaar werkdagen]]</f>
        <v>0</v>
      </c>
      <c r="AH163" s="92"/>
      <c r="HL163" s="59"/>
    </row>
    <row r="164" spans="1:220">
      <c r="A164" s="24">
        <v>1</v>
      </c>
      <c r="B164" s="24" t="str">
        <f>VLOOKUP(Ruimtestaat[[#This Row],[Code]],Locaties[#All],2,FALSE)</f>
        <v>Boerhaave + buitenunits</v>
      </c>
      <c r="C164" s="24" t="str">
        <f>VLOOKUP(Ruimtestaat[[#This Row],[Code]],Locaties[#All],4,FALSE)</f>
        <v>Herman Boerhaavelaan 1</v>
      </c>
      <c r="D164" s="24" t="str">
        <f>VLOOKUP(Ruimtestaat[[#This Row],[Code]],Locaties[#All],5,FALSE)</f>
        <v>7415 ES</v>
      </c>
      <c r="E164" s="24" t="str">
        <f>VLOOKUP(Ruimtestaat[[#This Row],[Code]],Locaties[#All],6,FALSE)</f>
        <v>Deventer</v>
      </c>
      <c r="F164" s="54"/>
      <c r="G164" s="24" t="s">
        <v>569</v>
      </c>
      <c r="H164" s="28" t="s">
        <v>504</v>
      </c>
      <c r="I164" s="4" t="s">
        <v>372</v>
      </c>
      <c r="J164" s="24">
        <v>10</v>
      </c>
      <c r="K164" s="54" t="str">
        <f>VLOOKUP(J164,Ruimtegroepen[],2,FALSE)</f>
        <v>Trappenhuizen/lift</v>
      </c>
      <c r="L164" s="24" t="s">
        <v>305</v>
      </c>
      <c r="M164" s="24" t="s">
        <v>373</v>
      </c>
      <c r="N164" s="83">
        <v>19.940000000000001</v>
      </c>
      <c r="O164" s="83"/>
      <c r="P164" s="93" t="str">
        <f>LEFT(VLOOKUP(Ruimtestaat[[#This Row],[Ruimte code]],Ruimtegroepen[#All],4,1),2)</f>
        <v>Ve</v>
      </c>
      <c r="Q164" s="93"/>
      <c r="R164" s="84">
        <v>40</v>
      </c>
      <c r="S164" s="84" t="s">
        <v>318</v>
      </c>
      <c r="T164" s="85">
        <f>IF(R164&gt;0,IF(RIGHT(Ruimtestaat[[#This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4" s="85">
        <f>IF(T164&gt;0,VLOOKUP($J164,Ruimtegroepen[],3,FALSE)*VLOOKUP($L164,Vloersoorten[],3,FALSE)*VLOOKUP($S164,Frequenties[],3,FALSE)*VLOOKUP($A164,Locaties[],3,FALSE),0)</f>
        <v>0</v>
      </c>
      <c r="V164" s="86">
        <f>Ruimtestaat[[#This Row],[Uitvoeringen werkdagen]]*Ruimtestaat[[#This Row],[Oppervlak (netto)]]</f>
        <v>3988.0000000000005</v>
      </c>
      <c r="W164" s="87">
        <f>IF(U164&gt;0,Ruimtestaat[[#This Row],[Prest. (m2 /jaar) werkdagen]]/Ruimtestaat[[#This Row],[Norm (m2/uur) werkdagen]],0)</f>
        <v>0</v>
      </c>
      <c r="X164" s="88">
        <f>Ruimtestaat[[#This Row],[uren / jaar werkdagen]]*Tariefsopbouw!$E$35</f>
        <v>0</v>
      </c>
      <c r="Y164" s="85"/>
      <c r="Z164" s="89">
        <f>IF(Ruimtestaat[[#This Row],[Frequentie weekend]]&gt;0,VALUE(LEFT(Y164,1))*R164,0)</f>
        <v>0</v>
      </c>
      <c r="AA164" s="85">
        <f>IF($Z164&gt;0,VLOOKUP($J164,Ruimtegroepen[],3,FALSE)*VLOOKUP($L164,Vloersoorten[],3,FALSE)*VLOOKUP($Y164,Frequenties[],3,FALSE)*VLOOKUP($A135,Locaties[],3,FALSE),0)</f>
        <v>0</v>
      </c>
      <c r="AB164" s="87">
        <f>Ruimtestaat[[#This Row],[Uitvoeringen weekend]]*Ruimtestaat[[#This Row],[Oppervlak (netto)]]</f>
        <v>0</v>
      </c>
      <c r="AC164" s="90">
        <f>IF(AB164&gt;0,Ruimtestaat[[#This Row],[Prest. (m2 /jaar) weekend]]/Ruimtestaat[[#This Row],[Norm (m2/uur) weekend]],0)</f>
        <v>0</v>
      </c>
      <c r="AD164" s="91">
        <f>Ruimtestaat[[#This Row],[uren / jaar weekend]]*Tariefsopbouw!$D$40</f>
        <v>0</v>
      </c>
      <c r="AE164" s="60">
        <f>Ruimtestaat[[#This Row],[Prest. (m2 /jaar) weekend]]+Ruimtestaat[[#This Row],[Prest. (m2 /jaar) werkdagen]]</f>
        <v>3988.0000000000005</v>
      </c>
      <c r="AF164" s="60">
        <f>Ruimtestaat[[#This Row],[uren / jaar weekend]]+Ruimtestaat[[#This Row],[uren / jaar werkdagen]]</f>
        <v>0</v>
      </c>
      <c r="AG164" s="61">
        <f>Ruimtestaat[[#This Row],[kosten / jaar weekend]]+Ruimtestaat[[#This Row],[kosten / jaar werkdagen]]</f>
        <v>0</v>
      </c>
      <c r="AH164" s="92"/>
      <c r="HL164" s="59"/>
    </row>
    <row r="165" spans="1:220">
      <c r="A165" s="24">
        <v>1</v>
      </c>
      <c r="B165" s="24" t="str">
        <f>VLOOKUP(Ruimtestaat[[#This Row],[Code]],Locaties[#All],2,FALSE)</f>
        <v>Boerhaave + buitenunits</v>
      </c>
      <c r="C165" s="24" t="str">
        <f>VLOOKUP(Ruimtestaat[[#This Row],[Code]],Locaties[#All],4,FALSE)</f>
        <v>Herman Boerhaavelaan 1</v>
      </c>
      <c r="D165" s="24" t="str">
        <f>VLOOKUP(Ruimtestaat[[#This Row],[Code]],Locaties[#All],5,FALSE)</f>
        <v>7415 ES</v>
      </c>
      <c r="E165" s="24" t="str">
        <f>VLOOKUP(Ruimtestaat[[#This Row],[Code]],Locaties[#All],6,FALSE)</f>
        <v>Deventer</v>
      </c>
      <c r="F165" s="54"/>
      <c r="G165" s="24" t="s">
        <v>569</v>
      </c>
      <c r="H165" s="28" t="s">
        <v>505</v>
      </c>
      <c r="I165" s="4" t="s">
        <v>372</v>
      </c>
      <c r="J165" s="24">
        <v>10</v>
      </c>
      <c r="K165" s="54" t="str">
        <f>VLOOKUP(J165,Ruimtegroepen[],2,FALSE)</f>
        <v>Trappenhuizen/lift</v>
      </c>
      <c r="L165" s="24" t="s">
        <v>305</v>
      </c>
      <c r="M165" s="24" t="s">
        <v>373</v>
      </c>
      <c r="N165" s="83">
        <v>54.77</v>
      </c>
      <c r="O165" s="83"/>
      <c r="P165" s="93" t="str">
        <f>LEFT(VLOOKUP(Ruimtestaat[[#This Row],[Ruimte code]],Ruimtegroepen[#All],4,1),2)</f>
        <v>Ve</v>
      </c>
      <c r="Q165" s="93"/>
      <c r="R165" s="84">
        <v>40</v>
      </c>
      <c r="S165" s="84" t="s">
        <v>318</v>
      </c>
      <c r="T165" s="85">
        <f>IF(R165&gt;0,IF(RIGHT(Ruimtestaat[[#This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5" s="85">
        <f>IF(T165&gt;0,VLOOKUP($J165,Ruimtegroepen[],3,FALSE)*VLOOKUP($L165,Vloersoorten[],3,FALSE)*VLOOKUP($S165,Frequenties[],3,FALSE)*VLOOKUP($A165,Locaties[],3,FALSE),0)</f>
        <v>0</v>
      </c>
      <c r="V165" s="86">
        <f>Ruimtestaat[[#This Row],[Uitvoeringen werkdagen]]*Ruimtestaat[[#This Row],[Oppervlak (netto)]]</f>
        <v>10954</v>
      </c>
      <c r="W165" s="87">
        <f>IF(U165&gt;0,Ruimtestaat[[#This Row],[Prest. (m2 /jaar) werkdagen]]/Ruimtestaat[[#This Row],[Norm (m2/uur) werkdagen]],0)</f>
        <v>0</v>
      </c>
      <c r="X165" s="88">
        <f>Ruimtestaat[[#This Row],[uren / jaar werkdagen]]*Tariefsopbouw!$E$35</f>
        <v>0</v>
      </c>
      <c r="Y165" s="85"/>
      <c r="Z165" s="89">
        <f>IF(Ruimtestaat[[#This Row],[Frequentie weekend]]&gt;0,VALUE(LEFT(Y165,1))*R165,0)</f>
        <v>0</v>
      </c>
      <c r="AA165" s="85">
        <f>IF($Z165&gt;0,VLOOKUP($J165,Ruimtegroepen[],3,FALSE)*VLOOKUP($L165,Vloersoorten[],3,FALSE)*VLOOKUP($Y165,Frequenties[],3,FALSE)*VLOOKUP($A136,Locaties[],3,FALSE),0)</f>
        <v>0</v>
      </c>
      <c r="AB165" s="87">
        <f>Ruimtestaat[[#This Row],[Uitvoeringen weekend]]*Ruimtestaat[[#This Row],[Oppervlak (netto)]]</f>
        <v>0</v>
      </c>
      <c r="AC165" s="90">
        <f>IF(AB165&gt;0,Ruimtestaat[[#This Row],[Prest. (m2 /jaar) weekend]]/Ruimtestaat[[#This Row],[Norm (m2/uur) weekend]],0)</f>
        <v>0</v>
      </c>
      <c r="AD165" s="91">
        <f>Ruimtestaat[[#This Row],[uren / jaar weekend]]*Tariefsopbouw!$D$40</f>
        <v>0</v>
      </c>
      <c r="AE165" s="60">
        <f>Ruimtestaat[[#This Row],[Prest. (m2 /jaar) weekend]]+Ruimtestaat[[#This Row],[Prest. (m2 /jaar) werkdagen]]</f>
        <v>10954</v>
      </c>
      <c r="AF165" s="60">
        <f>Ruimtestaat[[#This Row],[uren / jaar weekend]]+Ruimtestaat[[#This Row],[uren / jaar werkdagen]]</f>
        <v>0</v>
      </c>
      <c r="AG165" s="61">
        <f>Ruimtestaat[[#This Row],[kosten / jaar weekend]]+Ruimtestaat[[#This Row],[kosten / jaar werkdagen]]</f>
        <v>0</v>
      </c>
      <c r="AH165" s="92"/>
      <c r="HL165" s="59"/>
    </row>
    <row r="166" spans="1:220">
      <c r="A166" s="24">
        <v>1</v>
      </c>
      <c r="B166" s="24" t="str">
        <f>VLOOKUP(Ruimtestaat[[#This Row],[Code]],Locaties[#All],2,FALSE)</f>
        <v>Boerhaave + buitenunits</v>
      </c>
      <c r="C166" s="24" t="str">
        <f>VLOOKUP(Ruimtestaat[[#This Row],[Code]],Locaties[#All],4,FALSE)</f>
        <v>Herman Boerhaavelaan 1</v>
      </c>
      <c r="D166" s="24" t="str">
        <f>VLOOKUP(Ruimtestaat[[#This Row],[Code]],Locaties[#All],5,FALSE)</f>
        <v>7415 ES</v>
      </c>
      <c r="E166" s="24" t="str">
        <f>VLOOKUP(Ruimtestaat[[#This Row],[Code]],Locaties[#All],6,FALSE)</f>
        <v>Deventer</v>
      </c>
      <c r="F166" s="54"/>
      <c r="G166" s="24" t="s">
        <v>569</v>
      </c>
      <c r="H166" s="28" t="s">
        <v>506</v>
      </c>
      <c r="I166" s="4" t="s">
        <v>372</v>
      </c>
      <c r="J166" s="24">
        <v>10</v>
      </c>
      <c r="K166" s="54" t="str">
        <f>VLOOKUP(J166,Ruimtegroepen[],2,FALSE)</f>
        <v>Trappenhuizen/lift</v>
      </c>
      <c r="L166" s="24" t="s">
        <v>305</v>
      </c>
      <c r="M166" s="24" t="s">
        <v>373</v>
      </c>
      <c r="N166" s="83">
        <v>15.24</v>
      </c>
      <c r="O166" s="83"/>
      <c r="P166" s="93" t="str">
        <f>LEFT(VLOOKUP(Ruimtestaat[[#This Row],[Ruimte code]],Ruimtegroepen[#All],4,1),2)</f>
        <v>Ve</v>
      </c>
      <c r="Q166" s="93"/>
      <c r="R166" s="84">
        <v>40</v>
      </c>
      <c r="S166" s="84" t="s">
        <v>318</v>
      </c>
      <c r="T166" s="85">
        <f>IF(R166&gt;0,IF(RIGHT(Ruimtestaat[[#This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6" s="85">
        <f>IF(T166&gt;0,VLOOKUP($J166,Ruimtegroepen[],3,FALSE)*VLOOKUP($L166,Vloersoorten[],3,FALSE)*VLOOKUP($S166,Frequenties[],3,FALSE)*VLOOKUP($A166,Locaties[],3,FALSE),0)</f>
        <v>0</v>
      </c>
      <c r="V166" s="86">
        <f>Ruimtestaat[[#This Row],[Uitvoeringen werkdagen]]*Ruimtestaat[[#This Row],[Oppervlak (netto)]]</f>
        <v>3048</v>
      </c>
      <c r="W166" s="87">
        <f>IF(U166&gt;0,Ruimtestaat[[#This Row],[Prest. (m2 /jaar) werkdagen]]/Ruimtestaat[[#This Row],[Norm (m2/uur) werkdagen]],0)</f>
        <v>0</v>
      </c>
      <c r="X166" s="88">
        <f>Ruimtestaat[[#This Row],[uren / jaar werkdagen]]*Tariefsopbouw!$E$35</f>
        <v>0</v>
      </c>
      <c r="Y166" s="85"/>
      <c r="Z166" s="89">
        <f>IF(Ruimtestaat[[#This Row],[Frequentie weekend]]&gt;0,VALUE(LEFT(Y166,1))*R166,0)</f>
        <v>0</v>
      </c>
      <c r="AA166" s="85">
        <f>IF($Z166&gt;0,VLOOKUP($J166,Ruimtegroepen[],3,FALSE)*VLOOKUP($L166,Vloersoorten[],3,FALSE)*VLOOKUP($Y166,Frequenties[],3,FALSE)*VLOOKUP($A137,Locaties[],3,FALSE),0)</f>
        <v>0</v>
      </c>
      <c r="AB166" s="87">
        <f>Ruimtestaat[[#This Row],[Uitvoeringen weekend]]*Ruimtestaat[[#This Row],[Oppervlak (netto)]]</f>
        <v>0</v>
      </c>
      <c r="AC166" s="90">
        <f>IF(AB166&gt;0,Ruimtestaat[[#This Row],[Prest. (m2 /jaar) weekend]]/Ruimtestaat[[#This Row],[Norm (m2/uur) weekend]],0)</f>
        <v>0</v>
      </c>
      <c r="AD166" s="91">
        <f>Ruimtestaat[[#This Row],[uren / jaar weekend]]*Tariefsopbouw!$D$40</f>
        <v>0</v>
      </c>
      <c r="AE166" s="60">
        <f>Ruimtestaat[[#This Row],[Prest. (m2 /jaar) weekend]]+Ruimtestaat[[#This Row],[Prest. (m2 /jaar) werkdagen]]</f>
        <v>3048</v>
      </c>
      <c r="AF166" s="60">
        <f>Ruimtestaat[[#This Row],[uren / jaar weekend]]+Ruimtestaat[[#This Row],[uren / jaar werkdagen]]</f>
        <v>0</v>
      </c>
      <c r="AG166" s="61">
        <f>Ruimtestaat[[#This Row],[kosten / jaar weekend]]+Ruimtestaat[[#This Row],[kosten / jaar werkdagen]]</f>
        <v>0</v>
      </c>
      <c r="AH166" s="92"/>
      <c r="HL166" s="59"/>
    </row>
    <row r="167" spans="1:220">
      <c r="A167" s="24">
        <v>1</v>
      </c>
      <c r="B167" s="24" t="str">
        <f>VLOOKUP(Ruimtestaat[[#This Row],[Code]],Locaties[#All],2,FALSE)</f>
        <v>Boerhaave + buitenunits</v>
      </c>
      <c r="C167" s="24" t="str">
        <f>VLOOKUP(Ruimtestaat[[#This Row],[Code]],Locaties[#All],4,FALSE)</f>
        <v>Herman Boerhaavelaan 1</v>
      </c>
      <c r="D167" s="24" t="str">
        <f>VLOOKUP(Ruimtestaat[[#This Row],[Code]],Locaties[#All],5,FALSE)</f>
        <v>7415 ES</v>
      </c>
      <c r="E167" s="24" t="str">
        <f>VLOOKUP(Ruimtestaat[[#This Row],[Code]],Locaties[#All],6,FALSE)</f>
        <v>Deventer</v>
      </c>
      <c r="F167" s="54"/>
      <c r="G167" s="24" t="s">
        <v>599</v>
      </c>
      <c r="H167" s="28" t="s">
        <v>600</v>
      </c>
      <c r="I167" s="4" t="s">
        <v>394</v>
      </c>
      <c r="J167" s="24">
        <v>22</v>
      </c>
      <c r="K167" s="54" t="str">
        <f>VLOOKUP(J167,Ruimtegroepen[],2,FALSE)</f>
        <v>Niet in onderhoud</v>
      </c>
      <c r="L167" s="24" t="s">
        <v>308</v>
      </c>
      <c r="M167" s="24" t="s">
        <v>590</v>
      </c>
      <c r="N167" s="83"/>
      <c r="O167" s="83">
        <v>15.57</v>
      </c>
      <c r="P167" s="93" t="str">
        <f>LEFT(VLOOKUP(Ruimtestaat[[#This Row],[Ruimte code]],Ruimtegroepen[#All],4,1),2)</f>
        <v/>
      </c>
      <c r="Q167" s="93"/>
      <c r="R167" s="84"/>
      <c r="S167" s="84"/>
      <c r="T167" s="85">
        <f>IF(R167&gt;0,IF(RIGHT(Ruimtestaat[[#This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7" s="85">
        <f>IF(T167&gt;0,VLOOKUP($J167,Ruimtegroepen[],3,FALSE)*VLOOKUP($L167,Vloersoorten[],3,FALSE)*VLOOKUP($S167,Frequenties[],3,FALSE)*VLOOKUP($A167,Locaties[],3,FALSE),0)</f>
        <v>0</v>
      </c>
      <c r="V167" s="86">
        <f>Ruimtestaat[[#This Row],[Uitvoeringen werkdagen]]*Ruimtestaat[[#This Row],[Oppervlak (netto)]]</f>
        <v>0</v>
      </c>
      <c r="W167" s="87">
        <f>IF(U167&gt;0,Ruimtestaat[[#This Row],[Prest. (m2 /jaar) werkdagen]]/Ruimtestaat[[#This Row],[Norm (m2/uur) werkdagen]],0)</f>
        <v>0</v>
      </c>
      <c r="X167" s="88">
        <f>Ruimtestaat[[#This Row],[uren / jaar werkdagen]]*Tariefsopbouw!$E$35</f>
        <v>0</v>
      </c>
      <c r="Y167" s="85"/>
      <c r="Z167" s="89">
        <f>IF(Ruimtestaat[[#This Row],[Frequentie weekend]]&gt;0,VALUE(LEFT(Y167,1))*R167,0)</f>
        <v>0</v>
      </c>
      <c r="AA167" s="85">
        <f>IF($Z167&gt;0,VLOOKUP($J167,Ruimtegroepen[],3,FALSE)*VLOOKUP($L167,Vloersoorten[],3,FALSE)*VLOOKUP($Y167,Frequenties[],3,FALSE)*VLOOKUP($A138,Locaties[],3,FALSE),0)</f>
        <v>0</v>
      </c>
      <c r="AB167" s="87">
        <f>Ruimtestaat[[#This Row],[Uitvoeringen weekend]]*Ruimtestaat[[#This Row],[Oppervlak (netto)]]</f>
        <v>0</v>
      </c>
      <c r="AC167" s="90">
        <f>IF(AB167&gt;0,Ruimtestaat[[#This Row],[Prest. (m2 /jaar) weekend]]/Ruimtestaat[[#This Row],[Norm (m2/uur) weekend]],0)</f>
        <v>0</v>
      </c>
      <c r="AD167" s="91">
        <f>Ruimtestaat[[#This Row],[uren / jaar weekend]]*Tariefsopbouw!$D$40</f>
        <v>0</v>
      </c>
      <c r="AE167" s="60">
        <f>Ruimtestaat[[#This Row],[Prest. (m2 /jaar) weekend]]+Ruimtestaat[[#This Row],[Prest. (m2 /jaar) werkdagen]]</f>
        <v>0</v>
      </c>
      <c r="AF167" s="60">
        <f>Ruimtestaat[[#This Row],[uren / jaar weekend]]+Ruimtestaat[[#This Row],[uren / jaar werkdagen]]</f>
        <v>0</v>
      </c>
      <c r="AG167" s="61">
        <f>Ruimtestaat[[#This Row],[kosten / jaar weekend]]+Ruimtestaat[[#This Row],[kosten / jaar werkdagen]]</f>
        <v>0</v>
      </c>
      <c r="AH167" s="92"/>
      <c r="HL167" s="59"/>
    </row>
    <row r="168" spans="1:220">
      <c r="A168" s="24">
        <v>1</v>
      </c>
      <c r="B168" s="24" t="str">
        <f>VLOOKUP(Ruimtestaat[[#This Row],[Code]],Locaties[#All],2,FALSE)</f>
        <v>Boerhaave + buitenunits</v>
      </c>
      <c r="C168" s="24" t="str">
        <f>VLOOKUP(Ruimtestaat[[#This Row],[Code]],Locaties[#All],4,FALSE)</f>
        <v>Herman Boerhaavelaan 1</v>
      </c>
      <c r="D168" s="24" t="str">
        <f>VLOOKUP(Ruimtestaat[[#This Row],[Code]],Locaties[#All],5,FALSE)</f>
        <v>7415 ES</v>
      </c>
      <c r="E168" s="24" t="str">
        <f>VLOOKUP(Ruimtestaat[[#This Row],[Code]],Locaties[#All],6,FALSE)</f>
        <v>Deventer</v>
      </c>
      <c r="F168" s="54"/>
      <c r="G168" s="24" t="s">
        <v>599</v>
      </c>
      <c r="H168" s="28" t="s">
        <v>601</v>
      </c>
      <c r="I168" s="4" t="s">
        <v>394</v>
      </c>
      <c r="J168" s="24">
        <v>22</v>
      </c>
      <c r="K168" s="54" t="str">
        <f>VLOOKUP(J168,Ruimtegroepen[],2,FALSE)</f>
        <v>Niet in onderhoud</v>
      </c>
      <c r="L168" s="24" t="s">
        <v>308</v>
      </c>
      <c r="M168" s="24" t="s">
        <v>590</v>
      </c>
      <c r="N168" s="83"/>
      <c r="O168" s="83">
        <v>48.38</v>
      </c>
      <c r="P168" s="93" t="str">
        <f>LEFT(VLOOKUP(Ruimtestaat[[#This Row],[Ruimte code]],Ruimtegroepen[#All],4,1),2)</f>
        <v/>
      </c>
      <c r="Q168" s="93"/>
      <c r="R168" s="84"/>
      <c r="S168" s="84"/>
      <c r="T168" s="85">
        <f>IF(R168&gt;0,IF(RIGHT(Ruimtestaat[[#This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8" s="85">
        <f>IF(T168&gt;0,VLOOKUP($J168,Ruimtegroepen[],3,FALSE)*VLOOKUP($L168,Vloersoorten[],3,FALSE)*VLOOKUP($S168,Frequenties[],3,FALSE)*VLOOKUP($A168,Locaties[],3,FALSE),0)</f>
        <v>0</v>
      </c>
      <c r="V168" s="86">
        <f>Ruimtestaat[[#This Row],[Uitvoeringen werkdagen]]*Ruimtestaat[[#This Row],[Oppervlak (netto)]]</f>
        <v>0</v>
      </c>
      <c r="W168" s="87">
        <f>IF(U168&gt;0,Ruimtestaat[[#This Row],[Prest. (m2 /jaar) werkdagen]]/Ruimtestaat[[#This Row],[Norm (m2/uur) werkdagen]],0)</f>
        <v>0</v>
      </c>
      <c r="X168" s="88">
        <f>Ruimtestaat[[#This Row],[uren / jaar werkdagen]]*Tariefsopbouw!$E$35</f>
        <v>0</v>
      </c>
      <c r="Y168" s="85"/>
      <c r="Z168" s="89">
        <f>IF(Ruimtestaat[[#This Row],[Frequentie weekend]]&gt;0,VALUE(LEFT(Y168,1))*R168,0)</f>
        <v>0</v>
      </c>
      <c r="AA168" s="85">
        <f>IF($Z168&gt;0,VLOOKUP($J168,Ruimtegroepen[],3,FALSE)*VLOOKUP($L168,Vloersoorten[],3,FALSE)*VLOOKUP($Y168,Frequenties[],3,FALSE)*VLOOKUP($A139,Locaties[],3,FALSE),0)</f>
        <v>0</v>
      </c>
      <c r="AB168" s="87">
        <f>Ruimtestaat[[#This Row],[Uitvoeringen weekend]]*Ruimtestaat[[#This Row],[Oppervlak (netto)]]</f>
        <v>0</v>
      </c>
      <c r="AC168" s="90">
        <f>IF(AB168&gt;0,Ruimtestaat[[#This Row],[Prest. (m2 /jaar) weekend]]/Ruimtestaat[[#This Row],[Norm (m2/uur) weekend]],0)</f>
        <v>0</v>
      </c>
      <c r="AD168" s="91">
        <f>Ruimtestaat[[#This Row],[uren / jaar weekend]]*Tariefsopbouw!$D$40</f>
        <v>0</v>
      </c>
      <c r="AE168" s="60">
        <f>Ruimtestaat[[#This Row],[Prest. (m2 /jaar) weekend]]+Ruimtestaat[[#This Row],[Prest. (m2 /jaar) werkdagen]]</f>
        <v>0</v>
      </c>
      <c r="AF168" s="60">
        <f>Ruimtestaat[[#This Row],[uren / jaar weekend]]+Ruimtestaat[[#This Row],[uren / jaar werkdagen]]</f>
        <v>0</v>
      </c>
      <c r="AG168" s="61">
        <f>Ruimtestaat[[#This Row],[kosten / jaar weekend]]+Ruimtestaat[[#This Row],[kosten / jaar werkdagen]]</f>
        <v>0</v>
      </c>
      <c r="AH168" s="92"/>
      <c r="HL168" s="59"/>
    </row>
    <row r="169" spans="1:220">
      <c r="A169" s="24">
        <v>1</v>
      </c>
      <c r="B169" s="24" t="str">
        <f>VLOOKUP(Ruimtestaat[[#This Row],[Code]],Locaties[#All],2,FALSE)</f>
        <v>Boerhaave + buitenunits</v>
      </c>
      <c r="C169" s="24" t="str">
        <f>VLOOKUP(Ruimtestaat[[#This Row],[Code]],Locaties[#All],4,FALSE)</f>
        <v>Herman Boerhaavelaan 1</v>
      </c>
      <c r="D169" s="24" t="str">
        <f>VLOOKUP(Ruimtestaat[[#This Row],[Code]],Locaties[#All],5,FALSE)</f>
        <v>7415 ES</v>
      </c>
      <c r="E169" s="24" t="str">
        <f>VLOOKUP(Ruimtestaat[[#This Row],[Code]],Locaties[#All],6,FALSE)</f>
        <v>Deventer</v>
      </c>
      <c r="F169" s="54"/>
      <c r="G169" s="24" t="s">
        <v>599</v>
      </c>
      <c r="H169" s="28" t="s">
        <v>602</v>
      </c>
      <c r="I169" s="4" t="s">
        <v>394</v>
      </c>
      <c r="J169" s="24">
        <v>22</v>
      </c>
      <c r="K169" s="54" t="str">
        <f>VLOOKUP(J169,Ruimtegroepen[],2,FALSE)</f>
        <v>Niet in onderhoud</v>
      </c>
      <c r="L169" s="24" t="s">
        <v>308</v>
      </c>
      <c r="M169" s="24" t="s">
        <v>590</v>
      </c>
      <c r="N169" s="83"/>
      <c r="O169" s="83">
        <v>48.39</v>
      </c>
      <c r="P169" s="93" t="str">
        <f>LEFT(VLOOKUP(Ruimtestaat[[#This Row],[Ruimte code]],Ruimtegroepen[#All],4,1),2)</f>
        <v/>
      </c>
      <c r="Q169" s="93"/>
      <c r="R169" s="84"/>
      <c r="S169" s="84"/>
      <c r="T169" s="85">
        <f>IF(R169&gt;0,IF(RIGHT(Ruimtestaat[[#This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9" s="85">
        <f>IF(T169&gt;0,VLOOKUP($J169,Ruimtegroepen[],3,FALSE)*VLOOKUP($L169,Vloersoorten[],3,FALSE)*VLOOKUP($S169,Frequenties[],3,FALSE)*VLOOKUP($A169,Locaties[],3,FALSE),0)</f>
        <v>0</v>
      </c>
      <c r="V169" s="86">
        <f>Ruimtestaat[[#This Row],[Uitvoeringen werkdagen]]*Ruimtestaat[[#This Row],[Oppervlak (netto)]]</f>
        <v>0</v>
      </c>
      <c r="W169" s="87">
        <f>IF(U169&gt;0,Ruimtestaat[[#This Row],[Prest. (m2 /jaar) werkdagen]]/Ruimtestaat[[#This Row],[Norm (m2/uur) werkdagen]],0)</f>
        <v>0</v>
      </c>
      <c r="X169" s="88">
        <f>Ruimtestaat[[#This Row],[uren / jaar werkdagen]]*Tariefsopbouw!$E$35</f>
        <v>0</v>
      </c>
      <c r="Y169" s="85"/>
      <c r="Z169" s="89">
        <f>IF(Ruimtestaat[[#This Row],[Frequentie weekend]]&gt;0,VALUE(LEFT(Y169,1))*R169,0)</f>
        <v>0</v>
      </c>
      <c r="AA169" s="85">
        <f>IF($Z169&gt;0,VLOOKUP($J169,Ruimtegroepen[],3,FALSE)*VLOOKUP($L169,Vloersoorten[],3,FALSE)*VLOOKUP($Y169,Frequenties[],3,FALSE)*VLOOKUP($A140,Locaties[],3,FALSE),0)</f>
        <v>0</v>
      </c>
      <c r="AB169" s="87">
        <f>Ruimtestaat[[#This Row],[Uitvoeringen weekend]]*Ruimtestaat[[#This Row],[Oppervlak (netto)]]</f>
        <v>0</v>
      </c>
      <c r="AC169" s="90">
        <f>IF(AB169&gt;0,Ruimtestaat[[#This Row],[Prest. (m2 /jaar) weekend]]/Ruimtestaat[[#This Row],[Norm (m2/uur) weekend]],0)</f>
        <v>0</v>
      </c>
      <c r="AD169" s="91">
        <f>Ruimtestaat[[#This Row],[uren / jaar weekend]]*Tariefsopbouw!$D$40</f>
        <v>0</v>
      </c>
      <c r="AE169" s="60">
        <f>Ruimtestaat[[#This Row],[Prest. (m2 /jaar) weekend]]+Ruimtestaat[[#This Row],[Prest. (m2 /jaar) werkdagen]]</f>
        <v>0</v>
      </c>
      <c r="AF169" s="60">
        <f>Ruimtestaat[[#This Row],[uren / jaar weekend]]+Ruimtestaat[[#This Row],[uren / jaar werkdagen]]</f>
        <v>0</v>
      </c>
      <c r="AG169" s="61">
        <f>Ruimtestaat[[#This Row],[kosten / jaar weekend]]+Ruimtestaat[[#This Row],[kosten / jaar werkdagen]]</f>
        <v>0</v>
      </c>
      <c r="AH169" s="92"/>
      <c r="HL169" s="59"/>
    </row>
    <row r="170" spans="1:220">
      <c r="A170" s="24">
        <v>1</v>
      </c>
      <c r="B170" s="24" t="str">
        <f>VLOOKUP(Ruimtestaat[[#This Row],[Code]],Locaties[#All],2,FALSE)</f>
        <v>Boerhaave + buitenunits</v>
      </c>
      <c r="C170" s="24" t="str">
        <f>VLOOKUP(Ruimtestaat[[#This Row],[Code]],Locaties[#All],4,FALSE)</f>
        <v>Herman Boerhaavelaan 1</v>
      </c>
      <c r="D170" s="24" t="str">
        <f>VLOOKUP(Ruimtestaat[[#This Row],[Code]],Locaties[#All],5,FALSE)</f>
        <v>7415 ES</v>
      </c>
      <c r="E170" s="24" t="str">
        <f>VLOOKUP(Ruimtestaat[[#This Row],[Code]],Locaties[#All],6,FALSE)</f>
        <v>Deventer</v>
      </c>
      <c r="F170" s="54"/>
      <c r="G170" s="24" t="s">
        <v>599</v>
      </c>
      <c r="H170" s="28" t="s">
        <v>603</v>
      </c>
      <c r="I170" s="4" t="s">
        <v>394</v>
      </c>
      <c r="J170" s="24">
        <v>22</v>
      </c>
      <c r="K170" s="54" t="str">
        <f>VLOOKUP(J170,Ruimtegroepen[],2,FALSE)</f>
        <v>Niet in onderhoud</v>
      </c>
      <c r="L170" s="24" t="s">
        <v>308</v>
      </c>
      <c r="M170" s="24" t="s">
        <v>590</v>
      </c>
      <c r="N170" s="83"/>
      <c r="O170" s="83">
        <v>48.39</v>
      </c>
      <c r="P170" s="93" t="str">
        <f>LEFT(VLOOKUP(Ruimtestaat[[#This Row],[Ruimte code]],Ruimtegroepen[#All],4,1),2)</f>
        <v/>
      </c>
      <c r="Q170" s="93"/>
      <c r="R170" s="84"/>
      <c r="S170" s="84"/>
      <c r="T170" s="85">
        <f>IF(R170&gt;0,IF(RIGHT(Ruimtestaat[[#This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0" s="85">
        <f>IF(T170&gt;0,VLOOKUP($J170,Ruimtegroepen[],3,FALSE)*VLOOKUP($L170,Vloersoorten[],3,FALSE)*VLOOKUP($S170,Frequenties[],3,FALSE)*VLOOKUP($A170,Locaties[],3,FALSE),0)</f>
        <v>0</v>
      </c>
      <c r="V170" s="86">
        <f>Ruimtestaat[[#This Row],[Uitvoeringen werkdagen]]*Ruimtestaat[[#This Row],[Oppervlak (netto)]]</f>
        <v>0</v>
      </c>
      <c r="W170" s="87">
        <f>IF(U170&gt;0,Ruimtestaat[[#This Row],[Prest. (m2 /jaar) werkdagen]]/Ruimtestaat[[#This Row],[Norm (m2/uur) werkdagen]],0)</f>
        <v>0</v>
      </c>
      <c r="X170" s="88">
        <f>Ruimtestaat[[#This Row],[uren / jaar werkdagen]]*Tariefsopbouw!$E$35</f>
        <v>0</v>
      </c>
      <c r="Y170" s="85"/>
      <c r="Z170" s="89">
        <f>IF(Ruimtestaat[[#This Row],[Frequentie weekend]]&gt;0,VALUE(LEFT(Y170,1))*R170,0)</f>
        <v>0</v>
      </c>
      <c r="AA170" s="85">
        <f>IF($Z170&gt;0,VLOOKUP($J170,Ruimtegroepen[],3,FALSE)*VLOOKUP($L170,Vloersoorten[],3,FALSE)*VLOOKUP($Y170,Frequenties[],3,FALSE)*VLOOKUP($A141,Locaties[],3,FALSE),0)</f>
        <v>0</v>
      </c>
      <c r="AB170" s="87">
        <f>Ruimtestaat[[#This Row],[Uitvoeringen weekend]]*Ruimtestaat[[#This Row],[Oppervlak (netto)]]</f>
        <v>0</v>
      </c>
      <c r="AC170" s="90">
        <f>IF(AB170&gt;0,Ruimtestaat[[#This Row],[Prest. (m2 /jaar) weekend]]/Ruimtestaat[[#This Row],[Norm (m2/uur) weekend]],0)</f>
        <v>0</v>
      </c>
      <c r="AD170" s="91">
        <f>Ruimtestaat[[#This Row],[uren / jaar weekend]]*Tariefsopbouw!$D$40</f>
        <v>0</v>
      </c>
      <c r="AE170" s="60">
        <f>Ruimtestaat[[#This Row],[Prest. (m2 /jaar) weekend]]+Ruimtestaat[[#This Row],[Prest. (m2 /jaar) werkdagen]]</f>
        <v>0</v>
      </c>
      <c r="AF170" s="60">
        <f>Ruimtestaat[[#This Row],[uren / jaar weekend]]+Ruimtestaat[[#This Row],[uren / jaar werkdagen]]</f>
        <v>0</v>
      </c>
      <c r="AG170" s="61">
        <f>Ruimtestaat[[#This Row],[kosten / jaar weekend]]+Ruimtestaat[[#This Row],[kosten / jaar werkdagen]]</f>
        <v>0</v>
      </c>
      <c r="AH170" s="92"/>
      <c r="HL170" s="59"/>
    </row>
    <row r="171" spans="1:220">
      <c r="A171" s="24">
        <v>1</v>
      </c>
      <c r="B171" s="24" t="str">
        <f>VLOOKUP(Ruimtestaat[[#This Row],[Code]],Locaties[#All],2,FALSE)</f>
        <v>Boerhaave + buitenunits</v>
      </c>
      <c r="C171" s="24" t="str">
        <f>VLOOKUP(Ruimtestaat[[#This Row],[Code]],Locaties[#All],4,FALSE)</f>
        <v>Herman Boerhaavelaan 1</v>
      </c>
      <c r="D171" s="24" t="str">
        <f>VLOOKUP(Ruimtestaat[[#This Row],[Code]],Locaties[#All],5,FALSE)</f>
        <v>7415 ES</v>
      </c>
      <c r="E171" s="24" t="str">
        <f>VLOOKUP(Ruimtestaat[[#This Row],[Code]],Locaties[#All],6,FALSE)</f>
        <v>Deventer</v>
      </c>
      <c r="F171" s="54"/>
      <c r="G171" s="24" t="s">
        <v>599</v>
      </c>
      <c r="H171" s="28" t="s">
        <v>604</v>
      </c>
      <c r="I171" s="4" t="s">
        <v>394</v>
      </c>
      <c r="J171" s="24">
        <v>22</v>
      </c>
      <c r="K171" s="54" t="str">
        <f>VLOOKUP(J171,Ruimtegroepen[],2,FALSE)</f>
        <v>Niet in onderhoud</v>
      </c>
      <c r="L171" s="24" t="s">
        <v>308</v>
      </c>
      <c r="M171" s="24" t="s">
        <v>590</v>
      </c>
      <c r="N171" s="83"/>
      <c r="O171" s="83">
        <v>48.4</v>
      </c>
      <c r="P171" s="93" t="str">
        <f>LEFT(VLOOKUP(Ruimtestaat[[#This Row],[Ruimte code]],Ruimtegroepen[#All],4,1),2)</f>
        <v/>
      </c>
      <c r="Q171" s="93"/>
      <c r="R171" s="84"/>
      <c r="S171" s="84"/>
      <c r="T171" s="85">
        <f>IF(R171&gt;0,IF(RIGHT(Ruimtestaat[[#This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1" s="85">
        <f>IF(T171&gt;0,VLOOKUP($J171,Ruimtegroepen[],3,FALSE)*VLOOKUP($L171,Vloersoorten[],3,FALSE)*VLOOKUP($S171,Frequenties[],3,FALSE)*VLOOKUP($A171,Locaties[],3,FALSE),0)</f>
        <v>0</v>
      </c>
      <c r="V171" s="86">
        <f>Ruimtestaat[[#This Row],[Uitvoeringen werkdagen]]*Ruimtestaat[[#This Row],[Oppervlak (netto)]]</f>
        <v>0</v>
      </c>
      <c r="W171" s="87">
        <f>IF(U171&gt;0,Ruimtestaat[[#This Row],[Prest. (m2 /jaar) werkdagen]]/Ruimtestaat[[#This Row],[Norm (m2/uur) werkdagen]],0)</f>
        <v>0</v>
      </c>
      <c r="X171" s="88">
        <f>Ruimtestaat[[#This Row],[uren / jaar werkdagen]]*Tariefsopbouw!$E$35</f>
        <v>0</v>
      </c>
      <c r="Y171" s="85"/>
      <c r="Z171" s="89">
        <f>IF(Ruimtestaat[[#This Row],[Frequentie weekend]]&gt;0,VALUE(LEFT(Y171,1))*R171,0)</f>
        <v>0</v>
      </c>
      <c r="AA171" s="85">
        <f>IF($Z171&gt;0,VLOOKUP($J171,Ruimtegroepen[],3,FALSE)*VLOOKUP($L171,Vloersoorten[],3,FALSE)*VLOOKUP($Y171,Frequenties[],3,FALSE)*VLOOKUP($A142,Locaties[],3,FALSE),0)</f>
        <v>0</v>
      </c>
      <c r="AB171" s="87">
        <f>Ruimtestaat[[#This Row],[Uitvoeringen weekend]]*Ruimtestaat[[#This Row],[Oppervlak (netto)]]</f>
        <v>0</v>
      </c>
      <c r="AC171" s="90">
        <f>IF(AB171&gt;0,Ruimtestaat[[#This Row],[Prest. (m2 /jaar) weekend]]/Ruimtestaat[[#This Row],[Norm (m2/uur) weekend]],0)</f>
        <v>0</v>
      </c>
      <c r="AD171" s="91">
        <f>Ruimtestaat[[#This Row],[uren / jaar weekend]]*Tariefsopbouw!$D$40</f>
        <v>0</v>
      </c>
      <c r="AE171" s="60">
        <f>Ruimtestaat[[#This Row],[Prest. (m2 /jaar) weekend]]+Ruimtestaat[[#This Row],[Prest. (m2 /jaar) werkdagen]]</f>
        <v>0</v>
      </c>
      <c r="AF171" s="60">
        <f>Ruimtestaat[[#This Row],[uren / jaar weekend]]+Ruimtestaat[[#This Row],[uren / jaar werkdagen]]</f>
        <v>0</v>
      </c>
      <c r="AG171" s="61">
        <f>Ruimtestaat[[#This Row],[kosten / jaar weekend]]+Ruimtestaat[[#This Row],[kosten / jaar werkdagen]]</f>
        <v>0</v>
      </c>
      <c r="AH171" s="92"/>
      <c r="HL171" s="59"/>
    </row>
    <row r="172" spans="1:220">
      <c r="A172" s="24">
        <v>1</v>
      </c>
      <c r="B172" s="24" t="str">
        <f>VLOOKUP(Ruimtestaat[[#This Row],[Code]],Locaties[#All],2,FALSE)</f>
        <v>Boerhaave + buitenunits</v>
      </c>
      <c r="C172" s="24" t="str">
        <f>VLOOKUP(Ruimtestaat[[#This Row],[Code]],Locaties[#All],4,FALSE)</f>
        <v>Herman Boerhaavelaan 1</v>
      </c>
      <c r="D172" s="24" t="str">
        <f>VLOOKUP(Ruimtestaat[[#This Row],[Code]],Locaties[#All],5,FALSE)</f>
        <v>7415 ES</v>
      </c>
      <c r="E172" s="24" t="str">
        <f>VLOOKUP(Ruimtestaat[[#This Row],[Code]],Locaties[#All],6,FALSE)</f>
        <v>Deventer</v>
      </c>
      <c r="F172" s="54"/>
      <c r="G172" s="24" t="s">
        <v>599</v>
      </c>
      <c r="H172" s="28" t="s">
        <v>605</v>
      </c>
      <c r="I172" s="4" t="s">
        <v>394</v>
      </c>
      <c r="J172" s="24">
        <v>22</v>
      </c>
      <c r="K172" s="54" t="str">
        <f>VLOOKUP(J172,Ruimtegroepen[],2,FALSE)</f>
        <v>Niet in onderhoud</v>
      </c>
      <c r="L172" s="24" t="s">
        <v>308</v>
      </c>
      <c r="M172" s="24" t="s">
        <v>590</v>
      </c>
      <c r="N172" s="83"/>
      <c r="O172" s="83">
        <v>20.95</v>
      </c>
      <c r="P172" s="93" t="str">
        <f>LEFT(VLOOKUP(Ruimtestaat[[#This Row],[Ruimte code]],Ruimtegroepen[#All],4,1),2)</f>
        <v/>
      </c>
      <c r="Q172" s="93"/>
      <c r="R172" s="84"/>
      <c r="S172" s="84"/>
      <c r="T172" s="85">
        <f>IF(R172&gt;0,IF(RIGHT(Ruimtestaat[[#This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2" s="85">
        <f>IF(T172&gt;0,VLOOKUP($J172,Ruimtegroepen[],3,FALSE)*VLOOKUP($L172,Vloersoorten[],3,FALSE)*VLOOKUP($S172,Frequenties[],3,FALSE)*VLOOKUP($A172,Locaties[],3,FALSE),0)</f>
        <v>0</v>
      </c>
      <c r="V172" s="86">
        <f>Ruimtestaat[[#This Row],[Uitvoeringen werkdagen]]*Ruimtestaat[[#This Row],[Oppervlak (netto)]]</f>
        <v>0</v>
      </c>
      <c r="W172" s="87">
        <f>IF(U172&gt;0,Ruimtestaat[[#This Row],[Prest. (m2 /jaar) werkdagen]]/Ruimtestaat[[#This Row],[Norm (m2/uur) werkdagen]],0)</f>
        <v>0</v>
      </c>
      <c r="X172" s="88">
        <f>Ruimtestaat[[#This Row],[uren / jaar werkdagen]]*Tariefsopbouw!$E$35</f>
        <v>0</v>
      </c>
      <c r="Y172" s="85"/>
      <c r="Z172" s="89">
        <f>IF(Ruimtestaat[[#This Row],[Frequentie weekend]]&gt;0,VALUE(LEFT(Y172,1))*R172,0)</f>
        <v>0</v>
      </c>
      <c r="AA172" s="85">
        <f>IF($Z172&gt;0,VLOOKUP($J172,Ruimtegroepen[],3,FALSE)*VLOOKUP($L172,Vloersoorten[],3,FALSE)*VLOOKUP($Y172,Frequenties[],3,FALSE)*VLOOKUP($A143,Locaties[],3,FALSE),0)</f>
        <v>0</v>
      </c>
      <c r="AB172" s="87">
        <f>Ruimtestaat[[#This Row],[Uitvoeringen weekend]]*Ruimtestaat[[#This Row],[Oppervlak (netto)]]</f>
        <v>0</v>
      </c>
      <c r="AC172" s="90">
        <f>IF(AB172&gt;0,Ruimtestaat[[#This Row],[Prest. (m2 /jaar) weekend]]/Ruimtestaat[[#This Row],[Norm (m2/uur) weekend]],0)</f>
        <v>0</v>
      </c>
      <c r="AD172" s="91">
        <f>Ruimtestaat[[#This Row],[uren / jaar weekend]]*Tariefsopbouw!$D$40</f>
        <v>0</v>
      </c>
      <c r="AE172" s="60">
        <f>Ruimtestaat[[#This Row],[Prest. (m2 /jaar) weekend]]+Ruimtestaat[[#This Row],[Prest. (m2 /jaar) werkdagen]]</f>
        <v>0</v>
      </c>
      <c r="AF172" s="60">
        <f>Ruimtestaat[[#This Row],[uren / jaar weekend]]+Ruimtestaat[[#This Row],[uren / jaar werkdagen]]</f>
        <v>0</v>
      </c>
      <c r="AG172" s="61">
        <f>Ruimtestaat[[#This Row],[kosten / jaar weekend]]+Ruimtestaat[[#This Row],[kosten / jaar werkdagen]]</f>
        <v>0</v>
      </c>
      <c r="AH172" s="92"/>
      <c r="HL172" s="59"/>
    </row>
    <row r="173" spans="1:220">
      <c r="A173" s="24">
        <v>1</v>
      </c>
      <c r="B173" s="24" t="str">
        <f>VLOOKUP(Ruimtestaat[[#This Row],[Code]],Locaties[#All],2,FALSE)</f>
        <v>Boerhaave + buitenunits</v>
      </c>
      <c r="C173" s="24" t="str">
        <f>VLOOKUP(Ruimtestaat[[#This Row],[Code]],Locaties[#All],4,FALSE)</f>
        <v>Herman Boerhaavelaan 1</v>
      </c>
      <c r="D173" s="24" t="str">
        <f>VLOOKUP(Ruimtestaat[[#This Row],[Code]],Locaties[#All],5,FALSE)</f>
        <v>7415 ES</v>
      </c>
      <c r="E173" s="24" t="str">
        <f>VLOOKUP(Ruimtestaat[[#This Row],[Code]],Locaties[#All],6,FALSE)</f>
        <v>Deventer</v>
      </c>
      <c r="F173" s="54"/>
      <c r="G173" s="24" t="s">
        <v>599</v>
      </c>
      <c r="H173" s="24" t="s">
        <v>606</v>
      </c>
      <c r="I173" s="4" t="s">
        <v>394</v>
      </c>
      <c r="J173" s="24">
        <v>22</v>
      </c>
      <c r="K173" s="54" t="str">
        <f>VLOOKUP(J173,Ruimtegroepen[],2,FALSE)</f>
        <v>Niet in onderhoud</v>
      </c>
      <c r="L173" s="24" t="s">
        <v>308</v>
      </c>
      <c r="M173" s="24" t="s">
        <v>590</v>
      </c>
      <c r="N173" s="83"/>
      <c r="O173" s="83">
        <v>48.4</v>
      </c>
      <c r="P173" s="93" t="str">
        <f>LEFT(VLOOKUP(Ruimtestaat[[#This Row],[Ruimte code]],Ruimtegroepen[#All],4,1),2)</f>
        <v/>
      </c>
      <c r="Q173" s="93"/>
      <c r="R173" s="84"/>
      <c r="S173" s="84"/>
      <c r="T173" s="85">
        <f>IF(R173&gt;0,IF(RIGHT(Ruimtestaat[[#This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3" s="85">
        <f>IF(T173&gt;0,VLOOKUP($J173,Ruimtegroepen[],3,FALSE)*VLOOKUP($L173,Vloersoorten[],3,FALSE)*VLOOKUP($S173,Frequenties[],3,FALSE)*VLOOKUP($A173,Locaties[],3,FALSE),0)</f>
        <v>0</v>
      </c>
      <c r="V173" s="86">
        <f>Ruimtestaat[[#This Row],[Uitvoeringen werkdagen]]*Ruimtestaat[[#This Row],[Oppervlak (netto)]]</f>
        <v>0</v>
      </c>
      <c r="W173" s="87">
        <f>IF(U173&gt;0,Ruimtestaat[[#This Row],[Prest. (m2 /jaar) werkdagen]]/Ruimtestaat[[#This Row],[Norm (m2/uur) werkdagen]],0)</f>
        <v>0</v>
      </c>
      <c r="X173" s="88">
        <f>Ruimtestaat[[#This Row],[uren / jaar werkdagen]]*Tariefsopbouw!$E$35</f>
        <v>0</v>
      </c>
      <c r="Y173" s="85"/>
      <c r="Z173" s="89">
        <f>IF(Ruimtestaat[[#This Row],[Frequentie weekend]]&gt;0,VALUE(LEFT(Y173,1))*R173,0)</f>
        <v>0</v>
      </c>
      <c r="AA173" s="85">
        <f>IF($Z173&gt;0,VLOOKUP($J173,Ruimtegroepen[],3,FALSE)*VLOOKUP($L173,Vloersoorten[],3,FALSE)*VLOOKUP($Y173,Frequenties[],3,FALSE)*VLOOKUP(#REF!,Locaties[],3,FALSE),0)</f>
        <v>0</v>
      </c>
      <c r="AB173" s="87">
        <f>Ruimtestaat[[#This Row],[Uitvoeringen weekend]]*Ruimtestaat[[#This Row],[Oppervlak (netto)]]</f>
        <v>0</v>
      </c>
      <c r="AC173" s="90">
        <f>IF(AB173&gt;0,Ruimtestaat[[#This Row],[Prest. (m2 /jaar) weekend]]/Ruimtestaat[[#This Row],[Norm (m2/uur) weekend]],0)</f>
        <v>0</v>
      </c>
      <c r="AD173" s="91">
        <f>Ruimtestaat[[#This Row],[uren / jaar weekend]]*Tariefsopbouw!$D$40</f>
        <v>0</v>
      </c>
      <c r="AE173" s="60">
        <f>Ruimtestaat[[#This Row],[Prest. (m2 /jaar) weekend]]+Ruimtestaat[[#This Row],[Prest. (m2 /jaar) werkdagen]]</f>
        <v>0</v>
      </c>
      <c r="AF173" s="60">
        <f>Ruimtestaat[[#This Row],[uren / jaar weekend]]+Ruimtestaat[[#This Row],[uren / jaar werkdagen]]</f>
        <v>0</v>
      </c>
      <c r="AG173" s="61">
        <f>Ruimtestaat[[#This Row],[kosten / jaar weekend]]+Ruimtestaat[[#This Row],[kosten / jaar werkdagen]]</f>
        <v>0</v>
      </c>
      <c r="AH173" s="92"/>
      <c r="HL173" s="59"/>
    </row>
    <row r="174" spans="1:220">
      <c r="A174" s="24">
        <v>1</v>
      </c>
      <c r="B174" s="24" t="str">
        <f>VLOOKUP(Ruimtestaat[[#This Row],[Code]],Locaties[#All],2,FALSE)</f>
        <v>Boerhaave + buitenunits</v>
      </c>
      <c r="C174" s="24" t="str">
        <f>VLOOKUP(Ruimtestaat[[#This Row],[Code]],Locaties[#All],4,FALSE)</f>
        <v>Herman Boerhaavelaan 1</v>
      </c>
      <c r="D174" s="24" t="str">
        <f>VLOOKUP(Ruimtestaat[[#This Row],[Code]],Locaties[#All],5,FALSE)</f>
        <v>7415 ES</v>
      </c>
      <c r="E174" s="24" t="str">
        <f>VLOOKUP(Ruimtestaat[[#This Row],[Code]],Locaties[#All],6,FALSE)</f>
        <v>Deventer</v>
      </c>
      <c r="F174" s="54"/>
      <c r="G174" s="24" t="s">
        <v>599</v>
      </c>
      <c r="H174" s="24" t="s">
        <v>607</v>
      </c>
      <c r="I174" s="4" t="s">
        <v>394</v>
      </c>
      <c r="J174" s="24">
        <v>22</v>
      </c>
      <c r="K174" s="54" t="str">
        <f>VLOOKUP(J174,Ruimtegroepen[],2,FALSE)</f>
        <v>Niet in onderhoud</v>
      </c>
      <c r="L174" s="24" t="s">
        <v>308</v>
      </c>
      <c r="M174" s="24" t="s">
        <v>590</v>
      </c>
      <c r="N174" s="83"/>
      <c r="O174" s="83">
        <v>48.41</v>
      </c>
      <c r="P174" s="93" t="str">
        <f>LEFT(VLOOKUP(Ruimtestaat[[#This Row],[Ruimte code]],Ruimtegroepen[#All],4,1),2)</f>
        <v/>
      </c>
      <c r="Q174" s="93"/>
      <c r="R174" s="84"/>
      <c r="S174" s="84"/>
      <c r="T174" s="85">
        <f>IF(R174&gt;0,IF(RIGHT(Ruimtestaat[[#This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4" s="85">
        <f>IF(T174&gt;0,VLOOKUP($J174,Ruimtegroepen[],3,FALSE)*VLOOKUP($L174,Vloersoorten[],3,FALSE)*VLOOKUP($S174,Frequenties[],3,FALSE)*VLOOKUP($A174,Locaties[],3,FALSE),0)</f>
        <v>0</v>
      </c>
      <c r="V174" s="86">
        <f>Ruimtestaat[[#This Row],[Uitvoeringen werkdagen]]*Ruimtestaat[[#This Row],[Oppervlak (netto)]]</f>
        <v>0</v>
      </c>
      <c r="W174" s="87">
        <f>IF(U174&gt;0,Ruimtestaat[[#This Row],[Prest. (m2 /jaar) werkdagen]]/Ruimtestaat[[#This Row],[Norm (m2/uur) werkdagen]],0)</f>
        <v>0</v>
      </c>
      <c r="X174" s="88">
        <f>Ruimtestaat[[#This Row],[uren / jaar werkdagen]]*Tariefsopbouw!$E$35</f>
        <v>0</v>
      </c>
      <c r="Y174" s="85"/>
      <c r="Z174" s="89">
        <f>IF(Ruimtestaat[[#This Row],[Frequentie weekend]]&gt;0,VALUE(LEFT(Y174,1))*R174,0)</f>
        <v>0</v>
      </c>
      <c r="AA174" s="85">
        <f>IF($Z174&gt;0,VLOOKUP($J174,Ruimtegroepen[],3,FALSE)*VLOOKUP($L174,Vloersoorten[],3,FALSE)*VLOOKUP($Y174,Frequenties[],3,FALSE)*VLOOKUP(#REF!,Locaties[],3,FALSE),0)</f>
        <v>0</v>
      </c>
      <c r="AB174" s="87">
        <f>Ruimtestaat[[#This Row],[Uitvoeringen weekend]]*Ruimtestaat[[#This Row],[Oppervlak (netto)]]</f>
        <v>0</v>
      </c>
      <c r="AC174" s="90">
        <f>IF(AB174&gt;0,Ruimtestaat[[#This Row],[Prest. (m2 /jaar) weekend]]/Ruimtestaat[[#This Row],[Norm (m2/uur) weekend]],0)</f>
        <v>0</v>
      </c>
      <c r="AD174" s="91">
        <f>Ruimtestaat[[#This Row],[uren / jaar weekend]]*Tariefsopbouw!$D$40</f>
        <v>0</v>
      </c>
      <c r="AE174" s="60">
        <f>Ruimtestaat[[#This Row],[Prest. (m2 /jaar) weekend]]+Ruimtestaat[[#This Row],[Prest. (m2 /jaar) werkdagen]]</f>
        <v>0</v>
      </c>
      <c r="AF174" s="60">
        <f>Ruimtestaat[[#This Row],[uren / jaar weekend]]+Ruimtestaat[[#This Row],[uren / jaar werkdagen]]</f>
        <v>0</v>
      </c>
      <c r="AG174" s="61">
        <f>Ruimtestaat[[#This Row],[kosten / jaar weekend]]+Ruimtestaat[[#This Row],[kosten / jaar werkdagen]]</f>
        <v>0</v>
      </c>
      <c r="AH174" s="92"/>
      <c r="HL174" s="59"/>
    </row>
    <row r="175" spans="1:220">
      <c r="A175" s="24">
        <v>1</v>
      </c>
      <c r="B175" s="24" t="str">
        <f>VLOOKUP(Ruimtestaat[[#This Row],[Code]],Locaties[#All],2,FALSE)</f>
        <v>Boerhaave + buitenunits</v>
      </c>
      <c r="C175" s="24" t="str">
        <f>VLOOKUP(Ruimtestaat[[#This Row],[Code]],Locaties[#All],4,FALSE)</f>
        <v>Herman Boerhaavelaan 1</v>
      </c>
      <c r="D175" s="24" t="str">
        <f>VLOOKUP(Ruimtestaat[[#This Row],[Code]],Locaties[#All],5,FALSE)</f>
        <v>7415 ES</v>
      </c>
      <c r="E175" s="24" t="str">
        <f>VLOOKUP(Ruimtestaat[[#This Row],[Code]],Locaties[#All],6,FALSE)</f>
        <v>Deventer</v>
      </c>
      <c r="F175" s="54"/>
      <c r="G175" s="24" t="s">
        <v>599</v>
      </c>
      <c r="H175" s="24" t="s">
        <v>608</v>
      </c>
      <c r="I175" s="4" t="s">
        <v>394</v>
      </c>
      <c r="J175" s="24">
        <v>22</v>
      </c>
      <c r="K175" s="54" t="str">
        <f>VLOOKUP(J175,Ruimtegroepen[],2,FALSE)</f>
        <v>Niet in onderhoud</v>
      </c>
      <c r="L175" s="24" t="s">
        <v>308</v>
      </c>
      <c r="M175" s="24" t="s">
        <v>590</v>
      </c>
      <c r="N175" s="83"/>
      <c r="O175" s="83">
        <v>48.42</v>
      </c>
      <c r="P175" s="93" t="str">
        <f>LEFT(VLOOKUP(Ruimtestaat[[#This Row],[Ruimte code]],Ruimtegroepen[#All],4,1),2)</f>
        <v/>
      </c>
      <c r="Q175" s="93"/>
      <c r="R175" s="84"/>
      <c r="S175" s="84"/>
      <c r="T175" s="85">
        <f>IF(R175&gt;0,IF(RIGHT(Ruimtestaat[[#This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5" s="85">
        <f>IF(T175&gt;0,VLOOKUP($J175,Ruimtegroepen[],3,FALSE)*VLOOKUP($L175,Vloersoorten[],3,FALSE)*VLOOKUP($S175,Frequenties[],3,FALSE)*VLOOKUP($A175,Locaties[],3,FALSE),0)</f>
        <v>0</v>
      </c>
      <c r="V175" s="86">
        <f>Ruimtestaat[[#This Row],[Uitvoeringen werkdagen]]*Ruimtestaat[[#This Row],[Oppervlak (netto)]]</f>
        <v>0</v>
      </c>
      <c r="W175" s="87">
        <f>IF(U175&gt;0,Ruimtestaat[[#This Row],[Prest. (m2 /jaar) werkdagen]]/Ruimtestaat[[#This Row],[Norm (m2/uur) werkdagen]],0)</f>
        <v>0</v>
      </c>
      <c r="X175" s="88">
        <f>Ruimtestaat[[#This Row],[uren / jaar werkdagen]]*Tariefsopbouw!$E$35</f>
        <v>0</v>
      </c>
      <c r="Y175" s="85"/>
      <c r="Z175" s="89">
        <f>IF(Ruimtestaat[[#This Row],[Frequentie weekend]]&gt;0,VALUE(LEFT(Y175,1))*R175,0)</f>
        <v>0</v>
      </c>
      <c r="AA175" s="85">
        <f>IF($Z175&gt;0,VLOOKUP($J175,Ruimtegroepen[],3,FALSE)*VLOOKUP($L175,Vloersoorten[],3,FALSE)*VLOOKUP($Y175,Frequenties[],3,FALSE)*VLOOKUP(#REF!,Locaties[],3,FALSE),0)</f>
        <v>0</v>
      </c>
      <c r="AB175" s="87">
        <f>Ruimtestaat[[#This Row],[Uitvoeringen weekend]]*Ruimtestaat[[#This Row],[Oppervlak (netto)]]</f>
        <v>0</v>
      </c>
      <c r="AC175" s="90">
        <f>IF(AB175&gt;0,Ruimtestaat[[#This Row],[Prest. (m2 /jaar) weekend]]/Ruimtestaat[[#This Row],[Norm (m2/uur) weekend]],0)</f>
        <v>0</v>
      </c>
      <c r="AD175" s="91">
        <f>Ruimtestaat[[#This Row],[uren / jaar weekend]]*Tariefsopbouw!$D$40</f>
        <v>0</v>
      </c>
      <c r="AE175" s="60">
        <f>Ruimtestaat[[#This Row],[Prest. (m2 /jaar) weekend]]+Ruimtestaat[[#This Row],[Prest. (m2 /jaar) werkdagen]]</f>
        <v>0</v>
      </c>
      <c r="AF175" s="60">
        <f>Ruimtestaat[[#This Row],[uren / jaar weekend]]+Ruimtestaat[[#This Row],[uren / jaar werkdagen]]</f>
        <v>0</v>
      </c>
      <c r="AG175" s="61">
        <f>Ruimtestaat[[#This Row],[kosten / jaar weekend]]+Ruimtestaat[[#This Row],[kosten / jaar werkdagen]]</f>
        <v>0</v>
      </c>
      <c r="AH175" s="92"/>
      <c r="HL175" s="59"/>
    </row>
    <row r="176" spans="1:220">
      <c r="A176" s="24">
        <v>1</v>
      </c>
      <c r="B176" s="24" t="str">
        <f>VLOOKUP(Ruimtestaat[[#This Row],[Code]],Locaties[#All],2,FALSE)</f>
        <v>Boerhaave + buitenunits</v>
      </c>
      <c r="C176" s="24" t="str">
        <f>VLOOKUP(Ruimtestaat[[#This Row],[Code]],Locaties[#All],4,FALSE)</f>
        <v>Herman Boerhaavelaan 1</v>
      </c>
      <c r="D176" s="24" t="str">
        <f>VLOOKUP(Ruimtestaat[[#This Row],[Code]],Locaties[#All],5,FALSE)</f>
        <v>7415 ES</v>
      </c>
      <c r="E176" s="24" t="str">
        <f>VLOOKUP(Ruimtestaat[[#This Row],[Code]],Locaties[#All],6,FALSE)</f>
        <v>Deventer</v>
      </c>
      <c r="F176" s="54"/>
      <c r="G176" s="24" t="s">
        <v>599</v>
      </c>
      <c r="H176" s="24" t="s">
        <v>609</v>
      </c>
      <c r="I176" s="4" t="s">
        <v>394</v>
      </c>
      <c r="J176" s="24">
        <v>22</v>
      </c>
      <c r="K176" s="54" t="str">
        <f>VLOOKUP(J176,Ruimtegroepen[],2,FALSE)</f>
        <v>Niet in onderhoud</v>
      </c>
      <c r="L176" s="24" t="s">
        <v>308</v>
      </c>
      <c r="M176" s="24" t="s">
        <v>590</v>
      </c>
      <c r="N176" s="83"/>
      <c r="O176" s="83">
        <v>48.43</v>
      </c>
      <c r="P176" s="93" t="str">
        <f>LEFT(VLOOKUP(Ruimtestaat[[#This Row],[Ruimte code]],Ruimtegroepen[#All],4,1),2)</f>
        <v/>
      </c>
      <c r="Q176" s="93"/>
      <c r="R176" s="84"/>
      <c r="S176" s="84"/>
      <c r="T176" s="85">
        <f>IF(R176&gt;0,IF(RIGHT(Ruimtestaat[[#This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6" s="85">
        <f>IF(T176&gt;0,VLOOKUP($J176,Ruimtegroepen[],3,FALSE)*VLOOKUP($L176,Vloersoorten[],3,FALSE)*VLOOKUP($S176,Frequenties[],3,FALSE)*VLOOKUP($A176,Locaties[],3,FALSE),0)</f>
        <v>0</v>
      </c>
      <c r="V176" s="86">
        <f>Ruimtestaat[[#This Row],[Uitvoeringen werkdagen]]*Ruimtestaat[[#This Row],[Oppervlak (netto)]]</f>
        <v>0</v>
      </c>
      <c r="W176" s="87">
        <f>IF(U176&gt;0,Ruimtestaat[[#This Row],[Prest. (m2 /jaar) werkdagen]]/Ruimtestaat[[#This Row],[Norm (m2/uur) werkdagen]],0)</f>
        <v>0</v>
      </c>
      <c r="X176" s="88">
        <f>Ruimtestaat[[#This Row],[uren / jaar werkdagen]]*Tariefsopbouw!$E$35</f>
        <v>0</v>
      </c>
      <c r="Y176" s="85"/>
      <c r="Z176" s="89">
        <f>IF(Ruimtestaat[[#This Row],[Frequentie weekend]]&gt;0,VALUE(LEFT(Y176,1))*R176,0)</f>
        <v>0</v>
      </c>
      <c r="AA176" s="85">
        <f>IF($Z176&gt;0,VLOOKUP($J176,Ruimtegroepen[],3,FALSE)*VLOOKUP($L176,Vloersoorten[],3,FALSE)*VLOOKUP($Y176,Frequenties[],3,FALSE)*VLOOKUP(#REF!,Locaties[],3,FALSE),0)</f>
        <v>0</v>
      </c>
      <c r="AB176" s="87">
        <f>Ruimtestaat[[#This Row],[Uitvoeringen weekend]]*Ruimtestaat[[#This Row],[Oppervlak (netto)]]</f>
        <v>0</v>
      </c>
      <c r="AC176" s="90">
        <f>IF(AB176&gt;0,Ruimtestaat[[#This Row],[Prest. (m2 /jaar) weekend]]/Ruimtestaat[[#This Row],[Norm (m2/uur) weekend]],0)</f>
        <v>0</v>
      </c>
      <c r="AD176" s="91">
        <f>Ruimtestaat[[#This Row],[uren / jaar weekend]]*Tariefsopbouw!$D$40</f>
        <v>0</v>
      </c>
      <c r="AE176" s="60">
        <f>Ruimtestaat[[#This Row],[Prest. (m2 /jaar) weekend]]+Ruimtestaat[[#This Row],[Prest. (m2 /jaar) werkdagen]]</f>
        <v>0</v>
      </c>
      <c r="AF176" s="60">
        <f>Ruimtestaat[[#This Row],[uren / jaar weekend]]+Ruimtestaat[[#This Row],[uren / jaar werkdagen]]</f>
        <v>0</v>
      </c>
      <c r="AG176" s="61">
        <f>Ruimtestaat[[#This Row],[kosten / jaar weekend]]+Ruimtestaat[[#This Row],[kosten / jaar werkdagen]]</f>
        <v>0</v>
      </c>
      <c r="AH176" s="92"/>
      <c r="HL176" s="59"/>
    </row>
    <row r="177" spans="1:220">
      <c r="A177" s="24">
        <v>1</v>
      </c>
      <c r="B177" s="24" t="str">
        <f>VLOOKUP(Ruimtestaat[[#This Row],[Code]],Locaties[#All],2,FALSE)</f>
        <v>Boerhaave + buitenunits</v>
      </c>
      <c r="C177" s="24" t="str">
        <f>VLOOKUP(Ruimtestaat[[#This Row],[Code]],Locaties[#All],4,FALSE)</f>
        <v>Herman Boerhaavelaan 1</v>
      </c>
      <c r="D177" s="24" t="str">
        <f>VLOOKUP(Ruimtestaat[[#This Row],[Code]],Locaties[#All],5,FALSE)</f>
        <v>7415 ES</v>
      </c>
      <c r="E177" s="24" t="str">
        <f>VLOOKUP(Ruimtestaat[[#This Row],[Code]],Locaties[#All],6,FALSE)</f>
        <v>Deventer</v>
      </c>
      <c r="F177" s="54"/>
      <c r="G177" s="24" t="s">
        <v>599</v>
      </c>
      <c r="H177" s="24" t="s">
        <v>610</v>
      </c>
      <c r="I177" s="4" t="s">
        <v>394</v>
      </c>
      <c r="J177" s="24">
        <v>22</v>
      </c>
      <c r="K177" s="54" t="str">
        <f>VLOOKUP(J177,Ruimtegroepen[],2,FALSE)</f>
        <v>Niet in onderhoud</v>
      </c>
      <c r="L177" s="24" t="s">
        <v>308</v>
      </c>
      <c r="M177" s="24" t="s">
        <v>590</v>
      </c>
      <c r="N177" s="83"/>
      <c r="O177" s="83">
        <v>20.96</v>
      </c>
      <c r="P177" s="93" t="str">
        <f>LEFT(VLOOKUP(Ruimtestaat[[#This Row],[Ruimte code]],Ruimtegroepen[#All],4,1),2)</f>
        <v/>
      </c>
      <c r="Q177" s="93"/>
      <c r="R177" s="84"/>
      <c r="S177" s="84"/>
      <c r="T177" s="85">
        <f>IF(R177&gt;0,IF(RIGHT(Ruimtestaat[[#This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7" s="85">
        <f>IF(T177&gt;0,VLOOKUP($J177,Ruimtegroepen[],3,FALSE)*VLOOKUP($L177,Vloersoorten[],3,FALSE)*VLOOKUP($S177,Frequenties[],3,FALSE)*VLOOKUP($A177,Locaties[],3,FALSE),0)</f>
        <v>0</v>
      </c>
      <c r="V177" s="86">
        <f>Ruimtestaat[[#This Row],[Uitvoeringen werkdagen]]*Ruimtestaat[[#This Row],[Oppervlak (netto)]]</f>
        <v>0</v>
      </c>
      <c r="W177" s="87">
        <f>IF(U177&gt;0,Ruimtestaat[[#This Row],[Prest. (m2 /jaar) werkdagen]]/Ruimtestaat[[#This Row],[Norm (m2/uur) werkdagen]],0)</f>
        <v>0</v>
      </c>
      <c r="X177" s="88">
        <f>Ruimtestaat[[#This Row],[uren / jaar werkdagen]]*Tariefsopbouw!$E$35</f>
        <v>0</v>
      </c>
      <c r="Y177" s="85"/>
      <c r="Z177" s="89">
        <f>IF(Ruimtestaat[[#This Row],[Frequentie weekend]]&gt;0,VALUE(LEFT(Y177,1))*R177,0)</f>
        <v>0</v>
      </c>
      <c r="AA177" s="85">
        <f>IF($Z177&gt;0,VLOOKUP($J177,Ruimtegroepen[],3,FALSE)*VLOOKUP($L177,Vloersoorten[],3,FALSE)*VLOOKUP($Y177,Frequenties[],3,FALSE)*VLOOKUP($A173,Locaties[],3,FALSE),0)</f>
        <v>0</v>
      </c>
      <c r="AB177" s="87">
        <f>Ruimtestaat[[#This Row],[Uitvoeringen weekend]]*Ruimtestaat[[#This Row],[Oppervlak (netto)]]</f>
        <v>0</v>
      </c>
      <c r="AC177" s="90">
        <f>IF(AB177&gt;0,Ruimtestaat[[#This Row],[Prest. (m2 /jaar) weekend]]/Ruimtestaat[[#This Row],[Norm (m2/uur) weekend]],0)</f>
        <v>0</v>
      </c>
      <c r="AD177" s="91">
        <f>Ruimtestaat[[#This Row],[uren / jaar weekend]]*Tariefsopbouw!$D$40</f>
        <v>0</v>
      </c>
      <c r="AE177" s="60">
        <f>Ruimtestaat[[#This Row],[Prest. (m2 /jaar) weekend]]+Ruimtestaat[[#This Row],[Prest. (m2 /jaar) werkdagen]]</f>
        <v>0</v>
      </c>
      <c r="AF177" s="60">
        <f>Ruimtestaat[[#This Row],[uren / jaar weekend]]+Ruimtestaat[[#This Row],[uren / jaar werkdagen]]</f>
        <v>0</v>
      </c>
      <c r="AG177" s="61">
        <f>Ruimtestaat[[#This Row],[kosten / jaar weekend]]+Ruimtestaat[[#This Row],[kosten / jaar werkdagen]]</f>
        <v>0</v>
      </c>
      <c r="AH177" s="92"/>
      <c r="HL177" s="59"/>
    </row>
    <row r="178" spans="1:220">
      <c r="A178" s="24">
        <v>1</v>
      </c>
      <c r="B178" s="24" t="str">
        <f>VLOOKUP(Ruimtestaat[[#This Row],[Code]],Locaties[#All],2,FALSE)</f>
        <v>Boerhaave + buitenunits</v>
      </c>
      <c r="C178" s="24" t="str">
        <f>VLOOKUP(Ruimtestaat[[#This Row],[Code]],Locaties[#All],4,FALSE)</f>
        <v>Herman Boerhaavelaan 1</v>
      </c>
      <c r="D178" s="24" t="str">
        <f>VLOOKUP(Ruimtestaat[[#This Row],[Code]],Locaties[#All],5,FALSE)</f>
        <v>7415 ES</v>
      </c>
      <c r="E178" s="24" t="str">
        <f>VLOOKUP(Ruimtestaat[[#This Row],[Code]],Locaties[#All],6,FALSE)</f>
        <v>Deventer</v>
      </c>
      <c r="F178" s="54"/>
      <c r="G178" s="24" t="s">
        <v>599</v>
      </c>
      <c r="H178" s="24" t="s">
        <v>611</v>
      </c>
      <c r="I178" s="4" t="s">
        <v>394</v>
      </c>
      <c r="J178" s="24">
        <v>22</v>
      </c>
      <c r="K178" s="54" t="str">
        <f>VLOOKUP(J178,Ruimtegroepen[],2,FALSE)</f>
        <v>Niet in onderhoud</v>
      </c>
      <c r="L178" s="24" t="s">
        <v>308</v>
      </c>
      <c r="M178" s="24" t="s">
        <v>590</v>
      </c>
      <c r="N178" s="83"/>
      <c r="O178" s="83">
        <v>41.57</v>
      </c>
      <c r="P178" s="93" t="str">
        <f>LEFT(VLOOKUP(Ruimtestaat[[#This Row],[Ruimte code]],Ruimtegroepen[#All],4,1),2)</f>
        <v/>
      </c>
      <c r="Q178" s="93"/>
      <c r="R178" s="84"/>
      <c r="S178" s="84"/>
      <c r="T178" s="85">
        <f>IF(R178&gt;0,IF(RIGHT(Ruimtestaat[[#This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8" s="85">
        <f>IF(T178&gt;0,VLOOKUP($J178,Ruimtegroepen[],3,FALSE)*VLOOKUP($L178,Vloersoorten[],3,FALSE)*VLOOKUP($S178,Frequenties[],3,FALSE)*VLOOKUP($A178,Locaties[],3,FALSE),0)</f>
        <v>0</v>
      </c>
      <c r="V178" s="86">
        <f>Ruimtestaat[[#This Row],[Uitvoeringen werkdagen]]*Ruimtestaat[[#This Row],[Oppervlak (netto)]]</f>
        <v>0</v>
      </c>
      <c r="W178" s="87">
        <f>IF(U178&gt;0,Ruimtestaat[[#This Row],[Prest. (m2 /jaar) werkdagen]]/Ruimtestaat[[#This Row],[Norm (m2/uur) werkdagen]],0)</f>
        <v>0</v>
      </c>
      <c r="X178" s="88">
        <f>Ruimtestaat[[#This Row],[uren / jaar werkdagen]]*Tariefsopbouw!$E$35</f>
        <v>0</v>
      </c>
      <c r="Y178" s="85"/>
      <c r="Z178" s="89">
        <f>IF(Ruimtestaat[[#This Row],[Frequentie weekend]]&gt;0,VALUE(LEFT(Y178,1))*R178,0)</f>
        <v>0</v>
      </c>
      <c r="AA178" s="85">
        <f>IF($Z178&gt;0,VLOOKUP($J178,Ruimtegroepen[],3,FALSE)*VLOOKUP($L178,Vloersoorten[],3,FALSE)*VLOOKUP($Y178,Frequenties[],3,FALSE)*VLOOKUP($A174,Locaties[],3,FALSE),0)</f>
        <v>0</v>
      </c>
      <c r="AB178" s="87">
        <f>Ruimtestaat[[#This Row],[Uitvoeringen weekend]]*Ruimtestaat[[#This Row],[Oppervlak (netto)]]</f>
        <v>0</v>
      </c>
      <c r="AC178" s="90">
        <f>IF(AB178&gt;0,Ruimtestaat[[#This Row],[Prest. (m2 /jaar) weekend]]/Ruimtestaat[[#This Row],[Norm (m2/uur) weekend]],0)</f>
        <v>0</v>
      </c>
      <c r="AD178" s="91">
        <f>Ruimtestaat[[#This Row],[uren / jaar weekend]]*Tariefsopbouw!$D$40</f>
        <v>0</v>
      </c>
      <c r="AE178" s="60">
        <f>Ruimtestaat[[#This Row],[Prest. (m2 /jaar) weekend]]+Ruimtestaat[[#This Row],[Prest. (m2 /jaar) werkdagen]]</f>
        <v>0</v>
      </c>
      <c r="AF178" s="60">
        <f>Ruimtestaat[[#This Row],[uren / jaar weekend]]+Ruimtestaat[[#This Row],[uren / jaar werkdagen]]</f>
        <v>0</v>
      </c>
      <c r="AG178" s="61">
        <f>Ruimtestaat[[#This Row],[kosten / jaar weekend]]+Ruimtestaat[[#This Row],[kosten / jaar werkdagen]]</f>
        <v>0</v>
      </c>
      <c r="AH178" s="92"/>
      <c r="HL178" s="59"/>
    </row>
    <row r="179" spans="1:220">
      <c r="A179" s="24">
        <v>1</v>
      </c>
      <c r="B179" s="24" t="str">
        <f>VLOOKUP(Ruimtestaat[[#This Row],[Code]],Locaties[#All],2,FALSE)</f>
        <v>Boerhaave + buitenunits</v>
      </c>
      <c r="C179" s="24" t="str">
        <f>VLOOKUP(Ruimtestaat[[#This Row],[Code]],Locaties[#All],4,FALSE)</f>
        <v>Herman Boerhaavelaan 1</v>
      </c>
      <c r="D179" s="24" t="str">
        <f>VLOOKUP(Ruimtestaat[[#This Row],[Code]],Locaties[#All],5,FALSE)</f>
        <v>7415 ES</v>
      </c>
      <c r="E179" s="24" t="str">
        <f>VLOOKUP(Ruimtestaat[[#This Row],[Code]],Locaties[#All],6,FALSE)</f>
        <v>Deventer</v>
      </c>
      <c r="F179" s="54"/>
      <c r="G179" s="24" t="s">
        <v>612</v>
      </c>
      <c r="H179" s="24" t="s">
        <v>486</v>
      </c>
      <c r="I179" s="4" t="s">
        <v>487</v>
      </c>
      <c r="J179" s="24">
        <v>6</v>
      </c>
      <c r="K179" s="54" t="str">
        <f>VLOOKUP(J179,Ruimtegroepen[],2,FALSE)</f>
        <v>Gangen/hallen</v>
      </c>
      <c r="L179" s="24" t="s">
        <v>311</v>
      </c>
      <c r="M179" s="24" t="s">
        <v>370</v>
      </c>
      <c r="N179" s="83">
        <v>44.75</v>
      </c>
      <c r="O179" s="83"/>
      <c r="P179" s="93" t="str">
        <f>LEFT(VLOOKUP(Ruimtestaat[[#This Row],[Ruimte code]],Ruimtegroepen[#All],4,1),2)</f>
        <v>Ve</v>
      </c>
      <c r="Q179" s="93"/>
      <c r="R179" s="84">
        <v>40</v>
      </c>
      <c r="S179" s="84" t="s">
        <v>318</v>
      </c>
      <c r="T179" s="85">
        <f>IF(R179&gt;0,IF(RIGHT(Ruimtestaat[[#This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9" s="85">
        <f>IF(T179&gt;0,VLOOKUP($J179,Ruimtegroepen[],3,FALSE)*VLOOKUP($L179,Vloersoorten[],3,FALSE)*VLOOKUP($S179,Frequenties[],3,FALSE)*VLOOKUP($A179,Locaties[],3,FALSE),0)</f>
        <v>0</v>
      </c>
      <c r="V179" s="86">
        <f>Ruimtestaat[[#This Row],[Uitvoeringen werkdagen]]*Ruimtestaat[[#This Row],[Oppervlak (netto)]]</f>
        <v>8950</v>
      </c>
      <c r="W179" s="87">
        <f>IF(U179&gt;0,Ruimtestaat[[#This Row],[Prest. (m2 /jaar) werkdagen]]/Ruimtestaat[[#This Row],[Norm (m2/uur) werkdagen]],0)</f>
        <v>0</v>
      </c>
      <c r="X179" s="88">
        <f>Ruimtestaat[[#This Row],[uren / jaar werkdagen]]*Tariefsopbouw!$E$35</f>
        <v>0</v>
      </c>
      <c r="Y179" s="85"/>
      <c r="Z179" s="89">
        <f>IF(Ruimtestaat[[#This Row],[Frequentie weekend]]&gt;0,VALUE(LEFT(Y179,1))*R179,0)</f>
        <v>0</v>
      </c>
      <c r="AA179" s="85">
        <f>IF($Z179&gt;0,VLOOKUP($J179,Ruimtegroepen[],3,FALSE)*VLOOKUP($L179,Vloersoorten[],3,FALSE)*VLOOKUP($Y179,Frequenties[],3,FALSE)*VLOOKUP($A175,Locaties[],3,FALSE),0)</f>
        <v>0</v>
      </c>
      <c r="AB179" s="87">
        <f>Ruimtestaat[[#This Row],[Uitvoeringen weekend]]*Ruimtestaat[[#This Row],[Oppervlak (netto)]]</f>
        <v>0</v>
      </c>
      <c r="AC179" s="90">
        <f>IF(AB179&gt;0,Ruimtestaat[[#This Row],[Prest. (m2 /jaar) weekend]]/Ruimtestaat[[#This Row],[Norm (m2/uur) weekend]],0)</f>
        <v>0</v>
      </c>
      <c r="AD179" s="91">
        <f>Ruimtestaat[[#This Row],[uren / jaar weekend]]*Tariefsopbouw!$D$40</f>
        <v>0</v>
      </c>
      <c r="AE179" s="60">
        <f>Ruimtestaat[[#This Row],[Prest. (m2 /jaar) weekend]]+Ruimtestaat[[#This Row],[Prest. (m2 /jaar) werkdagen]]</f>
        <v>8950</v>
      </c>
      <c r="AF179" s="60">
        <f>Ruimtestaat[[#This Row],[uren / jaar weekend]]+Ruimtestaat[[#This Row],[uren / jaar werkdagen]]</f>
        <v>0</v>
      </c>
      <c r="AG179" s="61">
        <f>Ruimtestaat[[#This Row],[kosten / jaar weekend]]+Ruimtestaat[[#This Row],[kosten / jaar werkdagen]]</f>
        <v>0</v>
      </c>
      <c r="AH179" s="92"/>
      <c r="HL179" s="59"/>
    </row>
    <row r="180" spans="1:220">
      <c r="A180" s="24">
        <v>1</v>
      </c>
      <c r="B180" s="24" t="str">
        <f>VLOOKUP(Ruimtestaat[[#This Row],[Code]],Locaties[#All],2,FALSE)</f>
        <v>Boerhaave + buitenunits</v>
      </c>
      <c r="C180" s="24" t="str">
        <f>VLOOKUP(Ruimtestaat[[#This Row],[Code]],Locaties[#All],4,FALSE)</f>
        <v>Herman Boerhaavelaan 1</v>
      </c>
      <c r="D180" s="24" t="str">
        <f>VLOOKUP(Ruimtestaat[[#This Row],[Code]],Locaties[#All],5,FALSE)</f>
        <v>7415 ES</v>
      </c>
      <c r="E180" s="24" t="str">
        <f>VLOOKUP(Ruimtestaat[[#This Row],[Code]],Locaties[#All],6,FALSE)</f>
        <v>Deventer</v>
      </c>
      <c r="F180" s="54"/>
      <c r="G180" s="24" t="s">
        <v>612</v>
      </c>
      <c r="H180" s="24" t="s">
        <v>488</v>
      </c>
      <c r="I180" s="4" t="s">
        <v>487</v>
      </c>
      <c r="J180" s="24">
        <v>6</v>
      </c>
      <c r="K180" s="54" t="str">
        <f>VLOOKUP(J180,Ruimtegroepen[],2,FALSE)</f>
        <v>Gangen/hallen</v>
      </c>
      <c r="L180" s="24" t="s">
        <v>311</v>
      </c>
      <c r="M180" s="24" t="s">
        <v>370</v>
      </c>
      <c r="N180" s="94">
        <v>19.38</v>
      </c>
      <c r="O180" s="83"/>
      <c r="P180" s="93" t="str">
        <f>LEFT(VLOOKUP(Ruimtestaat[[#This Row],[Ruimte code]],Ruimtegroepen[#All],4,1),2)</f>
        <v>Ve</v>
      </c>
      <c r="Q180" s="93"/>
      <c r="R180" s="84">
        <v>40</v>
      </c>
      <c r="S180" s="84" t="s">
        <v>318</v>
      </c>
      <c r="T180" s="85">
        <f>IF(R180&gt;0,IF(RIGHT(Ruimtestaat[[#This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0" s="85">
        <f>IF(T180&gt;0,VLOOKUP($J180,Ruimtegroepen[],3,FALSE)*VLOOKUP($L180,Vloersoorten[],3,FALSE)*VLOOKUP($S180,Frequenties[],3,FALSE)*VLOOKUP($A180,Locaties[],3,FALSE),0)</f>
        <v>0</v>
      </c>
      <c r="V180" s="86">
        <f>Ruimtestaat[[#This Row],[Uitvoeringen werkdagen]]*Ruimtestaat[[#This Row],[Oppervlak (netto)]]</f>
        <v>3876</v>
      </c>
      <c r="W180" s="87">
        <f>IF(U180&gt;0,Ruimtestaat[[#This Row],[Prest. (m2 /jaar) werkdagen]]/Ruimtestaat[[#This Row],[Norm (m2/uur) werkdagen]],0)</f>
        <v>0</v>
      </c>
      <c r="X180" s="88">
        <f>Ruimtestaat[[#This Row],[uren / jaar werkdagen]]*Tariefsopbouw!$E$35</f>
        <v>0</v>
      </c>
      <c r="Y180" s="85"/>
      <c r="Z180" s="89">
        <f>IF(Ruimtestaat[[#This Row],[Frequentie weekend]]&gt;0,VALUE(LEFT(Y180,1))*R180,0)</f>
        <v>0</v>
      </c>
      <c r="AA180" s="85">
        <f>IF($Z180&gt;0,VLOOKUP($J180,Ruimtegroepen[],3,FALSE)*VLOOKUP($L180,Vloersoorten[],3,FALSE)*VLOOKUP($Y180,Frequenties[],3,FALSE)*VLOOKUP($A176,Locaties[],3,FALSE),0)</f>
        <v>0</v>
      </c>
      <c r="AB180" s="87">
        <f>Ruimtestaat[[#This Row],[Uitvoeringen weekend]]*Ruimtestaat[[#This Row],[Oppervlak (netto)]]</f>
        <v>0</v>
      </c>
      <c r="AC180" s="90">
        <f>IF(AB180&gt;0,Ruimtestaat[[#This Row],[Prest. (m2 /jaar) weekend]]/Ruimtestaat[[#This Row],[Norm (m2/uur) weekend]],0)</f>
        <v>0</v>
      </c>
      <c r="AD180" s="91">
        <f>Ruimtestaat[[#This Row],[uren / jaar weekend]]*Tariefsopbouw!$D$40</f>
        <v>0</v>
      </c>
      <c r="AE180" s="60">
        <f>Ruimtestaat[[#This Row],[Prest. (m2 /jaar) weekend]]+Ruimtestaat[[#This Row],[Prest. (m2 /jaar) werkdagen]]</f>
        <v>3876</v>
      </c>
      <c r="AF180" s="60">
        <f>Ruimtestaat[[#This Row],[uren / jaar weekend]]+Ruimtestaat[[#This Row],[uren / jaar werkdagen]]</f>
        <v>0</v>
      </c>
      <c r="AG180" s="61">
        <f>Ruimtestaat[[#This Row],[kosten / jaar weekend]]+Ruimtestaat[[#This Row],[kosten / jaar werkdagen]]</f>
        <v>0</v>
      </c>
      <c r="AH180" s="92"/>
      <c r="HL180" s="59"/>
    </row>
    <row r="181" spans="1:220">
      <c r="A181" s="24">
        <v>1</v>
      </c>
      <c r="B181" s="24" t="str">
        <f>VLOOKUP(Ruimtestaat[[#This Row],[Code]],Locaties[#All],2,FALSE)</f>
        <v>Boerhaave + buitenunits</v>
      </c>
      <c r="C181" s="24" t="str">
        <f>VLOOKUP(Ruimtestaat[[#This Row],[Code]],Locaties[#All],4,FALSE)</f>
        <v>Herman Boerhaavelaan 1</v>
      </c>
      <c r="D181" s="24" t="str">
        <f>VLOOKUP(Ruimtestaat[[#This Row],[Code]],Locaties[#All],5,FALSE)</f>
        <v>7415 ES</v>
      </c>
      <c r="E181" s="24" t="str">
        <f>VLOOKUP(Ruimtestaat[[#This Row],[Code]],Locaties[#All],6,FALSE)</f>
        <v>Deventer</v>
      </c>
      <c r="F181" s="54"/>
      <c r="G181" s="24" t="s">
        <v>612</v>
      </c>
      <c r="H181" s="24" t="s">
        <v>489</v>
      </c>
      <c r="I181" s="4" t="s">
        <v>487</v>
      </c>
      <c r="J181" s="24">
        <v>6</v>
      </c>
      <c r="K181" s="54" t="str">
        <f>VLOOKUP(J181,Ruimtegroepen[],2,FALSE)</f>
        <v>Gangen/hallen</v>
      </c>
      <c r="L181" s="24" t="s">
        <v>311</v>
      </c>
      <c r="M181" s="24" t="s">
        <v>370</v>
      </c>
      <c r="N181" s="83">
        <v>43.54</v>
      </c>
      <c r="O181" s="83"/>
      <c r="P181" s="93" t="str">
        <f>LEFT(VLOOKUP(Ruimtestaat[[#This Row],[Ruimte code]],Ruimtegroepen[#All],4,1),2)</f>
        <v>Ve</v>
      </c>
      <c r="Q181" s="93"/>
      <c r="R181" s="84">
        <v>40</v>
      </c>
      <c r="S181" s="84" t="s">
        <v>318</v>
      </c>
      <c r="T181" s="85">
        <f>IF(R181&gt;0,IF(RIGHT(Ruimtestaat[[#This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1" s="85">
        <f>IF(T181&gt;0,VLOOKUP($J181,Ruimtegroepen[],3,FALSE)*VLOOKUP($L181,Vloersoorten[],3,FALSE)*VLOOKUP($S181,Frequenties[],3,FALSE)*VLOOKUP($A181,Locaties[],3,FALSE),0)</f>
        <v>0</v>
      </c>
      <c r="V181" s="86">
        <f>Ruimtestaat[[#This Row],[Uitvoeringen werkdagen]]*Ruimtestaat[[#This Row],[Oppervlak (netto)]]</f>
        <v>8708</v>
      </c>
      <c r="W181" s="87">
        <f>IF(U181&gt;0,Ruimtestaat[[#This Row],[Prest. (m2 /jaar) werkdagen]]/Ruimtestaat[[#This Row],[Norm (m2/uur) werkdagen]],0)</f>
        <v>0</v>
      </c>
      <c r="X181" s="88">
        <f>Ruimtestaat[[#This Row],[uren / jaar werkdagen]]*Tariefsopbouw!$E$35</f>
        <v>0</v>
      </c>
      <c r="Y181" s="85"/>
      <c r="Z181" s="89">
        <f>IF(Ruimtestaat[[#This Row],[Frequentie weekend]]&gt;0,VALUE(LEFT(Y181,1))*R181,0)</f>
        <v>0</v>
      </c>
      <c r="AA181" s="85">
        <f>IF($Z181&gt;0,VLOOKUP($J181,Ruimtegroepen[],3,FALSE)*VLOOKUP($L181,Vloersoorten[],3,FALSE)*VLOOKUP($Y181,Frequenties[],3,FALSE)*VLOOKUP($A177,Locaties[],3,FALSE),0)</f>
        <v>0</v>
      </c>
      <c r="AB181" s="87">
        <f>Ruimtestaat[[#This Row],[Uitvoeringen weekend]]*Ruimtestaat[[#This Row],[Oppervlak (netto)]]</f>
        <v>0</v>
      </c>
      <c r="AC181" s="90">
        <f>IF(AB181&gt;0,Ruimtestaat[[#This Row],[Prest. (m2 /jaar) weekend]]/Ruimtestaat[[#This Row],[Norm (m2/uur) weekend]],0)</f>
        <v>0</v>
      </c>
      <c r="AD181" s="91">
        <f>Ruimtestaat[[#This Row],[uren / jaar weekend]]*Tariefsopbouw!$D$40</f>
        <v>0</v>
      </c>
      <c r="AE181" s="60">
        <f>Ruimtestaat[[#This Row],[Prest. (m2 /jaar) weekend]]+Ruimtestaat[[#This Row],[Prest. (m2 /jaar) werkdagen]]</f>
        <v>8708</v>
      </c>
      <c r="AF181" s="60">
        <f>Ruimtestaat[[#This Row],[uren / jaar weekend]]+Ruimtestaat[[#This Row],[uren / jaar werkdagen]]</f>
        <v>0</v>
      </c>
      <c r="AG181" s="61">
        <f>Ruimtestaat[[#This Row],[kosten / jaar weekend]]+Ruimtestaat[[#This Row],[kosten / jaar werkdagen]]</f>
        <v>0</v>
      </c>
      <c r="AH181" s="92"/>
      <c r="HL181" s="59"/>
    </row>
    <row r="182" spans="1:220">
      <c r="A182" s="24">
        <v>1</v>
      </c>
      <c r="B182" s="24" t="str">
        <f>VLOOKUP(Ruimtestaat[[#This Row],[Code]],Locaties[#All],2,FALSE)</f>
        <v>Boerhaave + buitenunits</v>
      </c>
      <c r="C182" s="24" t="str">
        <f>VLOOKUP(Ruimtestaat[[#This Row],[Code]],Locaties[#All],4,FALSE)</f>
        <v>Herman Boerhaavelaan 1</v>
      </c>
      <c r="D182" s="24" t="str">
        <f>VLOOKUP(Ruimtestaat[[#This Row],[Code]],Locaties[#All],5,FALSE)</f>
        <v>7415 ES</v>
      </c>
      <c r="E182" s="24" t="str">
        <f>VLOOKUP(Ruimtestaat[[#This Row],[Code]],Locaties[#All],6,FALSE)</f>
        <v>Deventer</v>
      </c>
      <c r="F182" s="54"/>
      <c r="G182" s="24" t="s">
        <v>612</v>
      </c>
      <c r="H182" s="24" t="s">
        <v>490</v>
      </c>
      <c r="I182" s="4" t="s">
        <v>487</v>
      </c>
      <c r="J182" s="24">
        <v>6</v>
      </c>
      <c r="K182" s="54" t="str">
        <f>VLOOKUP(J182,Ruimtegroepen[],2,FALSE)</f>
        <v>Gangen/hallen</v>
      </c>
      <c r="L182" s="24" t="s">
        <v>311</v>
      </c>
      <c r="M182" s="24" t="s">
        <v>370</v>
      </c>
      <c r="N182" s="83">
        <v>58.67</v>
      </c>
      <c r="O182" s="83"/>
      <c r="P182" s="93" t="str">
        <f>LEFT(VLOOKUP(Ruimtestaat[[#This Row],[Ruimte code]],Ruimtegroepen[#All],4,1),2)</f>
        <v>Ve</v>
      </c>
      <c r="Q182" s="93"/>
      <c r="R182" s="84">
        <v>40</v>
      </c>
      <c r="S182" s="84" t="s">
        <v>318</v>
      </c>
      <c r="T182" s="85">
        <f>IF(R182&gt;0,IF(RIGHT(Ruimtestaat[[#This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2" s="85">
        <f>IF(T182&gt;0,VLOOKUP($J182,Ruimtegroepen[],3,FALSE)*VLOOKUP($L182,Vloersoorten[],3,FALSE)*VLOOKUP($S182,Frequenties[],3,FALSE)*VLOOKUP($A182,Locaties[],3,FALSE),0)</f>
        <v>0</v>
      </c>
      <c r="V182" s="86">
        <f>Ruimtestaat[[#This Row],[Uitvoeringen werkdagen]]*Ruimtestaat[[#This Row],[Oppervlak (netto)]]</f>
        <v>11734</v>
      </c>
      <c r="W182" s="87">
        <f>IF(U182&gt;0,Ruimtestaat[[#This Row],[Prest. (m2 /jaar) werkdagen]]/Ruimtestaat[[#This Row],[Norm (m2/uur) werkdagen]],0)</f>
        <v>0</v>
      </c>
      <c r="X182" s="88">
        <f>Ruimtestaat[[#This Row],[uren / jaar werkdagen]]*Tariefsopbouw!$E$35</f>
        <v>0</v>
      </c>
      <c r="Y182" s="85"/>
      <c r="Z182" s="89">
        <f>IF(Ruimtestaat[[#This Row],[Frequentie weekend]]&gt;0,VALUE(LEFT(Y182,1))*R182,0)</f>
        <v>0</v>
      </c>
      <c r="AA182" s="85">
        <f>IF($Z182&gt;0,VLOOKUP($J182,Ruimtegroepen[],3,FALSE)*VLOOKUP($L182,Vloersoorten[],3,FALSE)*VLOOKUP($Y182,Frequenties[],3,FALSE)*VLOOKUP($A178,Locaties[],3,FALSE),0)</f>
        <v>0</v>
      </c>
      <c r="AB182" s="87">
        <f>Ruimtestaat[[#This Row],[Uitvoeringen weekend]]*Ruimtestaat[[#This Row],[Oppervlak (netto)]]</f>
        <v>0</v>
      </c>
      <c r="AC182" s="90">
        <f>IF(AB182&gt;0,Ruimtestaat[[#This Row],[Prest. (m2 /jaar) weekend]]/Ruimtestaat[[#This Row],[Norm (m2/uur) weekend]],0)</f>
        <v>0</v>
      </c>
      <c r="AD182" s="91">
        <f>Ruimtestaat[[#This Row],[uren / jaar weekend]]*Tariefsopbouw!$D$40</f>
        <v>0</v>
      </c>
      <c r="AE182" s="60">
        <f>Ruimtestaat[[#This Row],[Prest. (m2 /jaar) weekend]]+Ruimtestaat[[#This Row],[Prest. (m2 /jaar) werkdagen]]</f>
        <v>11734</v>
      </c>
      <c r="AF182" s="60">
        <f>Ruimtestaat[[#This Row],[uren / jaar weekend]]+Ruimtestaat[[#This Row],[uren / jaar werkdagen]]</f>
        <v>0</v>
      </c>
      <c r="AG182" s="61">
        <f>Ruimtestaat[[#This Row],[kosten / jaar weekend]]+Ruimtestaat[[#This Row],[kosten / jaar werkdagen]]</f>
        <v>0</v>
      </c>
      <c r="AH182" s="92"/>
      <c r="HL182" s="59"/>
    </row>
    <row r="183" spans="1:220">
      <c r="A183" s="24">
        <v>1</v>
      </c>
      <c r="B183" s="24" t="str">
        <f>VLOOKUP(Ruimtestaat[[#This Row],[Code]],Locaties[#All],2,FALSE)</f>
        <v>Boerhaave + buitenunits</v>
      </c>
      <c r="C183" s="24" t="str">
        <f>VLOOKUP(Ruimtestaat[[#This Row],[Code]],Locaties[#All],4,FALSE)</f>
        <v>Herman Boerhaavelaan 1</v>
      </c>
      <c r="D183" s="24" t="str">
        <f>VLOOKUP(Ruimtestaat[[#This Row],[Code]],Locaties[#All],5,FALSE)</f>
        <v>7415 ES</v>
      </c>
      <c r="E183" s="24" t="str">
        <f>VLOOKUP(Ruimtestaat[[#This Row],[Code]],Locaties[#All],6,FALSE)</f>
        <v>Deventer</v>
      </c>
      <c r="F183" s="54"/>
      <c r="G183" s="24" t="s">
        <v>612</v>
      </c>
      <c r="H183" s="24" t="s">
        <v>495</v>
      </c>
      <c r="I183" s="4" t="s">
        <v>492</v>
      </c>
      <c r="J183" s="24">
        <v>10</v>
      </c>
      <c r="K183" s="54" t="str">
        <f>VLOOKUP(J183,Ruimtegroepen[],2,FALSE)</f>
        <v>Trappenhuizen/lift</v>
      </c>
      <c r="L183" s="24" t="s">
        <v>305</v>
      </c>
      <c r="M183" s="24" t="s">
        <v>373</v>
      </c>
      <c r="N183" s="83">
        <v>7.21</v>
      </c>
      <c r="O183" s="83"/>
      <c r="P183" s="93" t="str">
        <f>LEFT(VLOOKUP(Ruimtestaat[[#This Row],[Ruimte code]],Ruimtegroepen[#All],4,1),2)</f>
        <v>Ve</v>
      </c>
      <c r="Q183" s="93"/>
      <c r="R183" s="84">
        <v>40</v>
      </c>
      <c r="S183" s="84" t="s">
        <v>318</v>
      </c>
      <c r="T183" s="85">
        <f>IF(R183&gt;0,IF(RIGHT(Ruimtestaat[[#This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3" s="85">
        <f>IF(T183&gt;0,VLOOKUP($J183,Ruimtegroepen[],3,FALSE)*VLOOKUP($L183,Vloersoorten[],3,FALSE)*VLOOKUP($S183,Frequenties[],3,FALSE)*VLOOKUP($A183,Locaties[],3,FALSE),0)</f>
        <v>0</v>
      </c>
      <c r="V183" s="86">
        <f>Ruimtestaat[[#This Row],[Uitvoeringen werkdagen]]*Ruimtestaat[[#This Row],[Oppervlak (netto)]]</f>
        <v>1442</v>
      </c>
      <c r="W183" s="87">
        <f>IF(U183&gt;0,Ruimtestaat[[#This Row],[Prest. (m2 /jaar) werkdagen]]/Ruimtestaat[[#This Row],[Norm (m2/uur) werkdagen]],0)</f>
        <v>0</v>
      </c>
      <c r="X183" s="88">
        <f>Ruimtestaat[[#This Row],[uren / jaar werkdagen]]*Tariefsopbouw!$E$35</f>
        <v>0</v>
      </c>
      <c r="Y183" s="85"/>
      <c r="Z183" s="89">
        <f>IF(Ruimtestaat[[#This Row],[Frequentie weekend]]&gt;0,VALUE(LEFT(Y183,1))*R183,0)</f>
        <v>0</v>
      </c>
      <c r="AA183" s="85">
        <f>IF($Z183&gt;0,VLOOKUP($J183,Ruimtegroepen[],3,FALSE)*VLOOKUP($L183,Vloersoorten[],3,FALSE)*VLOOKUP($Y183,Frequenties[],3,FALSE)*VLOOKUP($A179,Locaties[],3,FALSE),0)</f>
        <v>0</v>
      </c>
      <c r="AB183" s="87">
        <f>Ruimtestaat[[#This Row],[Uitvoeringen weekend]]*Ruimtestaat[[#This Row],[Oppervlak (netto)]]</f>
        <v>0</v>
      </c>
      <c r="AC183" s="90">
        <f>IF(AB183&gt;0,Ruimtestaat[[#This Row],[Prest. (m2 /jaar) weekend]]/Ruimtestaat[[#This Row],[Norm (m2/uur) weekend]],0)</f>
        <v>0</v>
      </c>
      <c r="AD183" s="91">
        <f>Ruimtestaat[[#This Row],[uren / jaar weekend]]*Tariefsopbouw!$D$40</f>
        <v>0</v>
      </c>
      <c r="AE183" s="60">
        <f>Ruimtestaat[[#This Row],[Prest. (m2 /jaar) weekend]]+Ruimtestaat[[#This Row],[Prest. (m2 /jaar) werkdagen]]</f>
        <v>1442</v>
      </c>
      <c r="AF183" s="60">
        <f>Ruimtestaat[[#This Row],[uren / jaar weekend]]+Ruimtestaat[[#This Row],[uren / jaar werkdagen]]</f>
        <v>0</v>
      </c>
      <c r="AG183" s="61">
        <f>Ruimtestaat[[#This Row],[kosten / jaar weekend]]+Ruimtestaat[[#This Row],[kosten / jaar werkdagen]]</f>
        <v>0</v>
      </c>
      <c r="AH183" s="92"/>
      <c r="HL183" s="59"/>
    </row>
    <row r="184" spans="1:220">
      <c r="A184" s="24">
        <v>1</v>
      </c>
      <c r="B184" s="24" t="str">
        <f>VLOOKUP(Ruimtestaat[[#This Row],[Code]],Locaties[#All],2,FALSE)</f>
        <v>Boerhaave + buitenunits</v>
      </c>
      <c r="C184" s="24" t="str">
        <f>VLOOKUP(Ruimtestaat[[#This Row],[Code]],Locaties[#All],4,FALSE)</f>
        <v>Herman Boerhaavelaan 1</v>
      </c>
      <c r="D184" s="24" t="str">
        <f>VLOOKUP(Ruimtestaat[[#This Row],[Code]],Locaties[#All],5,FALSE)</f>
        <v>7415 ES</v>
      </c>
      <c r="E184" s="24" t="str">
        <f>VLOOKUP(Ruimtestaat[[#This Row],[Code]],Locaties[#All],6,FALSE)</f>
        <v>Deventer</v>
      </c>
      <c r="F184" s="54"/>
      <c r="G184" s="24" t="s">
        <v>612</v>
      </c>
      <c r="H184" s="24" t="s">
        <v>496</v>
      </c>
      <c r="I184" s="4" t="s">
        <v>494</v>
      </c>
      <c r="J184" s="24">
        <v>10</v>
      </c>
      <c r="K184" s="54" t="str">
        <f>VLOOKUP(J184,Ruimtegroepen[],2,FALSE)</f>
        <v>Trappenhuizen/lift</v>
      </c>
      <c r="L184" s="24" t="s">
        <v>305</v>
      </c>
      <c r="M184" s="24" t="s">
        <v>373</v>
      </c>
      <c r="N184" s="83">
        <v>7.21</v>
      </c>
      <c r="O184" s="83"/>
      <c r="P184" s="93" t="str">
        <f>LEFT(VLOOKUP(Ruimtestaat[[#This Row],[Ruimte code]],Ruimtegroepen[#All],4,1),2)</f>
        <v>Ve</v>
      </c>
      <c r="Q184" s="93"/>
      <c r="R184" s="84">
        <v>40</v>
      </c>
      <c r="S184" s="84" t="s">
        <v>318</v>
      </c>
      <c r="T184" s="85">
        <f>IF(R184&gt;0,IF(RIGHT(Ruimtestaat[[#This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4" s="85">
        <f>IF(T184&gt;0,VLOOKUP($J184,Ruimtegroepen[],3,FALSE)*VLOOKUP($L184,Vloersoorten[],3,FALSE)*VLOOKUP($S184,Frequenties[],3,FALSE)*VLOOKUP($A184,Locaties[],3,FALSE),0)</f>
        <v>0</v>
      </c>
      <c r="V184" s="86">
        <f>Ruimtestaat[[#This Row],[Uitvoeringen werkdagen]]*Ruimtestaat[[#This Row],[Oppervlak (netto)]]</f>
        <v>1442</v>
      </c>
      <c r="W184" s="87">
        <f>IF(U184&gt;0,Ruimtestaat[[#This Row],[Prest. (m2 /jaar) werkdagen]]/Ruimtestaat[[#This Row],[Norm (m2/uur) werkdagen]],0)</f>
        <v>0</v>
      </c>
      <c r="X184" s="88">
        <f>Ruimtestaat[[#This Row],[uren / jaar werkdagen]]*Tariefsopbouw!$E$35</f>
        <v>0</v>
      </c>
      <c r="Y184" s="85"/>
      <c r="Z184" s="89">
        <f>IF(Ruimtestaat[[#This Row],[Frequentie weekend]]&gt;0,VALUE(LEFT(Y184,1))*R184,0)</f>
        <v>0</v>
      </c>
      <c r="AA184" s="85">
        <f>IF($Z184&gt;0,VLOOKUP($J184,Ruimtegroepen[],3,FALSE)*VLOOKUP($L184,Vloersoorten[],3,FALSE)*VLOOKUP($Y184,Frequenties[],3,FALSE)*VLOOKUP($A180,Locaties[],3,FALSE),0)</f>
        <v>0</v>
      </c>
      <c r="AB184" s="87">
        <f>Ruimtestaat[[#This Row],[Uitvoeringen weekend]]*Ruimtestaat[[#This Row],[Oppervlak (netto)]]</f>
        <v>0</v>
      </c>
      <c r="AC184" s="90">
        <f>IF(AB184&gt;0,Ruimtestaat[[#This Row],[Prest. (m2 /jaar) weekend]]/Ruimtestaat[[#This Row],[Norm (m2/uur) weekend]],0)</f>
        <v>0</v>
      </c>
      <c r="AD184" s="91">
        <f>Ruimtestaat[[#This Row],[uren / jaar weekend]]*Tariefsopbouw!$D$40</f>
        <v>0</v>
      </c>
      <c r="AE184" s="60">
        <f>Ruimtestaat[[#This Row],[Prest. (m2 /jaar) weekend]]+Ruimtestaat[[#This Row],[Prest. (m2 /jaar) werkdagen]]</f>
        <v>1442</v>
      </c>
      <c r="AF184" s="60">
        <f>Ruimtestaat[[#This Row],[uren / jaar weekend]]+Ruimtestaat[[#This Row],[uren / jaar werkdagen]]</f>
        <v>0</v>
      </c>
      <c r="AG184" s="61">
        <f>Ruimtestaat[[#This Row],[kosten / jaar weekend]]+Ruimtestaat[[#This Row],[kosten / jaar werkdagen]]</f>
        <v>0</v>
      </c>
      <c r="AH184" s="92"/>
      <c r="HL184" s="59"/>
    </row>
    <row r="185" spans="1:220">
      <c r="A185" s="24">
        <v>1</v>
      </c>
      <c r="B185" s="24" t="str">
        <f>VLOOKUP(Ruimtestaat[[#This Row],[Code]],Locaties[#All],2,FALSE)</f>
        <v>Boerhaave + buitenunits</v>
      </c>
      <c r="C185" s="24" t="str">
        <f>VLOOKUP(Ruimtestaat[[#This Row],[Code]],Locaties[#All],4,FALSE)</f>
        <v>Herman Boerhaavelaan 1</v>
      </c>
      <c r="D185" s="24" t="str">
        <f>VLOOKUP(Ruimtestaat[[#This Row],[Code]],Locaties[#All],5,FALSE)</f>
        <v>7415 ES</v>
      </c>
      <c r="E185" s="24" t="str">
        <f>VLOOKUP(Ruimtestaat[[#This Row],[Code]],Locaties[#All],6,FALSE)</f>
        <v>Deventer</v>
      </c>
      <c r="F185" s="54"/>
      <c r="G185" s="24" t="s">
        <v>612</v>
      </c>
      <c r="H185" s="24" t="s">
        <v>498</v>
      </c>
      <c r="I185" s="4" t="s">
        <v>487</v>
      </c>
      <c r="J185" s="24">
        <v>6</v>
      </c>
      <c r="K185" s="54" t="str">
        <f>VLOOKUP(J185,Ruimtegroepen[],2,FALSE)</f>
        <v>Gangen/hallen</v>
      </c>
      <c r="L185" s="24" t="s">
        <v>311</v>
      </c>
      <c r="M185" s="24" t="s">
        <v>370</v>
      </c>
      <c r="N185" s="83">
        <v>13.27</v>
      </c>
      <c r="O185" s="83"/>
      <c r="P185" s="93" t="str">
        <f>LEFT(VLOOKUP(Ruimtestaat[[#This Row],[Ruimte code]],Ruimtegroepen[#All],4,1),2)</f>
        <v>Ve</v>
      </c>
      <c r="Q185" s="93"/>
      <c r="R185" s="84">
        <v>40</v>
      </c>
      <c r="S185" s="84" t="s">
        <v>318</v>
      </c>
      <c r="T185" s="85">
        <f>IF(R185&gt;0,IF(RIGHT(Ruimtestaat[[#This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5" s="85">
        <f>IF(T185&gt;0,VLOOKUP($J185,Ruimtegroepen[],3,FALSE)*VLOOKUP($L185,Vloersoorten[],3,FALSE)*VLOOKUP($S185,Frequenties[],3,FALSE)*VLOOKUP($A185,Locaties[],3,FALSE),0)</f>
        <v>0</v>
      </c>
      <c r="V185" s="86">
        <f>Ruimtestaat[[#This Row],[Uitvoeringen werkdagen]]*Ruimtestaat[[#This Row],[Oppervlak (netto)]]</f>
        <v>2654</v>
      </c>
      <c r="W185" s="87">
        <f>IF(U185&gt;0,Ruimtestaat[[#This Row],[Prest. (m2 /jaar) werkdagen]]/Ruimtestaat[[#This Row],[Norm (m2/uur) werkdagen]],0)</f>
        <v>0</v>
      </c>
      <c r="X185" s="88">
        <f>Ruimtestaat[[#This Row],[uren / jaar werkdagen]]*Tariefsopbouw!$E$35</f>
        <v>0</v>
      </c>
      <c r="Y185" s="85"/>
      <c r="Z185" s="89">
        <f>IF(Ruimtestaat[[#This Row],[Frequentie weekend]]&gt;0,VALUE(LEFT(Y185,1))*R185,0)</f>
        <v>0</v>
      </c>
      <c r="AA185" s="85">
        <f>IF($Z185&gt;0,VLOOKUP($J185,Ruimtegroepen[],3,FALSE)*VLOOKUP($L185,Vloersoorten[],3,FALSE)*VLOOKUP($Y185,Frequenties[],3,FALSE)*VLOOKUP($A181,Locaties[],3,FALSE),0)</f>
        <v>0</v>
      </c>
      <c r="AB185" s="87">
        <f>Ruimtestaat[[#This Row],[Uitvoeringen weekend]]*Ruimtestaat[[#This Row],[Oppervlak (netto)]]</f>
        <v>0</v>
      </c>
      <c r="AC185" s="90">
        <f>IF(AB185&gt;0,Ruimtestaat[[#This Row],[Prest. (m2 /jaar) weekend]]/Ruimtestaat[[#This Row],[Norm (m2/uur) weekend]],0)</f>
        <v>0</v>
      </c>
      <c r="AD185" s="91">
        <f>Ruimtestaat[[#This Row],[uren / jaar weekend]]*Tariefsopbouw!$D$40</f>
        <v>0</v>
      </c>
      <c r="AE185" s="60">
        <f>Ruimtestaat[[#This Row],[Prest. (m2 /jaar) weekend]]+Ruimtestaat[[#This Row],[Prest. (m2 /jaar) werkdagen]]</f>
        <v>2654</v>
      </c>
      <c r="AF185" s="60">
        <f>Ruimtestaat[[#This Row],[uren / jaar weekend]]+Ruimtestaat[[#This Row],[uren / jaar werkdagen]]</f>
        <v>0</v>
      </c>
      <c r="AG185" s="61">
        <f>Ruimtestaat[[#This Row],[kosten / jaar weekend]]+Ruimtestaat[[#This Row],[kosten / jaar werkdagen]]</f>
        <v>0</v>
      </c>
      <c r="AH185" s="92"/>
      <c r="HL185" s="59"/>
    </row>
    <row r="186" spans="1:220">
      <c r="A186" s="24">
        <v>1</v>
      </c>
      <c r="B186" s="24" t="str">
        <f>VLOOKUP(Ruimtestaat[[#This Row],[Code]],Locaties[#All],2,FALSE)</f>
        <v>Boerhaave + buitenunits</v>
      </c>
      <c r="C186" s="24" t="str">
        <f>VLOOKUP(Ruimtestaat[[#This Row],[Code]],Locaties[#All],4,FALSE)</f>
        <v>Herman Boerhaavelaan 1</v>
      </c>
      <c r="D186" s="24" t="str">
        <f>VLOOKUP(Ruimtestaat[[#This Row],[Code]],Locaties[#All],5,FALSE)</f>
        <v>7415 ES</v>
      </c>
      <c r="E186" s="24" t="str">
        <f>VLOOKUP(Ruimtestaat[[#This Row],[Code]],Locaties[#All],6,FALSE)</f>
        <v>Deventer</v>
      </c>
      <c r="F186" s="54"/>
      <c r="G186" s="24" t="s">
        <v>612</v>
      </c>
      <c r="H186" s="24" t="s">
        <v>613</v>
      </c>
      <c r="I186" s="4" t="s">
        <v>487</v>
      </c>
      <c r="J186" s="24">
        <v>6</v>
      </c>
      <c r="K186" s="54" t="str">
        <f>VLOOKUP(J186,Ruimtegroepen[],2,FALSE)</f>
        <v>Gangen/hallen</v>
      </c>
      <c r="L186" s="24" t="s">
        <v>311</v>
      </c>
      <c r="M186" s="24" t="s">
        <v>370</v>
      </c>
      <c r="N186" s="94">
        <v>5.75</v>
      </c>
      <c r="O186" s="83"/>
      <c r="P186" s="93" t="str">
        <f>LEFT(VLOOKUP(Ruimtestaat[[#This Row],[Ruimte code]],Ruimtegroepen[#All],4,1),2)</f>
        <v>Ve</v>
      </c>
      <c r="Q186" s="93"/>
      <c r="R186" s="84">
        <v>40</v>
      </c>
      <c r="S186" s="84" t="s">
        <v>318</v>
      </c>
      <c r="T186" s="85">
        <f>IF(R186&gt;0,IF(RIGHT(Ruimtestaat[[#This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6" s="85">
        <f>IF(T186&gt;0,VLOOKUP($J186,Ruimtegroepen[],3,FALSE)*VLOOKUP($L186,Vloersoorten[],3,FALSE)*VLOOKUP($S186,Frequenties[],3,FALSE)*VLOOKUP($A186,Locaties[],3,FALSE),0)</f>
        <v>0</v>
      </c>
      <c r="V186" s="86">
        <f>Ruimtestaat[[#This Row],[Uitvoeringen werkdagen]]*Ruimtestaat[[#This Row],[Oppervlak (netto)]]</f>
        <v>1150</v>
      </c>
      <c r="W186" s="87">
        <f>IF(U186&gt;0,Ruimtestaat[[#This Row],[Prest. (m2 /jaar) werkdagen]]/Ruimtestaat[[#This Row],[Norm (m2/uur) werkdagen]],0)</f>
        <v>0</v>
      </c>
      <c r="X186" s="88">
        <f>Ruimtestaat[[#This Row],[uren / jaar werkdagen]]*Tariefsopbouw!$E$35</f>
        <v>0</v>
      </c>
      <c r="Y186" s="85"/>
      <c r="Z186" s="89">
        <f>IF(Ruimtestaat[[#This Row],[Frequentie weekend]]&gt;0,VALUE(LEFT(Y186,1))*R186,0)</f>
        <v>0</v>
      </c>
      <c r="AA186" s="85">
        <f>IF($Z186&gt;0,VLOOKUP($J186,Ruimtegroepen[],3,FALSE)*VLOOKUP($L186,Vloersoorten[],3,FALSE)*VLOOKUP($Y186,Frequenties[],3,FALSE)*VLOOKUP($A182,Locaties[],3,FALSE),0)</f>
        <v>0</v>
      </c>
      <c r="AB186" s="87">
        <f>Ruimtestaat[[#This Row],[Uitvoeringen weekend]]*Ruimtestaat[[#This Row],[Oppervlak (netto)]]</f>
        <v>0</v>
      </c>
      <c r="AC186" s="90">
        <f>IF(AB186&gt;0,Ruimtestaat[[#This Row],[Prest. (m2 /jaar) weekend]]/Ruimtestaat[[#This Row],[Norm (m2/uur) weekend]],0)</f>
        <v>0</v>
      </c>
      <c r="AD186" s="91">
        <f>Ruimtestaat[[#This Row],[uren / jaar weekend]]*Tariefsopbouw!$D$40</f>
        <v>0</v>
      </c>
      <c r="AE186" s="60">
        <f>Ruimtestaat[[#This Row],[Prest. (m2 /jaar) weekend]]+Ruimtestaat[[#This Row],[Prest. (m2 /jaar) werkdagen]]</f>
        <v>1150</v>
      </c>
      <c r="AF186" s="60">
        <f>Ruimtestaat[[#This Row],[uren / jaar weekend]]+Ruimtestaat[[#This Row],[uren / jaar werkdagen]]</f>
        <v>0</v>
      </c>
      <c r="AG186" s="61">
        <f>Ruimtestaat[[#This Row],[kosten / jaar weekend]]+Ruimtestaat[[#This Row],[kosten / jaar werkdagen]]</f>
        <v>0</v>
      </c>
      <c r="AH186" s="92"/>
      <c r="HL186" s="59"/>
    </row>
    <row r="187" spans="1:220">
      <c r="A187" s="24">
        <v>1</v>
      </c>
      <c r="B187" s="24" t="str">
        <f>VLOOKUP(Ruimtestaat[[#This Row],[Code]],Locaties[#All],2,FALSE)</f>
        <v>Boerhaave + buitenunits</v>
      </c>
      <c r="C187" s="24" t="str">
        <f>VLOOKUP(Ruimtestaat[[#This Row],[Code]],Locaties[#All],4,FALSE)</f>
        <v>Herman Boerhaavelaan 1</v>
      </c>
      <c r="D187" s="24" t="str">
        <f>VLOOKUP(Ruimtestaat[[#This Row],[Code]],Locaties[#All],5,FALSE)</f>
        <v>7415 ES</v>
      </c>
      <c r="E187" s="24" t="str">
        <f>VLOOKUP(Ruimtestaat[[#This Row],[Code]],Locaties[#All],6,FALSE)</f>
        <v>Deventer</v>
      </c>
      <c r="F187" s="54"/>
      <c r="G187" s="24" t="s">
        <v>612</v>
      </c>
      <c r="H187" s="24" t="s">
        <v>499</v>
      </c>
      <c r="I187" s="4" t="s">
        <v>487</v>
      </c>
      <c r="J187" s="24">
        <v>6</v>
      </c>
      <c r="K187" s="54" t="str">
        <f>VLOOKUP(J187,Ruimtegroepen[],2,FALSE)</f>
        <v>Gangen/hallen</v>
      </c>
      <c r="L187" s="24" t="s">
        <v>311</v>
      </c>
      <c r="M187" s="24" t="s">
        <v>370</v>
      </c>
      <c r="N187" s="94">
        <v>80.83</v>
      </c>
      <c r="O187" s="83"/>
      <c r="P187" s="93" t="str">
        <f>LEFT(VLOOKUP(Ruimtestaat[[#This Row],[Ruimte code]],Ruimtegroepen[#All],4,1),2)</f>
        <v>Ve</v>
      </c>
      <c r="Q187" s="93"/>
      <c r="R187" s="84">
        <v>40</v>
      </c>
      <c r="S187" s="84" t="s">
        <v>318</v>
      </c>
      <c r="T187" s="85">
        <f>IF(R187&gt;0,IF(RIGHT(Ruimtestaat[[#This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7" s="85">
        <f>IF(T187&gt;0,VLOOKUP($J187,Ruimtegroepen[],3,FALSE)*VLOOKUP($L187,Vloersoorten[],3,FALSE)*VLOOKUP($S187,Frequenties[],3,FALSE)*VLOOKUP($A187,Locaties[],3,FALSE),0)</f>
        <v>0</v>
      </c>
      <c r="V187" s="86">
        <f>Ruimtestaat[[#This Row],[Uitvoeringen werkdagen]]*Ruimtestaat[[#This Row],[Oppervlak (netto)]]</f>
        <v>16166</v>
      </c>
      <c r="W187" s="87">
        <f>IF(U187&gt;0,Ruimtestaat[[#This Row],[Prest. (m2 /jaar) werkdagen]]/Ruimtestaat[[#This Row],[Norm (m2/uur) werkdagen]],0)</f>
        <v>0</v>
      </c>
      <c r="X187" s="88">
        <f>Ruimtestaat[[#This Row],[uren / jaar werkdagen]]*Tariefsopbouw!$E$35</f>
        <v>0</v>
      </c>
      <c r="Y187" s="85"/>
      <c r="Z187" s="89">
        <f>IF(Ruimtestaat[[#This Row],[Frequentie weekend]]&gt;0,VALUE(LEFT(Y187,1))*R187,0)</f>
        <v>0</v>
      </c>
      <c r="AA187" s="85">
        <f>IF($Z187&gt;0,VLOOKUP($J187,Ruimtegroepen[],3,FALSE)*VLOOKUP($L187,Vloersoorten[],3,FALSE)*VLOOKUP($Y187,Frequenties[],3,FALSE)*VLOOKUP($A183,Locaties[],3,FALSE),0)</f>
        <v>0</v>
      </c>
      <c r="AB187" s="87">
        <f>Ruimtestaat[[#This Row],[Uitvoeringen weekend]]*Ruimtestaat[[#This Row],[Oppervlak (netto)]]</f>
        <v>0</v>
      </c>
      <c r="AC187" s="90">
        <f>IF(AB187&gt;0,Ruimtestaat[[#This Row],[Prest. (m2 /jaar) weekend]]/Ruimtestaat[[#This Row],[Norm (m2/uur) weekend]],0)</f>
        <v>0</v>
      </c>
      <c r="AD187" s="91">
        <f>Ruimtestaat[[#This Row],[uren / jaar weekend]]*Tariefsopbouw!$D$40</f>
        <v>0</v>
      </c>
      <c r="AE187" s="60">
        <f>Ruimtestaat[[#This Row],[Prest. (m2 /jaar) weekend]]+Ruimtestaat[[#This Row],[Prest. (m2 /jaar) werkdagen]]</f>
        <v>16166</v>
      </c>
      <c r="AF187" s="60">
        <f>Ruimtestaat[[#This Row],[uren / jaar weekend]]+Ruimtestaat[[#This Row],[uren / jaar werkdagen]]</f>
        <v>0</v>
      </c>
      <c r="AG187" s="61">
        <f>Ruimtestaat[[#This Row],[kosten / jaar weekend]]+Ruimtestaat[[#This Row],[kosten / jaar werkdagen]]</f>
        <v>0</v>
      </c>
      <c r="AH187" s="92"/>
      <c r="HL187" s="59"/>
    </row>
    <row r="188" spans="1:220">
      <c r="A188" s="24">
        <v>1</v>
      </c>
      <c r="B188" s="24" t="str">
        <f>VLOOKUP(Ruimtestaat[[#This Row],[Code]],Locaties[#All],2,FALSE)</f>
        <v>Boerhaave + buitenunits</v>
      </c>
      <c r="C188" s="24" t="str">
        <f>VLOOKUP(Ruimtestaat[[#This Row],[Code]],Locaties[#All],4,FALSE)</f>
        <v>Herman Boerhaavelaan 1</v>
      </c>
      <c r="D188" s="24" t="str">
        <f>VLOOKUP(Ruimtestaat[[#This Row],[Code]],Locaties[#All],5,FALSE)</f>
        <v>7415 ES</v>
      </c>
      <c r="E188" s="24" t="str">
        <f>VLOOKUP(Ruimtestaat[[#This Row],[Code]],Locaties[#All],6,FALSE)</f>
        <v>Deventer</v>
      </c>
      <c r="F188" s="54"/>
      <c r="G188" s="24" t="s">
        <v>612</v>
      </c>
      <c r="H188" s="24" t="s">
        <v>614</v>
      </c>
      <c r="I188" s="4" t="s">
        <v>394</v>
      </c>
      <c r="J188" s="24">
        <v>22</v>
      </c>
      <c r="K188" s="54" t="str">
        <f>VLOOKUP(J188,Ruimtegroepen[],2,FALSE)</f>
        <v>Niet in onderhoud</v>
      </c>
      <c r="L188" s="24" t="s">
        <v>311</v>
      </c>
      <c r="M188" s="24" t="s">
        <v>370</v>
      </c>
      <c r="N188" s="83"/>
      <c r="O188" s="83">
        <v>30.43</v>
      </c>
      <c r="P188" s="93" t="str">
        <f>LEFT(VLOOKUP(Ruimtestaat[[#This Row],[Ruimte code]],Ruimtegroepen[#All],4,1),2)</f>
        <v/>
      </c>
      <c r="Q188" s="93"/>
      <c r="R188" s="84"/>
      <c r="S188" s="84"/>
      <c r="T188" s="85">
        <f>IF(R188&gt;0,IF(RIGHT(Ruimtestaat[[#This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88" s="85">
        <f>IF(T188&gt;0,VLOOKUP($J188,Ruimtegroepen[],3,FALSE)*VLOOKUP($L188,Vloersoorten[],3,FALSE)*VLOOKUP($S188,Frequenties[],3,FALSE)*VLOOKUP($A188,Locaties[],3,FALSE),0)</f>
        <v>0</v>
      </c>
      <c r="V188" s="86">
        <f>Ruimtestaat[[#This Row],[Uitvoeringen werkdagen]]*Ruimtestaat[[#This Row],[Oppervlak (netto)]]</f>
        <v>0</v>
      </c>
      <c r="W188" s="87">
        <f>IF(U188&gt;0,Ruimtestaat[[#This Row],[Prest. (m2 /jaar) werkdagen]]/Ruimtestaat[[#This Row],[Norm (m2/uur) werkdagen]],0)</f>
        <v>0</v>
      </c>
      <c r="X188" s="88">
        <f>Ruimtestaat[[#This Row],[uren / jaar werkdagen]]*Tariefsopbouw!$E$35</f>
        <v>0</v>
      </c>
      <c r="Y188" s="85"/>
      <c r="Z188" s="89">
        <f>IF(Ruimtestaat[[#This Row],[Frequentie weekend]]&gt;0,VALUE(LEFT(Y188,1))*R188,0)</f>
        <v>0</v>
      </c>
      <c r="AA188" s="85">
        <f>IF($Z188&gt;0,VLOOKUP($J188,Ruimtegroepen[],3,FALSE)*VLOOKUP($L188,Vloersoorten[],3,FALSE)*VLOOKUP($Y188,Frequenties[],3,FALSE)*VLOOKUP($A184,Locaties[],3,FALSE),0)</f>
        <v>0</v>
      </c>
      <c r="AB188" s="87">
        <f>Ruimtestaat[[#This Row],[Uitvoeringen weekend]]*Ruimtestaat[[#This Row],[Oppervlak (netto)]]</f>
        <v>0</v>
      </c>
      <c r="AC188" s="90">
        <f>IF(AB188&gt;0,Ruimtestaat[[#This Row],[Prest. (m2 /jaar) weekend]]/Ruimtestaat[[#This Row],[Norm (m2/uur) weekend]],0)</f>
        <v>0</v>
      </c>
      <c r="AD188" s="91">
        <f>Ruimtestaat[[#This Row],[uren / jaar weekend]]*Tariefsopbouw!$D$40</f>
        <v>0</v>
      </c>
      <c r="AE188" s="60">
        <f>Ruimtestaat[[#This Row],[Prest. (m2 /jaar) weekend]]+Ruimtestaat[[#This Row],[Prest. (m2 /jaar) werkdagen]]</f>
        <v>0</v>
      </c>
      <c r="AF188" s="60">
        <f>Ruimtestaat[[#This Row],[uren / jaar weekend]]+Ruimtestaat[[#This Row],[uren / jaar werkdagen]]</f>
        <v>0</v>
      </c>
      <c r="AG188" s="61">
        <f>Ruimtestaat[[#This Row],[kosten / jaar weekend]]+Ruimtestaat[[#This Row],[kosten / jaar werkdagen]]</f>
        <v>0</v>
      </c>
      <c r="AH188" s="92"/>
      <c r="HL188" s="59"/>
    </row>
    <row r="189" spans="1:220">
      <c r="A189" s="24">
        <v>1</v>
      </c>
      <c r="B189" s="24" t="str">
        <f>VLOOKUP(Ruimtestaat[[#This Row],[Code]],Locaties[#All],2,FALSE)</f>
        <v>Boerhaave + buitenunits</v>
      </c>
      <c r="C189" s="24" t="str">
        <f>VLOOKUP(Ruimtestaat[[#This Row],[Code]],Locaties[#All],4,FALSE)</f>
        <v>Herman Boerhaavelaan 1</v>
      </c>
      <c r="D189" s="24" t="str">
        <f>VLOOKUP(Ruimtestaat[[#This Row],[Code]],Locaties[#All],5,FALSE)</f>
        <v>7415 ES</v>
      </c>
      <c r="E189" s="24" t="str">
        <f>VLOOKUP(Ruimtestaat[[#This Row],[Code]],Locaties[#All],6,FALSE)</f>
        <v>Deventer</v>
      </c>
      <c r="F189" s="54"/>
      <c r="G189" s="24" t="s">
        <v>612</v>
      </c>
      <c r="H189" s="24" t="s">
        <v>615</v>
      </c>
      <c r="I189" s="4" t="s">
        <v>616</v>
      </c>
      <c r="J189" s="24">
        <v>2</v>
      </c>
      <c r="K189" s="54" t="str">
        <f>VLOOKUP(J189,Ruimtegroepen[],2,FALSE)</f>
        <v>Kantoren</v>
      </c>
      <c r="L189" s="24" t="s">
        <v>305</v>
      </c>
      <c r="M189" s="24" t="s">
        <v>376</v>
      </c>
      <c r="N189" s="94">
        <v>66.53</v>
      </c>
      <c r="O189" s="83"/>
      <c r="P189" s="93" t="str">
        <f>LEFT(VLOOKUP(Ruimtestaat[[#This Row],[Ruimte code]],Ruimtegroepen[#All],4,1),2)</f>
        <v>Bu</v>
      </c>
      <c r="Q189" s="93"/>
      <c r="R189" s="84">
        <v>42</v>
      </c>
      <c r="S189" s="84" t="s">
        <v>322</v>
      </c>
      <c r="T189" s="85">
        <f>IF(R189&gt;0,IF(RIGHT(Ruimtestaat[[#This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89" s="85">
        <f>IF(T189&gt;0,VLOOKUP($J189,Ruimtegroepen[],3,FALSE)*VLOOKUP($L189,Vloersoorten[],3,FALSE)*VLOOKUP($S189,Frequenties[],3,FALSE)*VLOOKUP($A189,Locaties[],3,FALSE),0)</f>
        <v>0</v>
      </c>
      <c r="V189" s="86">
        <f>Ruimtestaat[[#This Row],[Uitvoeringen werkdagen]]*Ruimtestaat[[#This Row],[Oppervlak (netto)]]</f>
        <v>8382.7800000000007</v>
      </c>
      <c r="W189" s="87">
        <f>IF(U189&gt;0,Ruimtestaat[[#This Row],[Prest. (m2 /jaar) werkdagen]]/Ruimtestaat[[#This Row],[Norm (m2/uur) werkdagen]],0)</f>
        <v>0</v>
      </c>
      <c r="X189" s="88">
        <f>Ruimtestaat[[#This Row],[uren / jaar werkdagen]]*Tariefsopbouw!$E$35</f>
        <v>0</v>
      </c>
      <c r="Y189" s="85"/>
      <c r="Z189" s="89">
        <f>IF(Ruimtestaat[[#This Row],[Frequentie weekend]]&gt;0,VALUE(LEFT(Y189,1))*R189,0)</f>
        <v>0</v>
      </c>
      <c r="AA189" s="85">
        <f>IF($Z189&gt;0,VLOOKUP($J189,Ruimtegroepen[],3,FALSE)*VLOOKUP($L189,Vloersoorten[],3,FALSE)*VLOOKUP($Y189,Frequenties[],3,FALSE)*VLOOKUP($A185,Locaties[],3,FALSE),0)</f>
        <v>0</v>
      </c>
      <c r="AB189" s="87">
        <f>Ruimtestaat[[#This Row],[Uitvoeringen weekend]]*Ruimtestaat[[#This Row],[Oppervlak (netto)]]</f>
        <v>0</v>
      </c>
      <c r="AC189" s="90">
        <f>IF(AB189&gt;0,Ruimtestaat[[#This Row],[Prest. (m2 /jaar) weekend]]/Ruimtestaat[[#This Row],[Norm (m2/uur) weekend]],0)</f>
        <v>0</v>
      </c>
      <c r="AD189" s="91">
        <f>Ruimtestaat[[#This Row],[uren / jaar weekend]]*Tariefsopbouw!$D$40</f>
        <v>0</v>
      </c>
      <c r="AE189" s="60">
        <f>Ruimtestaat[[#This Row],[Prest. (m2 /jaar) weekend]]+Ruimtestaat[[#This Row],[Prest. (m2 /jaar) werkdagen]]</f>
        <v>8382.7800000000007</v>
      </c>
      <c r="AF189" s="60">
        <f>Ruimtestaat[[#This Row],[uren / jaar weekend]]+Ruimtestaat[[#This Row],[uren / jaar werkdagen]]</f>
        <v>0</v>
      </c>
      <c r="AG189" s="61">
        <f>Ruimtestaat[[#This Row],[kosten / jaar weekend]]+Ruimtestaat[[#This Row],[kosten / jaar werkdagen]]</f>
        <v>0</v>
      </c>
      <c r="AH189" s="92"/>
      <c r="HL189" s="59"/>
    </row>
    <row r="190" spans="1:220">
      <c r="A190" s="24">
        <v>1</v>
      </c>
      <c r="B190" s="24" t="str">
        <f>VLOOKUP(Ruimtestaat[[#This Row],[Code]],Locaties[#All],2,FALSE)</f>
        <v>Boerhaave + buitenunits</v>
      </c>
      <c r="C190" s="24" t="str">
        <f>VLOOKUP(Ruimtestaat[[#This Row],[Code]],Locaties[#All],4,FALSE)</f>
        <v>Herman Boerhaavelaan 1</v>
      </c>
      <c r="D190" s="24" t="str">
        <f>VLOOKUP(Ruimtestaat[[#This Row],[Code]],Locaties[#All],5,FALSE)</f>
        <v>7415 ES</v>
      </c>
      <c r="E190" s="24" t="str">
        <f>VLOOKUP(Ruimtestaat[[#This Row],[Code]],Locaties[#All],6,FALSE)</f>
        <v>Deventer</v>
      </c>
      <c r="F190" s="54"/>
      <c r="G190" s="24" t="s">
        <v>612</v>
      </c>
      <c r="H190" s="24" t="s">
        <v>617</v>
      </c>
      <c r="I190" s="4" t="s">
        <v>618</v>
      </c>
      <c r="J190" s="24">
        <v>7</v>
      </c>
      <c r="K190" s="54" t="str">
        <f>VLOOKUP(J190,Ruimtegroepen[],2,FALSE)</f>
        <v>Entree</v>
      </c>
      <c r="L190" s="24" t="s">
        <v>305</v>
      </c>
      <c r="M190" s="24" t="s">
        <v>376</v>
      </c>
      <c r="N190" s="83">
        <v>16.559999999999999</v>
      </c>
      <c r="O190" s="83"/>
      <c r="P190" s="93" t="str">
        <f>LEFT(VLOOKUP(Ruimtestaat[[#This Row],[Ruimte code]],Ruimtegroepen[#All],4,1),2)</f>
        <v>Ve</v>
      </c>
      <c r="Q190" s="93"/>
      <c r="R190" s="84">
        <v>40</v>
      </c>
      <c r="S190" s="84" t="s">
        <v>318</v>
      </c>
      <c r="T190" s="85">
        <f>IF(R190&gt;0,IF(RIGHT(Ruimtestaat[[#This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0" s="85">
        <f>IF(T190&gt;0,VLOOKUP($J190,Ruimtegroepen[],3,FALSE)*VLOOKUP($L190,Vloersoorten[],3,FALSE)*VLOOKUP($S190,Frequenties[],3,FALSE)*VLOOKUP($A190,Locaties[],3,FALSE),0)</f>
        <v>0</v>
      </c>
      <c r="V190" s="86">
        <f>Ruimtestaat[[#This Row],[Uitvoeringen werkdagen]]*Ruimtestaat[[#This Row],[Oppervlak (netto)]]</f>
        <v>3311.9999999999995</v>
      </c>
      <c r="W190" s="87">
        <f>IF(U190&gt;0,Ruimtestaat[[#This Row],[Prest. (m2 /jaar) werkdagen]]/Ruimtestaat[[#This Row],[Norm (m2/uur) werkdagen]],0)</f>
        <v>0</v>
      </c>
      <c r="X190" s="88">
        <f>Ruimtestaat[[#This Row],[uren / jaar werkdagen]]*Tariefsopbouw!$E$35</f>
        <v>0</v>
      </c>
      <c r="Y190" s="85"/>
      <c r="Z190" s="89">
        <f>IF(Ruimtestaat[[#This Row],[Frequentie weekend]]&gt;0,VALUE(LEFT(Y190,1))*R190,0)</f>
        <v>0</v>
      </c>
      <c r="AA190" s="85">
        <f>IF($Z190&gt;0,VLOOKUP($J190,Ruimtegroepen[],3,FALSE)*VLOOKUP($L190,Vloersoorten[],3,FALSE)*VLOOKUP($Y190,Frequenties[],3,FALSE)*VLOOKUP($A186,Locaties[],3,FALSE),0)</f>
        <v>0</v>
      </c>
      <c r="AB190" s="87">
        <f>Ruimtestaat[[#This Row],[Uitvoeringen weekend]]*Ruimtestaat[[#This Row],[Oppervlak (netto)]]</f>
        <v>0</v>
      </c>
      <c r="AC190" s="90">
        <f>IF(AB190&gt;0,Ruimtestaat[[#This Row],[Prest. (m2 /jaar) weekend]]/Ruimtestaat[[#This Row],[Norm (m2/uur) weekend]],0)</f>
        <v>0</v>
      </c>
      <c r="AD190" s="91">
        <f>Ruimtestaat[[#This Row],[uren / jaar weekend]]*Tariefsopbouw!$D$40</f>
        <v>0</v>
      </c>
      <c r="AE190" s="60">
        <f>Ruimtestaat[[#This Row],[Prest. (m2 /jaar) weekend]]+Ruimtestaat[[#This Row],[Prest. (m2 /jaar) werkdagen]]</f>
        <v>3311.9999999999995</v>
      </c>
      <c r="AF190" s="60">
        <f>Ruimtestaat[[#This Row],[uren / jaar weekend]]+Ruimtestaat[[#This Row],[uren / jaar werkdagen]]</f>
        <v>0</v>
      </c>
      <c r="AG190" s="61">
        <f>Ruimtestaat[[#This Row],[kosten / jaar weekend]]+Ruimtestaat[[#This Row],[kosten / jaar werkdagen]]</f>
        <v>0</v>
      </c>
      <c r="AH190" s="92"/>
      <c r="HL190" s="59"/>
    </row>
    <row r="191" spans="1:220">
      <c r="A191" s="24">
        <v>1</v>
      </c>
      <c r="B191" s="24" t="str">
        <f>VLOOKUP(Ruimtestaat[[#This Row],[Code]],Locaties[#All],2,FALSE)</f>
        <v>Boerhaave + buitenunits</v>
      </c>
      <c r="C191" s="24" t="str">
        <f>VLOOKUP(Ruimtestaat[[#This Row],[Code]],Locaties[#All],4,FALSE)</f>
        <v>Herman Boerhaavelaan 1</v>
      </c>
      <c r="D191" s="24" t="str">
        <f>VLOOKUP(Ruimtestaat[[#This Row],[Code]],Locaties[#All],5,FALSE)</f>
        <v>7415 ES</v>
      </c>
      <c r="E191" s="24" t="str">
        <f>VLOOKUP(Ruimtestaat[[#This Row],[Code]],Locaties[#All],6,FALSE)</f>
        <v>Deventer</v>
      </c>
      <c r="F191" s="54"/>
      <c r="G191" s="24" t="s">
        <v>612</v>
      </c>
      <c r="H191" s="24" t="s">
        <v>619</v>
      </c>
      <c r="I191" s="4" t="s">
        <v>620</v>
      </c>
      <c r="J191" s="24">
        <v>22</v>
      </c>
      <c r="K191" s="54" t="str">
        <f>VLOOKUP(J191,Ruimtegroepen[],2,FALSE)</f>
        <v>Niet in onderhoud</v>
      </c>
      <c r="L191" s="24" t="s">
        <v>305</v>
      </c>
      <c r="M191" s="24" t="s">
        <v>376</v>
      </c>
      <c r="N191" s="83"/>
      <c r="O191" s="83">
        <v>15.6</v>
      </c>
      <c r="P191" s="93" t="str">
        <f>LEFT(VLOOKUP(Ruimtestaat[[#This Row],[Ruimte code]],Ruimtegroepen[#All],4,1),2)</f>
        <v/>
      </c>
      <c r="Q191" s="93"/>
      <c r="R191" s="84"/>
      <c r="S191" s="84"/>
      <c r="T191" s="85">
        <f>IF(R191&gt;0,IF(RIGHT(Ruimtestaat[[#This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1" s="85">
        <f>IF(T191&gt;0,VLOOKUP($J191,Ruimtegroepen[],3,FALSE)*VLOOKUP($L191,Vloersoorten[],3,FALSE)*VLOOKUP($S191,Frequenties[],3,FALSE)*VLOOKUP($A191,Locaties[],3,FALSE),0)</f>
        <v>0</v>
      </c>
      <c r="V191" s="86">
        <f>Ruimtestaat[[#This Row],[Uitvoeringen werkdagen]]*Ruimtestaat[[#This Row],[Oppervlak (netto)]]</f>
        <v>0</v>
      </c>
      <c r="W191" s="87">
        <f>IF(U191&gt;0,Ruimtestaat[[#This Row],[Prest. (m2 /jaar) werkdagen]]/Ruimtestaat[[#This Row],[Norm (m2/uur) werkdagen]],0)</f>
        <v>0</v>
      </c>
      <c r="X191" s="88">
        <f>Ruimtestaat[[#This Row],[uren / jaar werkdagen]]*Tariefsopbouw!$E$35</f>
        <v>0</v>
      </c>
      <c r="Y191" s="85"/>
      <c r="Z191" s="89">
        <f>IF(Ruimtestaat[[#This Row],[Frequentie weekend]]&gt;0,VALUE(LEFT(Y191,1))*R191,0)</f>
        <v>0</v>
      </c>
      <c r="AA191" s="85">
        <f>IF($Z191&gt;0,VLOOKUP($J191,Ruimtegroepen[],3,FALSE)*VLOOKUP($L191,Vloersoorten[],3,FALSE)*VLOOKUP($Y191,Frequenties[],3,FALSE)*VLOOKUP($A187,Locaties[],3,FALSE),0)</f>
        <v>0</v>
      </c>
      <c r="AB191" s="87">
        <f>Ruimtestaat[[#This Row],[Uitvoeringen weekend]]*Ruimtestaat[[#This Row],[Oppervlak (netto)]]</f>
        <v>0</v>
      </c>
      <c r="AC191" s="90">
        <f>IF(AB191&gt;0,Ruimtestaat[[#This Row],[Prest. (m2 /jaar) weekend]]/Ruimtestaat[[#This Row],[Norm (m2/uur) weekend]],0)</f>
        <v>0</v>
      </c>
      <c r="AD191" s="91">
        <f>Ruimtestaat[[#This Row],[uren / jaar weekend]]*Tariefsopbouw!$D$40</f>
        <v>0</v>
      </c>
      <c r="AE191" s="60">
        <f>Ruimtestaat[[#This Row],[Prest. (m2 /jaar) weekend]]+Ruimtestaat[[#This Row],[Prest. (m2 /jaar) werkdagen]]</f>
        <v>0</v>
      </c>
      <c r="AF191" s="60">
        <f>Ruimtestaat[[#This Row],[uren / jaar weekend]]+Ruimtestaat[[#This Row],[uren / jaar werkdagen]]</f>
        <v>0</v>
      </c>
      <c r="AG191" s="61">
        <f>Ruimtestaat[[#This Row],[kosten / jaar weekend]]+Ruimtestaat[[#This Row],[kosten / jaar werkdagen]]</f>
        <v>0</v>
      </c>
      <c r="AH191" s="92"/>
      <c r="HL191" s="59"/>
    </row>
    <row r="192" spans="1:220">
      <c r="A192" s="24">
        <v>1</v>
      </c>
      <c r="B192" s="24" t="str">
        <f>VLOOKUP(Ruimtestaat[[#This Row],[Code]],Locaties[#All],2,FALSE)</f>
        <v>Boerhaave + buitenunits</v>
      </c>
      <c r="C192" s="24" t="str">
        <f>VLOOKUP(Ruimtestaat[[#This Row],[Code]],Locaties[#All],4,FALSE)</f>
        <v>Herman Boerhaavelaan 1</v>
      </c>
      <c r="D192" s="24" t="str">
        <f>VLOOKUP(Ruimtestaat[[#This Row],[Code]],Locaties[#All],5,FALSE)</f>
        <v>7415 ES</v>
      </c>
      <c r="E192" s="24" t="str">
        <f>VLOOKUP(Ruimtestaat[[#This Row],[Code]],Locaties[#All],6,FALSE)</f>
        <v>Deventer</v>
      </c>
      <c r="F192" s="54"/>
      <c r="G192" s="24" t="s">
        <v>612</v>
      </c>
      <c r="H192" s="24" t="s">
        <v>621</v>
      </c>
      <c r="I192" s="4" t="s">
        <v>394</v>
      </c>
      <c r="J192" s="24">
        <v>22</v>
      </c>
      <c r="K192" s="54" t="str">
        <f>VLOOKUP(J192,Ruimtegroepen[],2,FALSE)</f>
        <v>Niet in onderhoud</v>
      </c>
      <c r="L192" s="24" t="s">
        <v>305</v>
      </c>
      <c r="M192" s="24" t="s">
        <v>376</v>
      </c>
      <c r="N192" s="83"/>
      <c r="O192" s="83">
        <v>87.68</v>
      </c>
      <c r="P192" s="93" t="str">
        <f>LEFT(VLOOKUP(Ruimtestaat[[#This Row],[Ruimte code]],Ruimtegroepen[#All],4,1),2)</f>
        <v/>
      </c>
      <c r="Q192" s="93"/>
      <c r="R192" s="84"/>
      <c r="S192" s="84"/>
      <c r="T192" s="85">
        <f>IF(R192&gt;0,IF(RIGHT(Ruimtestaat[[#This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2" s="85">
        <f>IF(T192&gt;0,VLOOKUP($J192,Ruimtegroepen[],3,FALSE)*VLOOKUP($L192,Vloersoorten[],3,FALSE)*VLOOKUP($S192,Frequenties[],3,FALSE)*VLOOKUP($A192,Locaties[],3,FALSE),0)</f>
        <v>0</v>
      </c>
      <c r="V192" s="86">
        <f>Ruimtestaat[[#This Row],[Uitvoeringen werkdagen]]*Ruimtestaat[[#This Row],[Oppervlak (netto)]]</f>
        <v>0</v>
      </c>
      <c r="W192" s="87">
        <f>IF(U192&gt;0,Ruimtestaat[[#This Row],[Prest. (m2 /jaar) werkdagen]]/Ruimtestaat[[#This Row],[Norm (m2/uur) werkdagen]],0)</f>
        <v>0</v>
      </c>
      <c r="X192" s="88">
        <f>Ruimtestaat[[#This Row],[uren / jaar werkdagen]]*Tariefsopbouw!$E$35</f>
        <v>0</v>
      </c>
      <c r="Y192" s="85"/>
      <c r="Z192" s="89">
        <f>IF(Ruimtestaat[[#This Row],[Frequentie weekend]]&gt;0,VALUE(LEFT(Y192,1))*R192,0)</f>
        <v>0</v>
      </c>
      <c r="AA192" s="85">
        <f>IF($Z192&gt;0,VLOOKUP($J192,Ruimtegroepen[],3,FALSE)*VLOOKUP($L192,Vloersoorten[],3,FALSE)*VLOOKUP($Y192,Frequenties[],3,FALSE)*VLOOKUP($A188,Locaties[],3,FALSE),0)</f>
        <v>0</v>
      </c>
      <c r="AB192" s="87">
        <f>Ruimtestaat[[#This Row],[Uitvoeringen weekend]]*Ruimtestaat[[#This Row],[Oppervlak (netto)]]</f>
        <v>0</v>
      </c>
      <c r="AC192" s="90">
        <f>IF(AB192&gt;0,Ruimtestaat[[#This Row],[Prest. (m2 /jaar) weekend]]/Ruimtestaat[[#This Row],[Norm (m2/uur) weekend]],0)</f>
        <v>0</v>
      </c>
      <c r="AD192" s="91">
        <f>Ruimtestaat[[#This Row],[uren / jaar weekend]]*Tariefsopbouw!$D$40</f>
        <v>0</v>
      </c>
      <c r="AE192" s="60">
        <f>Ruimtestaat[[#This Row],[Prest. (m2 /jaar) weekend]]+Ruimtestaat[[#This Row],[Prest. (m2 /jaar) werkdagen]]</f>
        <v>0</v>
      </c>
      <c r="AF192" s="60">
        <f>Ruimtestaat[[#This Row],[uren / jaar weekend]]+Ruimtestaat[[#This Row],[uren / jaar werkdagen]]</f>
        <v>0</v>
      </c>
      <c r="AG192" s="61">
        <f>Ruimtestaat[[#This Row],[kosten / jaar weekend]]+Ruimtestaat[[#This Row],[kosten / jaar werkdagen]]</f>
        <v>0</v>
      </c>
      <c r="AH192" s="92"/>
      <c r="HL192" s="59"/>
    </row>
    <row r="193" spans="1:220">
      <c r="A193" s="24">
        <v>1</v>
      </c>
      <c r="B193" s="24" t="str">
        <f>VLOOKUP(Ruimtestaat[[#This Row],[Code]],Locaties[#All],2,FALSE)</f>
        <v>Boerhaave + buitenunits</v>
      </c>
      <c r="C193" s="24" t="str">
        <f>VLOOKUP(Ruimtestaat[[#This Row],[Code]],Locaties[#All],4,FALSE)</f>
        <v>Herman Boerhaavelaan 1</v>
      </c>
      <c r="D193" s="24" t="str">
        <f>VLOOKUP(Ruimtestaat[[#This Row],[Code]],Locaties[#All],5,FALSE)</f>
        <v>7415 ES</v>
      </c>
      <c r="E193" s="24" t="str">
        <f>VLOOKUP(Ruimtestaat[[#This Row],[Code]],Locaties[#All],6,FALSE)</f>
        <v>Deventer</v>
      </c>
      <c r="F193" s="54"/>
      <c r="G193" s="24" t="s">
        <v>612</v>
      </c>
      <c r="H193" s="24" t="s">
        <v>622</v>
      </c>
      <c r="I193" s="4" t="s">
        <v>623</v>
      </c>
      <c r="J193" s="24">
        <v>9</v>
      </c>
      <c r="K193" s="54" t="str">
        <f>VLOOKUP(J193,Ruimtegroepen[],2,FALSE)</f>
        <v>Garderobe</v>
      </c>
      <c r="L193" s="24" t="s">
        <v>305</v>
      </c>
      <c r="M193" s="24" t="s">
        <v>400</v>
      </c>
      <c r="N193" s="83">
        <v>42.59</v>
      </c>
      <c r="O193" s="83"/>
      <c r="P193" s="93" t="str">
        <f>LEFT(VLOOKUP(Ruimtestaat[[#This Row],[Ruimte code]],Ruimtegroepen[#All],4,1),2)</f>
        <v>Ve</v>
      </c>
      <c r="Q193" s="93"/>
      <c r="R193" s="84">
        <v>40</v>
      </c>
      <c r="S193" s="84" t="s">
        <v>318</v>
      </c>
      <c r="T193" s="85">
        <f>IF(R193&gt;0,IF(RIGHT(Ruimtestaat[[#This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3" s="85">
        <f>IF(T193&gt;0,VLOOKUP($J193,Ruimtegroepen[],3,FALSE)*VLOOKUP($L193,Vloersoorten[],3,FALSE)*VLOOKUP($S193,Frequenties[],3,FALSE)*VLOOKUP($A193,Locaties[],3,FALSE),0)</f>
        <v>0</v>
      </c>
      <c r="V193" s="86">
        <f>Ruimtestaat[[#This Row],[Uitvoeringen werkdagen]]*Ruimtestaat[[#This Row],[Oppervlak (netto)]]</f>
        <v>8518</v>
      </c>
      <c r="W193" s="87">
        <f>IF(U193&gt;0,Ruimtestaat[[#This Row],[Prest. (m2 /jaar) werkdagen]]/Ruimtestaat[[#This Row],[Norm (m2/uur) werkdagen]],0)</f>
        <v>0</v>
      </c>
      <c r="X193" s="88">
        <f>Ruimtestaat[[#This Row],[uren / jaar werkdagen]]*Tariefsopbouw!$E$35</f>
        <v>0</v>
      </c>
      <c r="Y193" s="85"/>
      <c r="Z193" s="89">
        <f>IF(Ruimtestaat[[#This Row],[Frequentie weekend]]&gt;0,VALUE(LEFT(Y193,1))*R193,0)</f>
        <v>0</v>
      </c>
      <c r="AA193" s="85">
        <f>IF($Z193&gt;0,VLOOKUP($J193,Ruimtegroepen[],3,FALSE)*VLOOKUP($L193,Vloersoorten[],3,FALSE)*VLOOKUP($Y193,Frequenties[],3,FALSE)*VLOOKUP($A189,Locaties[],3,FALSE),0)</f>
        <v>0</v>
      </c>
      <c r="AB193" s="87">
        <f>Ruimtestaat[[#This Row],[Uitvoeringen weekend]]*Ruimtestaat[[#This Row],[Oppervlak (netto)]]</f>
        <v>0</v>
      </c>
      <c r="AC193" s="90">
        <f>IF(AB193&gt;0,Ruimtestaat[[#This Row],[Prest. (m2 /jaar) weekend]]/Ruimtestaat[[#This Row],[Norm (m2/uur) weekend]],0)</f>
        <v>0</v>
      </c>
      <c r="AD193" s="91">
        <f>Ruimtestaat[[#This Row],[uren / jaar weekend]]*Tariefsopbouw!$D$40</f>
        <v>0</v>
      </c>
      <c r="AE193" s="60">
        <f>Ruimtestaat[[#This Row],[Prest. (m2 /jaar) weekend]]+Ruimtestaat[[#This Row],[Prest. (m2 /jaar) werkdagen]]</f>
        <v>8518</v>
      </c>
      <c r="AF193" s="60">
        <f>Ruimtestaat[[#This Row],[uren / jaar weekend]]+Ruimtestaat[[#This Row],[uren / jaar werkdagen]]</f>
        <v>0</v>
      </c>
      <c r="AG193" s="61">
        <f>Ruimtestaat[[#This Row],[kosten / jaar weekend]]+Ruimtestaat[[#This Row],[kosten / jaar werkdagen]]</f>
        <v>0</v>
      </c>
      <c r="AH193" s="92"/>
      <c r="HL193" s="59"/>
    </row>
    <row r="194" spans="1:220">
      <c r="A194" s="24">
        <v>1</v>
      </c>
      <c r="B194" s="24" t="str">
        <f>VLOOKUP(Ruimtestaat[[#This Row],[Code]],Locaties[#All],2,FALSE)</f>
        <v>Boerhaave + buitenunits</v>
      </c>
      <c r="C194" s="24" t="str">
        <f>VLOOKUP(Ruimtestaat[[#This Row],[Code]],Locaties[#All],4,FALSE)</f>
        <v>Herman Boerhaavelaan 1</v>
      </c>
      <c r="D194" s="24" t="str">
        <f>VLOOKUP(Ruimtestaat[[#This Row],[Code]],Locaties[#All],5,FALSE)</f>
        <v>7415 ES</v>
      </c>
      <c r="E194" s="24" t="str">
        <f>VLOOKUP(Ruimtestaat[[#This Row],[Code]],Locaties[#All],6,FALSE)</f>
        <v>Deventer</v>
      </c>
      <c r="F194" s="54"/>
      <c r="G194" s="24" t="s">
        <v>612</v>
      </c>
      <c r="H194" s="24" t="s">
        <v>624</v>
      </c>
      <c r="I194" s="4" t="s">
        <v>103</v>
      </c>
      <c r="J194" s="24">
        <v>10</v>
      </c>
      <c r="K194" s="54" t="str">
        <f>VLOOKUP(J194,Ruimtegroepen[],2,FALSE)</f>
        <v>Trappenhuizen/lift</v>
      </c>
      <c r="L194" s="24" t="s">
        <v>311</v>
      </c>
      <c r="M194" s="24" t="s">
        <v>370</v>
      </c>
      <c r="N194" s="83">
        <v>3.29</v>
      </c>
      <c r="O194" s="83"/>
      <c r="P194" s="93" t="str">
        <f>LEFT(VLOOKUP(Ruimtestaat[[#This Row],[Ruimte code]],Ruimtegroepen[#All],4,1),2)</f>
        <v>Ve</v>
      </c>
      <c r="Q194" s="93"/>
      <c r="R194" s="84">
        <v>40</v>
      </c>
      <c r="S194" s="84" t="s">
        <v>318</v>
      </c>
      <c r="T194" s="85">
        <f>IF(R194&gt;0,IF(RIGHT(Ruimtestaat[[#This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4" s="85">
        <f>IF(T194&gt;0,VLOOKUP($J194,Ruimtegroepen[],3,FALSE)*VLOOKUP($L194,Vloersoorten[],3,FALSE)*VLOOKUP($S194,Frequenties[],3,FALSE)*VLOOKUP($A194,Locaties[],3,FALSE),0)</f>
        <v>0</v>
      </c>
      <c r="V194" s="86">
        <f>Ruimtestaat[[#This Row],[Uitvoeringen werkdagen]]*Ruimtestaat[[#This Row],[Oppervlak (netto)]]</f>
        <v>658</v>
      </c>
      <c r="W194" s="87">
        <f>IF(U194&gt;0,Ruimtestaat[[#This Row],[Prest. (m2 /jaar) werkdagen]]/Ruimtestaat[[#This Row],[Norm (m2/uur) werkdagen]],0)</f>
        <v>0</v>
      </c>
      <c r="X194" s="88">
        <f>Ruimtestaat[[#This Row],[uren / jaar werkdagen]]*Tariefsopbouw!$E$35</f>
        <v>0</v>
      </c>
      <c r="Y194" s="85"/>
      <c r="Z194" s="89">
        <f>IF(Ruimtestaat[[#This Row],[Frequentie weekend]]&gt;0,VALUE(LEFT(Y194,1))*R194,0)</f>
        <v>0</v>
      </c>
      <c r="AA194" s="85">
        <f>IF($Z194&gt;0,VLOOKUP($J194,Ruimtegroepen[],3,FALSE)*VLOOKUP($L194,Vloersoorten[],3,FALSE)*VLOOKUP($Y194,Frequenties[],3,FALSE)*VLOOKUP($A190,Locaties[],3,FALSE),0)</f>
        <v>0</v>
      </c>
      <c r="AB194" s="87">
        <f>Ruimtestaat[[#This Row],[Uitvoeringen weekend]]*Ruimtestaat[[#This Row],[Oppervlak (netto)]]</f>
        <v>0</v>
      </c>
      <c r="AC194" s="90">
        <f>IF(AB194&gt;0,Ruimtestaat[[#This Row],[Prest. (m2 /jaar) weekend]]/Ruimtestaat[[#This Row],[Norm (m2/uur) weekend]],0)</f>
        <v>0</v>
      </c>
      <c r="AD194" s="91">
        <f>Ruimtestaat[[#This Row],[uren / jaar weekend]]*Tariefsopbouw!$D$40</f>
        <v>0</v>
      </c>
      <c r="AE194" s="60">
        <f>Ruimtestaat[[#This Row],[Prest. (m2 /jaar) weekend]]+Ruimtestaat[[#This Row],[Prest. (m2 /jaar) werkdagen]]</f>
        <v>658</v>
      </c>
      <c r="AF194" s="60">
        <f>Ruimtestaat[[#This Row],[uren / jaar weekend]]+Ruimtestaat[[#This Row],[uren / jaar werkdagen]]</f>
        <v>0</v>
      </c>
      <c r="AG194" s="61">
        <f>Ruimtestaat[[#This Row],[kosten / jaar weekend]]+Ruimtestaat[[#This Row],[kosten / jaar werkdagen]]</f>
        <v>0</v>
      </c>
      <c r="AH194" s="92"/>
      <c r="HL194" s="59"/>
    </row>
    <row r="195" spans="1:220">
      <c r="A195" s="24">
        <v>1</v>
      </c>
      <c r="B195" s="24" t="str">
        <f>VLOOKUP(Ruimtestaat[[#This Row],[Code]],Locaties[#All],2,FALSE)</f>
        <v>Boerhaave + buitenunits</v>
      </c>
      <c r="C195" s="24" t="str">
        <f>VLOOKUP(Ruimtestaat[[#This Row],[Code]],Locaties[#All],4,FALSE)</f>
        <v>Herman Boerhaavelaan 1</v>
      </c>
      <c r="D195" s="24" t="str">
        <f>VLOOKUP(Ruimtestaat[[#This Row],[Code]],Locaties[#All],5,FALSE)</f>
        <v>7415 ES</v>
      </c>
      <c r="E195" s="24" t="str">
        <f>VLOOKUP(Ruimtestaat[[#This Row],[Code]],Locaties[#All],6,FALSE)</f>
        <v>Deventer</v>
      </c>
      <c r="F195" s="54"/>
      <c r="G195" s="24" t="s">
        <v>612</v>
      </c>
      <c r="H195" s="24" t="s">
        <v>625</v>
      </c>
      <c r="I195" s="4" t="s">
        <v>626</v>
      </c>
      <c r="J195" s="24">
        <v>22</v>
      </c>
      <c r="K195" s="54" t="str">
        <f>VLOOKUP(J195,Ruimtegroepen[],2,FALSE)</f>
        <v>Niet in onderhoud</v>
      </c>
      <c r="L195" s="24" t="s">
        <v>305</v>
      </c>
      <c r="M195" s="24" t="s">
        <v>376</v>
      </c>
      <c r="N195" s="83"/>
      <c r="O195" s="83">
        <v>13.74</v>
      </c>
      <c r="P195" s="93" t="str">
        <f>LEFT(VLOOKUP(Ruimtestaat[[#This Row],[Ruimte code]],Ruimtegroepen[#All],4,1),2)</f>
        <v/>
      </c>
      <c r="Q195" s="93"/>
      <c r="R195" s="84"/>
      <c r="S195" s="84"/>
      <c r="T195" s="85">
        <f>IF(R195&gt;0,IF(RIGHT(Ruimtestaat[[#This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5" s="85">
        <f>IF(T195&gt;0,VLOOKUP($J195,Ruimtegroepen[],3,FALSE)*VLOOKUP($L195,Vloersoorten[],3,FALSE)*VLOOKUP($S195,Frequenties[],3,FALSE)*VLOOKUP($A195,Locaties[],3,FALSE),0)</f>
        <v>0</v>
      </c>
      <c r="V195" s="86">
        <f>Ruimtestaat[[#This Row],[Uitvoeringen werkdagen]]*Ruimtestaat[[#This Row],[Oppervlak (netto)]]</f>
        <v>0</v>
      </c>
      <c r="W195" s="87">
        <f>IF(U195&gt;0,Ruimtestaat[[#This Row],[Prest. (m2 /jaar) werkdagen]]/Ruimtestaat[[#This Row],[Norm (m2/uur) werkdagen]],0)</f>
        <v>0</v>
      </c>
      <c r="X195" s="88">
        <f>Ruimtestaat[[#This Row],[uren / jaar werkdagen]]*Tariefsopbouw!$E$35</f>
        <v>0</v>
      </c>
      <c r="Y195" s="85"/>
      <c r="Z195" s="89">
        <f>IF(Ruimtestaat[[#This Row],[Frequentie weekend]]&gt;0,VALUE(LEFT(Y195,1))*R195,0)</f>
        <v>0</v>
      </c>
      <c r="AA195" s="85">
        <f>IF($Z195&gt;0,VLOOKUP($J195,Ruimtegroepen[],3,FALSE)*VLOOKUP($L195,Vloersoorten[],3,FALSE)*VLOOKUP($Y195,Frequenties[],3,FALSE)*VLOOKUP($A191,Locaties[],3,FALSE),0)</f>
        <v>0</v>
      </c>
      <c r="AB195" s="87">
        <f>Ruimtestaat[[#This Row],[Uitvoeringen weekend]]*Ruimtestaat[[#This Row],[Oppervlak (netto)]]</f>
        <v>0</v>
      </c>
      <c r="AC195" s="90">
        <f>IF(AB195&gt;0,Ruimtestaat[[#This Row],[Prest. (m2 /jaar) weekend]]/Ruimtestaat[[#This Row],[Norm (m2/uur) weekend]],0)</f>
        <v>0</v>
      </c>
      <c r="AD195" s="91">
        <f>Ruimtestaat[[#This Row],[uren / jaar weekend]]*Tariefsopbouw!$D$40</f>
        <v>0</v>
      </c>
      <c r="AE195" s="60">
        <f>Ruimtestaat[[#This Row],[Prest. (m2 /jaar) weekend]]+Ruimtestaat[[#This Row],[Prest. (m2 /jaar) werkdagen]]</f>
        <v>0</v>
      </c>
      <c r="AF195" s="60">
        <f>Ruimtestaat[[#This Row],[uren / jaar weekend]]+Ruimtestaat[[#This Row],[uren / jaar werkdagen]]</f>
        <v>0</v>
      </c>
      <c r="AG195" s="61">
        <f>Ruimtestaat[[#This Row],[kosten / jaar weekend]]+Ruimtestaat[[#This Row],[kosten / jaar werkdagen]]</f>
        <v>0</v>
      </c>
      <c r="AH195" s="92"/>
      <c r="HL195" s="59"/>
    </row>
    <row r="196" spans="1:220">
      <c r="A196" s="24">
        <v>1</v>
      </c>
      <c r="B196" s="24" t="str">
        <f>VLOOKUP(Ruimtestaat[[#This Row],[Code]],Locaties[#All],2,FALSE)</f>
        <v>Boerhaave + buitenunits</v>
      </c>
      <c r="C196" s="24" t="str">
        <f>VLOOKUP(Ruimtestaat[[#This Row],[Code]],Locaties[#All],4,FALSE)</f>
        <v>Herman Boerhaavelaan 1</v>
      </c>
      <c r="D196" s="24" t="str">
        <f>VLOOKUP(Ruimtestaat[[#This Row],[Code]],Locaties[#All],5,FALSE)</f>
        <v>7415 ES</v>
      </c>
      <c r="E196" s="24" t="str">
        <f>VLOOKUP(Ruimtestaat[[#This Row],[Code]],Locaties[#All],6,FALSE)</f>
        <v>Deventer</v>
      </c>
      <c r="F196" s="54"/>
      <c r="G196" s="24" t="s">
        <v>612</v>
      </c>
      <c r="H196" s="24" t="s">
        <v>627</v>
      </c>
      <c r="I196" s="4" t="s">
        <v>628</v>
      </c>
      <c r="J196" s="24">
        <v>12</v>
      </c>
      <c r="K196" s="54" t="str">
        <f>VLOOKUP(J196,Ruimtegroepen[],2,FALSE)</f>
        <v>Kantine</v>
      </c>
      <c r="L196" s="24" t="s">
        <v>311</v>
      </c>
      <c r="M196" s="24" t="s">
        <v>370</v>
      </c>
      <c r="N196" s="83">
        <v>112.9</v>
      </c>
      <c r="O196" s="83"/>
      <c r="P196" s="93" t="str">
        <f>LEFT(VLOOKUP(Ruimtestaat[[#This Row],[Ruimte code]],Ruimtegroepen[#All],4,1),2)</f>
        <v>Ve</v>
      </c>
      <c r="Q196" s="93"/>
      <c r="R196" s="84">
        <v>40</v>
      </c>
      <c r="S196" s="84" t="s">
        <v>318</v>
      </c>
      <c r="T196" s="85">
        <f>IF(R196&gt;0,IF(RIGHT(Ruimtestaat[[#This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6" s="85">
        <f>IF(T196&gt;0,VLOOKUP($J196,Ruimtegroepen[],3,FALSE)*VLOOKUP($L196,Vloersoorten[],3,FALSE)*VLOOKUP($S196,Frequenties[],3,FALSE)*VLOOKUP($A196,Locaties[],3,FALSE),0)</f>
        <v>0</v>
      </c>
      <c r="V196" s="86">
        <f>Ruimtestaat[[#This Row],[Uitvoeringen werkdagen]]*Ruimtestaat[[#This Row],[Oppervlak (netto)]]</f>
        <v>22580</v>
      </c>
      <c r="W196" s="87">
        <f>IF(U196&gt;0,Ruimtestaat[[#This Row],[Prest. (m2 /jaar) werkdagen]]/Ruimtestaat[[#This Row],[Norm (m2/uur) werkdagen]],0)</f>
        <v>0</v>
      </c>
      <c r="X196" s="88">
        <f>Ruimtestaat[[#This Row],[uren / jaar werkdagen]]*Tariefsopbouw!$E$35</f>
        <v>0</v>
      </c>
      <c r="Y196" s="85"/>
      <c r="Z196" s="89">
        <f>IF(Ruimtestaat[[#This Row],[Frequentie weekend]]&gt;0,VALUE(LEFT(Y196,1))*R196,0)</f>
        <v>0</v>
      </c>
      <c r="AA196" s="85">
        <f>IF($Z196&gt;0,VLOOKUP($J196,Ruimtegroepen[],3,FALSE)*VLOOKUP($L196,Vloersoorten[],3,FALSE)*VLOOKUP($Y196,Frequenties[],3,FALSE)*VLOOKUP($A192,Locaties[],3,FALSE),0)</f>
        <v>0</v>
      </c>
      <c r="AB196" s="87">
        <f>Ruimtestaat[[#This Row],[Uitvoeringen weekend]]*Ruimtestaat[[#This Row],[Oppervlak (netto)]]</f>
        <v>0</v>
      </c>
      <c r="AC196" s="90">
        <f>IF(AB196&gt;0,Ruimtestaat[[#This Row],[Prest. (m2 /jaar) weekend]]/Ruimtestaat[[#This Row],[Norm (m2/uur) weekend]],0)</f>
        <v>0</v>
      </c>
      <c r="AD196" s="91">
        <f>Ruimtestaat[[#This Row],[uren / jaar weekend]]*Tariefsopbouw!$D$40</f>
        <v>0</v>
      </c>
      <c r="AE196" s="60">
        <f>Ruimtestaat[[#This Row],[Prest. (m2 /jaar) weekend]]+Ruimtestaat[[#This Row],[Prest. (m2 /jaar) werkdagen]]</f>
        <v>22580</v>
      </c>
      <c r="AF196" s="60">
        <f>Ruimtestaat[[#This Row],[uren / jaar weekend]]+Ruimtestaat[[#This Row],[uren / jaar werkdagen]]</f>
        <v>0</v>
      </c>
      <c r="AG196" s="61">
        <f>Ruimtestaat[[#This Row],[kosten / jaar weekend]]+Ruimtestaat[[#This Row],[kosten / jaar werkdagen]]</f>
        <v>0</v>
      </c>
      <c r="AH196" s="92"/>
      <c r="HL196" s="59"/>
    </row>
    <row r="197" spans="1:220">
      <c r="A197" s="24">
        <v>1</v>
      </c>
      <c r="B197" s="24" t="str">
        <f>VLOOKUP(Ruimtestaat[[#This Row],[Code]],Locaties[#All],2,FALSE)</f>
        <v>Boerhaave + buitenunits</v>
      </c>
      <c r="C197" s="24" t="str">
        <f>VLOOKUP(Ruimtestaat[[#This Row],[Code]],Locaties[#All],4,FALSE)</f>
        <v>Herman Boerhaavelaan 1</v>
      </c>
      <c r="D197" s="24" t="str">
        <f>VLOOKUP(Ruimtestaat[[#This Row],[Code]],Locaties[#All],5,FALSE)</f>
        <v>7415 ES</v>
      </c>
      <c r="E197" s="24" t="str">
        <f>VLOOKUP(Ruimtestaat[[#This Row],[Code]],Locaties[#All],6,FALSE)</f>
        <v>Deventer</v>
      </c>
      <c r="F197" s="54"/>
      <c r="G197" s="24" t="s">
        <v>612</v>
      </c>
      <c r="H197" s="24" t="s">
        <v>629</v>
      </c>
      <c r="I197" s="4" t="s">
        <v>630</v>
      </c>
      <c r="J197" s="24">
        <v>9</v>
      </c>
      <c r="K197" s="54" t="str">
        <f>VLOOKUP(J197,Ruimtegroepen[],2,FALSE)</f>
        <v>Garderobe</v>
      </c>
      <c r="L197" s="24" t="s">
        <v>311</v>
      </c>
      <c r="M197" s="24" t="s">
        <v>370</v>
      </c>
      <c r="N197" s="83">
        <v>124.91</v>
      </c>
      <c r="O197" s="83"/>
      <c r="P197" s="93" t="str">
        <f>LEFT(VLOOKUP(Ruimtestaat[[#This Row],[Ruimte code]],Ruimtegroepen[#All],4,1),2)</f>
        <v>Ve</v>
      </c>
      <c r="Q197" s="93"/>
      <c r="R197" s="84">
        <v>40</v>
      </c>
      <c r="S197" s="84" t="s">
        <v>318</v>
      </c>
      <c r="T197" s="85">
        <f>IF(R197&gt;0,IF(RIGHT(Ruimtestaat[[#This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7" s="85">
        <f>IF(T197&gt;0,VLOOKUP($J197,Ruimtegroepen[],3,FALSE)*VLOOKUP($L197,Vloersoorten[],3,FALSE)*VLOOKUP($S197,Frequenties[],3,FALSE)*VLOOKUP($A197,Locaties[],3,FALSE),0)</f>
        <v>0</v>
      </c>
      <c r="V197" s="86">
        <f>Ruimtestaat[[#This Row],[Uitvoeringen werkdagen]]*Ruimtestaat[[#This Row],[Oppervlak (netto)]]</f>
        <v>24982</v>
      </c>
      <c r="W197" s="87">
        <f>IF(U197&gt;0,Ruimtestaat[[#This Row],[Prest. (m2 /jaar) werkdagen]]/Ruimtestaat[[#This Row],[Norm (m2/uur) werkdagen]],0)</f>
        <v>0</v>
      </c>
      <c r="X197" s="88">
        <f>Ruimtestaat[[#This Row],[uren / jaar werkdagen]]*Tariefsopbouw!$E$35</f>
        <v>0</v>
      </c>
      <c r="Y197" s="85"/>
      <c r="Z197" s="89">
        <f>IF(Ruimtestaat[[#This Row],[Frequentie weekend]]&gt;0,VALUE(LEFT(Y197,1))*R197,0)</f>
        <v>0</v>
      </c>
      <c r="AA197" s="85">
        <f>IF($Z197&gt;0,VLOOKUP($J197,Ruimtegroepen[],3,FALSE)*VLOOKUP($L197,Vloersoorten[],3,FALSE)*VLOOKUP($Y197,Frequenties[],3,FALSE)*VLOOKUP($A193,Locaties[],3,FALSE),0)</f>
        <v>0</v>
      </c>
      <c r="AB197" s="87">
        <f>Ruimtestaat[[#This Row],[Uitvoeringen weekend]]*Ruimtestaat[[#This Row],[Oppervlak (netto)]]</f>
        <v>0</v>
      </c>
      <c r="AC197" s="90">
        <f>IF(AB197&gt;0,Ruimtestaat[[#This Row],[Prest. (m2 /jaar) weekend]]/Ruimtestaat[[#This Row],[Norm (m2/uur) weekend]],0)</f>
        <v>0</v>
      </c>
      <c r="AD197" s="91">
        <f>Ruimtestaat[[#This Row],[uren / jaar weekend]]*Tariefsopbouw!$D$40</f>
        <v>0</v>
      </c>
      <c r="AE197" s="60">
        <f>Ruimtestaat[[#This Row],[Prest. (m2 /jaar) weekend]]+Ruimtestaat[[#This Row],[Prest. (m2 /jaar) werkdagen]]</f>
        <v>24982</v>
      </c>
      <c r="AF197" s="60">
        <f>Ruimtestaat[[#This Row],[uren / jaar weekend]]+Ruimtestaat[[#This Row],[uren / jaar werkdagen]]</f>
        <v>0</v>
      </c>
      <c r="AG197" s="61">
        <f>Ruimtestaat[[#This Row],[kosten / jaar weekend]]+Ruimtestaat[[#This Row],[kosten / jaar werkdagen]]</f>
        <v>0</v>
      </c>
      <c r="AH197" s="92"/>
      <c r="HL197" s="59"/>
    </row>
    <row r="198" spans="1:220">
      <c r="A198" s="24">
        <v>1</v>
      </c>
      <c r="B198" s="24" t="str">
        <f>VLOOKUP(Ruimtestaat[[#This Row],[Code]],Locaties[#All],2,FALSE)</f>
        <v>Boerhaave + buitenunits</v>
      </c>
      <c r="C198" s="24" t="str">
        <f>VLOOKUP(Ruimtestaat[[#This Row],[Code]],Locaties[#All],4,FALSE)</f>
        <v>Herman Boerhaavelaan 1</v>
      </c>
      <c r="D198" s="24" t="str">
        <f>VLOOKUP(Ruimtestaat[[#This Row],[Code]],Locaties[#All],5,FALSE)</f>
        <v>7415 ES</v>
      </c>
      <c r="E198" s="24" t="str">
        <f>VLOOKUP(Ruimtestaat[[#This Row],[Code]],Locaties[#All],6,FALSE)</f>
        <v>Deventer</v>
      </c>
      <c r="F198" s="54"/>
      <c r="G198" s="24" t="s">
        <v>612</v>
      </c>
      <c r="H198" s="24" t="s">
        <v>631</v>
      </c>
      <c r="I198" s="4" t="s">
        <v>632</v>
      </c>
      <c r="J198" s="24">
        <v>22</v>
      </c>
      <c r="K198" s="54" t="str">
        <f>VLOOKUP(J198,Ruimtegroepen[],2,FALSE)</f>
        <v>Niet in onderhoud</v>
      </c>
      <c r="L198" s="24" t="s">
        <v>305</v>
      </c>
      <c r="M198" s="24" t="s">
        <v>376</v>
      </c>
      <c r="N198" s="83"/>
      <c r="O198" s="83">
        <v>22.17</v>
      </c>
      <c r="P198" s="93" t="str">
        <f>LEFT(VLOOKUP(Ruimtestaat[[#This Row],[Ruimte code]],Ruimtegroepen[#All],4,1),2)</f>
        <v/>
      </c>
      <c r="Q198" s="93"/>
      <c r="R198" s="84"/>
      <c r="S198" s="84"/>
      <c r="T198" s="85">
        <f>IF(R198&gt;0,IF(RIGHT(Ruimtestaat[[#This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8" s="85">
        <f>IF(T198&gt;0,VLOOKUP($J198,Ruimtegroepen[],3,FALSE)*VLOOKUP($L198,Vloersoorten[],3,FALSE)*VLOOKUP($S198,Frequenties[],3,FALSE)*VLOOKUP($A198,Locaties[],3,FALSE),0)</f>
        <v>0</v>
      </c>
      <c r="V198" s="86">
        <f>Ruimtestaat[[#This Row],[Uitvoeringen werkdagen]]*Ruimtestaat[[#This Row],[Oppervlak (netto)]]</f>
        <v>0</v>
      </c>
      <c r="W198" s="87">
        <f>IF(U198&gt;0,Ruimtestaat[[#This Row],[Prest. (m2 /jaar) werkdagen]]/Ruimtestaat[[#This Row],[Norm (m2/uur) werkdagen]],0)</f>
        <v>0</v>
      </c>
      <c r="X198" s="88">
        <f>Ruimtestaat[[#This Row],[uren / jaar werkdagen]]*Tariefsopbouw!$E$35</f>
        <v>0</v>
      </c>
      <c r="Y198" s="85"/>
      <c r="Z198" s="89">
        <f>IF(Ruimtestaat[[#This Row],[Frequentie weekend]]&gt;0,VALUE(LEFT(Y198,1))*R198,0)</f>
        <v>0</v>
      </c>
      <c r="AA198" s="85">
        <f>IF($Z198&gt;0,VLOOKUP($J198,Ruimtegroepen[],3,FALSE)*VLOOKUP($L198,Vloersoorten[],3,FALSE)*VLOOKUP($Y198,Frequenties[],3,FALSE)*VLOOKUP($A194,Locaties[],3,FALSE),0)</f>
        <v>0</v>
      </c>
      <c r="AB198" s="87">
        <f>Ruimtestaat[[#This Row],[Uitvoeringen weekend]]*Ruimtestaat[[#This Row],[Oppervlak (netto)]]</f>
        <v>0</v>
      </c>
      <c r="AC198" s="90">
        <f>IF(AB198&gt;0,Ruimtestaat[[#This Row],[Prest. (m2 /jaar) weekend]]/Ruimtestaat[[#This Row],[Norm (m2/uur) weekend]],0)</f>
        <v>0</v>
      </c>
      <c r="AD198" s="91">
        <f>Ruimtestaat[[#This Row],[uren / jaar weekend]]*Tariefsopbouw!$D$40</f>
        <v>0</v>
      </c>
      <c r="AE198" s="60">
        <f>Ruimtestaat[[#This Row],[Prest. (m2 /jaar) weekend]]+Ruimtestaat[[#This Row],[Prest. (m2 /jaar) werkdagen]]</f>
        <v>0</v>
      </c>
      <c r="AF198" s="60">
        <f>Ruimtestaat[[#This Row],[uren / jaar weekend]]+Ruimtestaat[[#This Row],[uren / jaar werkdagen]]</f>
        <v>0</v>
      </c>
      <c r="AG198" s="61">
        <f>Ruimtestaat[[#This Row],[kosten / jaar weekend]]+Ruimtestaat[[#This Row],[kosten / jaar werkdagen]]</f>
        <v>0</v>
      </c>
      <c r="AH198" s="92"/>
      <c r="HL198" s="59"/>
    </row>
    <row r="199" spans="1:220">
      <c r="A199" s="24">
        <v>1</v>
      </c>
      <c r="B199" s="24" t="str">
        <f>VLOOKUP(Ruimtestaat[[#This Row],[Code]],Locaties[#All],2,FALSE)</f>
        <v>Boerhaave + buitenunits</v>
      </c>
      <c r="C199" s="24" t="str">
        <f>VLOOKUP(Ruimtestaat[[#This Row],[Code]],Locaties[#All],4,FALSE)</f>
        <v>Herman Boerhaavelaan 1</v>
      </c>
      <c r="D199" s="24" t="str">
        <f>VLOOKUP(Ruimtestaat[[#This Row],[Code]],Locaties[#All],5,FALSE)</f>
        <v>7415 ES</v>
      </c>
      <c r="E199" s="24" t="str">
        <f>VLOOKUP(Ruimtestaat[[#This Row],[Code]],Locaties[#All],6,FALSE)</f>
        <v>Deventer</v>
      </c>
      <c r="F199" s="54"/>
      <c r="G199" s="24" t="s">
        <v>612</v>
      </c>
      <c r="H199" s="24" t="s">
        <v>633</v>
      </c>
      <c r="I199" s="4" t="s">
        <v>535</v>
      </c>
      <c r="J199" s="24">
        <v>22</v>
      </c>
      <c r="K199" s="54" t="str">
        <f>VLOOKUP(J199,Ruimtegroepen[],2,FALSE)</f>
        <v>Niet in onderhoud</v>
      </c>
      <c r="M199" s="24"/>
      <c r="O199" s="83">
        <v>2.4500000000000002</v>
      </c>
      <c r="P199" s="93" t="str">
        <f>LEFT(VLOOKUP(Ruimtestaat[[#This Row],[Ruimte code]],Ruimtegroepen[#All],4,1),2)</f>
        <v/>
      </c>
      <c r="Q199" s="93"/>
      <c r="R199" s="84"/>
      <c r="S199" s="84"/>
      <c r="T199" s="85">
        <f>IF(R199&gt;0,IF(RIGHT(Ruimtestaat[[#This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9" s="85">
        <f>IF(T199&gt;0,VLOOKUP($J199,Ruimtegroepen[],3,FALSE)*VLOOKUP($L199,Vloersoorten[],3,FALSE)*VLOOKUP($S199,Frequenties[],3,FALSE)*VLOOKUP($A199,Locaties[],3,FALSE),0)</f>
        <v>0</v>
      </c>
      <c r="V199" s="86">
        <f>Ruimtestaat[[#This Row],[Uitvoeringen werkdagen]]*Ruimtestaat[[#This Row],[Oppervlak (netto)]]</f>
        <v>0</v>
      </c>
      <c r="W199" s="87">
        <f>IF(U199&gt;0,Ruimtestaat[[#This Row],[Prest. (m2 /jaar) werkdagen]]/Ruimtestaat[[#This Row],[Norm (m2/uur) werkdagen]],0)</f>
        <v>0</v>
      </c>
      <c r="X199" s="88">
        <f>Ruimtestaat[[#This Row],[uren / jaar werkdagen]]*Tariefsopbouw!$E$35</f>
        <v>0</v>
      </c>
      <c r="Y199" s="85"/>
      <c r="Z199" s="89">
        <f>IF(Ruimtestaat[[#This Row],[Frequentie weekend]]&gt;0,VALUE(LEFT(Y199,1))*R199,0)</f>
        <v>0</v>
      </c>
      <c r="AA199" s="85">
        <f>IF($Z199&gt;0,VLOOKUP($J199,Ruimtegroepen[],3,FALSE)*VLOOKUP($L199,Vloersoorten[],3,FALSE)*VLOOKUP($Y199,Frequenties[],3,FALSE)*VLOOKUP($A195,Locaties[],3,FALSE),0)</f>
        <v>0</v>
      </c>
      <c r="AB199" s="87">
        <f>Ruimtestaat[[#This Row],[Uitvoeringen weekend]]*Ruimtestaat[[#This Row],[Oppervlak (netto)]]</f>
        <v>0</v>
      </c>
      <c r="AC199" s="90">
        <f>IF(AB199&gt;0,Ruimtestaat[[#This Row],[Prest. (m2 /jaar) weekend]]/Ruimtestaat[[#This Row],[Norm (m2/uur) weekend]],0)</f>
        <v>0</v>
      </c>
      <c r="AD199" s="91">
        <f>Ruimtestaat[[#This Row],[uren / jaar weekend]]*Tariefsopbouw!$D$40</f>
        <v>0</v>
      </c>
      <c r="AE199" s="60">
        <f>Ruimtestaat[[#This Row],[Prest. (m2 /jaar) weekend]]+Ruimtestaat[[#This Row],[Prest. (m2 /jaar) werkdagen]]</f>
        <v>0</v>
      </c>
      <c r="AF199" s="60">
        <f>Ruimtestaat[[#This Row],[uren / jaar weekend]]+Ruimtestaat[[#This Row],[uren / jaar werkdagen]]</f>
        <v>0</v>
      </c>
      <c r="AG199" s="61">
        <f>Ruimtestaat[[#This Row],[kosten / jaar weekend]]+Ruimtestaat[[#This Row],[kosten / jaar werkdagen]]</f>
        <v>0</v>
      </c>
      <c r="AH199" s="92"/>
      <c r="HL199" s="59"/>
    </row>
    <row r="200" spans="1:220">
      <c r="A200" s="24">
        <v>1</v>
      </c>
      <c r="B200" s="24" t="str">
        <f>VLOOKUP(Ruimtestaat[[#This Row],[Code]],Locaties[#All],2,FALSE)</f>
        <v>Boerhaave + buitenunits</v>
      </c>
      <c r="C200" s="24" t="str">
        <f>VLOOKUP(Ruimtestaat[[#This Row],[Code]],Locaties[#All],4,FALSE)</f>
        <v>Herman Boerhaavelaan 1</v>
      </c>
      <c r="D200" s="24" t="str">
        <f>VLOOKUP(Ruimtestaat[[#This Row],[Code]],Locaties[#All],5,FALSE)</f>
        <v>7415 ES</v>
      </c>
      <c r="E200" s="24" t="str">
        <f>VLOOKUP(Ruimtestaat[[#This Row],[Code]],Locaties[#All],6,FALSE)</f>
        <v>Deventer</v>
      </c>
      <c r="F200" s="54"/>
      <c r="G200" s="24" t="s">
        <v>612</v>
      </c>
      <c r="H200" s="24" t="s">
        <v>634</v>
      </c>
      <c r="I200" s="4" t="s">
        <v>535</v>
      </c>
      <c r="J200" s="24">
        <v>22</v>
      </c>
      <c r="K200" s="54" t="str">
        <f>VLOOKUP(J200,Ruimtegroepen[],2,FALSE)</f>
        <v>Niet in onderhoud</v>
      </c>
      <c r="M200" s="24"/>
      <c r="N200" s="83"/>
      <c r="O200" s="83">
        <v>2.4700000000000002</v>
      </c>
      <c r="P200" s="93" t="str">
        <f>LEFT(VLOOKUP(Ruimtestaat[[#This Row],[Ruimte code]],Ruimtegroepen[#All],4,1),2)</f>
        <v/>
      </c>
      <c r="Q200" s="93"/>
      <c r="R200" s="84"/>
      <c r="S200" s="84"/>
      <c r="T200" s="85">
        <f>IF(R200&gt;0,IF(RIGHT(Ruimtestaat[[#This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0" s="85">
        <f>IF(T200&gt;0,VLOOKUP($J200,Ruimtegroepen[],3,FALSE)*VLOOKUP($L200,Vloersoorten[],3,FALSE)*VLOOKUP($S200,Frequenties[],3,FALSE)*VLOOKUP($A200,Locaties[],3,FALSE),0)</f>
        <v>0</v>
      </c>
      <c r="V200" s="86">
        <f>Ruimtestaat[[#This Row],[Uitvoeringen werkdagen]]*Ruimtestaat[[#This Row],[Oppervlak (netto)]]</f>
        <v>0</v>
      </c>
      <c r="W200" s="87">
        <f>IF(U200&gt;0,Ruimtestaat[[#This Row],[Prest. (m2 /jaar) werkdagen]]/Ruimtestaat[[#This Row],[Norm (m2/uur) werkdagen]],0)</f>
        <v>0</v>
      </c>
      <c r="X200" s="88">
        <f>Ruimtestaat[[#This Row],[uren / jaar werkdagen]]*Tariefsopbouw!$E$35</f>
        <v>0</v>
      </c>
      <c r="Y200" s="85"/>
      <c r="Z200" s="89">
        <f>IF(Ruimtestaat[[#This Row],[Frequentie weekend]]&gt;0,VALUE(LEFT(Y200,1))*R200,0)</f>
        <v>0</v>
      </c>
      <c r="AA200" s="85">
        <f>IF($Z200&gt;0,VLOOKUP($J200,Ruimtegroepen[],3,FALSE)*VLOOKUP($L200,Vloersoorten[],3,FALSE)*VLOOKUP($Y200,Frequenties[],3,FALSE)*VLOOKUP($A196,Locaties[],3,FALSE),0)</f>
        <v>0</v>
      </c>
      <c r="AB200" s="87">
        <f>Ruimtestaat[[#This Row],[Uitvoeringen weekend]]*Ruimtestaat[[#This Row],[Oppervlak (netto)]]</f>
        <v>0</v>
      </c>
      <c r="AC200" s="90">
        <f>IF(AB200&gt;0,Ruimtestaat[[#This Row],[Prest. (m2 /jaar) weekend]]/Ruimtestaat[[#This Row],[Norm (m2/uur) weekend]],0)</f>
        <v>0</v>
      </c>
      <c r="AD200" s="91">
        <f>Ruimtestaat[[#This Row],[uren / jaar weekend]]*Tariefsopbouw!$D$40</f>
        <v>0</v>
      </c>
      <c r="AE200" s="60">
        <f>Ruimtestaat[[#This Row],[Prest. (m2 /jaar) weekend]]+Ruimtestaat[[#This Row],[Prest. (m2 /jaar) werkdagen]]</f>
        <v>0</v>
      </c>
      <c r="AF200" s="60">
        <f>Ruimtestaat[[#This Row],[uren / jaar weekend]]+Ruimtestaat[[#This Row],[uren / jaar werkdagen]]</f>
        <v>0</v>
      </c>
      <c r="AG200" s="61">
        <f>Ruimtestaat[[#This Row],[kosten / jaar weekend]]+Ruimtestaat[[#This Row],[kosten / jaar werkdagen]]</f>
        <v>0</v>
      </c>
      <c r="AH200" s="92"/>
      <c r="HL200" s="59"/>
    </row>
    <row r="201" spans="1:220">
      <c r="A201" s="24">
        <v>1</v>
      </c>
      <c r="B201" s="24" t="str">
        <f>VLOOKUP(Ruimtestaat[[#This Row],[Code]],Locaties[#All],2,FALSE)</f>
        <v>Boerhaave + buitenunits</v>
      </c>
      <c r="C201" s="24" t="str">
        <f>VLOOKUP(Ruimtestaat[[#This Row],[Code]],Locaties[#All],4,FALSE)</f>
        <v>Herman Boerhaavelaan 1</v>
      </c>
      <c r="D201" s="24" t="str">
        <f>VLOOKUP(Ruimtestaat[[#This Row],[Code]],Locaties[#All],5,FALSE)</f>
        <v>7415 ES</v>
      </c>
      <c r="E201" s="24" t="str">
        <f>VLOOKUP(Ruimtestaat[[#This Row],[Code]],Locaties[#All],6,FALSE)</f>
        <v>Deventer</v>
      </c>
      <c r="F201" s="54"/>
      <c r="G201" s="24" t="s">
        <v>612</v>
      </c>
      <c r="H201" s="24" t="s">
        <v>635</v>
      </c>
      <c r="I201" s="4" t="s">
        <v>636</v>
      </c>
      <c r="J201" s="24">
        <v>22</v>
      </c>
      <c r="K201" s="54" t="str">
        <f>VLOOKUP(J201,Ruimtegroepen[],2,FALSE)</f>
        <v>Niet in onderhoud</v>
      </c>
      <c r="L201" s="24" t="s">
        <v>305</v>
      </c>
      <c r="M201" s="24" t="s">
        <v>376</v>
      </c>
      <c r="N201" s="83"/>
      <c r="O201" s="83">
        <v>24.56</v>
      </c>
      <c r="P201" s="93" t="str">
        <f>LEFT(VLOOKUP(Ruimtestaat[[#This Row],[Ruimte code]],Ruimtegroepen[#All],4,1),2)</f>
        <v/>
      </c>
      <c r="Q201" s="93"/>
      <c r="R201" s="84"/>
      <c r="S201" s="84"/>
      <c r="T201" s="85">
        <f>IF(R201&gt;0,IF(RIGHT(Ruimtestaat[[#This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1" s="85">
        <f>IF(T201&gt;0,VLOOKUP($J201,Ruimtegroepen[],3,FALSE)*VLOOKUP($L201,Vloersoorten[],3,FALSE)*VLOOKUP($S201,Frequenties[],3,FALSE)*VLOOKUP($A201,Locaties[],3,FALSE),0)</f>
        <v>0</v>
      </c>
      <c r="V201" s="86">
        <f>Ruimtestaat[[#This Row],[Uitvoeringen werkdagen]]*Ruimtestaat[[#This Row],[Oppervlak (netto)]]</f>
        <v>0</v>
      </c>
      <c r="W201" s="87">
        <f>IF(U201&gt;0,Ruimtestaat[[#This Row],[Prest. (m2 /jaar) werkdagen]]/Ruimtestaat[[#This Row],[Norm (m2/uur) werkdagen]],0)</f>
        <v>0</v>
      </c>
      <c r="X201" s="88">
        <f>Ruimtestaat[[#This Row],[uren / jaar werkdagen]]*Tariefsopbouw!$E$35</f>
        <v>0</v>
      </c>
      <c r="Y201" s="85"/>
      <c r="Z201" s="89">
        <f>IF(Ruimtestaat[[#This Row],[Frequentie weekend]]&gt;0,VALUE(LEFT(Y201,1))*R201,0)</f>
        <v>0</v>
      </c>
      <c r="AA201" s="85">
        <f>IF($Z201&gt;0,VLOOKUP($J201,Ruimtegroepen[],3,FALSE)*VLOOKUP($L201,Vloersoorten[],3,FALSE)*VLOOKUP($Y201,Frequenties[],3,FALSE)*VLOOKUP($A197,Locaties[],3,FALSE),0)</f>
        <v>0</v>
      </c>
      <c r="AB201" s="87">
        <f>Ruimtestaat[[#This Row],[Uitvoeringen weekend]]*Ruimtestaat[[#This Row],[Oppervlak (netto)]]</f>
        <v>0</v>
      </c>
      <c r="AC201" s="90">
        <f>IF(AB201&gt;0,Ruimtestaat[[#This Row],[Prest. (m2 /jaar) weekend]]/Ruimtestaat[[#This Row],[Norm (m2/uur) weekend]],0)</f>
        <v>0</v>
      </c>
      <c r="AD201" s="91">
        <f>Ruimtestaat[[#This Row],[uren / jaar weekend]]*Tariefsopbouw!$D$40</f>
        <v>0</v>
      </c>
      <c r="AE201" s="60">
        <f>Ruimtestaat[[#This Row],[Prest. (m2 /jaar) weekend]]+Ruimtestaat[[#This Row],[Prest. (m2 /jaar) werkdagen]]</f>
        <v>0</v>
      </c>
      <c r="AF201" s="60">
        <f>Ruimtestaat[[#This Row],[uren / jaar weekend]]+Ruimtestaat[[#This Row],[uren / jaar werkdagen]]</f>
        <v>0</v>
      </c>
      <c r="AG201" s="61">
        <f>Ruimtestaat[[#This Row],[kosten / jaar weekend]]+Ruimtestaat[[#This Row],[kosten / jaar werkdagen]]</f>
        <v>0</v>
      </c>
      <c r="AH201" s="92"/>
      <c r="HL201" s="59"/>
    </row>
    <row r="202" spans="1:220">
      <c r="A202" s="24">
        <v>1</v>
      </c>
      <c r="B202" s="24" t="str">
        <f>VLOOKUP(Ruimtestaat[[#This Row],[Code]],Locaties[#All],2,FALSE)</f>
        <v>Boerhaave + buitenunits</v>
      </c>
      <c r="C202" s="24" t="str">
        <f>VLOOKUP(Ruimtestaat[[#This Row],[Code]],Locaties[#All],4,FALSE)</f>
        <v>Herman Boerhaavelaan 1</v>
      </c>
      <c r="D202" s="24" t="str">
        <f>VLOOKUP(Ruimtestaat[[#This Row],[Code]],Locaties[#All],5,FALSE)</f>
        <v>7415 ES</v>
      </c>
      <c r="E202" s="24" t="str">
        <f>VLOOKUP(Ruimtestaat[[#This Row],[Code]],Locaties[#All],6,FALSE)</f>
        <v>Deventer</v>
      </c>
      <c r="F202" s="54"/>
      <c r="G202" s="24" t="s">
        <v>612</v>
      </c>
      <c r="H202" s="24" t="s">
        <v>637</v>
      </c>
      <c r="I202" s="4" t="s">
        <v>394</v>
      </c>
      <c r="J202" s="24">
        <v>22</v>
      </c>
      <c r="K202" s="54" t="str">
        <f>VLOOKUP(J202,Ruimtegroepen[],2,FALSE)</f>
        <v>Niet in onderhoud</v>
      </c>
      <c r="L202" s="24" t="s">
        <v>305</v>
      </c>
      <c r="M202" s="24" t="s">
        <v>376</v>
      </c>
      <c r="N202" s="83"/>
      <c r="O202" s="83">
        <v>6.11</v>
      </c>
      <c r="P202" s="93" t="str">
        <f>LEFT(VLOOKUP(Ruimtestaat[[#This Row],[Ruimte code]],Ruimtegroepen[#All],4,1),2)</f>
        <v/>
      </c>
      <c r="Q202" s="93"/>
      <c r="R202" s="84"/>
      <c r="S202" s="84"/>
      <c r="T202" s="85">
        <f>IF(R202&gt;0,IF(RIGHT(Ruimtestaat[[#This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2" s="85">
        <f>IF(T202&gt;0,VLOOKUP($J202,Ruimtegroepen[],3,FALSE)*VLOOKUP($L202,Vloersoorten[],3,FALSE)*VLOOKUP($S202,Frequenties[],3,FALSE)*VLOOKUP($A202,Locaties[],3,FALSE),0)</f>
        <v>0</v>
      </c>
      <c r="V202" s="86">
        <f>Ruimtestaat[[#This Row],[Uitvoeringen werkdagen]]*Ruimtestaat[[#This Row],[Oppervlak (netto)]]</f>
        <v>0</v>
      </c>
      <c r="W202" s="87">
        <f>IF(U202&gt;0,Ruimtestaat[[#This Row],[Prest. (m2 /jaar) werkdagen]]/Ruimtestaat[[#This Row],[Norm (m2/uur) werkdagen]],0)</f>
        <v>0</v>
      </c>
      <c r="X202" s="88">
        <f>Ruimtestaat[[#This Row],[uren / jaar werkdagen]]*Tariefsopbouw!$E$35</f>
        <v>0</v>
      </c>
      <c r="Y202" s="85"/>
      <c r="Z202" s="89">
        <f>IF(Ruimtestaat[[#This Row],[Frequentie weekend]]&gt;0,VALUE(LEFT(Y202,1))*R202,0)</f>
        <v>0</v>
      </c>
      <c r="AA202" s="85">
        <f>IF($Z202&gt;0,VLOOKUP($J202,Ruimtegroepen[],3,FALSE)*VLOOKUP($L202,Vloersoorten[],3,FALSE)*VLOOKUP($Y202,Frequenties[],3,FALSE)*VLOOKUP($A198,Locaties[],3,FALSE),0)</f>
        <v>0</v>
      </c>
      <c r="AB202" s="87">
        <f>Ruimtestaat[[#This Row],[Uitvoeringen weekend]]*Ruimtestaat[[#This Row],[Oppervlak (netto)]]</f>
        <v>0</v>
      </c>
      <c r="AC202" s="90">
        <f>IF(AB202&gt;0,Ruimtestaat[[#This Row],[Prest. (m2 /jaar) weekend]]/Ruimtestaat[[#This Row],[Norm (m2/uur) weekend]],0)</f>
        <v>0</v>
      </c>
      <c r="AD202" s="91">
        <f>Ruimtestaat[[#This Row],[uren / jaar weekend]]*Tariefsopbouw!$D$40</f>
        <v>0</v>
      </c>
      <c r="AE202" s="60">
        <f>Ruimtestaat[[#This Row],[Prest. (m2 /jaar) weekend]]+Ruimtestaat[[#This Row],[Prest. (m2 /jaar) werkdagen]]</f>
        <v>0</v>
      </c>
      <c r="AF202" s="60">
        <f>Ruimtestaat[[#This Row],[uren / jaar weekend]]+Ruimtestaat[[#This Row],[uren / jaar werkdagen]]</f>
        <v>0</v>
      </c>
      <c r="AG202" s="61">
        <f>Ruimtestaat[[#This Row],[kosten / jaar weekend]]+Ruimtestaat[[#This Row],[kosten / jaar werkdagen]]</f>
        <v>0</v>
      </c>
      <c r="AH202" s="92"/>
      <c r="HL202" s="59"/>
    </row>
    <row r="203" spans="1:220">
      <c r="A203" s="24">
        <v>1</v>
      </c>
      <c r="B203" s="24" t="str">
        <f>VLOOKUP(Ruimtestaat[[#This Row],[Code]],Locaties[#All],2,FALSE)</f>
        <v>Boerhaave + buitenunits</v>
      </c>
      <c r="C203" s="24" t="str">
        <f>VLOOKUP(Ruimtestaat[[#This Row],[Code]],Locaties[#All],4,FALSE)</f>
        <v>Herman Boerhaavelaan 1</v>
      </c>
      <c r="D203" s="24" t="str">
        <f>VLOOKUP(Ruimtestaat[[#This Row],[Code]],Locaties[#All],5,FALSE)</f>
        <v>7415 ES</v>
      </c>
      <c r="E203" s="24" t="str">
        <f>VLOOKUP(Ruimtestaat[[#This Row],[Code]],Locaties[#All],6,FALSE)</f>
        <v>Deventer</v>
      </c>
      <c r="F203" s="54"/>
      <c r="G203" s="24" t="s">
        <v>612</v>
      </c>
      <c r="H203" s="24" t="s">
        <v>638</v>
      </c>
      <c r="I203" s="4" t="s">
        <v>639</v>
      </c>
      <c r="J203" s="24">
        <v>22</v>
      </c>
      <c r="K203" s="54" t="str">
        <f>VLOOKUP(J203,Ruimtegroepen[],2,FALSE)</f>
        <v>Niet in onderhoud</v>
      </c>
      <c r="L203" s="24" t="s">
        <v>305</v>
      </c>
      <c r="M203" s="24" t="s">
        <v>376</v>
      </c>
      <c r="N203" s="83"/>
      <c r="O203" s="83">
        <v>53.79</v>
      </c>
      <c r="P203" s="93" t="str">
        <f>LEFT(VLOOKUP(Ruimtestaat[[#This Row],[Ruimte code]],Ruimtegroepen[#All],4,1),2)</f>
        <v/>
      </c>
      <c r="Q203" s="93"/>
      <c r="R203" s="84"/>
      <c r="S203" s="84"/>
      <c r="T203" s="85">
        <f>IF(R203&gt;0,IF(RIGHT(Ruimtestaat[[#This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3" s="85">
        <f>IF(T203&gt;0,VLOOKUP($J203,Ruimtegroepen[],3,FALSE)*VLOOKUP($L203,Vloersoorten[],3,FALSE)*VLOOKUP($S203,Frequenties[],3,FALSE)*VLOOKUP($A203,Locaties[],3,FALSE),0)</f>
        <v>0</v>
      </c>
      <c r="V203" s="86">
        <f>Ruimtestaat[[#This Row],[Uitvoeringen werkdagen]]*Ruimtestaat[[#This Row],[Oppervlak (netto)]]</f>
        <v>0</v>
      </c>
      <c r="W203" s="87">
        <f>IF(U203&gt;0,Ruimtestaat[[#This Row],[Prest. (m2 /jaar) werkdagen]]/Ruimtestaat[[#This Row],[Norm (m2/uur) werkdagen]],0)</f>
        <v>0</v>
      </c>
      <c r="X203" s="88">
        <f>Ruimtestaat[[#This Row],[uren / jaar werkdagen]]*Tariefsopbouw!$E$35</f>
        <v>0</v>
      </c>
      <c r="Y203" s="85"/>
      <c r="Z203" s="89">
        <f>IF(Ruimtestaat[[#This Row],[Frequentie weekend]]&gt;0,VALUE(LEFT(Y203,1))*R203,0)</f>
        <v>0</v>
      </c>
      <c r="AA203" s="85">
        <f>IF($Z203&gt;0,VLOOKUP($J203,Ruimtegroepen[],3,FALSE)*VLOOKUP($L203,Vloersoorten[],3,FALSE)*VLOOKUP($Y203,Frequenties[],3,FALSE)*VLOOKUP($A199,Locaties[],3,FALSE),0)</f>
        <v>0</v>
      </c>
      <c r="AB203" s="87">
        <f>Ruimtestaat[[#This Row],[Uitvoeringen weekend]]*Ruimtestaat[[#This Row],[Oppervlak (netto)]]</f>
        <v>0</v>
      </c>
      <c r="AC203" s="90">
        <f>IF(AB203&gt;0,Ruimtestaat[[#This Row],[Prest. (m2 /jaar) weekend]]/Ruimtestaat[[#This Row],[Norm (m2/uur) weekend]],0)</f>
        <v>0</v>
      </c>
      <c r="AD203" s="91">
        <f>Ruimtestaat[[#This Row],[uren / jaar weekend]]*Tariefsopbouw!$D$40</f>
        <v>0</v>
      </c>
      <c r="AE203" s="60">
        <f>Ruimtestaat[[#This Row],[Prest. (m2 /jaar) weekend]]+Ruimtestaat[[#This Row],[Prest. (m2 /jaar) werkdagen]]</f>
        <v>0</v>
      </c>
      <c r="AF203" s="60">
        <f>Ruimtestaat[[#This Row],[uren / jaar weekend]]+Ruimtestaat[[#This Row],[uren / jaar werkdagen]]</f>
        <v>0</v>
      </c>
      <c r="AG203" s="61">
        <f>Ruimtestaat[[#This Row],[kosten / jaar weekend]]+Ruimtestaat[[#This Row],[kosten / jaar werkdagen]]</f>
        <v>0</v>
      </c>
      <c r="AH203" s="92"/>
      <c r="HL203" s="59"/>
    </row>
    <row r="204" spans="1:220">
      <c r="A204" s="24">
        <v>1</v>
      </c>
      <c r="B204" s="24" t="str">
        <f>VLOOKUP(Ruimtestaat[[#This Row],[Code]],Locaties[#All],2,FALSE)</f>
        <v>Boerhaave + buitenunits</v>
      </c>
      <c r="C204" s="24" t="str">
        <f>VLOOKUP(Ruimtestaat[[#This Row],[Code]],Locaties[#All],4,FALSE)</f>
        <v>Herman Boerhaavelaan 1</v>
      </c>
      <c r="D204" s="24" t="str">
        <f>VLOOKUP(Ruimtestaat[[#This Row],[Code]],Locaties[#All],5,FALSE)</f>
        <v>7415 ES</v>
      </c>
      <c r="E204" s="24" t="str">
        <f>VLOOKUP(Ruimtestaat[[#This Row],[Code]],Locaties[#All],6,FALSE)</f>
        <v>Deventer</v>
      </c>
      <c r="F204" s="54"/>
      <c r="G204" s="24" t="s">
        <v>612</v>
      </c>
      <c r="H204" s="24" t="s">
        <v>640</v>
      </c>
      <c r="I204" s="4" t="s">
        <v>641</v>
      </c>
      <c r="J204" s="24">
        <v>22</v>
      </c>
      <c r="K204" s="54" t="str">
        <f>VLOOKUP(J204,Ruimtegroepen[],2,FALSE)</f>
        <v>Niet in onderhoud</v>
      </c>
      <c r="L204" s="24" t="s">
        <v>305</v>
      </c>
      <c r="M204" s="24" t="s">
        <v>376</v>
      </c>
      <c r="N204" s="83"/>
      <c r="O204" s="83">
        <v>4.63</v>
      </c>
      <c r="P204" s="93" t="str">
        <f>LEFT(VLOOKUP(Ruimtestaat[[#This Row],[Ruimte code]],Ruimtegroepen[#All],4,1),2)</f>
        <v/>
      </c>
      <c r="Q204" s="93"/>
      <c r="R204" s="84"/>
      <c r="S204" s="84"/>
      <c r="T204" s="85">
        <f>IF(R204&gt;0,IF(RIGHT(Ruimtestaat[[#This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4" s="85">
        <f>IF(T204&gt;0,VLOOKUP($J204,Ruimtegroepen[],3,FALSE)*VLOOKUP($L204,Vloersoorten[],3,FALSE)*VLOOKUP($S204,Frequenties[],3,FALSE)*VLOOKUP($A204,Locaties[],3,FALSE),0)</f>
        <v>0</v>
      </c>
      <c r="V204" s="86">
        <f>Ruimtestaat[[#This Row],[Uitvoeringen werkdagen]]*Ruimtestaat[[#This Row],[Oppervlak (netto)]]</f>
        <v>0</v>
      </c>
      <c r="W204" s="87">
        <f>IF(U204&gt;0,Ruimtestaat[[#This Row],[Prest. (m2 /jaar) werkdagen]]/Ruimtestaat[[#This Row],[Norm (m2/uur) werkdagen]],0)</f>
        <v>0</v>
      </c>
      <c r="X204" s="88">
        <f>Ruimtestaat[[#This Row],[uren / jaar werkdagen]]*Tariefsopbouw!$E$35</f>
        <v>0</v>
      </c>
      <c r="Y204" s="85"/>
      <c r="Z204" s="89">
        <f>IF(Ruimtestaat[[#This Row],[Frequentie weekend]]&gt;0,VALUE(LEFT(Y204,1))*R204,0)</f>
        <v>0</v>
      </c>
      <c r="AA204" s="85">
        <f>IF($Z204&gt;0,VLOOKUP($J204,Ruimtegroepen[],3,FALSE)*VLOOKUP($L204,Vloersoorten[],3,FALSE)*VLOOKUP($Y204,Frequenties[],3,FALSE)*VLOOKUP($A200,Locaties[],3,FALSE),0)</f>
        <v>0</v>
      </c>
      <c r="AB204" s="87">
        <f>Ruimtestaat[[#This Row],[Uitvoeringen weekend]]*Ruimtestaat[[#This Row],[Oppervlak (netto)]]</f>
        <v>0</v>
      </c>
      <c r="AC204" s="90">
        <f>IF(AB204&gt;0,Ruimtestaat[[#This Row],[Prest. (m2 /jaar) weekend]]/Ruimtestaat[[#This Row],[Norm (m2/uur) weekend]],0)</f>
        <v>0</v>
      </c>
      <c r="AD204" s="91">
        <f>Ruimtestaat[[#This Row],[uren / jaar weekend]]*Tariefsopbouw!$D$40</f>
        <v>0</v>
      </c>
      <c r="AE204" s="60">
        <f>Ruimtestaat[[#This Row],[Prest. (m2 /jaar) weekend]]+Ruimtestaat[[#This Row],[Prest. (m2 /jaar) werkdagen]]</f>
        <v>0</v>
      </c>
      <c r="AF204" s="60">
        <f>Ruimtestaat[[#This Row],[uren / jaar weekend]]+Ruimtestaat[[#This Row],[uren / jaar werkdagen]]</f>
        <v>0</v>
      </c>
      <c r="AG204" s="61">
        <f>Ruimtestaat[[#This Row],[kosten / jaar weekend]]+Ruimtestaat[[#This Row],[kosten / jaar werkdagen]]</f>
        <v>0</v>
      </c>
      <c r="AH204" s="92"/>
      <c r="HL204" s="59"/>
    </row>
    <row r="205" spans="1:220">
      <c r="A205" s="24">
        <v>1</v>
      </c>
      <c r="B205" s="24" t="str">
        <f>VLOOKUP(Ruimtestaat[[#This Row],[Code]],Locaties[#All],2,FALSE)</f>
        <v>Boerhaave + buitenunits</v>
      </c>
      <c r="C205" s="24" t="str">
        <f>VLOOKUP(Ruimtestaat[[#This Row],[Code]],Locaties[#All],4,FALSE)</f>
        <v>Herman Boerhaavelaan 1</v>
      </c>
      <c r="D205" s="24" t="str">
        <f>VLOOKUP(Ruimtestaat[[#This Row],[Code]],Locaties[#All],5,FALSE)</f>
        <v>7415 ES</v>
      </c>
      <c r="E205" s="24" t="str">
        <f>VLOOKUP(Ruimtestaat[[#This Row],[Code]],Locaties[#All],6,FALSE)</f>
        <v>Deventer</v>
      </c>
      <c r="F205" s="54"/>
      <c r="G205" s="24" t="s">
        <v>612</v>
      </c>
      <c r="H205" s="24" t="s">
        <v>642</v>
      </c>
      <c r="I205" s="4" t="s">
        <v>643</v>
      </c>
      <c r="J205" s="24">
        <v>22</v>
      </c>
      <c r="K205" s="54" t="str">
        <f>VLOOKUP(J205,Ruimtegroepen[],2,FALSE)</f>
        <v>Niet in onderhoud</v>
      </c>
      <c r="L205" s="24" t="s">
        <v>305</v>
      </c>
      <c r="M205" s="24" t="s">
        <v>376</v>
      </c>
      <c r="N205" s="83"/>
      <c r="O205" s="83">
        <v>19.309999999999999</v>
      </c>
      <c r="P205" s="93" t="str">
        <f>LEFT(VLOOKUP(Ruimtestaat[[#This Row],[Ruimte code]],Ruimtegroepen[#All],4,1),2)</f>
        <v/>
      </c>
      <c r="Q205" s="93"/>
      <c r="R205" s="84"/>
      <c r="S205" s="84"/>
      <c r="T205" s="85">
        <f>IF(R205&gt;0,IF(RIGHT(Ruimtestaat[[#This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5" s="85">
        <f>IF(T205&gt;0,VLOOKUP($J205,Ruimtegroepen[],3,FALSE)*VLOOKUP($L205,Vloersoorten[],3,FALSE)*VLOOKUP($S205,Frequenties[],3,FALSE)*VLOOKUP($A205,Locaties[],3,FALSE),0)</f>
        <v>0</v>
      </c>
      <c r="V205" s="86">
        <f>Ruimtestaat[[#This Row],[Uitvoeringen werkdagen]]*Ruimtestaat[[#This Row],[Oppervlak (netto)]]</f>
        <v>0</v>
      </c>
      <c r="W205" s="87">
        <f>IF(U205&gt;0,Ruimtestaat[[#This Row],[Prest. (m2 /jaar) werkdagen]]/Ruimtestaat[[#This Row],[Norm (m2/uur) werkdagen]],0)</f>
        <v>0</v>
      </c>
      <c r="X205" s="88">
        <f>Ruimtestaat[[#This Row],[uren / jaar werkdagen]]*Tariefsopbouw!$E$35</f>
        <v>0</v>
      </c>
      <c r="Y205" s="85"/>
      <c r="Z205" s="89">
        <f>IF(Ruimtestaat[[#This Row],[Frequentie weekend]]&gt;0,VALUE(LEFT(Y205,1))*R205,0)</f>
        <v>0</v>
      </c>
      <c r="AA205" s="85">
        <f>IF($Z205&gt;0,VLOOKUP($J205,Ruimtegroepen[],3,FALSE)*VLOOKUP($L205,Vloersoorten[],3,FALSE)*VLOOKUP($Y205,Frequenties[],3,FALSE)*VLOOKUP($A201,Locaties[],3,FALSE),0)</f>
        <v>0</v>
      </c>
      <c r="AB205" s="87">
        <f>Ruimtestaat[[#This Row],[Uitvoeringen weekend]]*Ruimtestaat[[#This Row],[Oppervlak (netto)]]</f>
        <v>0</v>
      </c>
      <c r="AC205" s="90">
        <f>IF(AB205&gt;0,Ruimtestaat[[#This Row],[Prest. (m2 /jaar) weekend]]/Ruimtestaat[[#This Row],[Norm (m2/uur) weekend]],0)</f>
        <v>0</v>
      </c>
      <c r="AD205" s="91">
        <f>Ruimtestaat[[#This Row],[uren / jaar weekend]]*Tariefsopbouw!$D$40</f>
        <v>0</v>
      </c>
      <c r="AE205" s="60">
        <f>Ruimtestaat[[#This Row],[Prest. (m2 /jaar) weekend]]+Ruimtestaat[[#This Row],[Prest. (m2 /jaar) werkdagen]]</f>
        <v>0</v>
      </c>
      <c r="AF205" s="60">
        <f>Ruimtestaat[[#This Row],[uren / jaar weekend]]+Ruimtestaat[[#This Row],[uren / jaar werkdagen]]</f>
        <v>0</v>
      </c>
      <c r="AG205" s="61">
        <f>Ruimtestaat[[#This Row],[kosten / jaar weekend]]+Ruimtestaat[[#This Row],[kosten / jaar werkdagen]]</f>
        <v>0</v>
      </c>
      <c r="AH205" s="92"/>
      <c r="HL205" s="59"/>
    </row>
    <row r="206" spans="1:220">
      <c r="A206" s="24">
        <v>1</v>
      </c>
      <c r="B206" s="24" t="str">
        <f>VLOOKUP(Ruimtestaat[[#This Row],[Code]],Locaties[#All],2,FALSE)</f>
        <v>Boerhaave + buitenunits</v>
      </c>
      <c r="C206" s="24" t="str">
        <f>VLOOKUP(Ruimtestaat[[#This Row],[Code]],Locaties[#All],4,FALSE)</f>
        <v>Herman Boerhaavelaan 1</v>
      </c>
      <c r="D206" s="24" t="str">
        <f>VLOOKUP(Ruimtestaat[[#This Row],[Code]],Locaties[#All],5,FALSE)</f>
        <v>7415 ES</v>
      </c>
      <c r="E206" s="24" t="str">
        <f>VLOOKUP(Ruimtestaat[[#This Row],[Code]],Locaties[#All],6,FALSE)</f>
        <v>Deventer</v>
      </c>
      <c r="F206" s="54"/>
      <c r="G206" s="24" t="s">
        <v>612</v>
      </c>
      <c r="H206" s="24" t="s">
        <v>644</v>
      </c>
      <c r="I206" s="4" t="s">
        <v>394</v>
      </c>
      <c r="J206" s="24">
        <v>22</v>
      </c>
      <c r="K206" s="54" t="str">
        <f>VLOOKUP(J206,Ruimtegroepen[],2,FALSE)</f>
        <v>Niet in onderhoud</v>
      </c>
      <c r="L206" s="24" t="s">
        <v>305</v>
      </c>
      <c r="M206" s="24" t="s">
        <v>376</v>
      </c>
      <c r="N206" s="83"/>
      <c r="O206" s="83">
        <v>33.590000000000003</v>
      </c>
      <c r="P206" s="93" t="str">
        <f>LEFT(VLOOKUP(Ruimtestaat[[#This Row],[Ruimte code]],Ruimtegroepen[#All],4,1),2)</f>
        <v/>
      </c>
      <c r="Q206" s="93"/>
      <c r="R206" s="84"/>
      <c r="S206" s="84"/>
      <c r="T206" s="85">
        <f>IF(R206&gt;0,IF(RIGHT(Ruimtestaat[[#This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6" s="85">
        <f>IF(T206&gt;0,VLOOKUP($J206,Ruimtegroepen[],3,FALSE)*VLOOKUP($L206,Vloersoorten[],3,FALSE)*VLOOKUP($S206,Frequenties[],3,FALSE)*VLOOKUP($A206,Locaties[],3,FALSE),0)</f>
        <v>0</v>
      </c>
      <c r="V206" s="86">
        <f>Ruimtestaat[[#This Row],[Uitvoeringen werkdagen]]*Ruimtestaat[[#This Row],[Oppervlak (netto)]]</f>
        <v>0</v>
      </c>
      <c r="W206" s="87">
        <f>IF(U206&gt;0,Ruimtestaat[[#This Row],[Prest. (m2 /jaar) werkdagen]]/Ruimtestaat[[#This Row],[Norm (m2/uur) werkdagen]],0)</f>
        <v>0</v>
      </c>
      <c r="X206" s="88">
        <f>Ruimtestaat[[#This Row],[uren / jaar werkdagen]]*Tariefsopbouw!$E$35</f>
        <v>0</v>
      </c>
      <c r="Y206" s="85"/>
      <c r="Z206" s="89">
        <f>IF(Ruimtestaat[[#This Row],[Frequentie weekend]]&gt;0,VALUE(LEFT(Y206,1))*R206,0)</f>
        <v>0</v>
      </c>
      <c r="AA206" s="85">
        <f>IF($Z206&gt;0,VLOOKUP($J206,Ruimtegroepen[],3,FALSE)*VLOOKUP($L206,Vloersoorten[],3,FALSE)*VLOOKUP($Y206,Frequenties[],3,FALSE)*VLOOKUP($A202,Locaties[],3,FALSE),0)</f>
        <v>0</v>
      </c>
      <c r="AB206" s="87">
        <f>Ruimtestaat[[#This Row],[Uitvoeringen weekend]]*Ruimtestaat[[#This Row],[Oppervlak (netto)]]</f>
        <v>0</v>
      </c>
      <c r="AC206" s="90">
        <f>IF(AB206&gt;0,Ruimtestaat[[#This Row],[Prest. (m2 /jaar) weekend]]/Ruimtestaat[[#This Row],[Norm (m2/uur) weekend]],0)</f>
        <v>0</v>
      </c>
      <c r="AD206" s="91">
        <f>Ruimtestaat[[#This Row],[uren / jaar weekend]]*Tariefsopbouw!$D$40</f>
        <v>0</v>
      </c>
      <c r="AE206" s="60">
        <f>Ruimtestaat[[#This Row],[Prest. (m2 /jaar) weekend]]+Ruimtestaat[[#This Row],[Prest. (m2 /jaar) werkdagen]]</f>
        <v>0</v>
      </c>
      <c r="AF206" s="60">
        <f>Ruimtestaat[[#This Row],[uren / jaar weekend]]+Ruimtestaat[[#This Row],[uren / jaar werkdagen]]</f>
        <v>0</v>
      </c>
      <c r="AG206" s="61">
        <f>Ruimtestaat[[#This Row],[kosten / jaar weekend]]+Ruimtestaat[[#This Row],[kosten / jaar werkdagen]]</f>
        <v>0</v>
      </c>
      <c r="AH206" s="92"/>
      <c r="HL206" s="59"/>
    </row>
    <row r="207" spans="1:220">
      <c r="A207" s="24">
        <v>1</v>
      </c>
      <c r="B207" s="24" t="str">
        <f>VLOOKUP(Ruimtestaat[[#This Row],[Code]],Locaties[#All],2,FALSE)</f>
        <v>Boerhaave + buitenunits</v>
      </c>
      <c r="C207" s="24" t="str">
        <f>VLOOKUP(Ruimtestaat[[#This Row],[Code]],Locaties[#All],4,FALSE)</f>
        <v>Herman Boerhaavelaan 1</v>
      </c>
      <c r="D207" s="24" t="str">
        <f>VLOOKUP(Ruimtestaat[[#This Row],[Code]],Locaties[#All],5,FALSE)</f>
        <v>7415 ES</v>
      </c>
      <c r="E207" s="24" t="str">
        <f>VLOOKUP(Ruimtestaat[[#This Row],[Code]],Locaties[#All],6,FALSE)</f>
        <v>Deventer</v>
      </c>
      <c r="F207" s="54"/>
      <c r="G207" s="24" t="s">
        <v>612</v>
      </c>
      <c r="H207" s="24" t="s">
        <v>645</v>
      </c>
      <c r="I207" s="4" t="s">
        <v>646</v>
      </c>
      <c r="J207" s="24">
        <v>22</v>
      </c>
      <c r="K207" s="54" t="str">
        <f>VLOOKUP(J207,Ruimtegroepen[],2,FALSE)</f>
        <v>Niet in onderhoud</v>
      </c>
      <c r="L207" s="24" t="s">
        <v>305</v>
      </c>
      <c r="M207" s="24" t="s">
        <v>376</v>
      </c>
      <c r="N207" s="83"/>
      <c r="O207" s="83">
        <v>1.41</v>
      </c>
      <c r="P207" s="93" t="str">
        <f>LEFT(VLOOKUP(Ruimtestaat[[#This Row],[Ruimte code]],Ruimtegroepen[#All],4,1),2)</f>
        <v/>
      </c>
      <c r="Q207" s="93"/>
      <c r="R207" s="84"/>
      <c r="S207" s="84"/>
      <c r="T207" s="85">
        <f>IF(R207&gt;0,IF(RIGHT(Ruimtestaat[[#This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7" s="85">
        <f>IF(T207&gt;0,VLOOKUP($J207,Ruimtegroepen[],3,FALSE)*VLOOKUP($L207,Vloersoorten[],3,FALSE)*VLOOKUP($S207,Frequenties[],3,FALSE)*VLOOKUP($A207,Locaties[],3,FALSE),0)</f>
        <v>0</v>
      </c>
      <c r="V207" s="86">
        <f>Ruimtestaat[[#This Row],[Uitvoeringen werkdagen]]*Ruimtestaat[[#This Row],[Oppervlak (netto)]]</f>
        <v>0</v>
      </c>
      <c r="W207" s="87">
        <f>IF(U207&gt;0,Ruimtestaat[[#This Row],[Prest. (m2 /jaar) werkdagen]]/Ruimtestaat[[#This Row],[Norm (m2/uur) werkdagen]],0)</f>
        <v>0</v>
      </c>
      <c r="X207" s="88">
        <f>Ruimtestaat[[#This Row],[uren / jaar werkdagen]]*Tariefsopbouw!$E$35</f>
        <v>0</v>
      </c>
      <c r="Y207" s="85"/>
      <c r="Z207" s="89">
        <f>IF(Ruimtestaat[[#This Row],[Frequentie weekend]]&gt;0,VALUE(LEFT(Y207,1))*R207,0)</f>
        <v>0</v>
      </c>
      <c r="AA207" s="85">
        <f>IF($Z207&gt;0,VLOOKUP($J207,Ruimtegroepen[],3,FALSE)*VLOOKUP($L207,Vloersoorten[],3,FALSE)*VLOOKUP($Y207,Frequenties[],3,FALSE)*VLOOKUP($A203,Locaties[],3,FALSE),0)</f>
        <v>0</v>
      </c>
      <c r="AB207" s="87">
        <f>Ruimtestaat[[#This Row],[Uitvoeringen weekend]]*Ruimtestaat[[#This Row],[Oppervlak (netto)]]</f>
        <v>0</v>
      </c>
      <c r="AC207" s="90">
        <f>IF(AB207&gt;0,Ruimtestaat[[#This Row],[Prest. (m2 /jaar) weekend]]/Ruimtestaat[[#This Row],[Norm (m2/uur) weekend]],0)</f>
        <v>0</v>
      </c>
      <c r="AD207" s="91">
        <f>Ruimtestaat[[#This Row],[uren / jaar weekend]]*Tariefsopbouw!$D$40</f>
        <v>0</v>
      </c>
      <c r="AE207" s="60">
        <f>Ruimtestaat[[#This Row],[Prest. (m2 /jaar) weekend]]+Ruimtestaat[[#This Row],[Prest. (m2 /jaar) werkdagen]]</f>
        <v>0</v>
      </c>
      <c r="AF207" s="60">
        <f>Ruimtestaat[[#This Row],[uren / jaar weekend]]+Ruimtestaat[[#This Row],[uren / jaar werkdagen]]</f>
        <v>0</v>
      </c>
      <c r="AG207" s="61">
        <f>Ruimtestaat[[#This Row],[kosten / jaar weekend]]+Ruimtestaat[[#This Row],[kosten / jaar werkdagen]]</f>
        <v>0</v>
      </c>
      <c r="AH207" s="92"/>
      <c r="HL207" s="59"/>
    </row>
    <row r="208" spans="1:220">
      <c r="A208" s="24">
        <v>1</v>
      </c>
      <c r="B208" s="24" t="str">
        <f>VLOOKUP(Ruimtestaat[[#This Row],[Code]],Locaties[#All],2,FALSE)</f>
        <v>Boerhaave + buitenunits</v>
      </c>
      <c r="C208" s="24" t="str">
        <f>VLOOKUP(Ruimtestaat[[#This Row],[Code]],Locaties[#All],4,FALSE)</f>
        <v>Herman Boerhaavelaan 1</v>
      </c>
      <c r="D208" s="24" t="str">
        <f>VLOOKUP(Ruimtestaat[[#This Row],[Code]],Locaties[#All],5,FALSE)</f>
        <v>7415 ES</v>
      </c>
      <c r="E208" s="24" t="str">
        <f>VLOOKUP(Ruimtestaat[[#This Row],[Code]],Locaties[#All],6,FALSE)</f>
        <v>Deventer</v>
      </c>
      <c r="F208" s="54"/>
      <c r="G208" s="24" t="s">
        <v>612</v>
      </c>
      <c r="H208" s="24" t="s">
        <v>647</v>
      </c>
      <c r="I208" s="4" t="s">
        <v>648</v>
      </c>
      <c r="J208" s="24">
        <v>22</v>
      </c>
      <c r="K208" s="54" t="str">
        <f>VLOOKUP(J208,Ruimtegroepen[],2,FALSE)</f>
        <v>Niet in onderhoud</v>
      </c>
      <c r="L208" s="24" t="s">
        <v>305</v>
      </c>
      <c r="M208" s="24" t="s">
        <v>376</v>
      </c>
      <c r="N208" s="83"/>
      <c r="O208" s="83">
        <v>35.340000000000003</v>
      </c>
      <c r="P208" s="93" t="str">
        <f>LEFT(VLOOKUP(Ruimtestaat[[#This Row],[Ruimte code]],Ruimtegroepen[#All],4,1),2)</f>
        <v/>
      </c>
      <c r="Q208" s="93"/>
      <c r="R208" s="84"/>
      <c r="S208" s="84"/>
      <c r="T208" s="85">
        <f>IF(R208&gt;0,IF(RIGHT(Ruimtestaat[[#This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8" s="85">
        <f>IF(T208&gt;0,VLOOKUP($J208,Ruimtegroepen[],3,FALSE)*VLOOKUP($L208,Vloersoorten[],3,FALSE)*VLOOKUP($S208,Frequenties[],3,FALSE)*VLOOKUP($A208,Locaties[],3,FALSE),0)</f>
        <v>0</v>
      </c>
      <c r="V208" s="86">
        <f>Ruimtestaat[[#This Row],[Uitvoeringen werkdagen]]*Ruimtestaat[[#This Row],[Oppervlak (netto)]]</f>
        <v>0</v>
      </c>
      <c r="W208" s="87">
        <f>IF(U208&gt;0,Ruimtestaat[[#This Row],[Prest. (m2 /jaar) werkdagen]]/Ruimtestaat[[#This Row],[Norm (m2/uur) werkdagen]],0)</f>
        <v>0</v>
      </c>
      <c r="X208" s="88">
        <f>Ruimtestaat[[#This Row],[uren / jaar werkdagen]]*Tariefsopbouw!$E$35</f>
        <v>0</v>
      </c>
      <c r="Y208" s="85"/>
      <c r="Z208" s="89">
        <f>IF(Ruimtestaat[[#This Row],[Frequentie weekend]]&gt;0,VALUE(LEFT(Y208,1))*R208,0)</f>
        <v>0</v>
      </c>
      <c r="AA208" s="85">
        <f>IF($Z208&gt;0,VLOOKUP($J208,Ruimtegroepen[],3,FALSE)*VLOOKUP($L208,Vloersoorten[],3,FALSE)*VLOOKUP($Y208,Frequenties[],3,FALSE)*VLOOKUP($A204,Locaties[],3,FALSE),0)</f>
        <v>0</v>
      </c>
      <c r="AB208" s="87">
        <f>Ruimtestaat[[#This Row],[Uitvoeringen weekend]]*Ruimtestaat[[#This Row],[Oppervlak (netto)]]</f>
        <v>0</v>
      </c>
      <c r="AC208" s="90">
        <f>IF(AB208&gt;0,Ruimtestaat[[#This Row],[Prest. (m2 /jaar) weekend]]/Ruimtestaat[[#This Row],[Norm (m2/uur) weekend]],0)</f>
        <v>0</v>
      </c>
      <c r="AD208" s="91">
        <f>Ruimtestaat[[#This Row],[uren / jaar weekend]]*Tariefsopbouw!$D$40</f>
        <v>0</v>
      </c>
      <c r="AE208" s="60">
        <f>Ruimtestaat[[#This Row],[Prest. (m2 /jaar) weekend]]+Ruimtestaat[[#This Row],[Prest. (m2 /jaar) werkdagen]]</f>
        <v>0</v>
      </c>
      <c r="AF208" s="60">
        <f>Ruimtestaat[[#This Row],[uren / jaar weekend]]+Ruimtestaat[[#This Row],[uren / jaar werkdagen]]</f>
        <v>0</v>
      </c>
      <c r="AG208" s="61">
        <f>Ruimtestaat[[#This Row],[kosten / jaar weekend]]+Ruimtestaat[[#This Row],[kosten / jaar werkdagen]]</f>
        <v>0</v>
      </c>
      <c r="AH208" s="92"/>
      <c r="HL208" s="59"/>
    </row>
    <row r="209" spans="1:220">
      <c r="A209" s="24">
        <v>1</v>
      </c>
      <c r="B209" s="24" t="str">
        <f>VLOOKUP(Ruimtestaat[[#This Row],[Code]],Locaties[#All],2,FALSE)</f>
        <v>Boerhaave + buitenunits</v>
      </c>
      <c r="C209" s="24" t="str">
        <f>VLOOKUP(Ruimtestaat[[#This Row],[Code]],Locaties[#All],4,FALSE)</f>
        <v>Herman Boerhaavelaan 1</v>
      </c>
      <c r="D209" s="24" t="str">
        <f>VLOOKUP(Ruimtestaat[[#This Row],[Code]],Locaties[#All],5,FALSE)</f>
        <v>7415 ES</v>
      </c>
      <c r="E209" s="24" t="str">
        <f>VLOOKUP(Ruimtestaat[[#This Row],[Code]],Locaties[#All],6,FALSE)</f>
        <v>Deventer</v>
      </c>
      <c r="F209" s="54"/>
      <c r="G209" s="24" t="s">
        <v>612</v>
      </c>
      <c r="H209" s="24" t="s">
        <v>649</v>
      </c>
      <c r="I209" s="4" t="s">
        <v>394</v>
      </c>
      <c r="J209" s="24">
        <v>22</v>
      </c>
      <c r="K209" s="54" t="str">
        <f>VLOOKUP(J209,Ruimtegroepen[],2,FALSE)</f>
        <v>Niet in onderhoud</v>
      </c>
      <c r="L209" s="24" t="s">
        <v>305</v>
      </c>
      <c r="M209" s="24" t="s">
        <v>376</v>
      </c>
      <c r="N209" s="83"/>
      <c r="O209" s="83">
        <v>101.09</v>
      </c>
      <c r="P209" s="93" t="str">
        <f>LEFT(VLOOKUP(Ruimtestaat[[#This Row],[Ruimte code]],Ruimtegroepen[#All],4,1),2)</f>
        <v/>
      </c>
      <c r="Q209" s="93"/>
      <c r="R209" s="84"/>
      <c r="S209" s="84"/>
      <c r="T209" s="85">
        <f>IF(R209&gt;0,IF(RIGHT(Ruimtestaat[[#This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9" s="85">
        <f>IF(T209&gt;0,VLOOKUP($J209,Ruimtegroepen[],3,FALSE)*VLOOKUP($L209,Vloersoorten[],3,FALSE)*VLOOKUP($S209,Frequenties[],3,FALSE)*VLOOKUP($A209,Locaties[],3,FALSE),0)</f>
        <v>0</v>
      </c>
      <c r="V209" s="86">
        <f>Ruimtestaat[[#This Row],[Uitvoeringen werkdagen]]*Ruimtestaat[[#This Row],[Oppervlak (netto)]]</f>
        <v>0</v>
      </c>
      <c r="W209" s="87">
        <f>IF(U209&gt;0,Ruimtestaat[[#This Row],[Prest. (m2 /jaar) werkdagen]]/Ruimtestaat[[#This Row],[Norm (m2/uur) werkdagen]],0)</f>
        <v>0</v>
      </c>
      <c r="X209" s="88">
        <f>Ruimtestaat[[#This Row],[uren / jaar werkdagen]]*Tariefsopbouw!$E$35</f>
        <v>0</v>
      </c>
      <c r="Y209" s="85"/>
      <c r="Z209" s="89">
        <f>IF(Ruimtestaat[[#This Row],[Frequentie weekend]]&gt;0,VALUE(LEFT(Y209,1))*R209,0)</f>
        <v>0</v>
      </c>
      <c r="AA209" s="85">
        <f>IF($Z209&gt;0,VLOOKUP($J209,Ruimtegroepen[],3,FALSE)*VLOOKUP($L209,Vloersoorten[],3,FALSE)*VLOOKUP($Y209,Frequenties[],3,FALSE)*VLOOKUP($A205,Locaties[],3,FALSE),0)</f>
        <v>0</v>
      </c>
      <c r="AB209" s="87">
        <f>Ruimtestaat[[#This Row],[Uitvoeringen weekend]]*Ruimtestaat[[#This Row],[Oppervlak (netto)]]</f>
        <v>0</v>
      </c>
      <c r="AC209" s="90">
        <f>IF(AB209&gt;0,Ruimtestaat[[#This Row],[Prest. (m2 /jaar) weekend]]/Ruimtestaat[[#This Row],[Norm (m2/uur) weekend]],0)</f>
        <v>0</v>
      </c>
      <c r="AD209" s="91">
        <f>Ruimtestaat[[#This Row],[uren / jaar weekend]]*Tariefsopbouw!$D$40</f>
        <v>0</v>
      </c>
      <c r="AE209" s="60">
        <f>Ruimtestaat[[#This Row],[Prest. (m2 /jaar) weekend]]+Ruimtestaat[[#This Row],[Prest. (m2 /jaar) werkdagen]]</f>
        <v>0</v>
      </c>
      <c r="AF209" s="60">
        <f>Ruimtestaat[[#This Row],[uren / jaar weekend]]+Ruimtestaat[[#This Row],[uren / jaar werkdagen]]</f>
        <v>0</v>
      </c>
      <c r="AG209" s="61">
        <f>Ruimtestaat[[#This Row],[kosten / jaar weekend]]+Ruimtestaat[[#This Row],[kosten / jaar werkdagen]]</f>
        <v>0</v>
      </c>
      <c r="AH209" s="92"/>
      <c r="HL209" s="59"/>
    </row>
    <row r="210" spans="1:220">
      <c r="A210" s="24">
        <v>1</v>
      </c>
      <c r="B210" s="24" t="str">
        <f>VLOOKUP(Ruimtestaat[[#This Row],[Code]],Locaties[#All],2,FALSE)</f>
        <v>Boerhaave + buitenunits</v>
      </c>
      <c r="C210" s="24" t="str">
        <f>VLOOKUP(Ruimtestaat[[#This Row],[Code]],Locaties[#All],4,FALSE)</f>
        <v>Herman Boerhaavelaan 1</v>
      </c>
      <c r="D210" s="24" t="str">
        <f>VLOOKUP(Ruimtestaat[[#This Row],[Code]],Locaties[#All],5,FALSE)</f>
        <v>7415 ES</v>
      </c>
      <c r="E210" s="24" t="str">
        <f>VLOOKUP(Ruimtestaat[[#This Row],[Code]],Locaties[#All],6,FALSE)</f>
        <v>Deventer</v>
      </c>
      <c r="F210" s="54"/>
      <c r="G210" s="24" t="s">
        <v>612</v>
      </c>
      <c r="H210" s="24" t="s">
        <v>650</v>
      </c>
      <c r="I210" s="4" t="s">
        <v>394</v>
      </c>
      <c r="J210" s="24">
        <v>22</v>
      </c>
      <c r="K210" s="54" t="str">
        <f>VLOOKUP(J210,Ruimtegroepen[],2,FALSE)</f>
        <v>Niet in onderhoud</v>
      </c>
      <c r="L210" s="24" t="s">
        <v>305</v>
      </c>
      <c r="M210" s="24" t="s">
        <v>376</v>
      </c>
      <c r="N210" s="83"/>
      <c r="O210" s="83">
        <v>36.68</v>
      </c>
      <c r="P210" s="93" t="str">
        <f>LEFT(VLOOKUP(Ruimtestaat[[#This Row],[Ruimte code]],Ruimtegroepen[#All],4,1),2)</f>
        <v/>
      </c>
      <c r="Q210" s="93"/>
      <c r="R210" s="84"/>
      <c r="S210" s="84"/>
      <c r="T210" s="85">
        <f>IF(R210&gt;0,IF(RIGHT(Ruimtestaat[[#This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10" s="85">
        <f>IF(T210&gt;0,VLOOKUP($J210,Ruimtegroepen[],3,FALSE)*VLOOKUP($L210,Vloersoorten[],3,FALSE)*VLOOKUP($S210,Frequenties[],3,FALSE)*VLOOKUP($A210,Locaties[],3,FALSE),0)</f>
        <v>0</v>
      </c>
      <c r="V210" s="86">
        <f>Ruimtestaat[[#This Row],[Uitvoeringen werkdagen]]*Ruimtestaat[[#This Row],[Oppervlak (netto)]]</f>
        <v>0</v>
      </c>
      <c r="W210" s="87">
        <f>IF(U210&gt;0,Ruimtestaat[[#This Row],[Prest. (m2 /jaar) werkdagen]]/Ruimtestaat[[#This Row],[Norm (m2/uur) werkdagen]],0)</f>
        <v>0</v>
      </c>
      <c r="X210" s="88">
        <f>Ruimtestaat[[#This Row],[uren / jaar werkdagen]]*Tariefsopbouw!$E$35</f>
        <v>0</v>
      </c>
      <c r="Y210" s="85"/>
      <c r="Z210" s="89">
        <f>IF(Ruimtestaat[[#This Row],[Frequentie weekend]]&gt;0,VALUE(LEFT(Y210,1))*R210,0)</f>
        <v>0</v>
      </c>
      <c r="AA210" s="85">
        <f>IF($Z210&gt;0,VLOOKUP($J210,Ruimtegroepen[],3,FALSE)*VLOOKUP($L210,Vloersoorten[],3,FALSE)*VLOOKUP($Y210,Frequenties[],3,FALSE)*VLOOKUP($A206,Locaties[],3,FALSE),0)</f>
        <v>0</v>
      </c>
      <c r="AB210" s="87">
        <f>Ruimtestaat[[#This Row],[Uitvoeringen weekend]]*Ruimtestaat[[#This Row],[Oppervlak (netto)]]</f>
        <v>0</v>
      </c>
      <c r="AC210" s="90">
        <f>IF(AB210&gt;0,Ruimtestaat[[#This Row],[Prest. (m2 /jaar) weekend]]/Ruimtestaat[[#This Row],[Norm (m2/uur) weekend]],0)</f>
        <v>0</v>
      </c>
      <c r="AD210" s="91">
        <f>Ruimtestaat[[#This Row],[uren / jaar weekend]]*Tariefsopbouw!$D$40</f>
        <v>0</v>
      </c>
      <c r="AE210" s="60">
        <f>Ruimtestaat[[#This Row],[Prest. (m2 /jaar) weekend]]+Ruimtestaat[[#This Row],[Prest. (m2 /jaar) werkdagen]]</f>
        <v>0</v>
      </c>
      <c r="AF210" s="60">
        <f>Ruimtestaat[[#This Row],[uren / jaar weekend]]+Ruimtestaat[[#This Row],[uren / jaar werkdagen]]</f>
        <v>0</v>
      </c>
      <c r="AG210" s="61">
        <f>Ruimtestaat[[#This Row],[kosten / jaar weekend]]+Ruimtestaat[[#This Row],[kosten / jaar werkdagen]]</f>
        <v>0</v>
      </c>
      <c r="AH210" s="92"/>
      <c r="HL210" s="59"/>
    </row>
    <row r="211" spans="1:220">
      <c r="A211" s="24">
        <v>1</v>
      </c>
      <c r="B211" s="24" t="str">
        <f>VLOOKUP(Ruimtestaat[[#This Row],[Code]],Locaties[#All],2,FALSE)</f>
        <v>Boerhaave + buitenunits</v>
      </c>
      <c r="C211" s="24" t="str">
        <f>VLOOKUP(Ruimtestaat[[#This Row],[Code]],Locaties[#All],4,FALSE)</f>
        <v>Herman Boerhaavelaan 1</v>
      </c>
      <c r="D211" s="24" t="str">
        <f>VLOOKUP(Ruimtestaat[[#This Row],[Code]],Locaties[#All],5,FALSE)</f>
        <v>7415 ES</v>
      </c>
      <c r="E211" s="24" t="str">
        <f>VLOOKUP(Ruimtestaat[[#This Row],[Code]],Locaties[#All],6,FALSE)</f>
        <v>Deventer</v>
      </c>
      <c r="F211" s="54"/>
      <c r="G211" s="24" t="s">
        <v>612</v>
      </c>
      <c r="H211" s="24" t="s">
        <v>651</v>
      </c>
      <c r="I211" s="4" t="s">
        <v>652</v>
      </c>
      <c r="J211" s="24">
        <v>22</v>
      </c>
      <c r="K211" s="54" t="str">
        <f>VLOOKUP(J211,Ruimtegroepen[],2,FALSE)</f>
        <v>Niet in onderhoud</v>
      </c>
      <c r="L211" s="24" t="s">
        <v>305</v>
      </c>
      <c r="M211" s="24" t="s">
        <v>376</v>
      </c>
      <c r="N211" s="83"/>
      <c r="O211" s="83">
        <v>55.68</v>
      </c>
      <c r="P211" s="93" t="str">
        <f>LEFT(VLOOKUP(Ruimtestaat[[#This Row],[Ruimte code]],Ruimtegroepen[#All],4,1),2)</f>
        <v/>
      </c>
      <c r="Q211" s="93"/>
      <c r="R211" s="84"/>
      <c r="S211" s="84"/>
      <c r="T211" s="85">
        <f>IF(R211&gt;0,IF(RIGHT(Ruimtestaat[[#This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11" s="85">
        <f>IF(T211&gt;0,VLOOKUP($J211,Ruimtegroepen[],3,FALSE)*VLOOKUP($L211,Vloersoorten[],3,FALSE)*VLOOKUP($S211,Frequenties[],3,FALSE)*VLOOKUP($A211,Locaties[],3,FALSE),0)</f>
        <v>0</v>
      </c>
      <c r="V211" s="86">
        <f>Ruimtestaat[[#This Row],[Uitvoeringen werkdagen]]*Ruimtestaat[[#This Row],[Oppervlak (netto)]]</f>
        <v>0</v>
      </c>
      <c r="W211" s="87">
        <f>IF(U211&gt;0,Ruimtestaat[[#This Row],[Prest. (m2 /jaar) werkdagen]]/Ruimtestaat[[#This Row],[Norm (m2/uur) werkdagen]],0)</f>
        <v>0</v>
      </c>
      <c r="X211" s="88">
        <f>Ruimtestaat[[#This Row],[uren / jaar werkdagen]]*Tariefsopbouw!$E$35</f>
        <v>0</v>
      </c>
      <c r="Y211" s="85"/>
      <c r="Z211" s="89">
        <f>IF(Ruimtestaat[[#This Row],[Frequentie weekend]]&gt;0,VALUE(LEFT(Y211,1))*R211,0)</f>
        <v>0</v>
      </c>
      <c r="AA211" s="85">
        <f>IF($Z211&gt;0,VLOOKUP($J211,Ruimtegroepen[],3,FALSE)*VLOOKUP($L211,Vloersoorten[],3,FALSE)*VLOOKUP($Y211,Frequenties[],3,FALSE)*VLOOKUP($A207,Locaties[],3,FALSE),0)</f>
        <v>0</v>
      </c>
      <c r="AB211" s="87">
        <f>Ruimtestaat[[#This Row],[Uitvoeringen weekend]]*Ruimtestaat[[#This Row],[Oppervlak (netto)]]</f>
        <v>0</v>
      </c>
      <c r="AC211" s="90">
        <f>IF(AB211&gt;0,Ruimtestaat[[#This Row],[Prest. (m2 /jaar) weekend]]/Ruimtestaat[[#This Row],[Norm (m2/uur) weekend]],0)</f>
        <v>0</v>
      </c>
      <c r="AD211" s="91">
        <f>Ruimtestaat[[#This Row],[uren / jaar weekend]]*Tariefsopbouw!$D$40</f>
        <v>0</v>
      </c>
      <c r="AE211" s="60">
        <f>Ruimtestaat[[#This Row],[Prest. (m2 /jaar) weekend]]+Ruimtestaat[[#This Row],[Prest. (m2 /jaar) werkdagen]]</f>
        <v>0</v>
      </c>
      <c r="AF211" s="60">
        <f>Ruimtestaat[[#This Row],[uren / jaar weekend]]+Ruimtestaat[[#This Row],[uren / jaar werkdagen]]</f>
        <v>0</v>
      </c>
      <c r="AG211" s="61">
        <f>Ruimtestaat[[#This Row],[kosten / jaar weekend]]+Ruimtestaat[[#This Row],[kosten / jaar werkdagen]]</f>
        <v>0</v>
      </c>
      <c r="AH211" s="92"/>
      <c r="HL211" s="59"/>
    </row>
    <row r="212" spans="1:220">
      <c r="A212" s="24">
        <v>1</v>
      </c>
      <c r="B212" s="24" t="str">
        <f>VLOOKUP(Ruimtestaat[[#This Row],[Code]],Locaties[#All],2,FALSE)</f>
        <v>Boerhaave + buitenunits</v>
      </c>
      <c r="C212" s="24" t="str">
        <f>VLOOKUP(Ruimtestaat[[#This Row],[Code]],Locaties[#All],4,FALSE)</f>
        <v>Herman Boerhaavelaan 1</v>
      </c>
      <c r="D212" s="24" t="str">
        <f>VLOOKUP(Ruimtestaat[[#This Row],[Code]],Locaties[#All],5,FALSE)</f>
        <v>7415 ES</v>
      </c>
      <c r="E212" s="24" t="str">
        <f>VLOOKUP(Ruimtestaat[[#This Row],[Code]],Locaties[#All],6,FALSE)</f>
        <v>Deventer</v>
      </c>
      <c r="F212" s="54"/>
      <c r="G212" s="24" t="s">
        <v>612</v>
      </c>
      <c r="H212" s="24" t="s">
        <v>504</v>
      </c>
      <c r="I212" s="4" t="s">
        <v>372</v>
      </c>
      <c r="J212" s="24">
        <v>10</v>
      </c>
      <c r="K212" s="54" t="str">
        <f>VLOOKUP(J212,Ruimtegroepen[],2,FALSE)</f>
        <v>Trappenhuizen/lift</v>
      </c>
      <c r="L212" s="24" t="s">
        <v>305</v>
      </c>
      <c r="M212" s="24" t="s">
        <v>373</v>
      </c>
      <c r="N212" s="83">
        <v>20.07</v>
      </c>
      <c r="O212" s="83"/>
      <c r="P212" s="93" t="str">
        <f>LEFT(VLOOKUP(Ruimtestaat[[#This Row],[Ruimte code]],Ruimtegroepen[#All],4,1),2)</f>
        <v>Ve</v>
      </c>
      <c r="Q212" s="93"/>
      <c r="R212" s="84">
        <v>40</v>
      </c>
      <c r="S212" s="84" t="s">
        <v>318</v>
      </c>
      <c r="T212" s="85">
        <f>IF(R212&gt;0,IF(RIGHT(Ruimtestaat[[#This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2" s="85">
        <f>IF(T212&gt;0,VLOOKUP($J212,Ruimtegroepen[],3,FALSE)*VLOOKUP($L212,Vloersoorten[],3,FALSE)*VLOOKUP($S212,Frequenties[],3,FALSE)*VLOOKUP($A212,Locaties[],3,FALSE),0)</f>
        <v>0</v>
      </c>
      <c r="V212" s="86">
        <f>Ruimtestaat[[#This Row],[Uitvoeringen werkdagen]]*Ruimtestaat[[#This Row],[Oppervlak (netto)]]</f>
        <v>4014</v>
      </c>
      <c r="W212" s="87">
        <f>IF(U212&gt;0,Ruimtestaat[[#This Row],[Prest. (m2 /jaar) werkdagen]]/Ruimtestaat[[#This Row],[Norm (m2/uur) werkdagen]],0)</f>
        <v>0</v>
      </c>
      <c r="X212" s="88">
        <f>Ruimtestaat[[#This Row],[uren / jaar werkdagen]]*Tariefsopbouw!$E$35</f>
        <v>0</v>
      </c>
      <c r="Y212" s="85"/>
      <c r="Z212" s="89">
        <f>IF(Ruimtestaat[[#This Row],[Frequentie weekend]]&gt;0,VALUE(LEFT(Y212,1))*R212,0)</f>
        <v>0</v>
      </c>
      <c r="AA212" s="85">
        <f>IF($Z212&gt;0,VLOOKUP($J212,Ruimtegroepen[],3,FALSE)*VLOOKUP($L212,Vloersoorten[],3,FALSE)*VLOOKUP($Y212,Frequenties[],3,FALSE)*VLOOKUP($A208,Locaties[],3,FALSE),0)</f>
        <v>0</v>
      </c>
      <c r="AB212" s="87">
        <f>Ruimtestaat[[#This Row],[Uitvoeringen weekend]]*Ruimtestaat[[#This Row],[Oppervlak (netto)]]</f>
        <v>0</v>
      </c>
      <c r="AC212" s="90">
        <f>IF(AB212&gt;0,Ruimtestaat[[#This Row],[Prest. (m2 /jaar) weekend]]/Ruimtestaat[[#This Row],[Norm (m2/uur) weekend]],0)</f>
        <v>0</v>
      </c>
      <c r="AD212" s="91">
        <f>Ruimtestaat[[#This Row],[uren / jaar weekend]]*Tariefsopbouw!$D$40</f>
        <v>0</v>
      </c>
      <c r="AE212" s="60">
        <f>Ruimtestaat[[#This Row],[Prest. (m2 /jaar) weekend]]+Ruimtestaat[[#This Row],[Prest. (m2 /jaar) werkdagen]]</f>
        <v>4014</v>
      </c>
      <c r="AF212" s="60">
        <f>Ruimtestaat[[#This Row],[uren / jaar weekend]]+Ruimtestaat[[#This Row],[uren / jaar werkdagen]]</f>
        <v>0</v>
      </c>
      <c r="AG212" s="61">
        <f>Ruimtestaat[[#This Row],[kosten / jaar weekend]]+Ruimtestaat[[#This Row],[kosten / jaar werkdagen]]</f>
        <v>0</v>
      </c>
      <c r="AH212" s="92"/>
      <c r="HL212" s="59"/>
    </row>
    <row r="213" spans="1:220">
      <c r="A213" s="24">
        <v>1</v>
      </c>
      <c r="B213" s="24" t="str">
        <f>VLOOKUP(Ruimtestaat[[#This Row],[Code]],Locaties[#All],2,FALSE)</f>
        <v>Boerhaave + buitenunits</v>
      </c>
      <c r="C213" s="24" t="str">
        <f>VLOOKUP(Ruimtestaat[[#This Row],[Code]],Locaties[#All],4,FALSE)</f>
        <v>Herman Boerhaavelaan 1</v>
      </c>
      <c r="D213" s="24" t="str">
        <f>VLOOKUP(Ruimtestaat[[#This Row],[Code]],Locaties[#All],5,FALSE)</f>
        <v>7415 ES</v>
      </c>
      <c r="E213" s="24" t="str">
        <f>VLOOKUP(Ruimtestaat[[#This Row],[Code]],Locaties[#All],6,FALSE)</f>
        <v>Deventer</v>
      </c>
      <c r="F213" s="54"/>
      <c r="G213" s="24" t="s">
        <v>612</v>
      </c>
      <c r="H213" s="24" t="s">
        <v>505</v>
      </c>
      <c r="I213" s="4" t="s">
        <v>372</v>
      </c>
      <c r="J213" s="24">
        <v>10</v>
      </c>
      <c r="K213" s="54" t="str">
        <f>VLOOKUP(J213,Ruimtegroepen[],2,FALSE)</f>
        <v>Trappenhuizen/lift</v>
      </c>
      <c r="L213" s="24" t="s">
        <v>305</v>
      </c>
      <c r="M213" s="24" t="s">
        <v>373</v>
      </c>
      <c r="N213" s="83">
        <v>53.22</v>
      </c>
      <c r="O213" s="83"/>
      <c r="P213" s="93" t="str">
        <f>LEFT(VLOOKUP(Ruimtestaat[[#This Row],[Ruimte code]],Ruimtegroepen[#All],4,1),2)</f>
        <v>Ve</v>
      </c>
      <c r="Q213" s="93"/>
      <c r="R213" s="84">
        <v>40</v>
      </c>
      <c r="S213" s="84" t="s">
        <v>318</v>
      </c>
      <c r="T213" s="85">
        <f>IF(R213&gt;0,IF(RIGHT(Ruimtestaat[[#This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3" s="85">
        <f>IF(T213&gt;0,VLOOKUP($J213,Ruimtegroepen[],3,FALSE)*VLOOKUP($L213,Vloersoorten[],3,FALSE)*VLOOKUP($S213,Frequenties[],3,FALSE)*VLOOKUP($A213,Locaties[],3,FALSE),0)</f>
        <v>0</v>
      </c>
      <c r="V213" s="86">
        <f>Ruimtestaat[[#This Row],[Uitvoeringen werkdagen]]*Ruimtestaat[[#This Row],[Oppervlak (netto)]]</f>
        <v>10644</v>
      </c>
      <c r="W213" s="87">
        <f>IF(U213&gt;0,Ruimtestaat[[#This Row],[Prest. (m2 /jaar) werkdagen]]/Ruimtestaat[[#This Row],[Norm (m2/uur) werkdagen]],0)</f>
        <v>0</v>
      </c>
      <c r="X213" s="88">
        <f>Ruimtestaat[[#This Row],[uren / jaar werkdagen]]*Tariefsopbouw!$E$35</f>
        <v>0</v>
      </c>
      <c r="Y213" s="85"/>
      <c r="Z213" s="89">
        <f>IF(Ruimtestaat[[#This Row],[Frequentie weekend]]&gt;0,VALUE(LEFT(Y213,1))*R213,0)</f>
        <v>0</v>
      </c>
      <c r="AA213" s="85">
        <f>IF($Z213&gt;0,VLOOKUP($J213,Ruimtegroepen[],3,FALSE)*VLOOKUP($L213,Vloersoorten[],3,FALSE)*VLOOKUP($Y213,Frequenties[],3,FALSE)*VLOOKUP($A209,Locaties[],3,FALSE),0)</f>
        <v>0</v>
      </c>
      <c r="AB213" s="87">
        <f>Ruimtestaat[[#This Row],[Uitvoeringen weekend]]*Ruimtestaat[[#This Row],[Oppervlak (netto)]]</f>
        <v>0</v>
      </c>
      <c r="AC213" s="90">
        <f>IF(AB213&gt;0,Ruimtestaat[[#This Row],[Prest. (m2 /jaar) weekend]]/Ruimtestaat[[#This Row],[Norm (m2/uur) weekend]],0)</f>
        <v>0</v>
      </c>
      <c r="AD213" s="91">
        <f>Ruimtestaat[[#This Row],[uren / jaar weekend]]*Tariefsopbouw!$D$40</f>
        <v>0</v>
      </c>
      <c r="AE213" s="60">
        <f>Ruimtestaat[[#This Row],[Prest. (m2 /jaar) weekend]]+Ruimtestaat[[#This Row],[Prest. (m2 /jaar) werkdagen]]</f>
        <v>10644</v>
      </c>
      <c r="AF213" s="60">
        <f>Ruimtestaat[[#This Row],[uren / jaar weekend]]+Ruimtestaat[[#This Row],[uren / jaar werkdagen]]</f>
        <v>0</v>
      </c>
      <c r="AG213" s="61">
        <f>Ruimtestaat[[#This Row],[kosten / jaar weekend]]+Ruimtestaat[[#This Row],[kosten / jaar werkdagen]]</f>
        <v>0</v>
      </c>
      <c r="AH213" s="92"/>
      <c r="HL213" s="59"/>
    </row>
    <row r="214" spans="1:220">
      <c r="A214" s="24">
        <v>1</v>
      </c>
      <c r="B214" s="24" t="str">
        <f>VLOOKUP(Ruimtestaat[[#This Row],[Code]],Locaties[#All],2,FALSE)</f>
        <v>Boerhaave + buitenunits</v>
      </c>
      <c r="C214" s="24" t="str">
        <f>VLOOKUP(Ruimtestaat[[#This Row],[Code]],Locaties[#All],4,FALSE)</f>
        <v>Herman Boerhaavelaan 1</v>
      </c>
      <c r="D214" s="24" t="str">
        <f>VLOOKUP(Ruimtestaat[[#This Row],[Code]],Locaties[#All],5,FALSE)</f>
        <v>7415 ES</v>
      </c>
      <c r="E214" s="24" t="str">
        <f>VLOOKUP(Ruimtestaat[[#This Row],[Code]],Locaties[#All],6,FALSE)</f>
        <v>Deventer</v>
      </c>
      <c r="F214" s="54"/>
      <c r="G214" s="24" t="s">
        <v>612</v>
      </c>
      <c r="H214" s="24" t="s">
        <v>506</v>
      </c>
      <c r="I214" s="4" t="s">
        <v>372</v>
      </c>
      <c r="J214" s="24">
        <v>10</v>
      </c>
      <c r="K214" s="54" t="str">
        <f>VLOOKUP(J214,Ruimtegroepen[],2,FALSE)</f>
        <v>Trappenhuizen/lift</v>
      </c>
      <c r="L214" s="24" t="s">
        <v>305</v>
      </c>
      <c r="M214" s="24" t="s">
        <v>373</v>
      </c>
      <c r="N214" s="94">
        <v>18</v>
      </c>
      <c r="O214" s="83"/>
      <c r="P214" s="93" t="str">
        <f>LEFT(VLOOKUP(Ruimtestaat[[#This Row],[Ruimte code]],Ruimtegroepen[#All],4,1),2)</f>
        <v>Ve</v>
      </c>
      <c r="Q214" s="93"/>
      <c r="R214" s="84">
        <v>40</v>
      </c>
      <c r="S214" s="84" t="s">
        <v>318</v>
      </c>
      <c r="T214" s="85">
        <f>IF(R214&gt;0,IF(RIGHT(Ruimtestaat[[#This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4" s="85">
        <f>IF(T214&gt;0,VLOOKUP($J214,Ruimtegroepen[],3,FALSE)*VLOOKUP($L214,Vloersoorten[],3,FALSE)*VLOOKUP($S214,Frequenties[],3,FALSE)*VLOOKUP($A214,Locaties[],3,FALSE),0)</f>
        <v>0</v>
      </c>
      <c r="V214" s="86">
        <f>Ruimtestaat[[#This Row],[Uitvoeringen werkdagen]]*Ruimtestaat[[#This Row],[Oppervlak (netto)]]</f>
        <v>3600</v>
      </c>
      <c r="W214" s="87">
        <f>IF(U214&gt;0,Ruimtestaat[[#This Row],[Prest. (m2 /jaar) werkdagen]]/Ruimtestaat[[#This Row],[Norm (m2/uur) werkdagen]],0)</f>
        <v>0</v>
      </c>
      <c r="X214" s="88">
        <f>Ruimtestaat[[#This Row],[uren / jaar werkdagen]]*Tariefsopbouw!$E$35</f>
        <v>0</v>
      </c>
      <c r="Y214" s="85"/>
      <c r="Z214" s="89">
        <f>IF(Ruimtestaat[[#This Row],[Frequentie weekend]]&gt;0,VALUE(LEFT(Y214,1))*R214,0)</f>
        <v>0</v>
      </c>
      <c r="AA214" s="85">
        <f>IF($Z214&gt;0,VLOOKUP($J214,Ruimtegroepen[],3,FALSE)*VLOOKUP($L214,Vloersoorten[],3,FALSE)*VLOOKUP($Y214,Frequenties[],3,FALSE)*VLOOKUP($A210,Locaties[],3,FALSE),0)</f>
        <v>0</v>
      </c>
      <c r="AB214" s="87">
        <f>Ruimtestaat[[#This Row],[Uitvoeringen weekend]]*Ruimtestaat[[#This Row],[Oppervlak (netto)]]</f>
        <v>0</v>
      </c>
      <c r="AC214" s="90">
        <f>IF(AB214&gt;0,Ruimtestaat[[#This Row],[Prest. (m2 /jaar) weekend]]/Ruimtestaat[[#This Row],[Norm (m2/uur) weekend]],0)</f>
        <v>0</v>
      </c>
      <c r="AD214" s="91">
        <f>Ruimtestaat[[#This Row],[uren / jaar weekend]]*Tariefsopbouw!$D$40</f>
        <v>0</v>
      </c>
      <c r="AE214" s="60">
        <f>Ruimtestaat[[#This Row],[Prest. (m2 /jaar) weekend]]+Ruimtestaat[[#This Row],[Prest. (m2 /jaar) werkdagen]]</f>
        <v>3600</v>
      </c>
      <c r="AF214" s="60">
        <f>Ruimtestaat[[#This Row],[uren / jaar weekend]]+Ruimtestaat[[#This Row],[uren / jaar werkdagen]]</f>
        <v>0</v>
      </c>
      <c r="AG214" s="61">
        <f>Ruimtestaat[[#This Row],[kosten / jaar weekend]]+Ruimtestaat[[#This Row],[kosten / jaar werkdagen]]</f>
        <v>0</v>
      </c>
      <c r="AH214" s="92"/>
      <c r="HL214" s="59"/>
    </row>
    <row r="215" spans="1:220">
      <c r="A215" s="24">
        <v>1</v>
      </c>
      <c r="B215" s="24" t="str">
        <f>VLOOKUP(Ruimtestaat[[#This Row],[Code]],Locaties[#All],2,FALSE)</f>
        <v>Boerhaave + buitenunits</v>
      </c>
      <c r="C215" s="24" t="str">
        <f>VLOOKUP(Ruimtestaat[[#This Row],[Code]],Locaties[#All],4,FALSE)</f>
        <v>Herman Boerhaavelaan 1</v>
      </c>
      <c r="D215" s="24" t="str">
        <f>VLOOKUP(Ruimtestaat[[#This Row],[Code]],Locaties[#All],5,FALSE)</f>
        <v>7415 ES</v>
      </c>
      <c r="E215" s="24" t="str">
        <f>VLOOKUP(Ruimtestaat[[#This Row],[Code]],Locaties[#All],6,FALSE)</f>
        <v>Deventer</v>
      </c>
      <c r="F215" s="54"/>
      <c r="G215" s="24" t="s">
        <v>612</v>
      </c>
      <c r="H215" s="24" t="s">
        <v>509</v>
      </c>
      <c r="I215" s="4" t="s">
        <v>372</v>
      </c>
      <c r="J215" s="24">
        <v>10</v>
      </c>
      <c r="K215" s="54" t="str">
        <f>VLOOKUP(J215,Ruimtegroepen[],2,FALSE)</f>
        <v>Trappenhuizen/lift</v>
      </c>
      <c r="L215" s="24" t="s">
        <v>305</v>
      </c>
      <c r="M215" s="24" t="s">
        <v>373</v>
      </c>
      <c r="N215" s="83">
        <v>17.510000000000002</v>
      </c>
      <c r="O215" s="83"/>
      <c r="P215" s="93" t="str">
        <f>LEFT(VLOOKUP(Ruimtestaat[[#This Row],[Ruimte code]],Ruimtegroepen[#All],4,1),2)</f>
        <v>Ve</v>
      </c>
      <c r="Q215" s="93"/>
      <c r="R215" s="84">
        <v>40</v>
      </c>
      <c r="S215" s="84" t="s">
        <v>318</v>
      </c>
      <c r="T215" s="85">
        <f>IF(R215&gt;0,IF(RIGHT(Ruimtestaat[[#This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5" s="85">
        <f>IF(T215&gt;0,VLOOKUP($J215,Ruimtegroepen[],3,FALSE)*VLOOKUP($L215,Vloersoorten[],3,FALSE)*VLOOKUP($S215,Frequenties[],3,FALSE)*VLOOKUP($A215,Locaties[],3,FALSE),0)</f>
        <v>0</v>
      </c>
      <c r="V215" s="86">
        <f>Ruimtestaat[[#This Row],[Uitvoeringen werkdagen]]*Ruimtestaat[[#This Row],[Oppervlak (netto)]]</f>
        <v>3502.0000000000005</v>
      </c>
      <c r="W215" s="87">
        <f>IF(U215&gt;0,Ruimtestaat[[#This Row],[Prest. (m2 /jaar) werkdagen]]/Ruimtestaat[[#This Row],[Norm (m2/uur) werkdagen]],0)</f>
        <v>0</v>
      </c>
      <c r="X215" s="88">
        <f>Ruimtestaat[[#This Row],[uren / jaar werkdagen]]*Tariefsopbouw!$E$35</f>
        <v>0</v>
      </c>
      <c r="Y215" s="85"/>
      <c r="Z215" s="89">
        <f>IF(Ruimtestaat[[#This Row],[Frequentie weekend]]&gt;0,VALUE(LEFT(Y215,1))*R215,0)</f>
        <v>0</v>
      </c>
      <c r="AA215" s="85">
        <f>IF($Z215&gt;0,VLOOKUP($J215,Ruimtegroepen[],3,FALSE)*VLOOKUP($L215,Vloersoorten[],3,FALSE)*VLOOKUP($Y215,Frequenties[],3,FALSE)*VLOOKUP($A211,Locaties[],3,FALSE),0)</f>
        <v>0</v>
      </c>
      <c r="AB215" s="87">
        <f>Ruimtestaat[[#This Row],[Uitvoeringen weekend]]*Ruimtestaat[[#This Row],[Oppervlak (netto)]]</f>
        <v>0</v>
      </c>
      <c r="AC215" s="90">
        <f>IF(AB215&gt;0,Ruimtestaat[[#This Row],[Prest. (m2 /jaar) weekend]]/Ruimtestaat[[#This Row],[Norm (m2/uur) weekend]],0)</f>
        <v>0</v>
      </c>
      <c r="AD215" s="91">
        <f>Ruimtestaat[[#This Row],[uren / jaar weekend]]*Tariefsopbouw!$D$40</f>
        <v>0</v>
      </c>
      <c r="AE215" s="60">
        <f>Ruimtestaat[[#This Row],[Prest. (m2 /jaar) weekend]]+Ruimtestaat[[#This Row],[Prest. (m2 /jaar) werkdagen]]</f>
        <v>3502.0000000000005</v>
      </c>
      <c r="AF215" s="60">
        <f>Ruimtestaat[[#This Row],[uren / jaar weekend]]+Ruimtestaat[[#This Row],[uren / jaar werkdagen]]</f>
        <v>0</v>
      </c>
      <c r="AG215" s="61">
        <f>Ruimtestaat[[#This Row],[kosten / jaar weekend]]+Ruimtestaat[[#This Row],[kosten / jaar werkdagen]]</f>
        <v>0</v>
      </c>
      <c r="AH215" s="92"/>
      <c r="HL215" s="59"/>
    </row>
    <row r="216" spans="1:220">
      <c r="A216" s="24">
        <v>1</v>
      </c>
      <c r="B216" s="24" t="str">
        <f>VLOOKUP(Ruimtestaat[[#This Row],[Code]],Locaties[#All],2,FALSE)</f>
        <v>Boerhaave + buitenunits</v>
      </c>
      <c r="C216" s="24" t="str">
        <f>VLOOKUP(Ruimtestaat[[#This Row],[Code]],Locaties[#All],4,FALSE)</f>
        <v>Herman Boerhaavelaan 1</v>
      </c>
      <c r="D216" s="24" t="str">
        <f>VLOOKUP(Ruimtestaat[[#This Row],[Code]],Locaties[#All],5,FALSE)</f>
        <v>7415 ES</v>
      </c>
      <c r="E216" s="24" t="str">
        <f>VLOOKUP(Ruimtestaat[[#This Row],[Code]],Locaties[#All],6,FALSE)</f>
        <v>Deventer</v>
      </c>
      <c r="F216" s="54"/>
      <c r="G216" s="24" t="s">
        <v>612</v>
      </c>
      <c r="H216" s="24" t="s">
        <v>511</v>
      </c>
      <c r="I216" s="4" t="s">
        <v>372</v>
      </c>
      <c r="J216" s="24">
        <v>10</v>
      </c>
      <c r="K216" s="54" t="str">
        <f>VLOOKUP(J216,Ruimtegroepen[],2,FALSE)</f>
        <v>Trappenhuizen/lift</v>
      </c>
      <c r="L216" s="24" t="s">
        <v>305</v>
      </c>
      <c r="M216" s="24" t="s">
        <v>373</v>
      </c>
      <c r="N216" s="83">
        <v>12.2</v>
      </c>
      <c r="O216" s="83"/>
      <c r="P216" s="93" t="str">
        <f>LEFT(VLOOKUP(Ruimtestaat[[#This Row],[Ruimte code]],Ruimtegroepen[#All],4,1),2)</f>
        <v>Ve</v>
      </c>
      <c r="Q216" s="93"/>
      <c r="R216" s="84">
        <v>40</v>
      </c>
      <c r="S216" s="84" t="s">
        <v>318</v>
      </c>
      <c r="T216" s="85">
        <f>IF(R216&gt;0,IF(RIGHT(Ruimtestaat[[#This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6" s="85">
        <f>IF(T216&gt;0,VLOOKUP($J216,Ruimtegroepen[],3,FALSE)*VLOOKUP($L216,Vloersoorten[],3,FALSE)*VLOOKUP($S216,Frequenties[],3,FALSE)*VLOOKUP($A216,Locaties[],3,FALSE),0)</f>
        <v>0</v>
      </c>
      <c r="V216" s="86">
        <f>Ruimtestaat[[#This Row],[Uitvoeringen werkdagen]]*Ruimtestaat[[#This Row],[Oppervlak (netto)]]</f>
        <v>2440</v>
      </c>
      <c r="W216" s="87">
        <f>IF(U216&gt;0,Ruimtestaat[[#This Row],[Prest. (m2 /jaar) werkdagen]]/Ruimtestaat[[#This Row],[Norm (m2/uur) werkdagen]],0)</f>
        <v>0</v>
      </c>
      <c r="X216" s="88">
        <f>Ruimtestaat[[#This Row],[uren / jaar werkdagen]]*Tariefsopbouw!$E$35</f>
        <v>0</v>
      </c>
      <c r="Y216" s="85"/>
      <c r="Z216" s="89">
        <f>IF(Ruimtestaat[[#This Row],[Frequentie weekend]]&gt;0,VALUE(LEFT(Y216,1))*R216,0)</f>
        <v>0</v>
      </c>
      <c r="AA216" s="85">
        <f>IF($Z216&gt;0,VLOOKUP($J216,Ruimtegroepen[],3,FALSE)*VLOOKUP($L216,Vloersoorten[],3,FALSE)*VLOOKUP($Y216,Frequenties[],3,FALSE)*VLOOKUP($A212,Locaties[],3,FALSE),0)</f>
        <v>0</v>
      </c>
      <c r="AB216" s="87">
        <f>Ruimtestaat[[#This Row],[Uitvoeringen weekend]]*Ruimtestaat[[#This Row],[Oppervlak (netto)]]</f>
        <v>0</v>
      </c>
      <c r="AC216" s="90">
        <f>IF(AB216&gt;0,Ruimtestaat[[#This Row],[Prest. (m2 /jaar) weekend]]/Ruimtestaat[[#This Row],[Norm (m2/uur) weekend]],0)</f>
        <v>0</v>
      </c>
      <c r="AD216" s="91">
        <f>Ruimtestaat[[#This Row],[uren / jaar weekend]]*Tariefsopbouw!$D$40</f>
        <v>0</v>
      </c>
      <c r="AE216" s="60">
        <f>Ruimtestaat[[#This Row],[Prest. (m2 /jaar) weekend]]+Ruimtestaat[[#This Row],[Prest. (m2 /jaar) werkdagen]]</f>
        <v>2440</v>
      </c>
      <c r="AF216" s="60">
        <f>Ruimtestaat[[#This Row],[uren / jaar weekend]]+Ruimtestaat[[#This Row],[uren / jaar werkdagen]]</f>
        <v>0</v>
      </c>
      <c r="AG216" s="61">
        <f>Ruimtestaat[[#This Row],[kosten / jaar weekend]]+Ruimtestaat[[#This Row],[kosten / jaar werkdagen]]</f>
        <v>0</v>
      </c>
      <c r="AH216" s="92"/>
      <c r="HL216" s="59"/>
    </row>
    <row r="217" spans="1:220">
      <c r="A217" s="24">
        <v>1</v>
      </c>
      <c r="B217" s="24" t="str">
        <f>VLOOKUP(Ruimtestaat[[#This Row],[Code]],Locaties[#All],2,FALSE)</f>
        <v>Boerhaave + buitenunits</v>
      </c>
      <c r="C217" s="24" t="str">
        <f>VLOOKUP(Ruimtestaat[[#This Row],[Code]],Locaties[#All],4,FALSE)</f>
        <v>Herman Boerhaavelaan 1</v>
      </c>
      <c r="D217" s="24" t="str">
        <f>VLOOKUP(Ruimtestaat[[#This Row],[Code]],Locaties[#All],5,FALSE)</f>
        <v>7415 ES</v>
      </c>
      <c r="E217" s="24" t="str">
        <f>VLOOKUP(Ruimtestaat[[#This Row],[Code]],Locaties[#All],6,FALSE)</f>
        <v>Deventer</v>
      </c>
      <c r="F217" s="54" t="s">
        <v>653</v>
      </c>
      <c r="G217" s="24" t="s">
        <v>367</v>
      </c>
      <c r="H217" s="24" t="s">
        <v>512</v>
      </c>
      <c r="I217" s="4" t="s">
        <v>654</v>
      </c>
      <c r="J217" s="24">
        <v>16</v>
      </c>
      <c r="K217" s="54" t="str">
        <f>VLOOKUP(J217,Ruimtegroepen[],2,FALSE)</f>
        <v>Leslokalen theorie</v>
      </c>
      <c r="L217" s="24" t="s">
        <v>303</v>
      </c>
      <c r="M217" s="24" t="s">
        <v>387</v>
      </c>
      <c r="N217" s="83">
        <v>57.47</v>
      </c>
      <c r="O217" s="83"/>
      <c r="P217" s="93" t="str">
        <f>LEFT(VLOOKUP(Ruimtestaat[[#This Row],[Ruimte code]],Ruimtegroepen[#All],4,1),2)</f>
        <v>Le</v>
      </c>
      <c r="Q217" s="93"/>
      <c r="R217" s="84">
        <v>40</v>
      </c>
      <c r="S217" s="84" t="s">
        <v>318</v>
      </c>
      <c r="T217" s="85">
        <f>IF(R217&gt;0,IF(RIGHT(Ruimtestaat[[#This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7" s="85">
        <f>IF(T217&gt;0,VLOOKUP($J217,Ruimtegroepen[],3,FALSE)*VLOOKUP($L217,Vloersoorten[],3,FALSE)*VLOOKUP($S217,Frequenties[],3,FALSE)*VLOOKUP($A217,Locaties[],3,FALSE),0)</f>
        <v>0</v>
      </c>
      <c r="V217" s="86">
        <f>Ruimtestaat[[#This Row],[Uitvoeringen werkdagen]]*Ruimtestaat[[#This Row],[Oppervlak (netto)]]</f>
        <v>11494</v>
      </c>
      <c r="W217" s="87">
        <f>IF(U217&gt;0,Ruimtestaat[[#This Row],[Prest. (m2 /jaar) werkdagen]]/Ruimtestaat[[#This Row],[Norm (m2/uur) werkdagen]],0)</f>
        <v>0</v>
      </c>
      <c r="X217" s="88">
        <f>Ruimtestaat[[#This Row],[uren / jaar werkdagen]]*Tariefsopbouw!$E$35</f>
        <v>0</v>
      </c>
      <c r="Y217" s="85"/>
      <c r="Z217" s="89">
        <f>IF(Ruimtestaat[[#This Row],[Frequentie weekend]]&gt;0,VALUE(LEFT(Y217,1))*R217,0)</f>
        <v>0</v>
      </c>
      <c r="AA217" s="85">
        <f>IF($Z217&gt;0,VLOOKUP($J217,Ruimtegroepen[],3,FALSE)*VLOOKUP($L217,Vloersoorten[],3,FALSE)*VLOOKUP($Y217,Frequenties[],3,FALSE)*VLOOKUP($A213,Locaties[],3,FALSE),0)</f>
        <v>0</v>
      </c>
      <c r="AB217" s="87">
        <f>Ruimtestaat[[#This Row],[Uitvoeringen weekend]]*Ruimtestaat[[#This Row],[Oppervlak (netto)]]</f>
        <v>0</v>
      </c>
      <c r="AC217" s="90">
        <f>IF(AB217&gt;0,Ruimtestaat[[#This Row],[Prest. (m2 /jaar) weekend]]/Ruimtestaat[[#This Row],[Norm (m2/uur) weekend]],0)</f>
        <v>0</v>
      </c>
      <c r="AD217" s="91">
        <f>Ruimtestaat[[#This Row],[uren / jaar weekend]]*Tariefsopbouw!$D$40</f>
        <v>0</v>
      </c>
      <c r="AE217" s="60">
        <f>Ruimtestaat[[#This Row],[Prest. (m2 /jaar) weekend]]+Ruimtestaat[[#This Row],[Prest. (m2 /jaar) werkdagen]]</f>
        <v>11494</v>
      </c>
      <c r="AF217" s="60">
        <f>Ruimtestaat[[#This Row],[uren / jaar weekend]]+Ruimtestaat[[#This Row],[uren / jaar werkdagen]]</f>
        <v>0</v>
      </c>
      <c r="AG217" s="61">
        <f>Ruimtestaat[[#This Row],[kosten / jaar weekend]]+Ruimtestaat[[#This Row],[kosten / jaar werkdagen]]</f>
        <v>0</v>
      </c>
      <c r="AH217" s="92"/>
      <c r="HL217" s="59"/>
    </row>
    <row r="218" spans="1:220">
      <c r="A218" s="24">
        <v>1</v>
      </c>
      <c r="B218" s="24" t="str">
        <f>VLOOKUP(Ruimtestaat[[#This Row],[Code]],Locaties[#All],2,FALSE)</f>
        <v>Boerhaave + buitenunits</v>
      </c>
      <c r="C218" s="24" t="str">
        <f>VLOOKUP(Ruimtestaat[[#This Row],[Code]],Locaties[#All],4,FALSE)</f>
        <v>Herman Boerhaavelaan 1</v>
      </c>
      <c r="D218" s="24" t="str">
        <f>VLOOKUP(Ruimtestaat[[#This Row],[Code]],Locaties[#All],5,FALSE)</f>
        <v>7415 ES</v>
      </c>
      <c r="E218" s="24" t="str">
        <f>VLOOKUP(Ruimtestaat[[#This Row],[Code]],Locaties[#All],6,FALSE)</f>
        <v>Deventer</v>
      </c>
      <c r="F218" s="54" t="s">
        <v>653</v>
      </c>
      <c r="G218" s="24" t="s">
        <v>367</v>
      </c>
      <c r="H218" s="24" t="s">
        <v>569</v>
      </c>
      <c r="I218" s="4" t="s">
        <v>655</v>
      </c>
      <c r="J218" s="24">
        <v>6</v>
      </c>
      <c r="K218" s="54" t="str">
        <f>VLOOKUP(J218,Ruimtegroepen[],2,FALSE)</f>
        <v>Gangen/hallen</v>
      </c>
      <c r="L218" s="24" t="s">
        <v>311</v>
      </c>
      <c r="M218" s="24" t="s">
        <v>370</v>
      </c>
      <c r="N218" s="83">
        <v>17.920000000000002</v>
      </c>
      <c r="O218" s="83"/>
      <c r="P218" s="93" t="str">
        <f>LEFT(VLOOKUP(Ruimtestaat[[#This Row],[Ruimte code]],Ruimtegroepen[#All],4,1),2)</f>
        <v>Ve</v>
      </c>
      <c r="Q218" s="93"/>
      <c r="R218" s="84">
        <v>40</v>
      </c>
      <c r="S218" s="84" t="s">
        <v>318</v>
      </c>
      <c r="T218" s="85">
        <f>IF(R218&gt;0,IF(RIGHT(Ruimtestaat[[#This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8" s="85">
        <f>IF(T218&gt;0,VLOOKUP($J218,Ruimtegroepen[],3,FALSE)*VLOOKUP($L218,Vloersoorten[],3,FALSE)*VLOOKUP($S218,Frequenties[],3,FALSE)*VLOOKUP($A218,Locaties[],3,FALSE),0)</f>
        <v>0</v>
      </c>
      <c r="V218" s="86">
        <f>Ruimtestaat[[#This Row],[Uitvoeringen werkdagen]]*Ruimtestaat[[#This Row],[Oppervlak (netto)]]</f>
        <v>3584.0000000000005</v>
      </c>
      <c r="W218" s="87">
        <f>IF(U218&gt;0,Ruimtestaat[[#This Row],[Prest. (m2 /jaar) werkdagen]]/Ruimtestaat[[#This Row],[Norm (m2/uur) werkdagen]],0)</f>
        <v>0</v>
      </c>
      <c r="X218" s="88">
        <f>Ruimtestaat[[#This Row],[uren / jaar werkdagen]]*Tariefsopbouw!$E$35</f>
        <v>0</v>
      </c>
      <c r="Y218" s="85"/>
      <c r="Z218" s="89">
        <f>IF(Ruimtestaat[[#This Row],[Frequentie weekend]]&gt;0,VALUE(LEFT(Y218,1))*R218,0)</f>
        <v>0</v>
      </c>
      <c r="AA218" s="85">
        <f>IF($Z218&gt;0,VLOOKUP($J218,Ruimtegroepen[],3,FALSE)*VLOOKUP($L218,Vloersoorten[],3,FALSE)*VLOOKUP($Y218,Frequenties[],3,FALSE)*VLOOKUP($A214,Locaties[],3,FALSE),0)</f>
        <v>0</v>
      </c>
      <c r="AB218" s="87">
        <f>Ruimtestaat[[#This Row],[Uitvoeringen weekend]]*Ruimtestaat[[#This Row],[Oppervlak (netto)]]</f>
        <v>0</v>
      </c>
      <c r="AC218" s="90">
        <f>IF(AB218&gt;0,Ruimtestaat[[#This Row],[Prest. (m2 /jaar) weekend]]/Ruimtestaat[[#This Row],[Norm (m2/uur) weekend]],0)</f>
        <v>0</v>
      </c>
      <c r="AD218" s="91">
        <f>Ruimtestaat[[#This Row],[uren / jaar weekend]]*Tariefsopbouw!$D$40</f>
        <v>0</v>
      </c>
      <c r="AE218" s="60">
        <f>Ruimtestaat[[#This Row],[Prest. (m2 /jaar) weekend]]+Ruimtestaat[[#This Row],[Prest. (m2 /jaar) werkdagen]]</f>
        <v>3584.0000000000005</v>
      </c>
      <c r="AF218" s="60">
        <f>Ruimtestaat[[#This Row],[uren / jaar weekend]]+Ruimtestaat[[#This Row],[uren / jaar werkdagen]]</f>
        <v>0</v>
      </c>
      <c r="AG218" s="61">
        <f>Ruimtestaat[[#This Row],[kosten / jaar weekend]]+Ruimtestaat[[#This Row],[kosten / jaar werkdagen]]</f>
        <v>0</v>
      </c>
      <c r="AH218" s="92"/>
      <c r="HL218" s="59"/>
    </row>
    <row r="219" spans="1:220">
      <c r="A219" s="24">
        <v>1</v>
      </c>
      <c r="B219" s="24" t="str">
        <f>VLOOKUP(Ruimtestaat[[#This Row],[Code]],Locaties[#All],2,FALSE)</f>
        <v>Boerhaave + buitenunits</v>
      </c>
      <c r="C219" s="24" t="str">
        <f>VLOOKUP(Ruimtestaat[[#This Row],[Code]],Locaties[#All],4,FALSE)</f>
        <v>Herman Boerhaavelaan 1</v>
      </c>
      <c r="D219" s="24" t="str">
        <f>VLOOKUP(Ruimtestaat[[#This Row],[Code]],Locaties[#All],5,FALSE)</f>
        <v>7415 ES</v>
      </c>
      <c r="E219" s="24" t="str">
        <f>VLOOKUP(Ruimtestaat[[#This Row],[Code]],Locaties[#All],6,FALSE)</f>
        <v>Deventer</v>
      </c>
      <c r="F219" s="54" t="s">
        <v>653</v>
      </c>
      <c r="G219" s="24" t="s">
        <v>367</v>
      </c>
      <c r="H219" s="24" t="s">
        <v>599</v>
      </c>
      <c r="I219" s="4" t="s">
        <v>394</v>
      </c>
      <c r="J219" s="24">
        <v>22</v>
      </c>
      <c r="K219" s="54" t="str">
        <f>VLOOKUP(J219,Ruimtegroepen[],2,FALSE)</f>
        <v>Niet in onderhoud</v>
      </c>
      <c r="L219" s="24" t="s">
        <v>311</v>
      </c>
      <c r="M219" s="24" t="s">
        <v>370</v>
      </c>
      <c r="N219" s="83"/>
      <c r="O219" s="83">
        <v>2.3199999999999998</v>
      </c>
      <c r="P219" s="93" t="str">
        <f>LEFT(VLOOKUP(Ruimtestaat[[#This Row],[Ruimte code]],Ruimtegroepen[#All],4,1),2)</f>
        <v/>
      </c>
      <c r="Q219" s="93"/>
      <c r="R219" s="84"/>
      <c r="S219" s="84"/>
      <c r="T219" s="85">
        <f>IF(R219&gt;0,IF(RIGHT(Ruimtestaat[[#This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19" s="85">
        <f>IF(T219&gt;0,VLOOKUP($J219,Ruimtegroepen[],3,FALSE)*VLOOKUP($L219,Vloersoorten[],3,FALSE)*VLOOKUP($S219,Frequenties[],3,FALSE)*VLOOKUP($A219,Locaties[],3,FALSE),0)</f>
        <v>0</v>
      </c>
      <c r="V219" s="86">
        <f>Ruimtestaat[[#This Row],[Uitvoeringen werkdagen]]*Ruimtestaat[[#This Row],[Oppervlak (netto)]]</f>
        <v>0</v>
      </c>
      <c r="W219" s="87">
        <f>IF(U219&gt;0,Ruimtestaat[[#This Row],[Prest. (m2 /jaar) werkdagen]]/Ruimtestaat[[#This Row],[Norm (m2/uur) werkdagen]],0)</f>
        <v>0</v>
      </c>
      <c r="X219" s="88">
        <f>Ruimtestaat[[#This Row],[uren / jaar werkdagen]]*Tariefsopbouw!$E$35</f>
        <v>0</v>
      </c>
      <c r="Y219" s="85"/>
      <c r="Z219" s="89">
        <f>IF(Ruimtestaat[[#This Row],[Frequentie weekend]]&gt;0,VALUE(LEFT(Y219,1))*R219,0)</f>
        <v>0</v>
      </c>
      <c r="AA219" s="85">
        <f>IF($Z219&gt;0,VLOOKUP($J219,Ruimtegroepen[],3,FALSE)*VLOOKUP($L219,Vloersoorten[],3,FALSE)*VLOOKUP($Y219,Frequenties[],3,FALSE)*VLOOKUP($A215,Locaties[],3,FALSE),0)</f>
        <v>0</v>
      </c>
      <c r="AB219" s="87">
        <f>Ruimtestaat[[#This Row],[Uitvoeringen weekend]]*Ruimtestaat[[#This Row],[Oppervlak (netto)]]</f>
        <v>0</v>
      </c>
      <c r="AC219" s="90">
        <f>IF(AB219&gt;0,Ruimtestaat[[#This Row],[Prest. (m2 /jaar) weekend]]/Ruimtestaat[[#This Row],[Norm (m2/uur) weekend]],0)</f>
        <v>0</v>
      </c>
      <c r="AD219" s="91">
        <f>Ruimtestaat[[#This Row],[uren / jaar weekend]]*Tariefsopbouw!$D$40</f>
        <v>0</v>
      </c>
      <c r="AE219" s="60">
        <f>Ruimtestaat[[#This Row],[Prest. (m2 /jaar) weekend]]+Ruimtestaat[[#This Row],[Prest. (m2 /jaar) werkdagen]]</f>
        <v>0</v>
      </c>
      <c r="AF219" s="60">
        <f>Ruimtestaat[[#This Row],[uren / jaar weekend]]+Ruimtestaat[[#This Row],[uren / jaar werkdagen]]</f>
        <v>0</v>
      </c>
      <c r="AG219" s="61">
        <f>Ruimtestaat[[#This Row],[kosten / jaar weekend]]+Ruimtestaat[[#This Row],[kosten / jaar werkdagen]]</f>
        <v>0</v>
      </c>
      <c r="AH219" s="92"/>
      <c r="HL219" s="59"/>
    </row>
    <row r="220" spans="1:220">
      <c r="A220" s="24">
        <v>1</v>
      </c>
      <c r="B220" s="24" t="str">
        <f>VLOOKUP(Ruimtestaat[[#This Row],[Code]],Locaties[#All],2,FALSE)</f>
        <v>Boerhaave + buitenunits</v>
      </c>
      <c r="C220" s="24" t="str">
        <f>VLOOKUP(Ruimtestaat[[#This Row],[Code]],Locaties[#All],4,FALSE)</f>
        <v>Herman Boerhaavelaan 1</v>
      </c>
      <c r="D220" s="24" t="str">
        <f>VLOOKUP(Ruimtestaat[[#This Row],[Code]],Locaties[#All],5,FALSE)</f>
        <v>7415 ES</v>
      </c>
      <c r="E220" s="24" t="str">
        <f>VLOOKUP(Ruimtestaat[[#This Row],[Code]],Locaties[#All],6,FALSE)</f>
        <v>Deventer</v>
      </c>
      <c r="F220" s="54" t="s">
        <v>653</v>
      </c>
      <c r="G220" s="24" t="s">
        <v>367</v>
      </c>
      <c r="H220" s="24" t="s">
        <v>656</v>
      </c>
      <c r="I220" s="4" t="s">
        <v>654</v>
      </c>
      <c r="J220" s="24">
        <v>16</v>
      </c>
      <c r="K220" s="54" t="str">
        <f>VLOOKUP(J220,Ruimtegroepen[],2,FALSE)</f>
        <v>Leslokalen theorie</v>
      </c>
      <c r="L220" s="24" t="s">
        <v>303</v>
      </c>
      <c r="M220" s="24" t="s">
        <v>387</v>
      </c>
      <c r="N220" s="83">
        <v>55.04</v>
      </c>
      <c r="O220" s="83"/>
      <c r="P220" s="93" t="str">
        <f>LEFT(VLOOKUP(Ruimtestaat[[#This Row],[Ruimte code]],Ruimtegroepen[#All],4,1),2)</f>
        <v>Le</v>
      </c>
      <c r="Q220" s="93"/>
      <c r="R220" s="84">
        <v>40</v>
      </c>
      <c r="S220" s="84" t="s">
        <v>318</v>
      </c>
      <c r="T220" s="85">
        <f>IF(R220&gt;0,IF(RIGHT(Ruimtestaat[[#This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0" s="85">
        <f>IF(T220&gt;0,VLOOKUP($J220,Ruimtegroepen[],3,FALSE)*VLOOKUP($L220,Vloersoorten[],3,FALSE)*VLOOKUP($S220,Frequenties[],3,FALSE)*VLOOKUP($A220,Locaties[],3,FALSE),0)</f>
        <v>0</v>
      </c>
      <c r="V220" s="86">
        <f>Ruimtestaat[[#This Row],[Uitvoeringen werkdagen]]*Ruimtestaat[[#This Row],[Oppervlak (netto)]]</f>
        <v>11008</v>
      </c>
      <c r="W220" s="87">
        <f>IF(U220&gt;0,Ruimtestaat[[#This Row],[Prest. (m2 /jaar) werkdagen]]/Ruimtestaat[[#This Row],[Norm (m2/uur) werkdagen]],0)</f>
        <v>0</v>
      </c>
      <c r="X220" s="88">
        <f>Ruimtestaat[[#This Row],[uren / jaar werkdagen]]*Tariefsopbouw!$E$35</f>
        <v>0</v>
      </c>
      <c r="Y220" s="85"/>
      <c r="Z220" s="89">
        <f>IF(Ruimtestaat[[#This Row],[Frequentie weekend]]&gt;0,VALUE(LEFT(Y220,1))*R220,0)</f>
        <v>0</v>
      </c>
      <c r="AA220" s="85">
        <f>IF($Z220&gt;0,VLOOKUP($J220,Ruimtegroepen[],3,FALSE)*VLOOKUP($L220,Vloersoorten[],3,FALSE)*VLOOKUP($Y220,Frequenties[],3,FALSE)*VLOOKUP($A216,Locaties[],3,FALSE),0)</f>
        <v>0</v>
      </c>
      <c r="AB220" s="87">
        <f>Ruimtestaat[[#This Row],[Uitvoeringen weekend]]*Ruimtestaat[[#This Row],[Oppervlak (netto)]]</f>
        <v>0</v>
      </c>
      <c r="AC220" s="90">
        <f>IF(AB220&gt;0,Ruimtestaat[[#This Row],[Prest. (m2 /jaar) weekend]]/Ruimtestaat[[#This Row],[Norm (m2/uur) weekend]],0)</f>
        <v>0</v>
      </c>
      <c r="AD220" s="91">
        <f>Ruimtestaat[[#This Row],[uren / jaar weekend]]*Tariefsopbouw!$D$40</f>
        <v>0</v>
      </c>
      <c r="AE220" s="60">
        <f>Ruimtestaat[[#This Row],[Prest. (m2 /jaar) weekend]]+Ruimtestaat[[#This Row],[Prest. (m2 /jaar) werkdagen]]</f>
        <v>11008</v>
      </c>
      <c r="AF220" s="60">
        <f>Ruimtestaat[[#This Row],[uren / jaar weekend]]+Ruimtestaat[[#This Row],[uren / jaar werkdagen]]</f>
        <v>0</v>
      </c>
      <c r="AG220" s="61">
        <f>Ruimtestaat[[#This Row],[kosten / jaar weekend]]+Ruimtestaat[[#This Row],[kosten / jaar werkdagen]]</f>
        <v>0</v>
      </c>
      <c r="AH220" s="92"/>
      <c r="HL220" s="59"/>
    </row>
    <row r="221" spans="1:220">
      <c r="A221" s="24">
        <v>1</v>
      </c>
      <c r="B221" s="24" t="str">
        <f>VLOOKUP(Ruimtestaat[[#This Row],[Code]],Locaties[#All],2,FALSE)</f>
        <v>Boerhaave + buitenunits</v>
      </c>
      <c r="C221" s="24" t="str">
        <f>VLOOKUP(Ruimtestaat[[#This Row],[Code]],Locaties[#All],4,FALSE)</f>
        <v>Herman Boerhaavelaan 1</v>
      </c>
      <c r="D221" s="24" t="str">
        <f>VLOOKUP(Ruimtestaat[[#This Row],[Code]],Locaties[#All],5,FALSE)</f>
        <v>7415 ES</v>
      </c>
      <c r="E221" s="24" t="str">
        <f>VLOOKUP(Ruimtestaat[[#This Row],[Code]],Locaties[#All],6,FALSE)</f>
        <v>Deventer</v>
      </c>
      <c r="F221" s="54" t="s">
        <v>653</v>
      </c>
      <c r="G221" s="24" t="s">
        <v>367</v>
      </c>
      <c r="H221" s="24" t="s">
        <v>657</v>
      </c>
      <c r="I221" s="4" t="s">
        <v>394</v>
      </c>
      <c r="J221" s="24">
        <v>22</v>
      </c>
      <c r="K221" s="54" t="str">
        <f>VLOOKUP(J221,Ruimtegroepen[],2,FALSE)</f>
        <v>Niet in onderhoud</v>
      </c>
      <c r="L221" s="24" t="s">
        <v>311</v>
      </c>
      <c r="M221" s="24" t="s">
        <v>370</v>
      </c>
      <c r="N221" s="83"/>
      <c r="O221" s="83">
        <v>2.77</v>
      </c>
      <c r="P221" s="93" t="str">
        <f>LEFT(VLOOKUP(Ruimtestaat[[#This Row],[Ruimte code]],Ruimtegroepen[#All],4,1),2)</f>
        <v/>
      </c>
      <c r="Q221" s="93"/>
      <c r="R221" s="84"/>
      <c r="S221" s="84"/>
      <c r="T221" s="85">
        <f>IF(R221&gt;0,IF(RIGHT(Ruimtestaat[[#This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21" s="85">
        <f>IF(T221&gt;0,VLOOKUP($J221,Ruimtegroepen[],3,FALSE)*VLOOKUP($L221,Vloersoorten[],3,FALSE)*VLOOKUP($S221,Frequenties[],3,FALSE)*VLOOKUP($A221,Locaties[],3,FALSE),0)</f>
        <v>0</v>
      </c>
      <c r="V221" s="86">
        <f>Ruimtestaat[[#This Row],[Uitvoeringen werkdagen]]*Ruimtestaat[[#This Row],[Oppervlak (netto)]]</f>
        <v>0</v>
      </c>
      <c r="W221" s="87">
        <f>IF(U221&gt;0,Ruimtestaat[[#This Row],[Prest. (m2 /jaar) werkdagen]]/Ruimtestaat[[#This Row],[Norm (m2/uur) werkdagen]],0)</f>
        <v>0</v>
      </c>
      <c r="X221" s="88">
        <f>Ruimtestaat[[#This Row],[uren / jaar werkdagen]]*Tariefsopbouw!$E$35</f>
        <v>0</v>
      </c>
      <c r="Y221" s="85"/>
      <c r="Z221" s="89">
        <f>IF(Ruimtestaat[[#This Row],[Frequentie weekend]]&gt;0,VALUE(LEFT(Y221,1))*R221,0)</f>
        <v>0</v>
      </c>
      <c r="AA221" s="85">
        <f>IF($Z221&gt;0,VLOOKUP($J221,Ruimtegroepen[],3,FALSE)*VLOOKUP($L221,Vloersoorten[],3,FALSE)*VLOOKUP($Y221,Frequenties[],3,FALSE)*VLOOKUP($A217,Locaties[],3,FALSE),0)</f>
        <v>0</v>
      </c>
      <c r="AB221" s="87">
        <f>Ruimtestaat[[#This Row],[Uitvoeringen weekend]]*Ruimtestaat[[#This Row],[Oppervlak (netto)]]</f>
        <v>0</v>
      </c>
      <c r="AC221" s="90">
        <f>IF(AB221&gt;0,Ruimtestaat[[#This Row],[Prest. (m2 /jaar) weekend]]/Ruimtestaat[[#This Row],[Norm (m2/uur) weekend]],0)</f>
        <v>0</v>
      </c>
      <c r="AD221" s="91">
        <f>Ruimtestaat[[#This Row],[uren / jaar weekend]]*Tariefsopbouw!$D$40</f>
        <v>0</v>
      </c>
      <c r="AE221" s="60">
        <f>Ruimtestaat[[#This Row],[Prest. (m2 /jaar) weekend]]+Ruimtestaat[[#This Row],[Prest. (m2 /jaar) werkdagen]]</f>
        <v>0</v>
      </c>
      <c r="AF221" s="60">
        <f>Ruimtestaat[[#This Row],[uren / jaar weekend]]+Ruimtestaat[[#This Row],[uren / jaar werkdagen]]</f>
        <v>0</v>
      </c>
      <c r="AG221" s="61">
        <f>Ruimtestaat[[#This Row],[kosten / jaar weekend]]+Ruimtestaat[[#This Row],[kosten / jaar werkdagen]]</f>
        <v>0</v>
      </c>
      <c r="AH221" s="92"/>
      <c r="HL221" s="59"/>
    </row>
    <row r="222" spans="1:220">
      <c r="A222" s="24">
        <v>1</v>
      </c>
      <c r="B222" s="24" t="str">
        <f>VLOOKUP(Ruimtestaat[[#This Row],[Code]],Locaties[#All],2,FALSE)</f>
        <v>Boerhaave + buitenunits</v>
      </c>
      <c r="C222" s="24" t="str">
        <f>VLOOKUP(Ruimtestaat[[#This Row],[Code]],Locaties[#All],4,FALSE)</f>
        <v>Herman Boerhaavelaan 1</v>
      </c>
      <c r="D222" s="24" t="str">
        <f>VLOOKUP(Ruimtestaat[[#This Row],[Code]],Locaties[#All],5,FALSE)</f>
        <v>7415 ES</v>
      </c>
      <c r="E222" s="24" t="str">
        <f>VLOOKUP(Ruimtestaat[[#This Row],[Code]],Locaties[#All],6,FALSE)</f>
        <v>Deventer</v>
      </c>
      <c r="F222" s="54" t="s">
        <v>653</v>
      </c>
      <c r="G222" s="24" t="s">
        <v>367</v>
      </c>
      <c r="H222" s="24" t="s">
        <v>658</v>
      </c>
      <c r="I222" s="4" t="s">
        <v>402</v>
      </c>
      <c r="J222" s="24">
        <v>5</v>
      </c>
      <c r="K222" s="54" t="str">
        <f>VLOOKUP(J222,Ruimtegroepen[],2,FALSE)</f>
        <v>Sanitair</v>
      </c>
      <c r="L222" s="24" t="s">
        <v>311</v>
      </c>
      <c r="M222" s="24" t="s">
        <v>370</v>
      </c>
      <c r="N222" s="83">
        <v>1.48</v>
      </c>
      <c r="O222" s="83"/>
      <c r="P222" s="93" t="str">
        <f>LEFT(VLOOKUP(Ruimtestaat[[#This Row],[Ruimte code]],Ruimtegroepen[#All],4,1),2)</f>
        <v>Sa</v>
      </c>
      <c r="Q222" s="93"/>
      <c r="R222" s="84">
        <v>42</v>
      </c>
      <c r="S222" s="84" t="s">
        <v>316</v>
      </c>
      <c r="T222" s="85">
        <f>IF(R222&gt;0,IF(RIGHT(Ruimtestaat[[#This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22" s="85">
        <f>IF(T222&gt;0,VLOOKUP($J222,Ruimtegroepen[],3,FALSE)*VLOOKUP($L222,Vloersoorten[],3,FALSE)*VLOOKUP($S222,Frequenties[],3,FALSE)*VLOOKUP($A222,Locaties[],3,FALSE),0)</f>
        <v>0</v>
      </c>
      <c r="V222" s="86">
        <f>Ruimtestaat[[#This Row],[Uitvoeringen werkdagen]]*Ruimtestaat[[#This Row],[Oppervlak (netto)]]</f>
        <v>621.6</v>
      </c>
      <c r="W222" s="87">
        <f>IF(U222&gt;0,Ruimtestaat[[#This Row],[Prest. (m2 /jaar) werkdagen]]/Ruimtestaat[[#This Row],[Norm (m2/uur) werkdagen]],0)</f>
        <v>0</v>
      </c>
      <c r="X222" s="88">
        <f>Ruimtestaat[[#This Row],[uren / jaar werkdagen]]*Tariefsopbouw!$E$35</f>
        <v>0</v>
      </c>
      <c r="Y222" s="85"/>
      <c r="Z222" s="89">
        <f>IF(Ruimtestaat[[#This Row],[Frequentie weekend]]&gt;0,VALUE(LEFT(Y222,1))*R222,0)</f>
        <v>0</v>
      </c>
      <c r="AA222" s="85">
        <f>IF($Z222&gt;0,VLOOKUP($J222,Ruimtegroepen[],3,FALSE)*VLOOKUP($L222,Vloersoorten[],3,FALSE)*VLOOKUP($Y222,Frequenties[],3,FALSE)*VLOOKUP($A218,Locaties[],3,FALSE),0)</f>
        <v>0</v>
      </c>
      <c r="AB222" s="87">
        <f>Ruimtestaat[[#This Row],[Uitvoeringen weekend]]*Ruimtestaat[[#This Row],[Oppervlak (netto)]]</f>
        <v>0</v>
      </c>
      <c r="AC222" s="90">
        <f>IF(AB222&gt;0,Ruimtestaat[[#This Row],[Prest. (m2 /jaar) weekend]]/Ruimtestaat[[#This Row],[Norm (m2/uur) weekend]],0)</f>
        <v>0</v>
      </c>
      <c r="AD222" s="91">
        <f>Ruimtestaat[[#This Row],[uren / jaar weekend]]*Tariefsopbouw!$D$40</f>
        <v>0</v>
      </c>
      <c r="AE222" s="60">
        <f>Ruimtestaat[[#This Row],[Prest. (m2 /jaar) weekend]]+Ruimtestaat[[#This Row],[Prest. (m2 /jaar) werkdagen]]</f>
        <v>621.6</v>
      </c>
      <c r="AF222" s="60">
        <f>Ruimtestaat[[#This Row],[uren / jaar weekend]]+Ruimtestaat[[#This Row],[uren / jaar werkdagen]]</f>
        <v>0</v>
      </c>
      <c r="AG222" s="61">
        <f>Ruimtestaat[[#This Row],[kosten / jaar weekend]]+Ruimtestaat[[#This Row],[kosten / jaar werkdagen]]</f>
        <v>0</v>
      </c>
      <c r="AH222" s="92"/>
      <c r="HL222" s="59"/>
    </row>
    <row r="223" spans="1:220">
      <c r="A223" s="24">
        <v>1</v>
      </c>
      <c r="B223" s="24" t="str">
        <f>VLOOKUP(Ruimtestaat[[#This Row],[Code]],Locaties[#All],2,FALSE)</f>
        <v>Boerhaave + buitenunits</v>
      </c>
      <c r="C223" s="24" t="str">
        <f>VLOOKUP(Ruimtestaat[[#This Row],[Code]],Locaties[#All],4,FALSE)</f>
        <v>Herman Boerhaavelaan 1</v>
      </c>
      <c r="D223" s="24" t="str">
        <f>VLOOKUP(Ruimtestaat[[#This Row],[Code]],Locaties[#All],5,FALSE)</f>
        <v>7415 ES</v>
      </c>
      <c r="E223" s="24" t="str">
        <f>VLOOKUP(Ruimtestaat[[#This Row],[Code]],Locaties[#All],6,FALSE)</f>
        <v>Deventer</v>
      </c>
      <c r="F223" s="54" t="s">
        <v>653</v>
      </c>
      <c r="G223" s="24" t="s">
        <v>367</v>
      </c>
      <c r="H223" s="24" t="s">
        <v>659</v>
      </c>
      <c r="I223" s="4" t="s">
        <v>402</v>
      </c>
      <c r="J223" s="24">
        <v>5</v>
      </c>
      <c r="K223" s="54" t="str">
        <f>VLOOKUP(J223,Ruimtegroepen[],2,FALSE)</f>
        <v>Sanitair</v>
      </c>
      <c r="L223" s="24" t="s">
        <v>311</v>
      </c>
      <c r="M223" s="24" t="s">
        <v>370</v>
      </c>
      <c r="N223" s="83">
        <v>1.48</v>
      </c>
      <c r="O223" s="83"/>
      <c r="P223" s="93" t="str">
        <f>LEFT(VLOOKUP(Ruimtestaat[[#This Row],[Ruimte code]],Ruimtegroepen[#All],4,1),2)</f>
        <v>Sa</v>
      </c>
      <c r="Q223" s="93"/>
      <c r="R223" s="84">
        <v>42</v>
      </c>
      <c r="S223" s="84" t="s">
        <v>316</v>
      </c>
      <c r="T223" s="85">
        <f>IF(R223&gt;0,IF(RIGHT(Ruimtestaat[[#This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23" s="85">
        <f>IF(T223&gt;0,VLOOKUP($J223,Ruimtegroepen[],3,FALSE)*VLOOKUP($L223,Vloersoorten[],3,FALSE)*VLOOKUP($S223,Frequenties[],3,FALSE)*VLOOKUP($A223,Locaties[],3,FALSE),0)</f>
        <v>0</v>
      </c>
      <c r="V223" s="86">
        <f>Ruimtestaat[[#This Row],[Uitvoeringen werkdagen]]*Ruimtestaat[[#This Row],[Oppervlak (netto)]]</f>
        <v>621.6</v>
      </c>
      <c r="W223" s="87">
        <f>IF(U223&gt;0,Ruimtestaat[[#This Row],[Prest. (m2 /jaar) werkdagen]]/Ruimtestaat[[#This Row],[Norm (m2/uur) werkdagen]],0)</f>
        <v>0</v>
      </c>
      <c r="X223" s="88">
        <f>Ruimtestaat[[#This Row],[uren / jaar werkdagen]]*Tariefsopbouw!$E$35</f>
        <v>0</v>
      </c>
      <c r="Y223" s="85"/>
      <c r="Z223" s="89">
        <f>IF(Ruimtestaat[[#This Row],[Frequentie weekend]]&gt;0,VALUE(LEFT(Y223,1))*R223,0)</f>
        <v>0</v>
      </c>
      <c r="AA223" s="85">
        <f>IF($Z223&gt;0,VLOOKUP($J223,Ruimtegroepen[],3,FALSE)*VLOOKUP($L223,Vloersoorten[],3,FALSE)*VLOOKUP($Y223,Frequenties[],3,FALSE)*VLOOKUP($A219,Locaties[],3,FALSE),0)</f>
        <v>0</v>
      </c>
      <c r="AB223" s="87">
        <f>Ruimtestaat[[#This Row],[Uitvoeringen weekend]]*Ruimtestaat[[#This Row],[Oppervlak (netto)]]</f>
        <v>0</v>
      </c>
      <c r="AC223" s="90">
        <f>IF(AB223&gt;0,Ruimtestaat[[#This Row],[Prest. (m2 /jaar) weekend]]/Ruimtestaat[[#This Row],[Norm (m2/uur) weekend]],0)</f>
        <v>0</v>
      </c>
      <c r="AD223" s="91">
        <f>Ruimtestaat[[#This Row],[uren / jaar weekend]]*Tariefsopbouw!$D$40</f>
        <v>0</v>
      </c>
      <c r="AE223" s="60">
        <f>Ruimtestaat[[#This Row],[Prest. (m2 /jaar) weekend]]+Ruimtestaat[[#This Row],[Prest. (m2 /jaar) werkdagen]]</f>
        <v>621.6</v>
      </c>
      <c r="AF223" s="60">
        <f>Ruimtestaat[[#This Row],[uren / jaar weekend]]+Ruimtestaat[[#This Row],[uren / jaar werkdagen]]</f>
        <v>0</v>
      </c>
      <c r="AG223" s="61">
        <f>Ruimtestaat[[#This Row],[kosten / jaar weekend]]+Ruimtestaat[[#This Row],[kosten / jaar werkdagen]]</f>
        <v>0</v>
      </c>
      <c r="AH223" s="92"/>
      <c r="HL223" s="59"/>
    </row>
    <row r="224" spans="1:220">
      <c r="A224" s="24">
        <v>1</v>
      </c>
      <c r="B224" s="24" t="str">
        <f>VLOOKUP(Ruimtestaat[[#This Row],[Code]],Locaties[#All],2,FALSE)</f>
        <v>Boerhaave + buitenunits</v>
      </c>
      <c r="C224" s="24" t="str">
        <f>VLOOKUP(Ruimtestaat[[#This Row],[Code]],Locaties[#All],4,FALSE)</f>
        <v>Herman Boerhaavelaan 1</v>
      </c>
      <c r="D224" s="24" t="str">
        <f>VLOOKUP(Ruimtestaat[[#This Row],[Code]],Locaties[#All],5,FALSE)</f>
        <v>7415 ES</v>
      </c>
      <c r="E224" s="24" t="str">
        <f>VLOOKUP(Ruimtestaat[[#This Row],[Code]],Locaties[#All],6,FALSE)</f>
        <v>Deventer</v>
      </c>
      <c r="F224" s="54" t="s">
        <v>653</v>
      </c>
      <c r="G224" s="24" t="s">
        <v>367</v>
      </c>
      <c r="H224" s="24" t="s">
        <v>660</v>
      </c>
      <c r="I224" s="4" t="s">
        <v>654</v>
      </c>
      <c r="J224" s="24">
        <v>16</v>
      </c>
      <c r="K224" s="54" t="str">
        <f>VLOOKUP(J224,Ruimtegroepen[],2,FALSE)</f>
        <v>Leslokalen theorie</v>
      </c>
      <c r="L224" s="24" t="s">
        <v>303</v>
      </c>
      <c r="M224" s="24" t="s">
        <v>387</v>
      </c>
      <c r="N224" s="83">
        <v>57.47</v>
      </c>
      <c r="O224" s="83"/>
      <c r="P224" s="93" t="str">
        <f>LEFT(VLOOKUP(Ruimtestaat[[#This Row],[Ruimte code]],Ruimtegroepen[#All],4,1),2)</f>
        <v>Le</v>
      </c>
      <c r="Q224" s="93"/>
      <c r="R224" s="84">
        <v>40</v>
      </c>
      <c r="S224" s="84" t="s">
        <v>318</v>
      </c>
      <c r="T224" s="85">
        <f>IF(R224&gt;0,IF(RIGHT(Ruimtestaat[[#This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4" s="85">
        <f>IF(T224&gt;0,VLOOKUP($J224,Ruimtegroepen[],3,FALSE)*VLOOKUP($L224,Vloersoorten[],3,FALSE)*VLOOKUP($S224,Frequenties[],3,FALSE)*VLOOKUP($A224,Locaties[],3,FALSE),0)</f>
        <v>0</v>
      </c>
      <c r="V224" s="86">
        <f>Ruimtestaat[[#This Row],[Uitvoeringen werkdagen]]*Ruimtestaat[[#This Row],[Oppervlak (netto)]]</f>
        <v>11494</v>
      </c>
      <c r="W224" s="87">
        <f>IF(U224&gt;0,Ruimtestaat[[#This Row],[Prest. (m2 /jaar) werkdagen]]/Ruimtestaat[[#This Row],[Norm (m2/uur) werkdagen]],0)</f>
        <v>0</v>
      </c>
      <c r="X224" s="88">
        <f>Ruimtestaat[[#This Row],[uren / jaar werkdagen]]*Tariefsopbouw!$E$35</f>
        <v>0</v>
      </c>
      <c r="Y224" s="85"/>
      <c r="Z224" s="89">
        <f>IF(Ruimtestaat[[#This Row],[Frequentie weekend]]&gt;0,VALUE(LEFT(Y224,1))*R224,0)</f>
        <v>0</v>
      </c>
      <c r="AA224" s="85">
        <f>IF($Z224&gt;0,VLOOKUP($J224,Ruimtegroepen[],3,FALSE)*VLOOKUP($L224,Vloersoorten[],3,FALSE)*VLOOKUP($Y224,Frequenties[],3,FALSE)*VLOOKUP($A220,Locaties[],3,FALSE),0)</f>
        <v>0</v>
      </c>
      <c r="AB224" s="87">
        <f>Ruimtestaat[[#This Row],[Uitvoeringen weekend]]*Ruimtestaat[[#This Row],[Oppervlak (netto)]]</f>
        <v>0</v>
      </c>
      <c r="AC224" s="90">
        <f>IF(AB224&gt;0,Ruimtestaat[[#This Row],[Prest. (m2 /jaar) weekend]]/Ruimtestaat[[#This Row],[Norm (m2/uur) weekend]],0)</f>
        <v>0</v>
      </c>
      <c r="AD224" s="91">
        <f>Ruimtestaat[[#This Row],[uren / jaar weekend]]*Tariefsopbouw!$D$40</f>
        <v>0</v>
      </c>
      <c r="AE224" s="60">
        <f>Ruimtestaat[[#This Row],[Prest. (m2 /jaar) weekend]]+Ruimtestaat[[#This Row],[Prest. (m2 /jaar) werkdagen]]</f>
        <v>11494</v>
      </c>
      <c r="AF224" s="60">
        <f>Ruimtestaat[[#This Row],[uren / jaar weekend]]+Ruimtestaat[[#This Row],[uren / jaar werkdagen]]</f>
        <v>0</v>
      </c>
      <c r="AG224" s="61">
        <f>Ruimtestaat[[#This Row],[kosten / jaar weekend]]+Ruimtestaat[[#This Row],[kosten / jaar werkdagen]]</f>
        <v>0</v>
      </c>
      <c r="AH224" s="92"/>
      <c r="HL224" s="59"/>
    </row>
    <row r="225" spans="1:220">
      <c r="A225" s="24">
        <v>1</v>
      </c>
      <c r="B225" s="24" t="str">
        <f>VLOOKUP(Ruimtestaat[[#This Row],[Code]],Locaties[#All],2,FALSE)</f>
        <v>Boerhaave + buitenunits</v>
      </c>
      <c r="C225" s="24" t="str">
        <f>VLOOKUP(Ruimtestaat[[#This Row],[Code]],Locaties[#All],4,FALSE)</f>
        <v>Herman Boerhaavelaan 1</v>
      </c>
      <c r="D225" s="24" t="str">
        <f>VLOOKUP(Ruimtestaat[[#This Row],[Code]],Locaties[#All],5,FALSE)</f>
        <v>7415 ES</v>
      </c>
      <c r="E225" s="24" t="str">
        <f>VLOOKUP(Ruimtestaat[[#This Row],[Code]],Locaties[#All],6,FALSE)</f>
        <v>Deventer</v>
      </c>
      <c r="F225" s="54" t="s">
        <v>653</v>
      </c>
      <c r="G225" s="24" t="s">
        <v>367</v>
      </c>
      <c r="H225" s="24" t="s">
        <v>661</v>
      </c>
      <c r="I225" s="4" t="s">
        <v>655</v>
      </c>
      <c r="J225" s="24">
        <v>6</v>
      </c>
      <c r="K225" s="54" t="str">
        <f>VLOOKUP(J225,Ruimtegroepen[],2,FALSE)</f>
        <v>Gangen/hallen</v>
      </c>
      <c r="L225" s="24" t="s">
        <v>311</v>
      </c>
      <c r="M225" s="24" t="s">
        <v>370</v>
      </c>
      <c r="N225" s="83">
        <v>17.920000000000002</v>
      </c>
      <c r="O225" s="83"/>
      <c r="P225" s="93" t="str">
        <f>LEFT(VLOOKUP(Ruimtestaat[[#This Row],[Ruimte code]],Ruimtegroepen[#All],4,1),2)</f>
        <v>Ve</v>
      </c>
      <c r="Q225" s="93"/>
      <c r="R225" s="84">
        <v>40</v>
      </c>
      <c r="S225" s="84" t="s">
        <v>318</v>
      </c>
      <c r="T225" s="85">
        <f>IF(R225&gt;0,IF(RIGHT(Ruimtestaat[[#This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5" s="85">
        <f>IF(T225&gt;0,VLOOKUP($J225,Ruimtegroepen[],3,FALSE)*VLOOKUP($L225,Vloersoorten[],3,FALSE)*VLOOKUP($S225,Frequenties[],3,FALSE)*VLOOKUP($A225,Locaties[],3,FALSE),0)</f>
        <v>0</v>
      </c>
      <c r="V225" s="86">
        <f>Ruimtestaat[[#This Row],[Uitvoeringen werkdagen]]*Ruimtestaat[[#This Row],[Oppervlak (netto)]]</f>
        <v>3584.0000000000005</v>
      </c>
      <c r="W225" s="87">
        <f>IF(U225&gt;0,Ruimtestaat[[#This Row],[Prest. (m2 /jaar) werkdagen]]/Ruimtestaat[[#This Row],[Norm (m2/uur) werkdagen]],0)</f>
        <v>0</v>
      </c>
      <c r="X225" s="88">
        <f>Ruimtestaat[[#This Row],[uren / jaar werkdagen]]*Tariefsopbouw!$E$35</f>
        <v>0</v>
      </c>
      <c r="Y225" s="85"/>
      <c r="Z225" s="89">
        <f>IF(Ruimtestaat[[#This Row],[Frequentie weekend]]&gt;0,VALUE(LEFT(Y225,1))*R225,0)</f>
        <v>0</v>
      </c>
      <c r="AA225" s="85">
        <f>IF($Z225&gt;0,VLOOKUP($J225,Ruimtegroepen[],3,FALSE)*VLOOKUP($L225,Vloersoorten[],3,FALSE)*VLOOKUP($Y225,Frequenties[],3,FALSE)*VLOOKUP($A221,Locaties[],3,FALSE),0)</f>
        <v>0</v>
      </c>
      <c r="AB225" s="87">
        <f>Ruimtestaat[[#This Row],[Uitvoeringen weekend]]*Ruimtestaat[[#This Row],[Oppervlak (netto)]]</f>
        <v>0</v>
      </c>
      <c r="AC225" s="90">
        <f>IF(AB225&gt;0,Ruimtestaat[[#This Row],[Prest. (m2 /jaar) weekend]]/Ruimtestaat[[#This Row],[Norm (m2/uur) weekend]],0)</f>
        <v>0</v>
      </c>
      <c r="AD225" s="91">
        <f>Ruimtestaat[[#This Row],[uren / jaar weekend]]*Tariefsopbouw!$D$40</f>
        <v>0</v>
      </c>
      <c r="AE225" s="60">
        <f>Ruimtestaat[[#This Row],[Prest. (m2 /jaar) weekend]]+Ruimtestaat[[#This Row],[Prest. (m2 /jaar) werkdagen]]</f>
        <v>3584.0000000000005</v>
      </c>
      <c r="AF225" s="60">
        <f>Ruimtestaat[[#This Row],[uren / jaar weekend]]+Ruimtestaat[[#This Row],[uren / jaar werkdagen]]</f>
        <v>0</v>
      </c>
      <c r="AG225" s="61">
        <f>Ruimtestaat[[#This Row],[kosten / jaar weekend]]+Ruimtestaat[[#This Row],[kosten / jaar werkdagen]]</f>
        <v>0</v>
      </c>
      <c r="AH225" s="92"/>
      <c r="HL225" s="59"/>
    </row>
    <row r="226" spans="1:220">
      <c r="A226" s="24">
        <v>1</v>
      </c>
      <c r="B226" s="24" t="str">
        <f>VLOOKUP(Ruimtestaat[[#This Row],[Code]],Locaties[#All],2,FALSE)</f>
        <v>Boerhaave + buitenunits</v>
      </c>
      <c r="C226" s="24" t="str">
        <f>VLOOKUP(Ruimtestaat[[#This Row],[Code]],Locaties[#All],4,FALSE)</f>
        <v>Herman Boerhaavelaan 1</v>
      </c>
      <c r="D226" s="24" t="str">
        <f>VLOOKUP(Ruimtestaat[[#This Row],[Code]],Locaties[#All],5,FALSE)</f>
        <v>7415 ES</v>
      </c>
      <c r="E226" s="24" t="str">
        <f>VLOOKUP(Ruimtestaat[[#This Row],[Code]],Locaties[#All],6,FALSE)</f>
        <v>Deventer</v>
      </c>
      <c r="F226" s="54" t="s">
        <v>653</v>
      </c>
      <c r="G226" s="24" t="s">
        <v>367</v>
      </c>
      <c r="H226" s="24" t="s">
        <v>662</v>
      </c>
      <c r="I226" s="4" t="s">
        <v>394</v>
      </c>
      <c r="J226" s="24">
        <v>22</v>
      </c>
      <c r="K226" s="54" t="str">
        <f>VLOOKUP(J226,Ruimtegroepen[],2,FALSE)</f>
        <v>Niet in onderhoud</v>
      </c>
      <c r="L226" s="24" t="s">
        <v>311</v>
      </c>
      <c r="M226" s="24" t="s">
        <v>370</v>
      </c>
      <c r="N226" s="83"/>
      <c r="O226" s="83">
        <v>2.3199999999999998</v>
      </c>
      <c r="P226" s="93" t="str">
        <f>LEFT(VLOOKUP(Ruimtestaat[[#This Row],[Ruimte code]],Ruimtegroepen[#All],4,1),2)</f>
        <v/>
      </c>
      <c r="Q226" s="93"/>
      <c r="R226" s="84"/>
      <c r="S226" s="84"/>
      <c r="T226" s="85">
        <f>IF(R226&gt;0,IF(RIGHT(Ruimtestaat[[#This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26" s="85">
        <f>IF(T226&gt;0,VLOOKUP($J226,Ruimtegroepen[],3,FALSE)*VLOOKUP($L226,Vloersoorten[],3,FALSE)*VLOOKUP($S226,Frequenties[],3,FALSE)*VLOOKUP($A226,Locaties[],3,FALSE),0)</f>
        <v>0</v>
      </c>
      <c r="V226" s="86">
        <f>Ruimtestaat[[#This Row],[Uitvoeringen werkdagen]]*Ruimtestaat[[#This Row],[Oppervlak (netto)]]</f>
        <v>0</v>
      </c>
      <c r="W226" s="87">
        <f>IF(U226&gt;0,Ruimtestaat[[#This Row],[Prest. (m2 /jaar) werkdagen]]/Ruimtestaat[[#This Row],[Norm (m2/uur) werkdagen]],0)</f>
        <v>0</v>
      </c>
      <c r="X226" s="88">
        <f>Ruimtestaat[[#This Row],[uren / jaar werkdagen]]*Tariefsopbouw!$E$35</f>
        <v>0</v>
      </c>
      <c r="Y226" s="85"/>
      <c r="Z226" s="89">
        <f>IF(Ruimtestaat[[#This Row],[Frequentie weekend]]&gt;0,VALUE(LEFT(Y226,1))*R226,0)</f>
        <v>0</v>
      </c>
      <c r="AA226" s="85">
        <f>IF($Z226&gt;0,VLOOKUP($J226,Ruimtegroepen[],3,FALSE)*VLOOKUP($L226,Vloersoorten[],3,FALSE)*VLOOKUP($Y226,Frequenties[],3,FALSE)*VLOOKUP($A222,Locaties[],3,FALSE),0)</f>
        <v>0</v>
      </c>
      <c r="AB226" s="87">
        <f>Ruimtestaat[[#This Row],[Uitvoeringen weekend]]*Ruimtestaat[[#This Row],[Oppervlak (netto)]]</f>
        <v>0</v>
      </c>
      <c r="AC226" s="90">
        <f>IF(AB226&gt;0,Ruimtestaat[[#This Row],[Prest. (m2 /jaar) weekend]]/Ruimtestaat[[#This Row],[Norm (m2/uur) weekend]],0)</f>
        <v>0</v>
      </c>
      <c r="AD226" s="91">
        <f>Ruimtestaat[[#This Row],[uren / jaar weekend]]*Tariefsopbouw!$D$40</f>
        <v>0</v>
      </c>
      <c r="AE226" s="60">
        <f>Ruimtestaat[[#This Row],[Prest. (m2 /jaar) weekend]]+Ruimtestaat[[#This Row],[Prest. (m2 /jaar) werkdagen]]</f>
        <v>0</v>
      </c>
      <c r="AF226" s="60">
        <f>Ruimtestaat[[#This Row],[uren / jaar weekend]]+Ruimtestaat[[#This Row],[uren / jaar werkdagen]]</f>
        <v>0</v>
      </c>
      <c r="AG226" s="61">
        <f>Ruimtestaat[[#This Row],[kosten / jaar weekend]]+Ruimtestaat[[#This Row],[kosten / jaar werkdagen]]</f>
        <v>0</v>
      </c>
      <c r="AH226" s="92"/>
      <c r="HL226" s="59"/>
    </row>
    <row r="227" spans="1:220">
      <c r="A227" s="24">
        <v>1</v>
      </c>
      <c r="B227" s="24" t="str">
        <f>VLOOKUP(Ruimtestaat[[#This Row],[Code]],Locaties[#All],2,FALSE)</f>
        <v>Boerhaave + buitenunits</v>
      </c>
      <c r="C227" s="24" t="str">
        <f>VLOOKUP(Ruimtestaat[[#This Row],[Code]],Locaties[#All],4,FALSE)</f>
        <v>Herman Boerhaavelaan 1</v>
      </c>
      <c r="D227" s="24" t="str">
        <f>VLOOKUP(Ruimtestaat[[#This Row],[Code]],Locaties[#All],5,FALSE)</f>
        <v>7415 ES</v>
      </c>
      <c r="E227" s="24" t="str">
        <f>VLOOKUP(Ruimtestaat[[#This Row],[Code]],Locaties[#All],6,FALSE)</f>
        <v>Deventer</v>
      </c>
      <c r="F227" s="54" t="s">
        <v>653</v>
      </c>
      <c r="G227" s="24" t="s">
        <v>367</v>
      </c>
      <c r="H227" s="24" t="s">
        <v>663</v>
      </c>
      <c r="I227" s="4" t="s">
        <v>654</v>
      </c>
      <c r="J227" s="24">
        <v>16</v>
      </c>
      <c r="K227" s="54" t="str">
        <f>VLOOKUP(J227,Ruimtegroepen[],2,FALSE)</f>
        <v>Leslokalen theorie</v>
      </c>
      <c r="L227" s="24" t="s">
        <v>303</v>
      </c>
      <c r="M227" s="24" t="s">
        <v>387</v>
      </c>
      <c r="N227" s="83">
        <v>55.04</v>
      </c>
      <c r="O227" s="83"/>
      <c r="P227" s="93" t="str">
        <f>LEFT(VLOOKUP(Ruimtestaat[[#This Row],[Ruimte code]],Ruimtegroepen[#All],4,1),2)</f>
        <v>Le</v>
      </c>
      <c r="Q227" s="93"/>
      <c r="R227" s="84">
        <v>40</v>
      </c>
      <c r="S227" s="84" t="s">
        <v>318</v>
      </c>
      <c r="T227" s="85">
        <f>IF(R227&gt;0,IF(RIGHT(Ruimtestaat[[#This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7" s="85">
        <f>IF(T227&gt;0,VLOOKUP($J227,Ruimtegroepen[],3,FALSE)*VLOOKUP($L227,Vloersoorten[],3,FALSE)*VLOOKUP($S227,Frequenties[],3,FALSE)*VLOOKUP($A227,Locaties[],3,FALSE),0)</f>
        <v>0</v>
      </c>
      <c r="V227" s="86">
        <f>Ruimtestaat[[#This Row],[Uitvoeringen werkdagen]]*Ruimtestaat[[#This Row],[Oppervlak (netto)]]</f>
        <v>11008</v>
      </c>
      <c r="W227" s="87">
        <f>IF(U227&gt;0,Ruimtestaat[[#This Row],[Prest. (m2 /jaar) werkdagen]]/Ruimtestaat[[#This Row],[Norm (m2/uur) werkdagen]],0)</f>
        <v>0</v>
      </c>
      <c r="X227" s="88">
        <f>Ruimtestaat[[#This Row],[uren / jaar werkdagen]]*Tariefsopbouw!$E$35</f>
        <v>0</v>
      </c>
      <c r="Y227" s="85"/>
      <c r="Z227" s="89">
        <f>IF(Ruimtestaat[[#This Row],[Frequentie weekend]]&gt;0,VALUE(LEFT(Y227,1))*R227,0)</f>
        <v>0</v>
      </c>
      <c r="AA227" s="85">
        <f>IF($Z227&gt;0,VLOOKUP($J227,Ruimtegroepen[],3,FALSE)*VLOOKUP($L227,Vloersoorten[],3,FALSE)*VLOOKUP($Y227,Frequenties[],3,FALSE)*VLOOKUP($A223,Locaties[],3,FALSE),0)</f>
        <v>0</v>
      </c>
      <c r="AB227" s="87">
        <f>Ruimtestaat[[#This Row],[Uitvoeringen weekend]]*Ruimtestaat[[#This Row],[Oppervlak (netto)]]</f>
        <v>0</v>
      </c>
      <c r="AC227" s="90">
        <f>IF(AB227&gt;0,Ruimtestaat[[#This Row],[Prest. (m2 /jaar) weekend]]/Ruimtestaat[[#This Row],[Norm (m2/uur) weekend]],0)</f>
        <v>0</v>
      </c>
      <c r="AD227" s="91">
        <f>Ruimtestaat[[#This Row],[uren / jaar weekend]]*Tariefsopbouw!$D$40</f>
        <v>0</v>
      </c>
      <c r="AE227" s="60">
        <f>Ruimtestaat[[#This Row],[Prest. (m2 /jaar) weekend]]+Ruimtestaat[[#This Row],[Prest. (m2 /jaar) werkdagen]]</f>
        <v>11008</v>
      </c>
      <c r="AF227" s="60">
        <f>Ruimtestaat[[#This Row],[uren / jaar weekend]]+Ruimtestaat[[#This Row],[uren / jaar werkdagen]]</f>
        <v>0</v>
      </c>
      <c r="AG227" s="61">
        <f>Ruimtestaat[[#This Row],[kosten / jaar weekend]]+Ruimtestaat[[#This Row],[kosten / jaar werkdagen]]</f>
        <v>0</v>
      </c>
      <c r="AH227" s="92"/>
      <c r="HL227" s="59"/>
    </row>
    <row r="228" spans="1:220">
      <c r="A228" s="24">
        <v>1</v>
      </c>
      <c r="B228" s="24" t="str">
        <f>VLOOKUP(Ruimtestaat[[#This Row],[Code]],Locaties[#All],2,FALSE)</f>
        <v>Boerhaave + buitenunits</v>
      </c>
      <c r="C228" s="24" t="str">
        <f>VLOOKUP(Ruimtestaat[[#This Row],[Code]],Locaties[#All],4,FALSE)</f>
        <v>Herman Boerhaavelaan 1</v>
      </c>
      <c r="D228" s="24" t="str">
        <f>VLOOKUP(Ruimtestaat[[#This Row],[Code]],Locaties[#All],5,FALSE)</f>
        <v>7415 ES</v>
      </c>
      <c r="E228" s="24" t="str">
        <f>VLOOKUP(Ruimtestaat[[#This Row],[Code]],Locaties[#All],6,FALSE)</f>
        <v>Deventer</v>
      </c>
      <c r="F228" s="54" t="s">
        <v>653</v>
      </c>
      <c r="G228" s="24" t="s">
        <v>367</v>
      </c>
      <c r="H228" s="24" t="s">
        <v>664</v>
      </c>
      <c r="I228" s="4" t="s">
        <v>394</v>
      </c>
      <c r="J228" s="24">
        <v>22</v>
      </c>
      <c r="K228" s="54" t="str">
        <f>VLOOKUP(J228,Ruimtegroepen[],2,FALSE)</f>
        <v>Niet in onderhoud</v>
      </c>
      <c r="L228" s="24" t="s">
        <v>311</v>
      </c>
      <c r="M228" s="24" t="s">
        <v>370</v>
      </c>
      <c r="N228" s="83"/>
      <c r="O228" s="83">
        <v>2.77</v>
      </c>
      <c r="P228" s="93" t="str">
        <f>LEFT(VLOOKUP(Ruimtestaat[[#This Row],[Ruimte code]],Ruimtegroepen[#All],4,1),2)</f>
        <v/>
      </c>
      <c r="Q228" s="93"/>
      <c r="R228" s="84"/>
      <c r="S228" s="84"/>
      <c r="T228" s="85">
        <f>IF(R228&gt;0,IF(RIGHT(Ruimtestaat[[#This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28" s="85">
        <f>IF(T228&gt;0,VLOOKUP($J228,Ruimtegroepen[],3,FALSE)*VLOOKUP($L228,Vloersoorten[],3,FALSE)*VLOOKUP($S228,Frequenties[],3,FALSE)*VLOOKUP($A228,Locaties[],3,FALSE),0)</f>
        <v>0</v>
      </c>
      <c r="V228" s="86">
        <f>Ruimtestaat[[#This Row],[Uitvoeringen werkdagen]]*Ruimtestaat[[#This Row],[Oppervlak (netto)]]</f>
        <v>0</v>
      </c>
      <c r="W228" s="87">
        <f>IF(U228&gt;0,Ruimtestaat[[#This Row],[Prest. (m2 /jaar) werkdagen]]/Ruimtestaat[[#This Row],[Norm (m2/uur) werkdagen]],0)</f>
        <v>0</v>
      </c>
      <c r="X228" s="88">
        <f>Ruimtestaat[[#This Row],[uren / jaar werkdagen]]*Tariefsopbouw!$E$35</f>
        <v>0</v>
      </c>
      <c r="Y228" s="85"/>
      <c r="Z228" s="89">
        <f>IF(Ruimtestaat[[#This Row],[Frequentie weekend]]&gt;0,VALUE(LEFT(Y228,1))*R228,0)</f>
        <v>0</v>
      </c>
      <c r="AA228" s="85">
        <f>IF($Z228&gt;0,VLOOKUP($J228,Ruimtegroepen[],3,FALSE)*VLOOKUP($L228,Vloersoorten[],3,FALSE)*VLOOKUP($Y228,Frequenties[],3,FALSE)*VLOOKUP($A224,Locaties[],3,FALSE),0)</f>
        <v>0</v>
      </c>
      <c r="AB228" s="87">
        <f>Ruimtestaat[[#This Row],[Uitvoeringen weekend]]*Ruimtestaat[[#This Row],[Oppervlak (netto)]]</f>
        <v>0</v>
      </c>
      <c r="AC228" s="90">
        <f>IF(AB228&gt;0,Ruimtestaat[[#This Row],[Prest. (m2 /jaar) weekend]]/Ruimtestaat[[#This Row],[Norm (m2/uur) weekend]],0)</f>
        <v>0</v>
      </c>
      <c r="AD228" s="91">
        <f>Ruimtestaat[[#This Row],[uren / jaar weekend]]*Tariefsopbouw!$D$40</f>
        <v>0</v>
      </c>
      <c r="AE228" s="60">
        <f>Ruimtestaat[[#This Row],[Prest. (m2 /jaar) weekend]]+Ruimtestaat[[#This Row],[Prest. (m2 /jaar) werkdagen]]</f>
        <v>0</v>
      </c>
      <c r="AF228" s="60">
        <f>Ruimtestaat[[#This Row],[uren / jaar weekend]]+Ruimtestaat[[#This Row],[uren / jaar werkdagen]]</f>
        <v>0</v>
      </c>
      <c r="AG228" s="61">
        <f>Ruimtestaat[[#This Row],[kosten / jaar weekend]]+Ruimtestaat[[#This Row],[kosten / jaar werkdagen]]</f>
        <v>0</v>
      </c>
      <c r="AH228" s="92"/>
      <c r="HL228" s="59"/>
    </row>
    <row r="229" spans="1:220">
      <c r="A229" s="24">
        <v>1</v>
      </c>
      <c r="B229" s="24" t="str">
        <f>VLOOKUP(Ruimtestaat[[#This Row],[Code]],Locaties[#All],2,FALSE)</f>
        <v>Boerhaave + buitenunits</v>
      </c>
      <c r="C229" s="24" t="str">
        <f>VLOOKUP(Ruimtestaat[[#This Row],[Code]],Locaties[#All],4,FALSE)</f>
        <v>Herman Boerhaavelaan 1</v>
      </c>
      <c r="D229" s="24" t="str">
        <f>VLOOKUP(Ruimtestaat[[#This Row],[Code]],Locaties[#All],5,FALSE)</f>
        <v>7415 ES</v>
      </c>
      <c r="E229" s="24" t="str">
        <f>VLOOKUP(Ruimtestaat[[#This Row],[Code]],Locaties[#All],6,FALSE)</f>
        <v>Deventer</v>
      </c>
      <c r="F229" s="54" t="s">
        <v>653</v>
      </c>
      <c r="G229" s="24" t="s">
        <v>367</v>
      </c>
      <c r="H229" s="24" t="s">
        <v>665</v>
      </c>
      <c r="I229" s="4" t="s">
        <v>402</v>
      </c>
      <c r="J229" s="24">
        <v>5</v>
      </c>
      <c r="K229" s="54" t="str">
        <f>VLOOKUP(J229,Ruimtegroepen[],2,FALSE)</f>
        <v>Sanitair</v>
      </c>
      <c r="L229" s="24" t="s">
        <v>311</v>
      </c>
      <c r="M229" s="24" t="s">
        <v>370</v>
      </c>
      <c r="N229" s="83">
        <v>1.48</v>
      </c>
      <c r="O229" s="83"/>
      <c r="P229" s="93" t="str">
        <f>LEFT(VLOOKUP(Ruimtestaat[[#This Row],[Ruimte code]],Ruimtegroepen[#All],4,1),2)</f>
        <v>Sa</v>
      </c>
      <c r="Q229" s="93"/>
      <c r="R229" s="84">
        <v>42</v>
      </c>
      <c r="S229" s="84" t="s">
        <v>316</v>
      </c>
      <c r="T229" s="85">
        <f>IF(R229&gt;0,IF(RIGHT(Ruimtestaat[[#This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29" s="85">
        <f>IF(T229&gt;0,VLOOKUP($J229,Ruimtegroepen[],3,FALSE)*VLOOKUP($L229,Vloersoorten[],3,FALSE)*VLOOKUP($S229,Frequenties[],3,FALSE)*VLOOKUP($A229,Locaties[],3,FALSE),0)</f>
        <v>0</v>
      </c>
      <c r="V229" s="86">
        <f>Ruimtestaat[[#This Row],[Uitvoeringen werkdagen]]*Ruimtestaat[[#This Row],[Oppervlak (netto)]]</f>
        <v>621.6</v>
      </c>
      <c r="W229" s="87">
        <f>IF(U229&gt;0,Ruimtestaat[[#This Row],[Prest. (m2 /jaar) werkdagen]]/Ruimtestaat[[#This Row],[Norm (m2/uur) werkdagen]],0)</f>
        <v>0</v>
      </c>
      <c r="X229" s="88">
        <f>Ruimtestaat[[#This Row],[uren / jaar werkdagen]]*Tariefsopbouw!$E$35</f>
        <v>0</v>
      </c>
      <c r="Y229" s="85"/>
      <c r="Z229" s="89">
        <f>IF(Ruimtestaat[[#This Row],[Frequentie weekend]]&gt;0,VALUE(LEFT(Y229,1))*R229,0)</f>
        <v>0</v>
      </c>
      <c r="AA229" s="85">
        <f>IF($Z229&gt;0,VLOOKUP($J229,Ruimtegroepen[],3,FALSE)*VLOOKUP($L229,Vloersoorten[],3,FALSE)*VLOOKUP($Y229,Frequenties[],3,FALSE)*VLOOKUP($A225,Locaties[],3,FALSE),0)</f>
        <v>0</v>
      </c>
      <c r="AB229" s="87">
        <f>Ruimtestaat[[#This Row],[Uitvoeringen weekend]]*Ruimtestaat[[#This Row],[Oppervlak (netto)]]</f>
        <v>0</v>
      </c>
      <c r="AC229" s="90">
        <f>IF(AB229&gt;0,Ruimtestaat[[#This Row],[Prest. (m2 /jaar) weekend]]/Ruimtestaat[[#This Row],[Norm (m2/uur) weekend]],0)</f>
        <v>0</v>
      </c>
      <c r="AD229" s="91">
        <f>Ruimtestaat[[#This Row],[uren / jaar weekend]]*Tariefsopbouw!$D$40</f>
        <v>0</v>
      </c>
      <c r="AE229" s="60">
        <f>Ruimtestaat[[#This Row],[Prest. (m2 /jaar) weekend]]+Ruimtestaat[[#This Row],[Prest. (m2 /jaar) werkdagen]]</f>
        <v>621.6</v>
      </c>
      <c r="AF229" s="60">
        <f>Ruimtestaat[[#This Row],[uren / jaar weekend]]+Ruimtestaat[[#This Row],[uren / jaar werkdagen]]</f>
        <v>0</v>
      </c>
      <c r="AG229" s="61">
        <f>Ruimtestaat[[#This Row],[kosten / jaar weekend]]+Ruimtestaat[[#This Row],[kosten / jaar werkdagen]]</f>
        <v>0</v>
      </c>
      <c r="AH229" s="92"/>
      <c r="HL229" s="59"/>
    </row>
    <row r="230" spans="1:220">
      <c r="A230" s="24">
        <v>1</v>
      </c>
      <c r="B230" s="24" t="str">
        <f>VLOOKUP(Ruimtestaat[[#This Row],[Code]],Locaties[#All],2,FALSE)</f>
        <v>Boerhaave + buitenunits</v>
      </c>
      <c r="C230" s="24" t="str">
        <f>VLOOKUP(Ruimtestaat[[#This Row],[Code]],Locaties[#All],4,FALSE)</f>
        <v>Herman Boerhaavelaan 1</v>
      </c>
      <c r="D230" s="24" t="str">
        <f>VLOOKUP(Ruimtestaat[[#This Row],[Code]],Locaties[#All],5,FALSE)</f>
        <v>7415 ES</v>
      </c>
      <c r="E230" s="24" t="str">
        <f>VLOOKUP(Ruimtestaat[[#This Row],[Code]],Locaties[#All],6,FALSE)</f>
        <v>Deventer</v>
      </c>
      <c r="F230" s="54" t="s">
        <v>653</v>
      </c>
      <c r="G230" s="24" t="s">
        <v>367</v>
      </c>
      <c r="H230" s="24" t="s">
        <v>666</v>
      </c>
      <c r="I230" s="4" t="s">
        <v>402</v>
      </c>
      <c r="J230" s="24">
        <v>5</v>
      </c>
      <c r="K230" s="54" t="str">
        <f>VLOOKUP(J230,Ruimtegroepen[],2,FALSE)</f>
        <v>Sanitair</v>
      </c>
      <c r="L230" s="24" t="s">
        <v>311</v>
      </c>
      <c r="M230" s="24" t="s">
        <v>370</v>
      </c>
      <c r="N230" s="83">
        <v>1.48</v>
      </c>
      <c r="O230" s="83"/>
      <c r="P230" s="93" t="str">
        <f>LEFT(VLOOKUP(Ruimtestaat[[#This Row],[Ruimte code]],Ruimtegroepen[#All],4,1),2)</f>
        <v>Sa</v>
      </c>
      <c r="Q230" s="93"/>
      <c r="R230" s="84">
        <v>42</v>
      </c>
      <c r="S230" s="84" t="s">
        <v>316</v>
      </c>
      <c r="T230" s="85">
        <f>IF(R230&gt;0,IF(RIGHT(Ruimtestaat[[#This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30" s="85">
        <f>IF(T230&gt;0,VLOOKUP($J230,Ruimtegroepen[],3,FALSE)*VLOOKUP($L230,Vloersoorten[],3,FALSE)*VLOOKUP($S230,Frequenties[],3,FALSE)*VLOOKUP($A230,Locaties[],3,FALSE),0)</f>
        <v>0</v>
      </c>
      <c r="V230" s="86">
        <f>Ruimtestaat[[#This Row],[Uitvoeringen werkdagen]]*Ruimtestaat[[#This Row],[Oppervlak (netto)]]</f>
        <v>621.6</v>
      </c>
      <c r="W230" s="87">
        <f>IF(U230&gt;0,Ruimtestaat[[#This Row],[Prest. (m2 /jaar) werkdagen]]/Ruimtestaat[[#This Row],[Norm (m2/uur) werkdagen]],0)</f>
        <v>0</v>
      </c>
      <c r="X230" s="88">
        <f>Ruimtestaat[[#This Row],[uren / jaar werkdagen]]*Tariefsopbouw!$E$35</f>
        <v>0</v>
      </c>
      <c r="Y230" s="85"/>
      <c r="Z230" s="89">
        <f>IF(Ruimtestaat[[#This Row],[Frequentie weekend]]&gt;0,VALUE(LEFT(Y230,1))*R230,0)</f>
        <v>0</v>
      </c>
      <c r="AA230" s="85">
        <f>IF($Z230&gt;0,VLOOKUP($J230,Ruimtegroepen[],3,FALSE)*VLOOKUP($L230,Vloersoorten[],3,FALSE)*VLOOKUP($Y230,Frequenties[],3,FALSE)*VLOOKUP($A226,Locaties[],3,FALSE),0)</f>
        <v>0</v>
      </c>
      <c r="AB230" s="87">
        <f>Ruimtestaat[[#This Row],[Uitvoeringen weekend]]*Ruimtestaat[[#This Row],[Oppervlak (netto)]]</f>
        <v>0</v>
      </c>
      <c r="AC230" s="90">
        <f>IF(AB230&gt;0,Ruimtestaat[[#This Row],[Prest. (m2 /jaar) weekend]]/Ruimtestaat[[#This Row],[Norm (m2/uur) weekend]],0)</f>
        <v>0</v>
      </c>
      <c r="AD230" s="91">
        <f>Ruimtestaat[[#This Row],[uren / jaar weekend]]*Tariefsopbouw!$D$40</f>
        <v>0</v>
      </c>
      <c r="AE230" s="60">
        <f>Ruimtestaat[[#This Row],[Prest. (m2 /jaar) weekend]]+Ruimtestaat[[#This Row],[Prest. (m2 /jaar) werkdagen]]</f>
        <v>621.6</v>
      </c>
      <c r="AF230" s="60">
        <f>Ruimtestaat[[#This Row],[uren / jaar weekend]]+Ruimtestaat[[#This Row],[uren / jaar werkdagen]]</f>
        <v>0</v>
      </c>
      <c r="AG230" s="61">
        <f>Ruimtestaat[[#This Row],[kosten / jaar weekend]]+Ruimtestaat[[#This Row],[kosten / jaar werkdagen]]</f>
        <v>0</v>
      </c>
      <c r="AH230" s="92"/>
      <c r="HL230" s="59"/>
    </row>
    <row r="231" spans="1:220">
      <c r="A231" s="24">
        <v>2</v>
      </c>
      <c r="B231" s="24" t="str">
        <f>VLOOKUP(Ruimtestaat[[#This Row],[Code]],Locaties[#All],2,FALSE)</f>
        <v>Het Stormink</v>
      </c>
      <c r="C231" s="24" t="str">
        <f>VLOOKUP(Ruimtestaat[[#This Row],[Code]],Locaties[#All],4,FALSE)</f>
        <v>Storminkstraat 1</v>
      </c>
      <c r="D231" s="24" t="str">
        <f>VLOOKUP(Ruimtestaat[[#This Row],[Code]],Locaties[#All],5,FALSE)</f>
        <v>7418 GH</v>
      </c>
      <c r="E231" s="24" t="str">
        <f>VLOOKUP(Ruimtestaat[[#This Row],[Code]],Locaties[#All],6,FALSE)</f>
        <v>Deventer</v>
      </c>
      <c r="F231" s="54"/>
      <c r="G231" s="24" t="s">
        <v>367</v>
      </c>
      <c r="H231" s="24" t="s">
        <v>368</v>
      </c>
      <c r="I231" s="4" t="s">
        <v>667</v>
      </c>
      <c r="J231" s="24">
        <v>22</v>
      </c>
      <c r="K231" s="54" t="str">
        <f>VLOOKUP(J231,Ruimtegroepen[],2,FALSE)</f>
        <v>Niet in onderhoud</v>
      </c>
      <c r="L231" s="24" t="s">
        <v>305</v>
      </c>
      <c r="M231" s="24" t="s">
        <v>668</v>
      </c>
      <c r="N231" s="83"/>
      <c r="O231" s="83">
        <v>22.31</v>
      </c>
      <c r="P231" s="93" t="str">
        <f>LEFT(VLOOKUP(Ruimtestaat[[#This Row],[Ruimte code]],Ruimtegroepen[#All],4,1),2)</f>
        <v/>
      </c>
      <c r="Q231" s="93"/>
      <c r="R231" s="84"/>
      <c r="S231" s="84"/>
      <c r="T231" s="85">
        <f>IF(R231&gt;0,IF(RIGHT(Ruimtestaat[[#This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1" s="85">
        <f>IF(T231&gt;0,VLOOKUP($J231,Ruimtegroepen[],3,FALSE)*VLOOKUP($L231,Vloersoorten[],3,FALSE)*VLOOKUP($S231,Frequenties[],3,FALSE)*VLOOKUP($A231,Locaties[],3,FALSE),0)</f>
        <v>0</v>
      </c>
      <c r="V231" s="86">
        <f>Ruimtestaat[[#This Row],[Uitvoeringen werkdagen]]*Ruimtestaat[[#This Row],[Oppervlak (netto)]]</f>
        <v>0</v>
      </c>
      <c r="W231" s="87">
        <f>IF(U231&gt;0,Ruimtestaat[[#This Row],[Prest. (m2 /jaar) werkdagen]]/Ruimtestaat[[#This Row],[Norm (m2/uur) werkdagen]],0)</f>
        <v>0</v>
      </c>
      <c r="X231" s="88">
        <f>Ruimtestaat[[#This Row],[uren / jaar werkdagen]]*Tariefsopbouw!$E$35</f>
        <v>0</v>
      </c>
      <c r="Y231" s="85"/>
      <c r="Z231" s="89">
        <f>IF(Ruimtestaat[[#This Row],[Frequentie weekend]]&gt;0,VALUE(LEFT(Y231,1))*R231,0)</f>
        <v>0</v>
      </c>
      <c r="AA231" s="85">
        <f>IF($Z231&gt;0,VLOOKUP($J231,Ruimtegroepen[],3,FALSE)*VLOOKUP($L231,Vloersoorten[],3,FALSE)*VLOOKUP($Y231,Frequenties[],3,FALSE)*VLOOKUP(#REF!,Locaties[],3,FALSE),0)</f>
        <v>0</v>
      </c>
      <c r="AB231" s="87">
        <f>Ruimtestaat[[#This Row],[Uitvoeringen weekend]]*Ruimtestaat[[#This Row],[Oppervlak (netto)]]</f>
        <v>0</v>
      </c>
      <c r="AC231" s="90">
        <f>IF(AB231&gt;0,Ruimtestaat[[#This Row],[Prest. (m2 /jaar) weekend]]/Ruimtestaat[[#This Row],[Norm (m2/uur) weekend]],0)</f>
        <v>0</v>
      </c>
      <c r="AD231" s="91">
        <f>Ruimtestaat[[#This Row],[uren / jaar weekend]]*Tariefsopbouw!$D$40</f>
        <v>0</v>
      </c>
      <c r="AE231" s="60">
        <f>Ruimtestaat[[#This Row],[Prest. (m2 /jaar) weekend]]+Ruimtestaat[[#This Row],[Prest. (m2 /jaar) werkdagen]]</f>
        <v>0</v>
      </c>
      <c r="AF231" s="60">
        <f>Ruimtestaat[[#This Row],[uren / jaar weekend]]+Ruimtestaat[[#This Row],[uren / jaar werkdagen]]</f>
        <v>0</v>
      </c>
      <c r="AG231" s="61">
        <f>Ruimtestaat[[#This Row],[kosten / jaar weekend]]+Ruimtestaat[[#This Row],[kosten / jaar werkdagen]]</f>
        <v>0</v>
      </c>
      <c r="AH231" s="92"/>
      <c r="HL231" s="59"/>
    </row>
    <row r="232" spans="1:220">
      <c r="A232" s="24">
        <v>2</v>
      </c>
      <c r="B232" s="24" t="str">
        <f>VLOOKUP(Ruimtestaat[[#This Row],[Code]],Locaties[#All],2,FALSE)</f>
        <v>Het Stormink</v>
      </c>
      <c r="C232" s="24" t="str">
        <f>VLOOKUP(Ruimtestaat[[#This Row],[Code]],Locaties[#All],4,FALSE)</f>
        <v>Storminkstraat 1</v>
      </c>
      <c r="D232" s="24" t="str">
        <f>VLOOKUP(Ruimtestaat[[#This Row],[Code]],Locaties[#All],5,FALSE)</f>
        <v>7418 GH</v>
      </c>
      <c r="E232" s="24" t="str">
        <f>VLOOKUP(Ruimtestaat[[#This Row],[Code]],Locaties[#All],6,FALSE)</f>
        <v>Deventer</v>
      </c>
      <c r="F232" s="54"/>
      <c r="G232" s="24" t="s">
        <v>367</v>
      </c>
      <c r="H232" s="24" t="s">
        <v>374</v>
      </c>
      <c r="I232" s="4" t="s">
        <v>669</v>
      </c>
      <c r="J232" s="24">
        <v>20</v>
      </c>
      <c r="K232" s="54" t="str">
        <f>VLOOKUP(J232,Ruimtegroepen[],2,FALSE)</f>
        <v>Kabinet</v>
      </c>
      <c r="L232" s="24" t="s">
        <v>305</v>
      </c>
      <c r="M232" s="24" t="s">
        <v>668</v>
      </c>
      <c r="N232" s="83">
        <v>7.02</v>
      </c>
      <c r="O232" s="83"/>
      <c r="P232" s="93" t="str">
        <f>LEFT(VLOOKUP(Ruimtestaat[[#This Row],[Ruimte code]],Ruimtegroepen[#All],4,1),2)</f>
        <v>Ve</v>
      </c>
      <c r="Q232" s="93"/>
      <c r="R232" s="84">
        <v>40</v>
      </c>
      <c r="S232" s="84" t="s">
        <v>318</v>
      </c>
      <c r="T232" s="85">
        <f>IF(R232&gt;0,IF(RIGHT(Ruimtestaat[[#This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2" s="85">
        <f>IF(T232&gt;0,VLOOKUP($J232,Ruimtegroepen[],3,FALSE)*VLOOKUP($L232,Vloersoorten[],3,FALSE)*VLOOKUP($S232,Frequenties[],3,FALSE)*VLOOKUP($A232,Locaties[],3,FALSE),0)</f>
        <v>0</v>
      </c>
      <c r="V232" s="86">
        <f>Ruimtestaat[[#This Row],[Uitvoeringen werkdagen]]*Ruimtestaat[[#This Row],[Oppervlak (netto)]]</f>
        <v>1404</v>
      </c>
      <c r="W232" s="87">
        <f>IF(U232&gt;0,Ruimtestaat[[#This Row],[Prest. (m2 /jaar) werkdagen]]/Ruimtestaat[[#This Row],[Norm (m2/uur) werkdagen]],0)</f>
        <v>0</v>
      </c>
      <c r="X232" s="88">
        <f>Ruimtestaat[[#This Row],[uren / jaar werkdagen]]*Tariefsopbouw!$E$35</f>
        <v>0</v>
      </c>
      <c r="Y232" s="85"/>
      <c r="Z232" s="89">
        <f>IF(Ruimtestaat[[#This Row],[Frequentie weekend]]&gt;0,VALUE(LEFT(Y232,1))*R232,0)</f>
        <v>0</v>
      </c>
      <c r="AA232" s="85">
        <f>IF($Z232&gt;0,VLOOKUP($J232,Ruimtegroepen[],3,FALSE)*VLOOKUP($L232,Vloersoorten[],3,FALSE)*VLOOKUP($Y232,Frequenties[],3,FALSE)*VLOOKUP(#REF!,Locaties[],3,FALSE),0)</f>
        <v>0</v>
      </c>
      <c r="AB232" s="87">
        <f>Ruimtestaat[[#This Row],[Uitvoeringen weekend]]*Ruimtestaat[[#This Row],[Oppervlak (netto)]]</f>
        <v>0</v>
      </c>
      <c r="AC232" s="90">
        <f>IF(AB232&gt;0,Ruimtestaat[[#This Row],[Prest. (m2 /jaar) weekend]]/Ruimtestaat[[#This Row],[Norm (m2/uur) weekend]],0)</f>
        <v>0</v>
      </c>
      <c r="AD232" s="91">
        <f>Ruimtestaat[[#This Row],[uren / jaar weekend]]*Tariefsopbouw!$D$40</f>
        <v>0</v>
      </c>
      <c r="AE232" s="60">
        <f>Ruimtestaat[[#This Row],[Prest. (m2 /jaar) weekend]]+Ruimtestaat[[#This Row],[Prest. (m2 /jaar) werkdagen]]</f>
        <v>1404</v>
      </c>
      <c r="AF232" s="60">
        <f>Ruimtestaat[[#This Row],[uren / jaar weekend]]+Ruimtestaat[[#This Row],[uren / jaar werkdagen]]</f>
        <v>0</v>
      </c>
      <c r="AG232" s="61">
        <f>Ruimtestaat[[#This Row],[kosten / jaar weekend]]+Ruimtestaat[[#This Row],[kosten / jaar werkdagen]]</f>
        <v>0</v>
      </c>
      <c r="AH232" s="92"/>
      <c r="HL232" s="59"/>
    </row>
    <row r="233" spans="1:220">
      <c r="A233" s="24">
        <v>2</v>
      </c>
      <c r="B233" s="24" t="str">
        <f>VLOOKUP(Ruimtestaat[[#This Row],[Code]],Locaties[#All],2,FALSE)</f>
        <v>Het Stormink</v>
      </c>
      <c r="C233" s="24" t="str">
        <f>VLOOKUP(Ruimtestaat[[#This Row],[Code]],Locaties[#All],4,FALSE)</f>
        <v>Storminkstraat 1</v>
      </c>
      <c r="D233" s="24" t="str">
        <f>VLOOKUP(Ruimtestaat[[#This Row],[Code]],Locaties[#All],5,FALSE)</f>
        <v>7418 GH</v>
      </c>
      <c r="E233" s="24" t="str">
        <f>VLOOKUP(Ruimtestaat[[#This Row],[Code]],Locaties[#All],6,FALSE)</f>
        <v>Deventer</v>
      </c>
      <c r="F233" s="54"/>
      <c r="G233" s="24" t="s">
        <v>367</v>
      </c>
      <c r="H233" s="24" t="s">
        <v>377</v>
      </c>
      <c r="I233" s="4" t="s">
        <v>670</v>
      </c>
      <c r="J233" s="24">
        <v>13</v>
      </c>
      <c r="K233" s="54" t="str">
        <f>VLOOKUP(J233,Ruimtegroepen[],2,FALSE)</f>
        <v>HV/Technieklokaal</v>
      </c>
      <c r="L233" s="24" t="s">
        <v>305</v>
      </c>
      <c r="M233" s="24" t="s">
        <v>668</v>
      </c>
      <c r="N233" s="83">
        <v>35.229999999999997</v>
      </c>
      <c r="O233" s="83"/>
      <c r="P233" s="93" t="str">
        <f>LEFT(VLOOKUP(Ruimtestaat[[#This Row],[Ruimte code]],Ruimtegroepen[#All],4,1),2)</f>
        <v>Le</v>
      </c>
      <c r="Q233" s="93"/>
      <c r="R233" s="84">
        <v>40</v>
      </c>
      <c r="S233" s="84" t="s">
        <v>318</v>
      </c>
      <c r="T233" s="85">
        <f>IF(R233&gt;0,IF(RIGHT(Ruimtestaat[[#This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3" s="85">
        <f>IF(T233&gt;0,VLOOKUP($J233,Ruimtegroepen[],3,FALSE)*VLOOKUP($L233,Vloersoorten[],3,FALSE)*VLOOKUP($S233,Frequenties[],3,FALSE)*VLOOKUP($A233,Locaties[],3,FALSE),0)</f>
        <v>0</v>
      </c>
      <c r="V233" s="86">
        <f>Ruimtestaat[[#This Row],[Uitvoeringen werkdagen]]*Ruimtestaat[[#This Row],[Oppervlak (netto)]]</f>
        <v>7045.9999999999991</v>
      </c>
      <c r="W233" s="87">
        <f>IF(U233&gt;0,Ruimtestaat[[#This Row],[Prest. (m2 /jaar) werkdagen]]/Ruimtestaat[[#This Row],[Norm (m2/uur) werkdagen]],0)</f>
        <v>0</v>
      </c>
      <c r="X233" s="88">
        <f>Ruimtestaat[[#This Row],[uren / jaar werkdagen]]*Tariefsopbouw!$E$35</f>
        <v>0</v>
      </c>
      <c r="Y233" s="85"/>
      <c r="Z233" s="89">
        <f>IF(Ruimtestaat[[#This Row],[Frequentie weekend]]&gt;0,VALUE(LEFT(Y233,1))*R233,0)</f>
        <v>0</v>
      </c>
      <c r="AA233" s="85">
        <f>IF($Z233&gt;0,VLOOKUP($J233,Ruimtegroepen[],3,FALSE)*VLOOKUP($L233,Vloersoorten[],3,FALSE)*VLOOKUP($Y233,Frequenties[],3,FALSE)*VLOOKUP(#REF!,Locaties[],3,FALSE),0)</f>
        <v>0</v>
      </c>
      <c r="AB233" s="87">
        <f>Ruimtestaat[[#This Row],[Uitvoeringen weekend]]*Ruimtestaat[[#This Row],[Oppervlak (netto)]]</f>
        <v>0</v>
      </c>
      <c r="AC233" s="90">
        <f>IF(AB233&gt;0,Ruimtestaat[[#This Row],[Prest. (m2 /jaar) weekend]]/Ruimtestaat[[#This Row],[Norm (m2/uur) weekend]],0)</f>
        <v>0</v>
      </c>
      <c r="AD233" s="91">
        <f>Ruimtestaat[[#This Row],[uren / jaar weekend]]*Tariefsopbouw!$D$40</f>
        <v>0</v>
      </c>
      <c r="AE233" s="60">
        <f>Ruimtestaat[[#This Row],[Prest. (m2 /jaar) weekend]]+Ruimtestaat[[#This Row],[Prest. (m2 /jaar) werkdagen]]</f>
        <v>7045.9999999999991</v>
      </c>
      <c r="AF233" s="60">
        <f>Ruimtestaat[[#This Row],[uren / jaar weekend]]+Ruimtestaat[[#This Row],[uren / jaar werkdagen]]</f>
        <v>0</v>
      </c>
      <c r="AG233" s="61">
        <f>Ruimtestaat[[#This Row],[kosten / jaar weekend]]+Ruimtestaat[[#This Row],[kosten / jaar werkdagen]]</f>
        <v>0</v>
      </c>
      <c r="AH233" s="92"/>
      <c r="HL233" s="59"/>
    </row>
    <row r="234" spans="1:220">
      <c r="A234" s="24">
        <v>2</v>
      </c>
      <c r="B234" s="24" t="str">
        <f>VLOOKUP(Ruimtestaat[[#This Row],[Code]],Locaties[#All],2,FALSE)</f>
        <v>Het Stormink</v>
      </c>
      <c r="C234" s="24" t="str">
        <f>VLOOKUP(Ruimtestaat[[#This Row],[Code]],Locaties[#All],4,FALSE)</f>
        <v>Storminkstraat 1</v>
      </c>
      <c r="D234" s="24" t="str">
        <f>VLOOKUP(Ruimtestaat[[#This Row],[Code]],Locaties[#All],5,FALSE)</f>
        <v>7418 GH</v>
      </c>
      <c r="E234" s="24" t="str">
        <f>VLOOKUP(Ruimtestaat[[#This Row],[Code]],Locaties[#All],6,FALSE)</f>
        <v>Deventer</v>
      </c>
      <c r="F234" s="54"/>
      <c r="G234" s="24" t="s">
        <v>367</v>
      </c>
      <c r="H234" s="24" t="s">
        <v>381</v>
      </c>
      <c r="I234" s="4" t="s">
        <v>394</v>
      </c>
      <c r="J234" s="24">
        <v>22</v>
      </c>
      <c r="K234" s="54" t="str">
        <f>VLOOKUP(J234,Ruimtegroepen[],2,FALSE)</f>
        <v>Niet in onderhoud</v>
      </c>
      <c r="L234" s="24" t="s">
        <v>300</v>
      </c>
      <c r="M234" s="24" t="s">
        <v>157</v>
      </c>
      <c r="N234" s="83"/>
      <c r="O234" s="83">
        <v>18.579999999999998</v>
      </c>
      <c r="P234" s="93" t="str">
        <f>LEFT(VLOOKUP(Ruimtestaat[[#This Row],[Ruimte code]],Ruimtegroepen[#All],4,1),2)</f>
        <v/>
      </c>
      <c r="Q234" s="93"/>
      <c r="R234" s="84"/>
      <c r="S234" s="84"/>
      <c r="T234" s="85">
        <f>IF(R234&gt;0,IF(RIGHT(Ruimtestaat[[#This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4" s="85">
        <f>IF(T234&gt;0,VLOOKUP($J234,Ruimtegroepen[],3,FALSE)*VLOOKUP($L234,Vloersoorten[],3,FALSE)*VLOOKUP($S234,Frequenties[],3,FALSE)*VLOOKUP($A234,Locaties[],3,FALSE),0)</f>
        <v>0</v>
      </c>
      <c r="V234" s="86">
        <f>Ruimtestaat[[#This Row],[Uitvoeringen werkdagen]]*Ruimtestaat[[#This Row],[Oppervlak (netto)]]</f>
        <v>0</v>
      </c>
      <c r="W234" s="87">
        <f>IF(U234&gt;0,Ruimtestaat[[#This Row],[Prest. (m2 /jaar) werkdagen]]/Ruimtestaat[[#This Row],[Norm (m2/uur) werkdagen]],0)</f>
        <v>0</v>
      </c>
      <c r="X234" s="88">
        <f>Ruimtestaat[[#This Row],[uren / jaar werkdagen]]*Tariefsopbouw!$E$35</f>
        <v>0</v>
      </c>
      <c r="Y234" s="85"/>
      <c r="Z234" s="89">
        <f>IF(Ruimtestaat[[#This Row],[Frequentie weekend]]&gt;0,VALUE(LEFT(Y234,1))*R234,0)</f>
        <v>0</v>
      </c>
      <c r="AA234" s="85">
        <f>IF($Z234&gt;0,VLOOKUP($J234,Ruimtegroepen[],3,FALSE)*VLOOKUP($L234,Vloersoorten[],3,FALSE)*VLOOKUP($Y234,Frequenties[],3,FALSE)*VLOOKUP(#REF!,Locaties[],3,FALSE),0)</f>
        <v>0</v>
      </c>
      <c r="AB234" s="87">
        <f>Ruimtestaat[[#This Row],[Uitvoeringen weekend]]*Ruimtestaat[[#This Row],[Oppervlak (netto)]]</f>
        <v>0</v>
      </c>
      <c r="AC234" s="90">
        <f>IF(AB234&gt;0,Ruimtestaat[[#This Row],[Prest. (m2 /jaar) weekend]]/Ruimtestaat[[#This Row],[Norm (m2/uur) weekend]],0)</f>
        <v>0</v>
      </c>
      <c r="AD234" s="91">
        <f>Ruimtestaat[[#This Row],[uren / jaar weekend]]*Tariefsopbouw!$D$40</f>
        <v>0</v>
      </c>
      <c r="AE234" s="60">
        <f>Ruimtestaat[[#This Row],[Prest. (m2 /jaar) weekend]]+Ruimtestaat[[#This Row],[Prest. (m2 /jaar) werkdagen]]</f>
        <v>0</v>
      </c>
      <c r="AF234" s="60">
        <f>Ruimtestaat[[#This Row],[uren / jaar weekend]]+Ruimtestaat[[#This Row],[uren / jaar werkdagen]]</f>
        <v>0</v>
      </c>
      <c r="AG234" s="61">
        <f>Ruimtestaat[[#This Row],[kosten / jaar weekend]]+Ruimtestaat[[#This Row],[kosten / jaar werkdagen]]</f>
        <v>0</v>
      </c>
      <c r="AH234" s="92"/>
      <c r="HL234" s="59"/>
    </row>
    <row r="235" spans="1:220">
      <c r="A235" s="24">
        <v>2</v>
      </c>
      <c r="B235" s="24" t="str">
        <f>VLOOKUP(Ruimtestaat[[#This Row],[Code]],Locaties[#All],2,FALSE)</f>
        <v>Het Stormink</v>
      </c>
      <c r="C235" s="24" t="str">
        <f>VLOOKUP(Ruimtestaat[[#This Row],[Code]],Locaties[#All],4,FALSE)</f>
        <v>Storminkstraat 1</v>
      </c>
      <c r="D235" s="24" t="str">
        <f>VLOOKUP(Ruimtestaat[[#This Row],[Code]],Locaties[#All],5,FALSE)</f>
        <v>7418 GH</v>
      </c>
      <c r="E235" s="24" t="str">
        <f>VLOOKUP(Ruimtestaat[[#This Row],[Code]],Locaties[#All],6,FALSE)</f>
        <v>Deventer</v>
      </c>
      <c r="F235" s="54"/>
      <c r="G235" s="24" t="s">
        <v>367</v>
      </c>
      <c r="H235" s="24" t="s">
        <v>671</v>
      </c>
      <c r="I235" s="4" t="s">
        <v>672</v>
      </c>
      <c r="J235" s="24">
        <v>22</v>
      </c>
      <c r="K235" s="54" t="str">
        <f>VLOOKUP(J235,Ruimtegroepen[],2,FALSE)</f>
        <v>Niet in onderhoud</v>
      </c>
      <c r="L235" s="24" t="s">
        <v>305</v>
      </c>
      <c r="M235" s="24" t="s">
        <v>668</v>
      </c>
      <c r="N235" s="83"/>
      <c r="O235" s="83">
        <v>6.01</v>
      </c>
      <c r="P235" s="93" t="str">
        <f>LEFT(VLOOKUP(Ruimtestaat[[#This Row],[Ruimte code]],Ruimtegroepen[#All],4,1),2)</f>
        <v/>
      </c>
      <c r="Q235" s="93"/>
      <c r="R235" s="84"/>
      <c r="S235" s="84"/>
      <c r="T235" s="85">
        <f>IF(R235&gt;0,IF(RIGHT(Ruimtestaat[[#This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5" s="85">
        <f>IF(T235&gt;0,VLOOKUP($J235,Ruimtegroepen[],3,FALSE)*VLOOKUP($L235,Vloersoorten[],3,FALSE)*VLOOKUP($S235,Frequenties[],3,FALSE)*VLOOKUP($A235,Locaties[],3,FALSE),0)</f>
        <v>0</v>
      </c>
      <c r="V235" s="86">
        <f>Ruimtestaat[[#This Row],[Uitvoeringen werkdagen]]*Ruimtestaat[[#This Row],[Oppervlak (netto)]]</f>
        <v>0</v>
      </c>
      <c r="W235" s="87">
        <f>IF(U235&gt;0,Ruimtestaat[[#This Row],[Prest. (m2 /jaar) werkdagen]]/Ruimtestaat[[#This Row],[Norm (m2/uur) werkdagen]],0)</f>
        <v>0</v>
      </c>
      <c r="X235" s="88">
        <f>Ruimtestaat[[#This Row],[uren / jaar werkdagen]]*Tariefsopbouw!$E$35</f>
        <v>0</v>
      </c>
      <c r="Y235" s="85"/>
      <c r="Z235" s="89">
        <f>IF(Ruimtestaat[[#This Row],[Frequentie weekend]]&gt;0,VALUE(LEFT(Y235,1))*R235,0)</f>
        <v>0</v>
      </c>
      <c r="AA235" s="85">
        <f>IF($Z235&gt;0,VLOOKUP($J235,Ruimtegroepen[],3,FALSE)*VLOOKUP($L235,Vloersoorten[],3,FALSE)*VLOOKUP($Y235,Frequenties[],3,FALSE)*VLOOKUP(#REF!,Locaties[],3,FALSE),0)</f>
        <v>0</v>
      </c>
      <c r="AB235" s="87">
        <f>Ruimtestaat[[#This Row],[Uitvoeringen weekend]]*Ruimtestaat[[#This Row],[Oppervlak (netto)]]</f>
        <v>0</v>
      </c>
      <c r="AC235" s="90">
        <f>IF(AB235&gt;0,Ruimtestaat[[#This Row],[Prest. (m2 /jaar) weekend]]/Ruimtestaat[[#This Row],[Norm (m2/uur) weekend]],0)</f>
        <v>0</v>
      </c>
      <c r="AD235" s="91">
        <f>Ruimtestaat[[#This Row],[uren / jaar weekend]]*Tariefsopbouw!$D$40</f>
        <v>0</v>
      </c>
      <c r="AE235" s="60">
        <f>Ruimtestaat[[#This Row],[Prest. (m2 /jaar) weekend]]+Ruimtestaat[[#This Row],[Prest. (m2 /jaar) werkdagen]]</f>
        <v>0</v>
      </c>
      <c r="AF235" s="60">
        <f>Ruimtestaat[[#This Row],[uren / jaar weekend]]+Ruimtestaat[[#This Row],[uren / jaar werkdagen]]</f>
        <v>0</v>
      </c>
      <c r="AG235" s="61">
        <f>Ruimtestaat[[#This Row],[kosten / jaar weekend]]+Ruimtestaat[[#This Row],[kosten / jaar werkdagen]]</f>
        <v>0</v>
      </c>
      <c r="AH235" s="92"/>
      <c r="HL235" s="59"/>
    </row>
    <row r="236" spans="1:220">
      <c r="A236" s="24">
        <v>2</v>
      </c>
      <c r="B236" s="24" t="str">
        <f>VLOOKUP(Ruimtestaat[[#This Row],[Code]],Locaties[#All],2,FALSE)</f>
        <v>Het Stormink</v>
      </c>
      <c r="C236" s="24" t="str">
        <f>VLOOKUP(Ruimtestaat[[#This Row],[Code]],Locaties[#All],4,FALSE)</f>
        <v>Storminkstraat 1</v>
      </c>
      <c r="D236" s="24" t="str">
        <f>VLOOKUP(Ruimtestaat[[#This Row],[Code]],Locaties[#All],5,FALSE)</f>
        <v>7418 GH</v>
      </c>
      <c r="E236" s="24" t="str">
        <f>VLOOKUP(Ruimtestaat[[#This Row],[Code]],Locaties[#All],6,FALSE)</f>
        <v>Deventer</v>
      </c>
      <c r="F236" s="54"/>
      <c r="G236" s="24" t="s">
        <v>367</v>
      </c>
      <c r="H236" s="24" t="s">
        <v>673</v>
      </c>
      <c r="I236" s="4" t="s">
        <v>674</v>
      </c>
      <c r="J236" s="24">
        <v>22</v>
      </c>
      <c r="K236" s="54" t="str">
        <f>VLOOKUP(J236,Ruimtegroepen[],2,FALSE)</f>
        <v>Niet in onderhoud</v>
      </c>
      <c r="L236" s="24" t="s">
        <v>300</v>
      </c>
      <c r="M236" s="24" t="s">
        <v>157</v>
      </c>
      <c r="N236" s="83"/>
      <c r="O236" s="83">
        <v>1.64</v>
      </c>
      <c r="P236" s="93" t="str">
        <f>LEFT(VLOOKUP(Ruimtestaat[[#This Row],[Ruimte code]],Ruimtegroepen[#All],4,1),2)</f>
        <v/>
      </c>
      <c r="Q236" s="93"/>
      <c r="R236" s="84"/>
      <c r="S236" s="84"/>
      <c r="T236" s="85">
        <f>IF(R236&gt;0,IF(RIGHT(Ruimtestaat[[#This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6" s="85">
        <f>IF(T236&gt;0,VLOOKUP($J236,Ruimtegroepen[],3,FALSE)*VLOOKUP($L236,Vloersoorten[],3,FALSE)*VLOOKUP($S236,Frequenties[],3,FALSE)*VLOOKUP($A236,Locaties[],3,FALSE),0)</f>
        <v>0</v>
      </c>
      <c r="V236" s="86">
        <f>Ruimtestaat[[#This Row],[Uitvoeringen werkdagen]]*Ruimtestaat[[#This Row],[Oppervlak (netto)]]</f>
        <v>0</v>
      </c>
      <c r="W236" s="87">
        <f>IF(U236&gt;0,Ruimtestaat[[#This Row],[Prest. (m2 /jaar) werkdagen]]/Ruimtestaat[[#This Row],[Norm (m2/uur) werkdagen]],0)</f>
        <v>0</v>
      </c>
      <c r="X236" s="88">
        <f>Ruimtestaat[[#This Row],[uren / jaar werkdagen]]*Tariefsopbouw!$E$35</f>
        <v>0</v>
      </c>
      <c r="Y236" s="85"/>
      <c r="Z236" s="89">
        <f>IF(Ruimtestaat[[#This Row],[Frequentie weekend]]&gt;0,VALUE(LEFT(Y236,1))*R236,0)</f>
        <v>0</v>
      </c>
      <c r="AA236" s="85">
        <f>IF($Z236&gt;0,VLOOKUP($J236,Ruimtegroepen[],3,FALSE)*VLOOKUP($L236,Vloersoorten[],3,FALSE)*VLOOKUP($Y236,Frequenties[],3,FALSE)*VLOOKUP(#REF!,Locaties[],3,FALSE),0)</f>
        <v>0</v>
      </c>
      <c r="AB236" s="87">
        <f>Ruimtestaat[[#This Row],[Uitvoeringen weekend]]*Ruimtestaat[[#This Row],[Oppervlak (netto)]]</f>
        <v>0</v>
      </c>
      <c r="AC236" s="90">
        <f>IF(AB236&gt;0,Ruimtestaat[[#This Row],[Prest. (m2 /jaar) weekend]]/Ruimtestaat[[#This Row],[Norm (m2/uur) weekend]],0)</f>
        <v>0</v>
      </c>
      <c r="AD236" s="91">
        <f>Ruimtestaat[[#This Row],[uren / jaar weekend]]*Tariefsopbouw!$D$40</f>
        <v>0</v>
      </c>
      <c r="AE236" s="60">
        <f>Ruimtestaat[[#This Row],[Prest. (m2 /jaar) weekend]]+Ruimtestaat[[#This Row],[Prest. (m2 /jaar) werkdagen]]</f>
        <v>0</v>
      </c>
      <c r="AF236" s="60">
        <f>Ruimtestaat[[#This Row],[uren / jaar weekend]]+Ruimtestaat[[#This Row],[uren / jaar werkdagen]]</f>
        <v>0</v>
      </c>
      <c r="AG236" s="61">
        <f>Ruimtestaat[[#This Row],[kosten / jaar weekend]]+Ruimtestaat[[#This Row],[kosten / jaar werkdagen]]</f>
        <v>0</v>
      </c>
      <c r="AH236" s="92"/>
      <c r="HL236" s="59"/>
    </row>
    <row r="237" spans="1:220">
      <c r="A237" s="24">
        <v>2</v>
      </c>
      <c r="B237" s="24" t="str">
        <f>VLOOKUP(Ruimtestaat[[#This Row],[Code]],Locaties[#All],2,FALSE)</f>
        <v>Het Stormink</v>
      </c>
      <c r="C237" s="24" t="str">
        <f>VLOOKUP(Ruimtestaat[[#This Row],[Code]],Locaties[#All],4,FALSE)</f>
        <v>Storminkstraat 1</v>
      </c>
      <c r="D237" s="24" t="str">
        <f>VLOOKUP(Ruimtestaat[[#This Row],[Code]],Locaties[#All],5,FALSE)</f>
        <v>7418 GH</v>
      </c>
      <c r="E237" s="24" t="str">
        <f>VLOOKUP(Ruimtestaat[[#This Row],[Code]],Locaties[#All],6,FALSE)</f>
        <v>Deventer</v>
      </c>
      <c r="F237" s="54"/>
      <c r="G237" s="24" t="s">
        <v>367</v>
      </c>
      <c r="H237" s="24" t="s">
        <v>388</v>
      </c>
      <c r="I237" s="4" t="s">
        <v>394</v>
      </c>
      <c r="J237" s="24">
        <v>22</v>
      </c>
      <c r="K237" s="54" t="str">
        <f>VLOOKUP(J237,Ruimtegroepen[],2,FALSE)</f>
        <v>Niet in onderhoud</v>
      </c>
      <c r="L237" s="24" t="s">
        <v>305</v>
      </c>
      <c r="M237" s="24" t="s">
        <v>668</v>
      </c>
      <c r="N237" s="83"/>
      <c r="O237" s="83">
        <v>19.11</v>
      </c>
      <c r="P237" s="93" t="str">
        <f>LEFT(VLOOKUP(Ruimtestaat[[#This Row],[Ruimte code]],Ruimtegroepen[#All],4,1),2)</f>
        <v/>
      </c>
      <c r="Q237" s="93"/>
      <c r="R237" s="84"/>
      <c r="S237" s="84"/>
      <c r="T237" s="85">
        <f>IF(R237&gt;0,IF(RIGHT(Ruimtestaat[[#This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7" s="85">
        <f>IF(T237&gt;0,VLOOKUP($J237,Ruimtegroepen[],3,FALSE)*VLOOKUP($L237,Vloersoorten[],3,FALSE)*VLOOKUP($S237,Frequenties[],3,FALSE)*VLOOKUP($A237,Locaties[],3,FALSE),0)</f>
        <v>0</v>
      </c>
      <c r="V237" s="86">
        <f>Ruimtestaat[[#This Row],[Uitvoeringen werkdagen]]*Ruimtestaat[[#This Row],[Oppervlak (netto)]]</f>
        <v>0</v>
      </c>
      <c r="W237" s="87">
        <f>IF(U237&gt;0,Ruimtestaat[[#This Row],[Prest. (m2 /jaar) werkdagen]]/Ruimtestaat[[#This Row],[Norm (m2/uur) werkdagen]],0)</f>
        <v>0</v>
      </c>
      <c r="X237" s="88">
        <f>Ruimtestaat[[#This Row],[uren / jaar werkdagen]]*Tariefsopbouw!$E$35</f>
        <v>0</v>
      </c>
      <c r="Y237" s="85"/>
      <c r="Z237" s="89">
        <f>IF(Ruimtestaat[[#This Row],[Frequentie weekend]]&gt;0,VALUE(LEFT(Y237,1))*R237,0)</f>
        <v>0</v>
      </c>
      <c r="AA237" s="85">
        <f>IF($Z237&gt;0,VLOOKUP($J237,Ruimtegroepen[],3,FALSE)*VLOOKUP($L237,Vloersoorten[],3,FALSE)*VLOOKUP($Y237,Frequenties[],3,FALSE)*VLOOKUP(#REF!,Locaties[],3,FALSE),0)</f>
        <v>0</v>
      </c>
      <c r="AB237" s="87">
        <f>Ruimtestaat[[#This Row],[Uitvoeringen weekend]]*Ruimtestaat[[#This Row],[Oppervlak (netto)]]</f>
        <v>0</v>
      </c>
      <c r="AC237" s="90">
        <f>IF(AB237&gt;0,Ruimtestaat[[#This Row],[Prest. (m2 /jaar) weekend]]/Ruimtestaat[[#This Row],[Norm (m2/uur) weekend]],0)</f>
        <v>0</v>
      </c>
      <c r="AD237" s="91">
        <f>Ruimtestaat[[#This Row],[uren / jaar weekend]]*Tariefsopbouw!$D$40</f>
        <v>0</v>
      </c>
      <c r="AE237" s="60">
        <f>Ruimtestaat[[#This Row],[Prest. (m2 /jaar) weekend]]+Ruimtestaat[[#This Row],[Prest. (m2 /jaar) werkdagen]]</f>
        <v>0</v>
      </c>
      <c r="AF237" s="60">
        <f>Ruimtestaat[[#This Row],[uren / jaar weekend]]+Ruimtestaat[[#This Row],[uren / jaar werkdagen]]</f>
        <v>0</v>
      </c>
      <c r="AG237" s="61">
        <f>Ruimtestaat[[#This Row],[kosten / jaar weekend]]+Ruimtestaat[[#This Row],[kosten / jaar werkdagen]]</f>
        <v>0</v>
      </c>
      <c r="AH237" s="92"/>
      <c r="HL237" s="59"/>
    </row>
    <row r="238" spans="1:220">
      <c r="A238" s="24">
        <v>2</v>
      </c>
      <c r="B238" s="24" t="str">
        <f>VLOOKUP(Ruimtestaat[[#This Row],[Code]],Locaties[#All],2,FALSE)</f>
        <v>Het Stormink</v>
      </c>
      <c r="C238" s="24" t="str">
        <f>VLOOKUP(Ruimtestaat[[#This Row],[Code]],Locaties[#All],4,FALSE)</f>
        <v>Storminkstraat 1</v>
      </c>
      <c r="D238" s="24" t="str">
        <f>VLOOKUP(Ruimtestaat[[#This Row],[Code]],Locaties[#All],5,FALSE)</f>
        <v>7418 GH</v>
      </c>
      <c r="E238" s="24" t="str">
        <f>VLOOKUP(Ruimtestaat[[#This Row],[Code]],Locaties[#All],6,FALSE)</f>
        <v>Deventer</v>
      </c>
      <c r="F238" s="54"/>
      <c r="G238" s="24" t="s">
        <v>367</v>
      </c>
      <c r="H238" s="24" t="s">
        <v>393</v>
      </c>
      <c r="I238" s="4" t="s">
        <v>675</v>
      </c>
      <c r="J238" s="24">
        <v>5</v>
      </c>
      <c r="K238" s="54" t="str">
        <f>VLOOKUP(J238,Ruimtegroepen[],2,FALSE)</f>
        <v>Sanitair</v>
      </c>
      <c r="L238" s="24" t="s">
        <v>300</v>
      </c>
      <c r="M238" s="24" t="s">
        <v>157</v>
      </c>
      <c r="N238" s="83">
        <v>9.15</v>
      </c>
      <c r="O238" s="83"/>
      <c r="P238" s="93" t="str">
        <f>LEFT(VLOOKUP(Ruimtestaat[[#This Row],[Ruimte code]],Ruimtegroepen[#All],4,1),2)</f>
        <v>Sa</v>
      </c>
      <c r="Q238" s="93"/>
      <c r="R238" s="84">
        <v>42</v>
      </c>
      <c r="S238" s="84" t="s">
        <v>316</v>
      </c>
      <c r="T238" s="85">
        <f>IF(R238&gt;0,IF(RIGHT(Ruimtestaat[[#This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38" s="85">
        <f>IF(T238&gt;0,VLOOKUP($J238,Ruimtegroepen[],3,FALSE)*VLOOKUP($L238,Vloersoorten[],3,FALSE)*VLOOKUP($S238,Frequenties[],3,FALSE)*VLOOKUP($A238,Locaties[],3,FALSE),0)</f>
        <v>0</v>
      </c>
      <c r="V238" s="86">
        <f>Ruimtestaat[[#This Row],[Uitvoeringen werkdagen]]*Ruimtestaat[[#This Row],[Oppervlak (netto)]]</f>
        <v>3843</v>
      </c>
      <c r="W238" s="87">
        <f>IF(U238&gt;0,Ruimtestaat[[#This Row],[Prest. (m2 /jaar) werkdagen]]/Ruimtestaat[[#This Row],[Norm (m2/uur) werkdagen]],0)</f>
        <v>0</v>
      </c>
      <c r="X238" s="88">
        <f>Ruimtestaat[[#This Row],[uren / jaar werkdagen]]*Tariefsopbouw!$E$35</f>
        <v>0</v>
      </c>
      <c r="Y238" s="85"/>
      <c r="Z238" s="89">
        <f>IF(Ruimtestaat[[#This Row],[Frequentie weekend]]&gt;0,VALUE(LEFT(Y238,1))*R238,0)</f>
        <v>0</v>
      </c>
      <c r="AA238" s="85">
        <f>IF($Z238&gt;0,VLOOKUP($J238,Ruimtegroepen[],3,FALSE)*VLOOKUP($L238,Vloersoorten[],3,FALSE)*VLOOKUP($Y238,Frequenties[],3,FALSE)*VLOOKUP(#REF!,Locaties[],3,FALSE),0)</f>
        <v>0</v>
      </c>
      <c r="AB238" s="87">
        <f>Ruimtestaat[[#This Row],[Uitvoeringen weekend]]*Ruimtestaat[[#This Row],[Oppervlak (netto)]]</f>
        <v>0</v>
      </c>
      <c r="AC238" s="90">
        <f>IF(AB238&gt;0,Ruimtestaat[[#This Row],[Prest. (m2 /jaar) weekend]]/Ruimtestaat[[#This Row],[Norm (m2/uur) weekend]],0)</f>
        <v>0</v>
      </c>
      <c r="AD238" s="91">
        <f>Ruimtestaat[[#This Row],[uren / jaar weekend]]*Tariefsopbouw!$D$40</f>
        <v>0</v>
      </c>
      <c r="AE238" s="60">
        <f>Ruimtestaat[[#This Row],[Prest. (m2 /jaar) weekend]]+Ruimtestaat[[#This Row],[Prest. (m2 /jaar) werkdagen]]</f>
        <v>3843</v>
      </c>
      <c r="AF238" s="60">
        <f>Ruimtestaat[[#This Row],[uren / jaar weekend]]+Ruimtestaat[[#This Row],[uren / jaar werkdagen]]</f>
        <v>0</v>
      </c>
      <c r="AG238" s="61">
        <f>Ruimtestaat[[#This Row],[kosten / jaar weekend]]+Ruimtestaat[[#This Row],[kosten / jaar werkdagen]]</f>
        <v>0</v>
      </c>
      <c r="AH238" s="92"/>
      <c r="HL238" s="59"/>
    </row>
    <row r="239" spans="1:220">
      <c r="A239" s="24">
        <v>2</v>
      </c>
      <c r="B239" s="24" t="str">
        <f>VLOOKUP(Ruimtestaat[[#This Row],[Code]],Locaties[#All],2,FALSE)</f>
        <v>Het Stormink</v>
      </c>
      <c r="C239" s="24" t="str">
        <f>VLOOKUP(Ruimtestaat[[#This Row],[Code]],Locaties[#All],4,FALSE)</f>
        <v>Storminkstraat 1</v>
      </c>
      <c r="D239" s="24" t="str">
        <f>VLOOKUP(Ruimtestaat[[#This Row],[Code]],Locaties[#All],5,FALSE)</f>
        <v>7418 GH</v>
      </c>
      <c r="E239" s="24" t="str">
        <f>VLOOKUP(Ruimtestaat[[#This Row],[Code]],Locaties[#All],6,FALSE)</f>
        <v>Deventer</v>
      </c>
      <c r="F239" s="54"/>
      <c r="G239" s="24" t="s">
        <v>367</v>
      </c>
      <c r="H239" s="24" t="s">
        <v>395</v>
      </c>
      <c r="I239" s="4" t="s">
        <v>473</v>
      </c>
      <c r="J239" s="24">
        <v>5</v>
      </c>
      <c r="K239" s="54" t="str">
        <f>VLOOKUP(J239,Ruimtegroepen[],2,FALSE)</f>
        <v>Sanitair</v>
      </c>
      <c r="L239" s="24" t="s">
        <v>300</v>
      </c>
      <c r="M239" s="24" t="s">
        <v>157</v>
      </c>
      <c r="N239" s="83">
        <v>9.16</v>
      </c>
      <c r="O239" s="83"/>
      <c r="P239" s="93" t="str">
        <f>LEFT(VLOOKUP(Ruimtestaat[[#This Row],[Ruimte code]],Ruimtegroepen[#All],4,1),2)</f>
        <v>Sa</v>
      </c>
      <c r="Q239" s="93"/>
      <c r="R239" s="84">
        <v>42</v>
      </c>
      <c r="S239" s="84" t="s">
        <v>316</v>
      </c>
      <c r="T239" s="85">
        <f>IF(R239&gt;0,IF(RIGHT(Ruimtestaat[[#This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39" s="85">
        <f>IF(T239&gt;0,VLOOKUP($J239,Ruimtegroepen[],3,FALSE)*VLOOKUP($L239,Vloersoorten[],3,FALSE)*VLOOKUP($S239,Frequenties[],3,FALSE)*VLOOKUP($A239,Locaties[],3,FALSE),0)</f>
        <v>0</v>
      </c>
      <c r="V239" s="86">
        <f>Ruimtestaat[[#This Row],[Uitvoeringen werkdagen]]*Ruimtestaat[[#This Row],[Oppervlak (netto)]]</f>
        <v>3847.2000000000003</v>
      </c>
      <c r="W239" s="87">
        <f>IF(U239&gt;0,Ruimtestaat[[#This Row],[Prest. (m2 /jaar) werkdagen]]/Ruimtestaat[[#This Row],[Norm (m2/uur) werkdagen]],0)</f>
        <v>0</v>
      </c>
      <c r="X239" s="88">
        <f>Ruimtestaat[[#This Row],[uren / jaar werkdagen]]*Tariefsopbouw!$E$35</f>
        <v>0</v>
      </c>
      <c r="Y239" s="85"/>
      <c r="Z239" s="89">
        <f>IF(Ruimtestaat[[#This Row],[Frequentie weekend]]&gt;0,VALUE(LEFT(Y239,1))*R239,0)</f>
        <v>0</v>
      </c>
      <c r="AA239" s="85">
        <f>IF($Z239&gt;0,VLOOKUP($J239,Ruimtegroepen[],3,FALSE)*VLOOKUP($L239,Vloersoorten[],3,FALSE)*VLOOKUP($Y239,Frequenties[],3,FALSE)*VLOOKUP(#REF!,Locaties[],3,FALSE),0)</f>
        <v>0</v>
      </c>
      <c r="AB239" s="87">
        <f>Ruimtestaat[[#This Row],[Uitvoeringen weekend]]*Ruimtestaat[[#This Row],[Oppervlak (netto)]]</f>
        <v>0</v>
      </c>
      <c r="AC239" s="90">
        <f>IF(AB239&gt;0,Ruimtestaat[[#This Row],[Prest. (m2 /jaar) weekend]]/Ruimtestaat[[#This Row],[Norm (m2/uur) weekend]],0)</f>
        <v>0</v>
      </c>
      <c r="AD239" s="91">
        <f>Ruimtestaat[[#This Row],[uren / jaar weekend]]*Tariefsopbouw!$D$40</f>
        <v>0</v>
      </c>
      <c r="AE239" s="60">
        <f>Ruimtestaat[[#This Row],[Prest. (m2 /jaar) weekend]]+Ruimtestaat[[#This Row],[Prest. (m2 /jaar) werkdagen]]</f>
        <v>3847.2000000000003</v>
      </c>
      <c r="AF239" s="60">
        <f>Ruimtestaat[[#This Row],[uren / jaar weekend]]+Ruimtestaat[[#This Row],[uren / jaar werkdagen]]</f>
        <v>0</v>
      </c>
      <c r="AG239" s="61">
        <f>Ruimtestaat[[#This Row],[kosten / jaar weekend]]+Ruimtestaat[[#This Row],[kosten / jaar werkdagen]]</f>
        <v>0</v>
      </c>
      <c r="AH239" s="92"/>
      <c r="HL239" s="59"/>
    </row>
    <row r="240" spans="1:220">
      <c r="A240" s="24">
        <v>2</v>
      </c>
      <c r="B240" s="24" t="str">
        <f>VLOOKUP(Ruimtestaat[[#This Row],[Code]],Locaties[#All],2,FALSE)</f>
        <v>Het Stormink</v>
      </c>
      <c r="C240" s="24" t="str">
        <f>VLOOKUP(Ruimtestaat[[#This Row],[Code]],Locaties[#All],4,FALSE)</f>
        <v>Storminkstraat 1</v>
      </c>
      <c r="D240" s="24" t="str">
        <f>VLOOKUP(Ruimtestaat[[#This Row],[Code]],Locaties[#All],5,FALSE)</f>
        <v>7418 GH</v>
      </c>
      <c r="E240" s="24" t="str">
        <f>VLOOKUP(Ruimtestaat[[#This Row],[Code]],Locaties[#All],6,FALSE)</f>
        <v>Deventer</v>
      </c>
      <c r="F240" s="54"/>
      <c r="G240" s="24" t="s">
        <v>367</v>
      </c>
      <c r="H240" s="24" t="s">
        <v>410</v>
      </c>
      <c r="I240" s="4" t="s">
        <v>394</v>
      </c>
      <c r="J240" s="24">
        <v>22</v>
      </c>
      <c r="K240" s="54" t="str">
        <f>VLOOKUP(J240,Ruimtegroepen[],2,FALSE)</f>
        <v>Niet in onderhoud</v>
      </c>
      <c r="L240" s="24" t="s">
        <v>305</v>
      </c>
      <c r="M240" s="24" t="s">
        <v>668</v>
      </c>
      <c r="N240" s="83"/>
      <c r="O240" s="83">
        <v>18.73</v>
      </c>
      <c r="P240" s="93" t="str">
        <f>LEFT(VLOOKUP(Ruimtestaat[[#This Row],[Ruimte code]],Ruimtegroepen[#All],4,1),2)</f>
        <v/>
      </c>
      <c r="Q240" s="93"/>
      <c r="R240" s="84"/>
      <c r="S240" s="84"/>
      <c r="T240" s="85">
        <f>IF(R240&gt;0,IF(RIGHT(Ruimtestaat[[#This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0" s="85">
        <f>IF(T240&gt;0,VLOOKUP($J240,Ruimtegroepen[],3,FALSE)*VLOOKUP($L240,Vloersoorten[],3,FALSE)*VLOOKUP($S240,Frequenties[],3,FALSE)*VLOOKUP($A240,Locaties[],3,FALSE),0)</f>
        <v>0</v>
      </c>
      <c r="V240" s="86">
        <f>Ruimtestaat[[#This Row],[Uitvoeringen werkdagen]]*Ruimtestaat[[#This Row],[Oppervlak (netto)]]</f>
        <v>0</v>
      </c>
      <c r="W240" s="87">
        <f>IF(U240&gt;0,Ruimtestaat[[#This Row],[Prest. (m2 /jaar) werkdagen]]/Ruimtestaat[[#This Row],[Norm (m2/uur) werkdagen]],0)</f>
        <v>0</v>
      </c>
      <c r="X240" s="88">
        <f>Ruimtestaat[[#This Row],[uren / jaar werkdagen]]*Tariefsopbouw!$E$35</f>
        <v>0</v>
      </c>
      <c r="Y240" s="85"/>
      <c r="Z240" s="89">
        <f>IF(Ruimtestaat[[#This Row],[Frequentie weekend]]&gt;0,VALUE(LEFT(Y240,1))*R240,0)</f>
        <v>0</v>
      </c>
      <c r="AA240" s="85">
        <f>IF($Z240&gt;0,VLOOKUP($J240,Ruimtegroepen[],3,FALSE)*VLOOKUP($L240,Vloersoorten[],3,FALSE)*VLOOKUP($Y240,Frequenties[],3,FALSE)*VLOOKUP(#REF!,Locaties[],3,FALSE),0)</f>
        <v>0</v>
      </c>
      <c r="AB240" s="87">
        <f>Ruimtestaat[[#This Row],[Uitvoeringen weekend]]*Ruimtestaat[[#This Row],[Oppervlak (netto)]]</f>
        <v>0</v>
      </c>
      <c r="AC240" s="90">
        <f>IF(AB240&gt;0,Ruimtestaat[[#This Row],[Prest. (m2 /jaar) weekend]]/Ruimtestaat[[#This Row],[Norm (m2/uur) weekend]],0)</f>
        <v>0</v>
      </c>
      <c r="AD240" s="91">
        <f>Ruimtestaat[[#This Row],[uren / jaar weekend]]*Tariefsopbouw!$D$40</f>
        <v>0</v>
      </c>
      <c r="AE240" s="60">
        <f>Ruimtestaat[[#This Row],[Prest. (m2 /jaar) weekend]]+Ruimtestaat[[#This Row],[Prest. (m2 /jaar) werkdagen]]</f>
        <v>0</v>
      </c>
      <c r="AF240" s="60">
        <f>Ruimtestaat[[#This Row],[uren / jaar weekend]]+Ruimtestaat[[#This Row],[uren / jaar werkdagen]]</f>
        <v>0</v>
      </c>
      <c r="AG240" s="61">
        <f>Ruimtestaat[[#This Row],[kosten / jaar weekend]]+Ruimtestaat[[#This Row],[kosten / jaar werkdagen]]</f>
        <v>0</v>
      </c>
      <c r="AH240" s="92"/>
      <c r="HL240" s="59"/>
    </row>
    <row r="241" spans="1:220">
      <c r="A241" s="24">
        <v>2</v>
      </c>
      <c r="B241" s="24" t="str">
        <f>VLOOKUP(Ruimtestaat[[#This Row],[Code]],Locaties[#All],2,FALSE)</f>
        <v>Het Stormink</v>
      </c>
      <c r="C241" s="24" t="str">
        <f>VLOOKUP(Ruimtestaat[[#This Row],[Code]],Locaties[#All],4,FALSE)</f>
        <v>Storminkstraat 1</v>
      </c>
      <c r="D241" s="24" t="str">
        <f>VLOOKUP(Ruimtestaat[[#This Row],[Code]],Locaties[#All],5,FALSE)</f>
        <v>7418 GH</v>
      </c>
      <c r="E241" s="24" t="str">
        <f>VLOOKUP(Ruimtestaat[[#This Row],[Code]],Locaties[#All],6,FALSE)</f>
        <v>Deventer</v>
      </c>
      <c r="F241" s="54"/>
      <c r="G241" s="24" t="s">
        <v>367</v>
      </c>
      <c r="H241" s="24" t="s">
        <v>412</v>
      </c>
      <c r="I241" s="4" t="s">
        <v>394</v>
      </c>
      <c r="J241" s="24">
        <v>22</v>
      </c>
      <c r="K241" s="54" t="str">
        <f>VLOOKUP(J241,Ruimtegroepen[],2,FALSE)</f>
        <v>Niet in onderhoud</v>
      </c>
      <c r="L241" s="24" t="s">
        <v>305</v>
      </c>
      <c r="M241" s="24" t="s">
        <v>668</v>
      </c>
      <c r="N241" s="83"/>
      <c r="O241" s="83">
        <v>17.309999999999999</v>
      </c>
      <c r="P241" s="93" t="str">
        <f>LEFT(VLOOKUP(Ruimtestaat[[#This Row],[Ruimte code]],Ruimtegroepen[#All],4,1),2)</f>
        <v/>
      </c>
      <c r="Q241" s="93"/>
      <c r="R241" s="84"/>
      <c r="S241" s="84"/>
      <c r="T241" s="85">
        <f>IF(R241&gt;0,IF(RIGHT(Ruimtestaat[[#This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1" s="85">
        <f>IF(T241&gt;0,VLOOKUP($J241,Ruimtegroepen[],3,FALSE)*VLOOKUP($L241,Vloersoorten[],3,FALSE)*VLOOKUP($S241,Frequenties[],3,FALSE)*VLOOKUP($A241,Locaties[],3,FALSE),0)</f>
        <v>0</v>
      </c>
      <c r="V241" s="86">
        <f>Ruimtestaat[[#This Row],[Uitvoeringen werkdagen]]*Ruimtestaat[[#This Row],[Oppervlak (netto)]]</f>
        <v>0</v>
      </c>
      <c r="W241" s="87">
        <f>IF(U241&gt;0,Ruimtestaat[[#This Row],[Prest. (m2 /jaar) werkdagen]]/Ruimtestaat[[#This Row],[Norm (m2/uur) werkdagen]],0)</f>
        <v>0</v>
      </c>
      <c r="X241" s="88">
        <f>Ruimtestaat[[#This Row],[uren / jaar werkdagen]]*Tariefsopbouw!$E$35</f>
        <v>0</v>
      </c>
      <c r="Y241" s="85"/>
      <c r="Z241" s="89">
        <f>IF(Ruimtestaat[[#This Row],[Frequentie weekend]]&gt;0,VALUE(LEFT(Y241,1))*R241,0)</f>
        <v>0</v>
      </c>
      <c r="AA241" s="85">
        <f>IF($Z241&gt;0,VLOOKUP($J241,Ruimtegroepen[],3,FALSE)*VLOOKUP($L241,Vloersoorten[],3,FALSE)*VLOOKUP($Y241,Frequenties[],3,FALSE)*VLOOKUP(#REF!,Locaties[],3,FALSE),0)</f>
        <v>0</v>
      </c>
      <c r="AB241" s="87">
        <f>Ruimtestaat[[#This Row],[Uitvoeringen weekend]]*Ruimtestaat[[#This Row],[Oppervlak (netto)]]</f>
        <v>0</v>
      </c>
      <c r="AC241" s="90">
        <f>IF(AB241&gt;0,Ruimtestaat[[#This Row],[Prest. (m2 /jaar) weekend]]/Ruimtestaat[[#This Row],[Norm (m2/uur) weekend]],0)</f>
        <v>0</v>
      </c>
      <c r="AD241" s="91">
        <f>Ruimtestaat[[#This Row],[uren / jaar weekend]]*Tariefsopbouw!$D$40</f>
        <v>0</v>
      </c>
      <c r="AE241" s="60">
        <f>Ruimtestaat[[#This Row],[Prest. (m2 /jaar) weekend]]+Ruimtestaat[[#This Row],[Prest. (m2 /jaar) werkdagen]]</f>
        <v>0</v>
      </c>
      <c r="AF241" s="60">
        <f>Ruimtestaat[[#This Row],[uren / jaar weekend]]+Ruimtestaat[[#This Row],[uren / jaar werkdagen]]</f>
        <v>0</v>
      </c>
      <c r="AG241" s="61">
        <f>Ruimtestaat[[#This Row],[kosten / jaar weekend]]+Ruimtestaat[[#This Row],[kosten / jaar werkdagen]]</f>
        <v>0</v>
      </c>
      <c r="AH241" s="92"/>
      <c r="HL241" s="59"/>
    </row>
    <row r="242" spans="1:220">
      <c r="A242" s="24">
        <v>2</v>
      </c>
      <c r="B242" s="24" t="str">
        <f>VLOOKUP(Ruimtestaat[[#This Row],[Code]],Locaties[#All],2,FALSE)</f>
        <v>Het Stormink</v>
      </c>
      <c r="C242" s="24" t="str">
        <f>VLOOKUP(Ruimtestaat[[#This Row],[Code]],Locaties[#All],4,FALSE)</f>
        <v>Storminkstraat 1</v>
      </c>
      <c r="D242" s="24" t="str">
        <f>VLOOKUP(Ruimtestaat[[#This Row],[Code]],Locaties[#All],5,FALSE)</f>
        <v>7418 GH</v>
      </c>
      <c r="E242" s="24" t="str">
        <f>VLOOKUP(Ruimtestaat[[#This Row],[Code]],Locaties[#All],6,FALSE)</f>
        <v>Deventer</v>
      </c>
      <c r="F242" s="54"/>
      <c r="G242" s="24" t="s">
        <v>367</v>
      </c>
      <c r="H242" s="24" t="s">
        <v>414</v>
      </c>
      <c r="I242" s="4" t="s">
        <v>394</v>
      </c>
      <c r="J242" s="24">
        <v>22</v>
      </c>
      <c r="K242" s="54" t="str">
        <f>VLOOKUP(J242,Ruimtegroepen[],2,FALSE)</f>
        <v>Niet in onderhoud</v>
      </c>
      <c r="L242" s="24" t="s">
        <v>305</v>
      </c>
      <c r="M242" s="24" t="s">
        <v>668</v>
      </c>
      <c r="N242" s="83"/>
      <c r="O242" s="83">
        <v>19.57</v>
      </c>
      <c r="P242" s="93" t="str">
        <f>LEFT(VLOOKUP(Ruimtestaat[[#This Row],[Ruimte code]],Ruimtegroepen[#All],4,1),2)</f>
        <v/>
      </c>
      <c r="Q242" s="93"/>
      <c r="R242" s="84"/>
      <c r="S242" s="84"/>
      <c r="T242" s="85">
        <f>IF(R242&gt;0,IF(RIGHT(Ruimtestaat[[#This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2" s="85">
        <f>IF(T242&gt;0,VLOOKUP($J242,Ruimtegroepen[],3,FALSE)*VLOOKUP($L242,Vloersoorten[],3,FALSE)*VLOOKUP($S242,Frequenties[],3,FALSE)*VLOOKUP($A242,Locaties[],3,FALSE),0)</f>
        <v>0</v>
      </c>
      <c r="V242" s="86">
        <f>Ruimtestaat[[#This Row],[Uitvoeringen werkdagen]]*Ruimtestaat[[#This Row],[Oppervlak (netto)]]</f>
        <v>0</v>
      </c>
      <c r="W242" s="87">
        <f>IF(U242&gt;0,Ruimtestaat[[#This Row],[Prest. (m2 /jaar) werkdagen]]/Ruimtestaat[[#This Row],[Norm (m2/uur) werkdagen]],0)</f>
        <v>0</v>
      </c>
      <c r="X242" s="88">
        <f>Ruimtestaat[[#This Row],[uren / jaar werkdagen]]*Tariefsopbouw!$E$35</f>
        <v>0</v>
      </c>
      <c r="Y242" s="85"/>
      <c r="Z242" s="89">
        <f>IF(Ruimtestaat[[#This Row],[Frequentie weekend]]&gt;0,VALUE(LEFT(Y242,1))*R242,0)</f>
        <v>0</v>
      </c>
      <c r="AA242" s="85">
        <f>IF($Z242&gt;0,VLOOKUP($J242,Ruimtegroepen[],3,FALSE)*VLOOKUP($L242,Vloersoorten[],3,FALSE)*VLOOKUP($Y242,Frequenties[],3,FALSE)*VLOOKUP(#REF!,Locaties[],3,FALSE),0)</f>
        <v>0</v>
      </c>
      <c r="AB242" s="87">
        <f>Ruimtestaat[[#This Row],[Uitvoeringen weekend]]*Ruimtestaat[[#This Row],[Oppervlak (netto)]]</f>
        <v>0</v>
      </c>
      <c r="AC242" s="90">
        <f>IF(AB242&gt;0,Ruimtestaat[[#This Row],[Prest. (m2 /jaar) weekend]]/Ruimtestaat[[#This Row],[Norm (m2/uur) weekend]],0)</f>
        <v>0</v>
      </c>
      <c r="AD242" s="91">
        <f>Ruimtestaat[[#This Row],[uren / jaar weekend]]*Tariefsopbouw!$D$40</f>
        <v>0</v>
      </c>
      <c r="AE242" s="60">
        <f>Ruimtestaat[[#This Row],[Prest. (m2 /jaar) weekend]]+Ruimtestaat[[#This Row],[Prest. (m2 /jaar) werkdagen]]</f>
        <v>0</v>
      </c>
      <c r="AF242" s="60">
        <f>Ruimtestaat[[#This Row],[uren / jaar weekend]]+Ruimtestaat[[#This Row],[uren / jaar werkdagen]]</f>
        <v>0</v>
      </c>
      <c r="AG242" s="61">
        <f>Ruimtestaat[[#This Row],[kosten / jaar weekend]]+Ruimtestaat[[#This Row],[kosten / jaar werkdagen]]</f>
        <v>0</v>
      </c>
      <c r="AH242" s="92"/>
      <c r="HL242" s="59"/>
    </row>
    <row r="243" spans="1:220">
      <c r="A243" s="24">
        <v>2</v>
      </c>
      <c r="B243" s="24" t="str">
        <f>VLOOKUP(Ruimtestaat[[#This Row],[Code]],Locaties[#All],2,FALSE)</f>
        <v>Het Stormink</v>
      </c>
      <c r="C243" s="24" t="str">
        <f>VLOOKUP(Ruimtestaat[[#This Row],[Code]],Locaties[#All],4,FALSE)</f>
        <v>Storminkstraat 1</v>
      </c>
      <c r="D243" s="24" t="str">
        <f>VLOOKUP(Ruimtestaat[[#This Row],[Code]],Locaties[#All],5,FALSE)</f>
        <v>7418 GH</v>
      </c>
      <c r="E243" s="24" t="str">
        <f>VLOOKUP(Ruimtestaat[[#This Row],[Code]],Locaties[#All],6,FALSE)</f>
        <v>Deventer</v>
      </c>
      <c r="F243" s="54"/>
      <c r="G243" s="24" t="s">
        <v>367</v>
      </c>
      <c r="H243" s="24" t="s">
        <v>676</v>
      </c>
      <c r="I243" s="4" t="s">
        <v>375</v>
      </c>
      <c r="J243" s="24">
        <v>22</v>
      </c>
      <c r="K243" s="54" t="str">
        <f>VLOOKUP(J243,Ruimtegroepen[],2,FALSE)</f>
        <v>Niet in onderhoud</v>
      </c>
      <c r="L243" s="24" t="s">
        <v>300</v>
      </c>
      <c r="M243" s="24" t="s">
        <v>157</v>
      </c>
      <c r="N243" s="83"/>
      <c r="O243" s="83">
        <v>1.82</v>
      </c>
      <c r="P243" s="93" t="str">
        <f>LEFT(VLOOKUP(Ruimtestaat[[#This Row],[Ruimte code]],Ruimtegroepen[#All],4,1),2)</f>
        <v/>
      </c>
      <c r="Q243" s="93"/>
      <c r="R243" s="84"/>
      <c r="S243" s="84"/>
      <c r="T243" s="85">
        <f>IF(R243&gt;0,IF(RIGHT(Ruimtestaat[[#This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3" s="85">
        <f>IF(T243&gt;0,VLOOKUP($J243,Ruimtegroepen[],3,FALSE)*VLOOKUP($L243,Vloersoorten[],3,FALSE)*VLOOKUP($S243,Frequenties[],3,FALSE)*VLOOKUP($A243,Locaties[],3,FALSE),0)</f>
        <v>0</v>
      </c>
      <c r="V243" s="86">
        <f>Ruimtestaat[[#This Row],[Uitvoeringen werkdagen]]*Ruimtestaat[[#This Row],[Oppervlak (netto)]]</f>
        <v>0</v>
      </c>
      <c r="W243" s="87">
        <f>IF(U243&gt;0,Ruimtestaat[[#This Row],[Prest. (m2 /jaar) werkdagen]]/Ruimtestaat[[#This Row],[Norm (m2/uur) werkdagen]],0)</f>
        <v>0</v>
      </c>
      <c r="X243" s="88">
        <f>Ruimtestaat[[#This Row],[uren / jaar werkdagen]]*Tariefsopbouw!$E$35</f>
        <v>0</v>
      </c>
      <c r="Y243" s="85"/>
      <c r="Z243" s="89">
        <f>IF(Ruimtestaat[[#This Row],[Frequentie weekend]]&gt;0,VALUE(LEFT(Y243,1))*R243,0)</f>
        <v>0</v>
      </c>
      <c r="AA243" s="85">
        <f>IF($Z243&gt;0,VLOOKUP($J243,Ruimtegroepen[],3,FALSE)*VLOOKUP($L243,Vloersoorten[],3,FALSE)*VLOOKUP($Y243,Frequenties[],3,FALSE)*VLOOKUP(#REF!,Locaties[],3,FALSE),0)</f>
        <v>0</v>
      </c>
      <c r="AB243" s="87">
        <f>Ruimtestaat[[#This Row],[Uitvoeringen weekend]]*Ruimtestaat[[#This Row],[Oppervlak (netto)]]</f>
        <v>0</v>
      </c>
      <c r="AC243" s="90">
        <f>IF(AB243&gt;0,Ruimtestaat[[#This Row],[Prest. (m2 /jaar) weekend]]/Ruimtestaat[[#This Row],[Norm (m2/uur) weekend]],0)</f>
        <v>0</v>
      </c>
      <c r="AD243" s="91">
        <f>Ruimtestaat[[#This Row],[uren / jaar weekend]]*Tariefsopbouw!$D$40</f>
        <v>0</v>
      </c>
      <c r="AE243" s="60">
        <f>Ruimtestaat[[#This Row],[Prest. (m2 /jaar) weekend]]+Ruimtestaat[[#This Row],[Prest. (m2 /jaar) werkdagen]]</f>
        <v>0</v>
      </c>
      <c r="AF243" s="60">
        <f>Ruimtestaat[[#This Row],[uren / jaar weekend]]+Ruimtestaat[[#This Row],[uren / jaar werkdagen]]</f>
        <v>0</v>
      </c>
      <c r="AG243" s="61">
        <f>Ruimtestaat[[#This Row],[kosten / jaar weekend]]+Ruimtestaat[[#This Row],[kosten / jaar werkdagen]]</f>
        <v>0</v>
      </c>
      <c r="AH243" s="92"/>
      <c r="HL243" s="59"/>
    </row>
    <row r="244" spans="1:220">
      <c r="A244" s="24">
        <v>2</v>
      </c>
      <c r="B244" s="24" t="str">
        <f>VLOOKUP(Ruimtestaat[[#This Row],[Code]],Locaties[#All],2,FALSE)</f>
        <v>Het Stormink</v>
      </c>
      <c r="C244" s="24" t="str">
        <f>VLOOKUP(Ruimtestaat[[#This Row],[Code]],Locaties[#All],4,FALSE)</f>
        <v>Storminkstraat 1</v>
      </c>
      <c r="D244" s="24" t="str">
        <f>VLOOKUP(Ruimtestaat[[#This Row],[Code]],Locaties[#All],5,FALSE)</f>
        <v>7418 GH</v>
      </c>
      <c r="E244" s="24" t="str">
        <f>VLOOKUP(Ruimtestaat[[#This Row],[Code]],Locaties[#All],6,FALSE)</f>
        <v>Deventer</v>
      </c>
      <c r="F244" s="54"/>
      <c r="G244" s="24" t="s">
        <v>367</v>
      </c>
      <c r="H244" s="24" t="s">
        <v>417</v>
      </c>
      <c r="I244" s="4" t="s">
        <v>677</v>
      </c>
      <c r="J244" s="24">
        <v>2</v>
      </c>
      <c r="K244" s="54" t="str">
        <f>VLOOKUP(J244,Ruimtegroepen[],2,FALSE)</f>
        <v>Kantoren</v>
      </c>
      <c r="L244" s="24" t="s">
        <v>300</v>
      </c>
      <c r="M244" s="24" t="s">
        <v>157</v>
      </c>
      <c r="N244" s="83">
        <v>35.299999999999997</v>
      </c>
      <c r="O244" s="83"/>
      <c r="P244" s="93" t="str">
        <f>LEFT(VLOOKUP(Ruimtestaat[[#This Row],[Ruimte code]],Ruimtegroepen[#All],4,1),2)</f>
        <v>Bu</v>
      </c>
      <c r="Q244" s="93"/>
      <c r="R244" s="84">
        <v>42</v>
      </c>
      <c r="S244" s="84" t="s">
        <v>322</v>
      </c>
      <c r="T244" s="85">
        <f>IF(R244&gt;0,IF(RIGHT(Ruimtestaat[[#This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44" s="85">
        <f>IF(T244&gt;0,VLOOKUP($J244,Ruimtegroepen[],3,FALSE)*VLOOKUP($L244,Vloersoorten[],3,FALSE)*VLOOKUP($S244,Frequenties[],3,FALSE)*VLOOKUP($A244,Locaties[],3,FALSE),0)</f>
        <v>0</v>
      </c>
      <c r="V244" s="86">
        <f>Ruimtestaat[[#This Row],[Uitvoeringen werkdagen]]*Ruimtestaat[[#This Row],[Oppervlak (netto)]]</f>
        <v>4447.7999999999993</v>
      </c>
      <c r="W244" s="87">
        <f>IF(U244&gt;0,Ruimtestaat[[#This Row],[Prest. (m2 /jaar) werkdagen]]/Ruimtestaat[[#This Row],[Norm (m2/uur) werkdagen]],0)</f>
        <v>0</v>
      </c>
      <c r="X244" s="88">
        <f>Ruimtestaat[[#This Row],[uren / jaar werkdagen]]*Tariefsopbouw!$E$35</f>
        <v>0</v>
      </c>
      <c r="Y244" s="85"/>
      <c r="Z244" s="89">
        <f>IF(Ruimtestaat[[#This Row],[Frequentie weekend]]&gt;0,VALUE(LEFT(Y244,1))*R244,0)</f>
        <v>0</v>
      </c>
      <c r="AA244" s="85">
        <f>IF($Z244&gt;0,VLOOKUP($J244,Ruimtegroepen[],3,FALSE)*VLOOKUP($L244,Vloersoorten[],3,FALSE)*VLOOKUP($Y244,Frequenties[],3,FALSE)*VLOOKUP(#REF!,Locaties[],3,FALSE),0)</f>
        <v>0</v>
      </c>
      <c r="AB244" s="87">
        <f>Ruimtestaat[[#This Row],[Uitvoeringen weekend]]*Ruimtestaat[[#This Row],[Oppervlak (netto)]]</f>
        <v>0</v>
      </c>
      <c r="AC244" s="90">
        <f>IF(AB244&gt;0,Ruimtestaat[[#This Row],[Prest. (m2 /jaar) weekend]]/Ruimtestaat[[#This Row],[Norm (m2/uur) weekend]],0)</f>
        <v>0</v>
      </c>
      <c r="AD244" s="91">
        <f>Ruimtestaat[[#This Row],[uren / jaar weekend]]*Tariefsopbouw!$D$40</f>
        <v>0</v>
      </c>
      <c r="AE244" s="60">
        <f>Ruimtestaat[[#This Row],[Prest. (m2 /jaar) weekend]]+Ruimtestaat[[#This Row],[Prest. (m2 /jaar) werkdagen]]</f>
        <v>4447.7999999999993</v>
      </c>
      <c r="AF244" s="60">
        <f>Ruimtestaat[[#This Row],[uren / jaar weekend]]+Ruimtestaat[[#This Row],[uren / jaar werkdagen]]</f>
        <v>0</v>
      </c>
      <c r="AG244" s="61">
        <f>Ruimtestaat[[#This Row],[kosten / jaar weekend]]+Ruimtestaat[[#This Row],[kosten / jaar werkdagen]]</f>
        <v>0</v>
      </c>
      <c r="AH244" s="92"/>
      <c r="HL244" s="59"/>
    </row>
    <row r="245" spans="1:220">
      <c r="A245" s="24">
        <v>2</v>
      </c>
      <c r="B245" s="24" t="str">
        <f>VLOOKUP(Ruimtestaat[[#This Row],[Code]],Locaties[#All],2,FALSE)</f>
        <v>Het Stormink</v>
      </c>
      <c r="C245" s="24" t="str">
        <f>VLOOKUP(Ruimtestaat[[#This Row],[Code]],Locaties[#All],4,FALSE)</f>
        <v>Storminkstraat 1</v>
      </c>
      <c r="D245" s="24" t="str">
        <f>VLOOKUP(Ruimtestaat[[#This Row],[Code]],Locaties[#All],5,FALSE)</f>
        <v>7418 GH</v>
      </c>
      <c r="E245" s="24" t="str">
        <f>VLOOKUP(Ruimtestaat[[#This Row],[Code]],Locaties[#All],6,FALSE)</f>
        <v>Deventer</v>
      </c>
      <c r="F245" s="54"/>
      <c r="G245" s="24" t="s">
        <v>367</v>
      </c>
      <c r="H245" s="24" t="s">
        <v>678</v>
      </c>
      <c r="I245" s="4" t="s">
        <v>375</v>
      </c>
      <c r="J245" s="24">
        <v>22</v>
      </c>
      <c r="K245" s="54" t="str">
        <f>VLOOKUP(J245,Ruimtegroepen[],2,FALSE)</f>
        <v>Niet in onderhoud</v>
      </c>
      <c r="L245" s="24" t="s">
        <v>300</v>
      </c>
      <c r="M245" s="24" t="s">
        <v>157</v>
      </c>
      <c r="N245" s="83"/>
      <c r="O245" s="83">
        <v>1.82</v>
      </c>
      <c r="P245" s="93" t="str">
        <f>LEFT(VLOOKUP(Ruimtestaat[[#This Row],[Ruimte code]],Ruimtegroepen[#All],4,1),2)</f>
        <v/>
      </c>
      <c r="Q245" s="93"/>
      <c r="R245" s="84"/>
      <c r="S245" s="84"/>
      <c r="T245" s="85">
        <f>IF(R245&gt;0,IF(RIGHT(Ruimtestaat[[#This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5" s="85">
        <f>IF(T245&gt;0,VLOOKUP($J245,Ruimtegroepen[],3,FALSE)*VLOOKUP($L245,Vloersoorten[],3,FALSE)*VLOOKUP($S245,Frequenties[],3,FALSE)*VLOOKUP($A245,Locaties[],3,FALSE),0)</f>
        <v>0</v>
      </c>
      <c r="V245" s="86">
        <f>Ruimtestaat[[#This Row],[Uitvoeringen werkdagen]]*Ruimtestaat[[#This Row],[Oppervlak (netto)]]</f>
        <v>0</v>
      </c>
      <c r="W245" s="87">
        <f>IF(U245&gt;0,Ruimtestaat[[#This Row],[Prest. (m2 /jaar) werkdagen]]/Ruimtestaat[[#This Row],[Norm (m2/uur) werkdagen]],0)</f>
        <v>0</v>
      </c>
      <c r="X245" s="88">
        <f>Ruimtestaat[[#This Row],[uren / jaar werkdagen]]*Tariefsopbouw!$E$35</f>
        <v>0</v>
      </c>
      <c r="Y245" s="85"/>
      <c r="Z245" s="89">
        <f>IF(Ruimtestaat[[#This Row],[Frequentie weekend]]&gt;0,VALUE(LEFT(Y245,1))*R245,0)</f>
        <v>0</v>
      </c>
      <c r="AA245" s="85">
        <f>IF($Z245&gt;0,VLOOKUP($J245,Ruimtegroepen[],3,FALSE)*VLOOKUP($L245,Vloersoorten[],3,FALSE)*VLOOKUP($Y245,Frequenties[],3,FALSE)*VLOOKUP(#REF!,Locaties[],3,FALSE),0)</f>
        <v>0</v>
      </c>
      <c r="AB245" s="87">
        <f>Ruimtestaat[[#This Row],[Uitvoeringen weekend]]*Ruimtestaat[[#This Row],[Oppervlak (netto)]]</f>
        <v>0</v>
      </c>
      <c r="AC245" s="90">
        <f>IF(AB245&gt;0,Ruimtestaat[[#This Row],[Prest. (m2 /jaar) weekend]]/Ruimtestaat[[#This Row],[Norm (m2/uur) weekend]],0)</f>
        <v>0</v>
      </c>
      <c r="AD245" s="91">
        <f>Ruimtestaat[[#This Row],[uren / jaar weekend]]*Tariefsopbouw!$D$40</f>
        <v>0</v>
      </c>
      <c r="AE245" s="60">
        <f>Ruimtestaat[[#This Row],[Prest. (m2 /jaar) weekend]]+Ruimtestaat[[#This Row],[Prest. (m2 /jaar) werkdagen]]</f>
        <v>0</v>
      </c>
      <c r="AF245" s="60">
        <f>Ruimtestaat[[#This Row],[uren / jaar weekend]]+Ruimtestaat[[#This Row],[uren / jaar werkdagen]]</f>
        <v>0</v>
      </c>
      <c r="AG245" s="61">
        <f>Ruimtestaat[[#This Row],[kosten / jaar weekend]]+Ruimtestaat[[#This Row],[kosten / jaar werkdagen]]</f>
        <v>0</v>
      </c>
      <c r="AH245" s="92"/>
      <c r="HL245" s="59"/>
    </row>
    <row r="246" spans="1:220">
      <c r="A246" s="24">
        <v>2</v>
      </c>
      <c r="B246" s="24" t="str">
        <f>VLOOKUP(Ruimtestaat[[#This Row],[Code]],Locaties[#All],2,FALSE)</f>
        <v>Het Stormink</v>
      </c>
      <c r="C246" s="24" t="str">
        <f>VLOOKUP(Ruimtestaat[[#This Row],[Code]],Locaties[#All],4,FALSE)</f>
        <v>Storminkstraat 1</v>
      </c>
      <c r="D246" s="24" t="str">
        <f>VLOOKUP(Ruimtestaat[[#This Row],[Code]],Locaties[#All],5,FALSE)</f>
        <v>7418 GH</v>
      </c>
      <c r="E246" s="24" t="str">
        <f>VLOOKUP(Ruimtestaat[[#This Row],[Code]],Locaties[#All],6,FALSE)</f>
        <v>Deventer</v>
      </c>
      <c r="F246" s="54"/>
      <c r="G246" s="24" t="s">
        <v>367</v>
      </c>
      <c r="H246" s="24" t="s">
        <v>418</v>
      </c>
      <c r="I246" s="4" t="s">
        <v>679</v>
      </c>
      <c r="J246" s="24">
        <v>7</v>
      </c>
      <c r="K246" s="54" t="str">
        <f>VLOOKUP(J246,Ruimtegroepen[],2,FALSE)</f>
        <v>Entree</v>
      </c>
      <c r="L246" s="24" t="s">
        <v>300</v>
      </c>
      <c r="M246" s="24" t="s">
        <v>157</v>
      </c>
      <c r="N246" s="83">
        <v>17.87</v>
      </c>
      <c r="O246" s="83"/>
      <c r="P246" s="93" t="str">
        <f>LEFT(VLOOKUP(Ruimtestaat[[#This Row],[Ruimte code]],Ruimtegroepen[#All],4,1),2)</f>
        <v>Ve</v>
      </c>
      <c r="Q246" s="93"/>
      <c r="R246" s="84">
        <v>40</v>
      </c>
      <c r="S246" s="84" t="s">
        <v>318</v>
      </c>
      <c r="T246" s="85">
        <f>IF(R246&gt;0,IF(RIGHT(Ruimtestaat[[#This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6" s="85">
        <f>IF(T246&gt;0,VLOOKUP($J246,Ruimtegroepen[],3,FALSE)*VLOOKUP($L246,Vloersoorten[],3,FALSE)*VLOOKUP($S246,Frequenties[],3,FALSE)*VLOOKUP($A246,Locaties[],3,FALSE),0)</f>
        <v>0</v>
      </c>
      <c r="V246" s="86">
        <f>Ruimtestaat[[#This Row],[Uitvoeringen werkdagen]]*Ruimtestaat[[#This Row],[Oppervlak (netto)]]</f>
        <v>3574</v>
      </c>
      <c r="W246" s="87">
        <f>IF(U246&gt;0,Ruimtestaat[[#This Row],[Prest. (m2 /jaar) werkdagen]]/Ruimtestaat[[#This Row],[Norm (m2/uur) werkdagen]],0)</f>
        <v>0</v>
      </c>
      <c r="X246" s="88">
        <f>Ruimtestaat[[#This Row],[uren / jaar werkdagen]]*Tariefsopbouw!$E$35</f>
        <v>0</v>
      </c>
      <c r="Y246" s="85"/>
      <c r="Z246" s="89">
        <f>IF(Ruimtestaat[[#This Row],[Frequentie weekend]]&gt;0,VALUE(LEFT(Y246,1))*R246,0)</f>
        <v>0</v>
      </c>
      <c r="AA246" s="85">
        <f>IF($Z246&gt;0,VLOOKUP($J246,Ruimtegroepen[],3,FALSE)*VLOOKUP($L246,Vloersoorten[],3,FALSE)*VLOOKUP($Y246,Frequenties[],3,FALSE)*VLOOKUP(#REF!,Locaties[],3,FALSE),0)</f>
        <v>0</v>
      </c>
      <c r="AB246" s="87">
        <f>Ruimtestaat[[#This Row],[Uitvoeringen weekend]]*Ruimtestaat[[#This Row],[Oppervlak (netto)]]</f>
        <v>0</v>
      </c>
      <c r="AC246" s="90">
        <f>IF(AB246&gt;0,Ruimtestaat[[#This Row],[Prest. (m2 /jaar) weekend]]/Ruimtestaat[[#This Row],[Norm (m2/uur) weekend]],0)</f>
        <v>0</v>
      </c>
      <c r="AD246" s="91">
        <f>Ruimtestaat[[#This Row],[uren / jaar weekend]]*Tariefsopbouw!$D$40</f>
        <v>0</v>
      </c>
      <c r="AE246" s="60">
        <f>Ruimtestaat[[#This Row],[Prest. (m2 /jaar) weekend]]+Ruimtestaat[[#This Row],[Prest. (m2 /jaar) werkdagen]]</f>
        <v>3574</v>
      </c>
      <c r="AF246" s="60">
        <f>Ruimtestaat[[#This Row],[uren / jaar weekend]]+Ruimtestaat[[#This Row],[uren / jaar werkdagen]]</f>
        <v>0</v>
      </c>
      <c r="AG246" s="61">
        <f>Ruimtestaat[[#This Row],[kosten / jaar weekend]]+Ruimtestaat[[#This Row],[kosten / jaar werkdagen]]</f>
        <v>0</v>
      </c>
      <c r="AH246" s="92"/>
      <c r="HL246" s="59"/>
    </row>
    <row r="247" spans="1:220">
      <c r="A247" s="24">
        <v>2</v>
      </c>
      <c r="B247" s="24" t="str">
        <f>VLOOKUP(Ruimtestaat[[#This Row],[Code]],Locaties[#All],2,FALSE)</f>
        <v>Het Stormink</v>
      </c>
      <c r="C247" s="24" t="str">
        <f>VLOOKUP(Ruimtestaat[[#This Row],[Code]],Locaties[#All],4,FALSE)</f>
        <v>Storminkstraat 1</v>
      </c>
      <c r="D247" s="24" t="str">
        <f>VLOOKUP(Ruimtestaat[[#This Row],[Code]],Locaties[#All],5,FALSE)</f>
        <v>7418 GH</v>
      </c>
      <c r="E247" s="24" t="str">
        <f>VLOOKUP(Ruimtestaat[[#This Row],[Code]],Locaties[#All],6,FALSE)</f>
        <v>Deventer</v>
      </c>
      <c r="F247" s="54"/>
      <c r="G247" s="24" t="s">
        <v>367</v>
      </c>
      <c r="H247" s="24" t="s">
        <v>425</v>
      </c>
      <c r="I247" s="4" t="s">
        <v>680</v>
      </c>
      <c r="J247" s="24">
        <v>5</v>
      </c>
      <c r="K247" s="54" t="str">
        <f>VLOOKUP(J247,Ruimtegroepen[],2,FALSE)</f>
        <v>Sanitair</v>
      </c>
      <c r="L247" s="24" t="s">
        <v>300</v>
      </c>
      <c r="M247" s="24" t="s">
        <v>157</v>
      </c>
      <c r="N247" s="83">
        <v>5.28</v>
      </c>
      <c r="O247" s="83"/>
      <c r="P247" s="93" t="str">
        <f>LEFT(VLOOKUP(Ruimtestaat[[#This Row],[Ruimte code]],Ruimtegroepen[#All],4,1),2)</f>
        <v>Sa</v>
      </c>
      <c r="Q247" s="93"/>
      <c r="R247" s="84">
        <v>42</v>
      </c>
      <c r="S247" s="84" t="s">
        <v>316</v>
      </c>
      <c r="T247" s="85">
        <f>IF(R247&gt;0,IF(RIGHT(Ruimtestaat[[#This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47" s="85">
        <f>IF(T247&gt;0,VLOOKUP($J247,Ruimtegroepen[],3,FALSE)*VLOOKUP($L247,Vloersoorten[],3,FALSE)*VLOOKUP($S247,Frequenties[],3,FALSE)*VLOOKUP($A247,Locaties[],3,FALSE),0)</f>
        <v>0</v>
      </c>
      <c r="V247" s="86">
        <f>Ruimtestaat[[#This Row],[Uitvoeringen werkdagen]]*Ruimtestaat[[#This Row],[Oppervlak (netto)]]</f>
        <v>2217.6</v>
      </c>
      <c r="W247" s="87">
        <f>IF(U247&gt;0,Ruimtestaat[[#This Row],[Prest. (m2 /jaar) werkdagen]]/Ruimtestaat[[#This Row],[Norm (m2/uur) werkdagen]],0)</f>
        <v>0</v>
      </c>
      <c r="X247" s="88">
        <f>Ruimtestaat[[#This Row],[uren / jaar werkdagen]]*Tariefsopbouw!$E$35</f>
        <v>0</v>
      </c>
      <c r="Y247" s="85"/>
      <c r="Z247" s="89">
        <f>IF(Ruimtestaat[[#This Row],[Frequentie weekend]]&gt;0,VALUE(LEFT(Y247,1))*R247,0)</f>
        <v>0</v>
      </c>
      <c r="AA247" s="85">
        <f>IF($Z247&gt;0,VLOOKUP($J247,Ruimtegroepen[],3,FALSE)*VLOOKUP($L247,Vloersoorten[],3,FALSE)*VLOOKUP($Y247,Frequenties[],3,FALSE)*VLOOKUP(#REF!,Locaties[],3,FALSE),0)</f>
        <v>0</v>
      </c>
      <c r="AB247" s="87">
        <f>Ruimtestaat[[#This Row],[Uitvoeringen weekend]]*Ruimtestaat[[#This Row],[Oppervlak (netto)]]</f>
        <v>0</v>
      </c>
      <c r="AC247" s="90">
        <f>IF(AB247&gt;0,Ruimtestaat[[#This Row],[Prest. (m2 /jaar) weekend]]/Ruimtestaat[[#This Row],[Norm (m2/uur) weekend]],0)</f>
        <v>0</v>
      </c>
      <c r="AD247" s="91">
        <f>Ruimtestaat[[#This Row],[uren / jaar weekend]]*Tariefsopbouw!$D$40</f>
        <v>0</v>
      </c>
      <c r="AE247" s="60">
        <f>Ruimtestaat[[#This Row],[Prest. (m2 /jaar) weekend]]+Ruimtestaat[[#This Row],[Prest. (m2 /jaar) werkdagen]]</f>
        <v>2217.6</v>
      </c>
      <c r="AF247" s="60">
        <f>Ruimtestaat[[#This Row],[uren / jaar weekend]]+Ruimtestaat[[#This Row],[uren / jaar werkdagen]]</f>
        <v>0</v>
      </c>
      <c r="AG247" s="61">
        <f>Ruimtestaat[[#This Row],[kosten / jaar weekend]]+Ruimtestaat[[#This Row],[kosten / jaar werkdagen]]</f>
        <v>0</v>
      </c>
      <c r="AH247" s="92"/>
      <c r="HL247" s="59"/>
    </row>
    <row r="248" spans="1:220">
      <c r="A248" s="24">
        <v>2</v>
      </c>
      <c r="B248" s="24" t="str">
        <f>VLOOKUP(Ruimtestaat[[#This Row],[Code]],Locaties[#All],2,FALSE)</f>
        <v>Het Stormink</v>
      </c>
      <c r="C248" s="24" t="str">
        <f>VLOOKUP(Ruimtestaat[[#This Row],[Code]],Locaties[#All],4,FALSE)</f>
        <v>Storminkstraat 1</v>
      </c>
      <c r="D248" s="24" t="str">
        <f>VLOOKUP(Ruimtestaat[[#This Row],[Code]],Locaties[#All],5,FALSE)</f>
        <v>7418 GH</v>
      </c>
      <c r="E248" s="24" t="str">
        <f>VLOOKUP(Ruimtestaat[[#This Row],[Code]],Locaties[#All],6,FALSE)</f>
        <v>Deventer</v>
      </c>
      <c r="F248" s="54"/>
      <c r="G248" s="24" t="s">
        <v>367</v>
      </c>
      <c r="H248" s="24" t="s">
        <v>428</v>
      </c>
      <c r="I248" s="4" t="s">
        <v>681</v>
      </c>
      <c r="J248" s="24">
        <v>22</v>
      </c>
      <c r="K248" s="54" t="str">
        <f>VLOOKUP(J248,Ruimtegroepen[],2,FALSE)</f>
        <v>Niet in onderhoud</v>
      </c>
      <c r="L248" s="24" t="s">
        <v>300</v>
      </c>
      <c r="M248" s="24" t="s">
        <v>157</v>
      </c>
      <c r="N248" s="83"/>
      <c r="O248" s="83">
        <v>4.0599999999999996</v>
      </c>
      <c r="P248" s="93" t="str">
        <f>LEFT(VLOOKUP(Ruimtestaat[[#This Row],[Ruimte code]],Ruimtegroepen[#All],4,1),2)</f>
        <v/>
      </c>
      <c r="Q248" s="93"/>
      <c r="R248" s="84"/>
      <c r="S248" s="84"/>
      <c r="T248" s="85">
        <f>IF(R248&gt;0,IF(RIGHT(Ruimtestaat[[#This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8" s="85">
        <f>IF(T248&gt;0,VLOOKUP($J248,Ruimtegroepen[],3,FALSE)*VLOOKUP($L248,Vloersoorten[],3,FALSE)*VLOOKUP($S248,Frequenties[],3,FALSE)*VLOOKUP($A248,Locaties[],3,FALSE),0)</f>
        <v>0</v>
      </c>
      <c r="V248" s="86">
        <f>Ruimtestaat[[#This Row],[Uitvoeringen werkdagen]]*Ruimtestaat[[#This Row],[Oppervlak (netto)]]</f>
        <v>0</v>
      </c>
      <c r="W248" s="87">
        <f>IF(U248&gt;0,Ruimtestaat[[#This Row],[Prest. (m2 /jaar) werkdagen]]/Ruimtestaat[[#This Row],[Norm (m2/uur) werkdagen]],0)</f>
        <v>0</v>
      </c>
      <c r="X248" s="88">
        <f>Ruimtestaat[[#This Row],[uren / jaar werkdagen]]*Tariefsopbouw!$E$35</f>
        <v>0</v>
      </c>
      <c r="Y248" s="85"/>
      <c r="Z248" s="89">
        <f>IF(Ruimtestaat[[#This Row],[Frequentie weekend]]&gt;0,VALUE(LEFT(Y248,1))*R248,0)</f>
        <v>0</v>
      </c>
      <c r="AA248" s="85">
        <f>IF($Z248&gt;0,VLOOKUP($J248,Ruimtegroepen[],3,FALSE)*VLOOKUP($L248,Vloersoorten[],3,FALSE)*VLOOKUP($Y248,Frequenties[],3,FALSE)*VLOOKUP(#REF!,Locaties[],3,FALSE),0)</f>
        <v>0</v>
      </c>
      <c r="AB248" s="87">
        <f>Ruimtestaat[[#This Row],[Uitvoeringen weekend]]*Ruimtestaat[[#This Row],[Oppervlak (netto)]]</f>
        <v>0</v>
      </c>
      <c r="AC248" s="90">
        <f>IF(AB248&gt;0,Ruimtestaat[[#This Row],[Prest. (m2 /jaar) weekend]]/Ruimtestaat[[#This Row],[Norm (m2/uur) weekend]],0)</f>
        <v>0</v>
      </c>
      <c r="AD248" s="91">
        <f>Ruimtestaat[[#This Row],[uren / jaar weekend]]*Tariefsopbouw!$D$40</f>
        <v>0</v>
      </c>
      <c r="AE248" s="60">
        <f>Ruimtestaat[[#This Row],[Prest. (m2 /jaar) weekend]]+Ruimtestaat[[#This Row],[Prest. (m2 /jaar) werkdagen]]</f>
        <v>0</v>
      </c>
      <c r="AF248" s="60">
        <f>Ruimtestaat[[#This Row],[uren / jaar weekend]]+Ruimtestaat[[#This Row],[uren / jaar werkdagen]]</f>
        <v>0</v>
      </c>
      <c r="AG248" s="61">
        <f>Ruimtestaat[[#This Row],[kosten / jaar weekend]]+Ruimtestaat[[#This Row],[kosten / jaar werkdagen]]</f>
        <v>0</v>
      </c>
      <c r="AH248" s="92"/>
      <c r="HL248" s="59"/>
    </row>
    <row r="249" spans="1:220">
      <c r="A249" s="24">
        <v>2</v>
      </c>
      <c r="B249" s="24" t="str">
        <f>VLOOKUP(Ruimtestaat[[#This Row],[Code]],Locaties[#All],2,FALSE)</f>
        <v>Het Stormink</v>
      </c>
      <c r="C249" s="24" t="str">
        <f>VLOOKUP(Ruimtestaat[[#This Row],[Code]],Locaties[#All],4,FALSE)</f>
        <v>Storminkstraat 1</v>
      </c>
      <c r="D249" s="24" t="str">
        <f>VLOOKUP(Ruimtestaat[[#This Row],[Code]],Locaties[#All],5,FALSE)</f>
        <v>7418 GH</v>
      </c>
      <c r="E249" s="24" t="str">
        <f>VLOOKUP(Ruimtestaat[[#This Row],[Code]],Locaties[#All],6,FALSE)</f>
        <v>Deventer</v>
      </c>
      <c r="F249" s="54"/>
      <c r="G249" s="24" t="s">
        <v>367</v>
      </c>
      <c r="H249" s="24" t="s">
        <v>429</v>
      </c>
      <c r="I249" s="4" t="s">
        <v>682</v>
      </c>
      <c r="J249" s="24">
        <v>22</v>
      </c>
      <c r="K249" s="54" t="str">
        <f>VLOOKUP(J249,Ruimtegroepen[],2,FALSE)</f>
        <v>Niet in onderhoud</v>
      </c>
      <c r="L249" s="24" t="s">
        <v>300</v>
      </c>
      <c r="M249" s="24" t="s">
        <v>157</v>
      </c>
      <c r="N249" s="83"/>
      <c r="O249" s="83">
        <v>1.5</v>
      </c>
      <c r="P249" s="93" t="str">
        <f>LEFT(VLOOKUP(Ruimtestaat[[#This Row],[Ruimte code]],Ruimtegroepen[#All],4,1),2)</f>
        <v/>
      </c>
      <c r="Q249" s="93"/>
      <c r="R249" s="84"/>
      <c r="S249" s="84"/>
      <c r="T249" s="85">
        <f>IF(R249&gt;0,IF(RIGHT(Ruimtestaat[[#This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9" s="85">
        <f>IF(T249&gt;0,VLOOKUP($J249,Ruimtegroepen[],3,FALSE)*VLOOKUP($L249,Vloersoorten[],3,FALSE)*VLOOKUP($S249,Frequenties[],3,FALSE)*VLOOKUP($A249,Locaties[],3,FALSE),0)</f>
        <v>0</v>
      </c>
      <c r="V249" s="86">
        <f>Ruimtestaat[[#This Row],[Uitvoeringen werkdagen]]*Ruimtestaat[[#This Row],[Oppervlak (netto)]]</f>
        <v>0</v>
      </c>
      <c r="W249" s="87">
        <f>IF(U249&gt;0,Ruimtestaat[[#This Row],[Prest. (m2 /jaar) werkdagen]]/Ruimtestaat[[#This Row],[Norm (m2/uur) werkdagen]],0)</f>
        <v>0</v>
      </c>
      <c r="X249" s="88">
        <f>Ruimtestaat[[#This Row],[uren / jaar werkdagen]]*Tariefsopbouw!$E$35</f>
        <v>0</v>
      </c>
      <c r="Y249" s="85"/>
      <c r="Z249" s="89">
        <f>IF(Ruimtestaat[[#This Row],[Frequentie weekend]]&gt;0,VALUE(LEFT(Y249,1))*R249,0)</f>
        <v>0</v>
      </c>
      <c r="AA249" s="85">
        <f>IF($Z249&gt;0,VLOOKUP($J249,Ruimtegroepen[],3,FALSE)*VLOOKUP($L249,Vloersoorten[],3,FALSE)*VLOOKUP($Y249,Frequenties[],3,FALSE)*VLOOKUP(#REF!,Locaties[],3,FALSE),0)</f>
        <v>0</v>
      </c>
      <c r="AB249" s="87">
        <f>Ruimtestaat[[#This Row],[Uitvoeringen weekend]]*Ruimtestaat[[#This Row],[Oppervlak (netto)]]</f>
        <v>0</v>
      </c>
      <c r="AC249" s="90">
        <f>IF(AB249&gt;0,Ruimtestaat[[#This Row],[Prest. (m2 /jaar) weekend]]/Ruimtestaat[[#This Row],[Norm (m2/uur) weekend]],0)</f>
        <v>0</v>
      </c>
      <c r="AD249" s="91">
        <f>Ruimtestaat[[#This Row],[uren / jaar weekend]]*Tariefsopbouw!$D$40</f>
        <v>0</v>
      </c>
      <c r="AE249" s="60">
        <f>Ruimtestaat[[#This Row],[Prest. (m2 /jaar) weekend]]+Ruimtestaat[[#This Row],[Prest. (m2 /jaar) werkdagen]]</f>
        <v>0</v>
      </c>
      <c r="AF249" s="60">
        <f>Ruimtestaat[[#This Row],[uren / jaar weekend]]+Ruimtestaat[[#This Row],[uren / jaar werkdagen]]</f>
        <v>0</v>
      </c>
      <c r="AG249" s="61">
        <f>Ruimtestaat[[#This Row],[kosten / jaar weekend]]+Ruimtestaat[[#This Row],[kosten / jaar werkdagen]]</f>
        <v>0</v>
      </c>
      <c r="AH249" s="92"/>
      <c r="HL249" s="59"/>
    </row>
    <row r="250" spans="1:220">
      <c r="A250" s="24">
        <v>2</v>
      </c>
      <c r="B250" s="24" t="str">
        <f>VLOOKUP(Ruimtestaat[[#This Row],[Code]],Locaties[#All],2,FALSE)</f>
        <v>Het Stormink</v>
      </c>
      <c r="C250" s="24" t="str">
        <f>VLOOKUP(Ruimtestaat[[#This Row],[Code]],Locaties[#All],4,FALSE)</f>
        <v>Storminkstraat 1</v>
      </c>
      <c r="D250" s="24" t="str">
        <f>VLOOKUP(Ruimtestaat[[#This Row],[Code]],Locaties[#All],5,FALSE)</f>
        <v>7418 GH</v>
      </c>
      <c r="E250" s="24" t="str">
        <f>VLOOKUP(Ruimtestaat[[#This Row],[Code]],Locaties[#All],6,FALSE)</f>
        <v>Deventer</v>
      </c>
      <c r="F250" s="54"/>
      <c r="G250" s="24" t="s">
        <v>367</v>
      </c>
      <c r="H250" s="24" t="s">
        <v>433</v>
      </c>
      <c r="I250" s="4" t="s">
        <v>683</v>
      </c>
      <c r="J250" s="24">
        <v>22</v>
      </c>
      <c r="K250" s="54" t="str">
        <f>VLOOKUP(J250,Ruimtegroepen[],2,FALSE)</f>
        <v>Niet in onderhoud</v>
      </c>
      <c r="L250" s="24" t="s">
        <v>300</v>
      </c>
      <c r="M250" s="24" t="s">
        <v>157</v>
      </c>
      <c r="N250" s="83"/>
      <c r="O250" s="83">
        <v>5.76</v>
      </c>
      <c r="P250" s="93" t="str">
        <f>LEFT(VLOOKUP(Ruimtestaat[[#This Row],[Ruimte code]],Ruimtegroepen[#All],4,1),2)</f>
        <v/>
      </c>
      <c r="Q250" s="93"/>
      <c r="R250" s="84"/>
      <c r="S250" s="84"/>
      <c r="T250" s="85">
        <f>IF(R250&gt;0,IF(RIGHT(Ruimtestaat[[#This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50" s="85">
        <f>IF(T250&gt;0,VLOOKUP($J250,Ruimtegroepen[],3,FALSE)*VLOOKUP($L250,Vloersoorten[],3,FALSE)*VLOOKUP($S250,Frequenties[],3,FALSE)*VLOOKUP($A250,Locaties[],3,FALSE),0)</f>
        <v>0</v>
      </c>
      <c r="V250" s="86">
        <f>Ruimtestaat[[#This Row],[Uitvoeringen werkdagen]]*Ruimtestaat[[#This Row],[Oppervlak (netto)]]</f>
        <v>0</v>
      </c>
      <c r="W250" s="87">
        <f>IF(U250&gt;0,Ruimtestaat[[#This Row],[Prest. (m2 /jaar) werkdagen]]/Ruimtestaat[[#This Row],[Norm (m2/uur) werkdagen]],0)</f>
        <v>0</v>
      </c>
      <c r="X250" s="88">
        <f>Ruimtestaat[[#This Row],[uren / jaar werkdagen]]*Tariefsopbouw!$E$35</f>
        <v>0</v>
      </c>
      <c r="Y250" s="85"/>
      <c r="Z250" s="89">
        <f>IF(Ruimtestaat[[#This Row],[Frequentie weekend]]&gt;0,VALUE(LEFT(Y250,1))*R250,0)</f>
        <v>0</v>
      </c>
      <c r="AA250" s="85">
        <f>IF($Z250&gt;0,VLOOKUP($J250,Ruimtegroepen[],3,FALSE)*VLOOKUP($L250,Vloersoorten[],3,FALSE)*VLOOKUP($Y250,Frequenties[],3,FALSE)*VLOOKUP(#REF!,Locaties[],3,FALSE),0)</f>
        <v>0</v>
      </c>
      <c r="AB250" s="87">
        <f>Ruimtestaat[[#This Row],[Uitvoeringen weekend]]*Ruimtestaat[[#This Row],[Oppervlak (netto)]]</f>
        <v>0</v>
      </c>
      <c r="AC250" s="90">
        <f>IF(AB250&gt;0,Ruimtestaat[[#This Row],[Prest. (m2 /jaar) weekend]]/Ruimtestaat[[#This Row],[Norm (m2/uur) weekend]],0)</f>
        <v>0</v>
      </c>
      <c r="AD250" s="91">
        <f>Ruimtestaat[[#This Row],[uren / jaar weekend]]*Tariefsopbouw!$D$40</f>
        <v>0</v>
      </c>
      <c r="AE250" s="60">
        <f>Ruimtestaat[[#This Row],[Prest. (m2 /jaar) weekend]]+Ruimtestaat[[#This Row],[Prest. (m2 /jaar) werkdagen]]</f>
        <v>0</v>
      </c>
      <c r="AF250" s="60">
        <f>Ruimtestaat[[#This Row],[uren / jaar weekend]]+Ruimtestaat[[#This Row],[uren / jaar werkdagen]]</f>
        <v>0</v>
      </c>
      <c r="AG250" s="61">
        <f>Ruimtestaat[[#This Row],[kosten / jaar weekend]]+Ruimtestaat[[#This Row],[kosten / jaar werkdagen]]</f>
        <v>0</v>
      </c>
      <c r="AH250" s="92"/>
      <c r="HL250" s="59"/>
    </row>
    <row r="251" spans="1:220">
      <c r="A251" s="24">
        <v>2</v>
      </c>
      <c r="B251" s="24" t="str">
        <f>VLOOKUP(Ruimtestaat[[#This Row],[Code]],Locaties[#All],2,FALSE)</f>
        <v>Het Stormink</v>
      </c>
      <c r="C251" s="24" t="str">
        <f>VLOOKUP(Ruimtestaat[[#This Row],[Code]],Locaties[#All],4,FALSE)</f>
        <v>Storminkstraat 1</v>
      </c>
      <c r="D251" s="24" t="str">
        <f>VLOOKUP(Ruimtestaat[[#This Row],[Code]],Locaties[#All],5,FALSE)</f>
        <v>7418 GH</v>
      </c>
      <c r="E251" s="24" t="str">
        <f>VLOOKUP(Ruimtestaat[[#This Row],[Code]],Locaties[#All],6,FALSE)</f>
        <v>Deventer</v>
      </c>
      <c r="F251" s="54"/>
      <c r="G251" s="24" t="s">
        <v>367</v>
      </c>
      <c r="H251" s="24" t="s">
        <v>438</v>
      </c>
      <c r="I251" s="4" t="s">
        <v>684</v>
      </c>
      <c r="J251" s="24">
        <v>2</v>
      </c>
      <c r="K251" s="54" t="str">
        <f>VLOOKUP(J251,Ruimtegroepen[],2,FALSE)</f>
        <v>Kantoren</v>
      </c>
      <c r="L251" s="24" t="s">
        <v>300</v>
      </c>
      <c r="M251" s="24" t="s">
        <v>157</v>
      </c>
      <c r="N251" s="83">
        <v>25.25</v>
      </c>
      <c r="O251" s="83"/>
      <c r="P251" s="93" t="str">
        <f>LEFT(VLOOKUP(Ruimtestaat[[#This Row],[Ruimte code]],Ruimtegroepen[#All],4,1),2)</f>
        <v>Bu</v>
      </c>
      <c r="Q251" s="93"/>
      <c r="R251" s="84">
        <v>42</v>
      </c>
      <c r="S251" s="84" t="s">
        <v>322</v>
      </c>
      <c r="T251" s="85">
        <f>IF(R251&gt;0,IF(RIGHT(Ruimtestaat[[#This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51" s="85">
        <f>IF(T251&gt;0,VLOOKUP($J251,Ruimtegroepen[],3,FALSE)*VLOOKUP($L251,Vloersoorten[],3,FALSE)*VLOOKUP($S251,Frequenties[],3,FALSE)*VLOOKUP($A251,Locaties[],3,FALSE),0)</f>
        <v>0</v>
      </c>
      <c r="V251" s="86">
        <f>Ruimtestaat[[#This Row],[Uitvoeringen werkdagen]]*Ruimtestaat[[#This Row],[Oppervlak (netto)]]</f>
        <v>3181.5</v>
      </c>
      <c r="W251" s="87">
        <f>IF(U251&gt;0,Ruimtestaat[[#This Row],[Prest. (m2 /jaar) werkdagen]]/Ruimtestaat[[#This Row],[Norm (m2/uur) werkdagen]],0)</f>
        <v>0</v>
      </c>
      <c r="X251" s="88">
        <f>Ruimtestaat[[#This Row],[uren / jaar werkdagen]]*Tariefsopbouw!$E$35</f>
        <v>0</v>
      </c>
      <c r="Y251" s="85"/>
      <c r="Z251" s="89">
        <f>IF(Ruimtestaat[[#This Row],[Frequentie weekend]]&gt;0,VALUE(LEFT(Y251,1))*R251,0)</f>
        <v>0</v>
      </c>
      <c r="AA251" s="85">
        <f>IF($Z251&gt;0,VLOOKUP($J251,Ruimtegroepen[],3,FALSE)*VLOOKUP($L251,Vloersoorten[],3,FALSE)*VLOOKUP($Y251,Frequenties[],3,FALSE)*VLOOKUP(#REF!,Locaties[],3,FALSE),0)</f>
        <v>0</v>
      </c>
      <c r="AB251" s="87">
        <f>Ruimtestaat[[#This Row],[Uitvoeringen weekend]]*Ruimtestaat[[#This Row],[Oppervlak (netto)]]</f>
        <v>0</v>
      </c>
      <c r="AC251" s="90">
        <f>IF(AB251&gt;0,Ruimtestaat[[#This Row],[Prest. (m2 /jaar) weekend]]/Ruimtestaat[[#This Row],[Norm (m2/uur) weekend]],0)</f>
        <v>0</v>
      </c>
      <c r="AD251" s="91">
        <f>Ruimtestaat[[#This Row],[uren / jaar weekend]]*Tariefsopbouw!$D$40</f>
        <v>0</v>
      </c>
      <c r="AE251" s="60">
        <f>Ruimtestaat[[#This Row],[Prest. (m2 /jaar) weekend]]+Ruimtestaat[[#This Row],[Prest. (m2 /jaar) werkdagen]]</f>
        <v>3181.5</v>
      </c>
      <c r="AF251" s="60">
        <f>Ruimtestaat[[#This Row],[uren / jaar weekend]]+Ruimtestaat[[#This Row],[uren / jaar werkdagen]]</f>
        <v>0</v>
      </c>
      <c r="AG251" s="61">
        <f>Ruimtestaat[[#This Row],[kosten / jaar weekend]]+Ruimtestaat[[#This Row],[kosten / jaar werkdagen]]</f>
        <v>0</v>
      </c>
      <c r="AH251" s="92"/>
      <c r="HL251" s="59"/>
    </row>
    <row r="252" spans="1:220">
      <c r="A252" s="24">
        <v>2</v>
      </c>
      <c r="B252" s="24" t="str">
        <f>VLOOKUP(Ruimtestaat[[#This Row],[Code]],Locaties[#All],2,FALSE)</f>
        <v>Het Stormink</v>
      </c>
      <c r="C252" s="24" t="str">
        <f>VLOOKUP(Ruimtestaat[[#This Row],[Code]],Locaties[#All],4,FALSE)</f>
        <v>Storminkstraat 1</v>
      </c>
      <c r="D252" s="24" t="str">
        <f>VLOOKUP(Ruimtestaat[[#This Row],[Code]],Locaties[#All],5,FALSE)</f>
        <v>7418 GH</v>
      </c>
      <c r="E252" s="24" t="str">
        <f>VLOOKUP(Ruimtestaat[[#This Row],[Code]],Locaties[#All],6,FALSE)</f>
        <v>Deventer</v>
      </c>
      <c r="F252" s="54"/>
      <c r="G252" s="24" t="s">
        <v>367</v>
      </c>
      <c r="H252" s="24" t="s">
        <v>441</v>
      </c>
      <c r="I252" s="4" t="s">
        <v>384</v>
      </c>
      <c r="J252" s="24">
        <v>4</v>
      </c>
      <c r="K252" s="54" t="str">
        <f>VLOOKUP(J252,Ruimtegroepen[],2,FALSE)</f>
        <v>Vergader/spreekkamers</v>
      </c>
      <c r="L252" s="24" t="s">
        <v>300</v>
      </c>
      <c r="M252" s="24" t="s">
        <v>157</v>
      </c>
      <c r="N252" s="83">
        <v>12.61</v>
      </c>
      <c r="O252" s="83"/>
      <c r="P252" s="93" t="str">
        <f>LEFT(VLOOKUP(Ruimtestaat[[#This Row],[Ruimte code]],Ruimtegroepen[#All],4,1),2)</f>
        <v>Bu</v>
      </c>
      <c r="Q252" s="93"/>
      <c r="R252" s="84">
        <v>40</v>
      </c>
      <c r="S252" s="84" t="s">
        <v>322</v>
      </c>
      <c r="T252" s="85">
        <f>IF(R252&gt;0,IF(RIGHT(Ruimtestaat[[#This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52" s="85">
        <f>IF(T252&gt;0,VLOOKUP($J252,Ruimtegroepen[],3,FALSE)*VLOOKUP($L252,Vloersoorten[],3,FALSE)*VLOOKUP($S252,Frequenties[],3,FALSE)*VLOOKUP($A252,Locaties[],3,FALSE),0)</f>
        <v>0</v>
      </c>
      <c r="V252" s="86">
        <f>Ruimtestaat[[#This Row],[Uitvoeringen werkdagen]]*Ruimtestaat[[#This Row],[Oppervlak (netto)]]</f>
        <v>1513.1999999999998</v>
      </c>
      <c r="W252" s="87">
        <f>IF(U252&gt;0,Ruimtestaat[[#This Row],[Prest. (m2 /jaar) werkdagen]]/Ruimtestaat[[#This Row],[Norm (m2/uur) werkdagen]],0)</f>
        <v>0</v>
      </c>
      <c r="X252" s="88">
        <f>Ruimtestaat[[#This Row],[uren / jaar werkdagen]]*Tariefsopbouw!$E$35</f>
        <v>0</v>
      </c>
      <c r="Y252" s="85"/>
      <c r="Z252" s="89">
        <f>IF(Ruimtestaat[[#This Row],[Frequentie weekend]]&gt;0,VALUE(LEFT(Y252,1))*R252,0)</f>
        <v>0</v>
      </c>
      <c r="AA252" s="85">
        <f>IF($Z252&gt;0,VLOOKUP($J252,Ruimtegroepen[],3,FALSE)*VLOOKUP($L252,Vloersoorten[],3,FALSE)*VLOOKUP($Y252,Frequenties[],3,FALSE)*VLOOKUP(#REF!,Locaties[],3,FALSE),0)</f>
        <v>0</v>
      </c>
      <c r="AB252" s="87">
        <f>Ruimtestaat[[#This Row],[Uitvoeringen weekend]]*Ruimtestaat[[#This Row],[Oppervlak (netto)]]</f>
        <v>0</v>
      </c>
      <c r="AC252" s="90">
        <f>IF(AB252&gt;0,Ruimtestaat[[#This Row],[Prest. (m2 /jaar) weekend]]/Ruimtestaat[[#This Row],[Norm (m2/uur) weekend]],0)</f>
        <v>0</v>
      </c>
      <c r="AD252" s="91">
        <f>Ruimtestaat[[#This Row],[uren / jaar weekend]]*Tariefsopbouw!$D$40</f>
        <v>0</v>
      </c>
      <c r="AE252" s="60">
        <f>Ruimtestaat[[#This Row],[Prest. (m2 /jaar) weekend]]+Ruimtestaat[[#This Row],[Prest. (m2 /jaar) werkdagen]]</f>
        <v>1513.1999999999998</v>
      </c>
      <c r="AF252" s="60">
        <f>Ruimtestaat[[#This Row],[uren / jaar weekend]]+Ruimtestaat[[#This Row],[uren / jaar werkdagen]]</f>
        <v>0</v>
      </c>
      <c r="AG252" s="61">
        <f>Ruimtestaat[[#This Row],[kosten / jaar weekend]]+Ruimtestaat[[#This Row],[kosten / jaar werkdagen]]</f>
        <v>0</v>
      </c>
      <c r="AH252" s="92"/>
      <c r="HL252" s="59"/>
    </row>
    <row r="253" spans="1:220">
      <c r="A253" s="24">
        <v>2</v>
      </c>
      <c r="B253" s="24" t="str">
        <f>VLOOKUP(Ruimtestaat[[#This Row],[Code]],Locaties[#All],2,FALSE)</f>
        <v>Het Stormink</v>
      </c>
      <c r="C253" s="24" t="str">
        <f>VLOOKUP(Ruimtestaat[[#This Row],[Code]],Locaties[#All],4,FALSE)</f>
        <v>Storminkstraat 1</v>
      </c>
      <c r="D253" s="24" t="str">
        <f>VLOOKUP(Ruimtestaat[[#This Row],[Code]],Locaties[#All],5,FALSE)</f>
        <v>7418 GH</v>
      </c>
      <c r="E253" s="24" t="str">
        <f>VLOOKUP(Ruimtestaat[[#This Row],[Code]],Locaties[#All],6,FALSE)</f>
        <v>Deventer</v>
      </c>
      <c r="F253" s="54"/>
      <c r="G253" s="24" t="s">
        <v>367</v>
      </c>
      <c r="H253" s="24" t="s">
        <v>444</v>
      </c>
      <c r="I253" s="4" t="s">
        <v>685</v>
      </c>
      <c r="J253" s="24">
        <v>2</v>
      </c>
      <c r="K253" s="54" t="str">
        <f>VLOOKUP(J253,Ruimtegroepen[],2,FALSE)</f>
        <v>Kantoren</v>
      </c>
      <c r="L253" s="24" t="s">
        <v>300</v>
      </c>
      <c r="M253" s="24" t="s">
        <v>157</v>
      </c>
      <c r="N253" s="83">
        <v>12.61</v>
      </c>
      <c r="O253" s="83"/>
      <c r="P253" s="93" t="str">
        <f>LEFT(VLOOKUP(Ruimtestaat[[#This Row],[Ruimte code]],Ruimtegroepen[#All],4,1),2)</f>
        <v>Bu</v>
      </c>
      <c r="Q253" s="93"/>
      <c r="R253" s="84">
        <v>42</v>
      </c>
      <c r="S253" s="84" t="s">
        <v>322</v>
      </c>
      <c r="T253" s="85">
        <f>IF(R253&gt;0,IF(RIGHT(Ruimtestaat[[#This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53" s="85">
        <f>IF(T253&gt;0,VLOOKUP($J253,Ruimtegroepen[],3,FALSE)*VLOOKUP($L253,Vloersoorten[],3,FALSE)*VLOOKUP($S253,Frequenties[],3,FALSE)*VLOOKUP($A253,Locaties[],3,FALSE),0)</f>
        <v>0</v>
      </c>
      <c r="V253" s="86">
        <f>Ruimtestaat[[#This Row],[Uitvoeringen werkdagen]]*Ruimtestaat[[#This Row],[Oppervlak (netto)]]</f>
        <v>1588.86</v>
      </c>
      <c r="W253" s="87">
        <f>IF(U253&gt;0,Ruimtestaat[[#This Row],[Prest. (m2 /jaar) werkdagen]]/Ruimtestaat[[#This Row],[Norm (m2/uur) werkdagen]],0)</f>
        <v>0</v>
      </c>
      <c r="X253" s="88">
        <f>Ruimtestaat[[#This Row],[uren / jaar werkdagen]]*Tariefsopbouw!$E$35</f>
        <v>0</v>
      </c>
      <c r="Y253" s="85"/>
      <c r="Z253" s="89">
        <f>IF(Ruimtestaat[[#This Row],[Frequentie weekend]]&gt;0,VALUE(LEFT(Y253,1))*R253,0)</f>
        <v>0</v>
      </c>
      <c r="AA253" s="85">
        <f>IF($Z253&gt;0,VLOOKUP($J253,Ruimtegroepen[],3,FALSE)*VLOOKUP($L253,Vloersoorten[],3,FALSE)*VLOOKUP($Y253,Frequenties[],3,FALSE)*VLOOKUP(#REF!,Locaties[],3,FALSE),0)</f>
        <v>0</v>
      </c>
      <c r="AB253" s="87">
        <f>Ruimtestaat[[#This Row],[Uitvoeringen weekend]]*Ruimtestaat[[#This Row],[Oppervlak (netto)]]</f>
        <v>0</v>
      </c>
      <c r="AC253" s="90">
        <f>IF(AB253&gt;0,Ruimtestaat[[#This Row],[Prest. (m2 /jaar) weekend]]/Ruimtestaat[[#This Row],[Norm (m2/uur) weekend]],0)</f>
        <v>0</v>
      </c>
      <c r="AD253" s="91">
        <f>Ruimtestaat[[#This Row],[uren / jaar weekend]]*Tariefsopbouw!$D$40</f>
        <v>0</v>
      </c>
      <c r="AE253" s="60">
        <f>Ruimtestaat[[#This Row],[Prest. (m2 /jaar) weekend]]+Ruimtestaat[[#This Row],[Prest. (m2 /jaar) werkdagen]]</f>
        <v>1588.86</v>
      </c>
      <c r="AF253" s="60">
        <f>Ruimtestaat[[#This Row],[uren / jaar weekend]]+Ruimtestaat[[#This Row],[uren / jaar werkdagen]]</f>
        <v>0</v>
      </c>
      <c r="AG253" s="61">
        <f>Ruimtestaat[[#This Row],[kosten / jaar weekend]]+Ruimtestaat[[#This Row],[kosten / jaar werkdagen]]</f>
        <v>0</v>
      </c>
      <c r="AH253" s="92"/>
      <c r="HL253" s="59"/>
    </row>
    <row r="254" spans="1:220">
      <c r="A254" s="24">
        <v>2</v>
      </c>
      <c r="B254" s="24" t="str">
        <f>VLOOKUP(Ruimtestaat[[#This Row],[Code]],Locaties[#All],2,FALSE)</f>
        <v>Het Stormink</v>
      </c>
      <c r="C254" s="24" t="str">
        <f>VLOOKUP(Ruimtestaat[[#This Row],[Code]],Locaties[#All],4,FALSE)</f>
        <v>Storminkstraat 1</v>
      </c>
      <c r="D254" s="24" t="str">
        <f>VLOOKUP(Ruimtestaat[[#This Row],[Code]],Locaties[#All],5,FALSE)</f>
        <v>7418 GH</v>
      </c>
      <c r="E254" s="24" t="str">
        <f>VLOOKUP(Ruimtestaat[[#This Row],[Code]],Locaties[#All],6,FALSE)</f>
        <v>Deventer</v>
      </c>
      <c r="F254" s="54"/>
      <c r="G254" s="24" t="s">
        <v>367</v>
      </c>
      <c r="H254" s="24" t="s">
        <v>686</v>
      </c>
      <c r="I254" s="4" t="s">
        <v>685</v>
      </c>
      <c r="J254" s="24">
        <v>2</v>
      </c>
      <c r="K254" s="54" t="str">
        <f>VLOOKUP(J254,Ruimtegroepen[],2,FALSE)</f>
        <v>Kantoren</v>
      </c>
      <c r="L254" s="24" t="s">
        <v>300</v>
      </c>
      <c r="M254" s="24" t="s">
        <v>157</v>
      </c>
      <c r="N254" s="83">
        <v>22.27</v>
      </c>
      <c r="O254" s="83"/>
      <c r="P254" s="93" t="str">
        <f>LEFT(VLOOKUP(Ruimtestaat[[#This Row],[Ruimte code]],Ruimtegroepen[#All],4,1),2)</f>
        <v>Bu</v>
      </c>
      <c r="Q254" s="93"/>
      <c r="R254" s="84">
        <v>42</v>
      </c>
      <c r="S254" s="84" t="s">
        <v>322</v>
      </c>
      <c r="T254" s="85">
        <f>IF(R254&gt;0,IF(RIGHT(Ruimtestaat[[#This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54" s="85">
        <f>IF(T254&gt;0,VLOOKUP($J254,Ruimtegroepen[],3,FALSE)*VLOOKUP($L254,Vloersoorten[],3,FALSE)*VLOOKUP($S254,Frequenties[],3,FALSE)*VLOOKUP($A254,Locaties[],3,FALSE),0)</f>
        <v>0</v>
      </c>
      <c r="V254" s="86">
        <f>Ruimtestaat[[#This Row],[Uitvoeringen werkdagen]]*Ruimtestaat[[#This Row],[Oppervlak (netto)]]</f>
        <v>2806.02</v>
      </c>
      <c r="W254" s="87">
        <f>IF(U254&gt;0,Ruimtestaat[[#This Row],[Prest. (m2 /jaar) werkdagen]]/Ruimtestaat[[#This Row],[Norm (m2/uur) werkdagen]],0)</f>
        <v>0</v>
      </c>
      <c r="X254" s="88">
        <f>Ruimtestaat[[#This Row],[uren / jaar werkdagen]]*Tariefsopbouw!$E$35</f>
        <v>0</v>
      </c>
      <c r="Y254" s="85"/>
      <c r="Z254" s="89">
        <f>IF(Ruimtestaat[[#This Row],[Frequentie weekend]]&gt;0,VALUE(LEFT(Y254,1))*R254,0)</f>
        <v>0</v>
      </c>
      <c r="AA254" s="85">
        <f>IF($Z254&gt;0,VLOOKUP($J254,Ruimtegroepen[],3,FALSE)*VLOOKUP($L254,Vloersoorten[],3,FALSE)*VLOOKUP($Y254,Frequenties[],3,FALSE)*VLOOKUP(#REF!,Locaties[],3,FALSE),0)</f>
        <v>0</v>
      </c>
      <c r="AB254" s="87">
        <f>Ruimtestaat[[#This Row],[Uitvoeringen weekend]]*Ruimtestaat[[#This Row],[Oppervlak (netto)]]</f>
        <v>0</v>
      </c>
      <c r="AC254" s="90">
        <f>IF(AB254&gt;0,Ruimtestaat[[#This Row],[Prest. (m2 /jaar) weekend]]/Ruimtestaat[[#This Row],[Norm (m2/uur) weekend]],0)</f>
        <v>0</v>
      </c>
      <c r="AD254" s="91">
        <f>Ruimtestaat[[#This Row],[uren / jaar weekend]]*Tariefsopbouw!$D$40</f>
        <v>0</v>
      </c>
      <c r="AE254" s="60">
        <f>Ruimtestaat[[#This Row],[Prest. (m2 /jaar) weekend]]+Ruimtestaat[[#This Row],[Prest. (m2 /jaar) werkdagen]]</f>
        <v>2806.02</v>
      </c>
      <c r="AF254" s="60">
        <f>Ruimtestaat[[#This Row],[uren / jaar weekend]]+Ruimtestaat[[#This Row],[uren / jaar werkdagen]]</f>
        <v>0</v>
      </c>
      <c r="AG254" s="61">
        <f>Ruimtestaat[[#This Row],[kosten / jaar weekend]]+Ruimtestaat[[#This Row],[kosten / jaar werkdagen]]</f>
        <v>0</v>
      </c>
      <c r="AH254" s="92"/>
      <c r="HL254" s="59"/>
    </row>
    <row r="255" spans="1:220">
      <c r="A255" s="24">
        <v>2</v>
      </c>
      <c r="B255" s="24" t="str">
        <f>VLOOKUP(Ruimtestaat[[#This Row],[Code]],Locaties[#All],2,FALSE)</f>
        <v>Het Stormink</v>
      </c>
      <c r="C255" s="24" t="str">
        <f>VLOOKUP(Ruimtestaat[[#This Row],[Code]],Locaties[#All],4,FALSE)</f>
        <v>Storminkstraat 1</v>
      </c>
      <c r="D255" s="24" t="str">
        <f>VLOOKUP(Ruimtestaat[[#This Row],[Code]],Locaties[#All],5,FALSE)</f>
        <v>7418 GH</v>
      </c>
      <c r="E255" s="24" t="str">
        <f>VLOOKUP(Ruimtestaat[[#This Row],[Code]],Locaties[#All],6,FALSE)</f>
        <v>Deventer</v>
      </c>
      <c r="F255" s="54"/>
      <c r="G255" s="24" t="s">
        <v>367</v>
      </c>
      <c r="H255" s="24" t="s">
        <v>446</v>
      </c>
      <c r="I255" s="4" t="s">
        <v>402</v>
      </c>
      <c r="J255" s="24">
        <v>5</v>
      </c>
      <c r="K255" s="54" t="str">
        <f>VLOOKUP(J255,Ruimtegroepen[],2,FALSE)</f>
        <v>Sanitair</v>
      </c>
      <c r="L255" s="24" t="s">
        <v>300</v>
      </c>
      <c r="M255" s="24" t="s">
        <v>157</v>
      </c>
      <c r="N255" s="83">
        <v>2.7</v>
      </c>
      <c r="O255" s="83"/>
      <c r="P255" s="93" t="str">
        <f>LEFT(VLOOKUP(Ruimtestaat[[#This Row],[Ruimte code]],Ruimtegroepen[#All],4,1),2)</f>
        <v>Sa</v>
      </c>
      <c r="Q255" s="93"/>
      <c r="R255" s="84">
        <v>42</v>
      </c>
      <c r="S255" s="84" t="s">
        <v>316</v>
      </c>
      <c r="T255" s="85">
        <f>IF(R255&gt;0,IF(RIGHT(Ruimtestaat[[#This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55" s="85">
        <f>IF(T255&gt;0,VLOOKUP($J255,Ruimtegroepen[],3,FALSE)*VLOOKUP($L255,Vloersoorten[],3,FALSE)*VLOOKUP($S255,Frequenties[],3,FALSE)*VLOOKUP($A255,Locaties[],3,FALSE),0)</f>
        <v>0</v>
      </c>
      <c r="V255" s="86">
        <f>Ruimtestaat[[#This Row],[Uitvoeringen werkdagen]]*Ruimtestaat[[#This Row],[Oppervlak (netto)]]</f>
        <v>1134</v>
      </c>
      <c r="W255" s="87">
        <f>IF(U255&gt;0,Ruimtestaat[[#This Row],[Prest. (m2 /jaar) werkdagen]]/Ruimtestaat[[#This Row],[Norm (m2/uur) werkdagen]],0)</f>
        <v>0</v>
      </c>
      <c r="X255" s="88">
        <f>Ruimtestaat[[#This Row],[uren / jaar werkdagen]]*Tariefsopbouw!$E$35</f>
        <v>0</v>
      </c>
      <c r="Y255" s="85"/>
      <c r="Z255" s="89">
        <f>IF(Ruimtestaat[[#This Row],[Frequentie weekend]]&gt;0,VALUE(LEFT(Y255,1))*R255,0)</f>
        <v>0</v>
      </c>
      <c r="AA255" s="85">
        <f>IF($Z255&gt;0,VLOOKUP($J255,Ruimtegroepen[],3,FALSE)*VLOOKUP($L255,Vloersoorten[],3,FALSE)*VLOOKUP($Y255,Frequenties[],3,FALSE)*VLOOKUP(#REF!,Locaties[],3,FALSE),0)</f>
        <v>0</v>
      </c>
      <c r="AB255" s="87">
        <f>Ruimtestaat[[#This Row],[Uitvoeringen weekend]]*Ruimtestaat[[#This Row],[Oppervlak (netto)]]</f>
        <v>0</v>
      </c>
      <c r="AC255" s="90">
        <f>IF(AB255&gt;0,Ruimtestaat[[#This Row],[Prest. (m2 /jaar) weekend]]/Ruimtestaat[[#This Row],[Norm (m2/uur) weekend]],0)</f>
        <v>0</v>
      </c>
      <c r="AD255" s="91">
        <f>Ruimtestaat[[#This Row],[uren / jaar weekend]]*Tariefsopbouw!$D$40</f>
        <v>0</v>
      </c>
      <c r="AE255" s="60">
        <f>Ruimtestaat[[#This Row],[Prest. (m2 /jaar) weekend]]+Ruimtestaat[[#This Row],[Prest. (m2 /jaar) werkdagen]]</f>
        <v>1134</v>
      </c>
      <c r="AF255" s="60">
        <f>Ruimtestaat[[#This Row],[uren / jaar weekend]]+Ruimtestaat[[#This Row],[uren / jaar werkdagen]]</f>
        <v>0</v>
      </c>
      <c r="AG255" s="61">
        <f>Ruimtestaat[[#This Row],[kosten / jaar weekend]]+Ruimtestaat[[#This Row],[kosten / jaar werkdagen]]</f>
        <v>0</v>
      </c>
      <c r="AH255" s="92"/>
      <c r="HL255" s="59"/>
    </row>
    <row r="256" spans="1:220">
      <c r="A256" s="24">
        <v>2</v>
      </c>
      <c r="B256" s="24" t="str">
        <f>VLOOKUP(Ruimtestaat[[#This Row],[Code]],Locaties[#All],2,FALSE)</f>
        <v>Het Stormink</v>
      </c>
      <c r="C256" s="24" t="str">
        <f>VLOOKUP(Ruimtestaat[[#This Row],[Code]],Locaties[#All],4,FALSE)</f>
        <v>Storminkstraat 1</v>
      </c>
      <c r="D256" s="24" t="str">
        <f>VLOOKUP(Ruimtestaat[[#This Row],[Code]],Locaties[#All],5,FALSE)</f>
        <v>7418 GH</v>
      </c>
      <c r="E256" s="24" t="str">
        <f>VLOOKUP(Ruimtestaat[[#This Row],[Code]],Locaties[#All],6,FALSE)</f>
        <v>Deventer</v>
      </c>
      <c r="F256" s="54"/>
      <c r="G256" s="24" t="s">
        <v>367</v>
      </c>
      <c r="H256" s="24" t="s">
        <v>448</v>
      </c>
      <c r="I256" s="4" t="s">
        <v>402</v>
      </c>
      <c r="J256" s="24">
        <v>5</v>
      </c>
      <c r="K256" s="54" t="str">
        <f>VLOOKUP(J256,Ruimtegroepen[],2,FALSE)</f>
        <v>Sanitair</v>
      </c>
      <c r="L256" s="24" t="s">
        <v>300</v>
      </c>
      <c r="M256" s="24" t="s">
        <v>157</v>
      </c>
      <c r="N256" s="83">
        <v>2.7</v>
      </c>
      <c r="O256" s="83"/>
      <c r="P256" s="93" t="str">
        <f>LEFT(VLOOKUP(Ruimtestaat[[#This Row],[Ruimte code]],Ruimtegroepen[#All],4,1),2)</f>
        <v>Sa</v>
      </c>
      <c r="Q256" s="93"/>
      <c r="R256" s="84">
        <v>42</v>
      </c>
      <c r="S256" s="84" t="s">
        <v>316</v>
      </c>
      <c r="T256" s="85">
        <f>IF(R256&gt;0,IF(RIGHT(Ruimtestaat[[#This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56" s="85">
        <f>IF(T256&gt;0,VLOOKUP($J256,Ruimtegroepen[],3,FALSE)*VLOOKUP($L256,Vloersoorten[],3,FALSE)*VLOOKUP($S256,Frequenties[],3,FALSE)*VLOOKUP($A256,Locaties[],3,FALSE),0)</f>
        <v>0</v>
      </c>
      <c r="V256" s="86">
        <f>Ruimtestaat[[#This Row],[Uitvoeringen werkdagen]]*Ruimtestaat[[#This Row],[Oppervlak (netto)]]</f>
        <v>1134</v>
      </c>
      <c r="W256" s="87">
        <f>IF(U256&gt;0,Ruimtestaat[[#This Row],[Prest. (m2 /jaar) werkdagen]]/Ruimtestaat[[#This Row],[Norm (m2/uur) werkdagen]],0)</f>
        <v>0</v>
      </c>
      <c r="X256" s="88">
        <f>Ruimtestaat[[#This Row],[uren / jaar werkdagen]]*Tariefsopbouw!$E$35</f>
        <v>0</v>
      </c>
      <c r="Y256" s="85"/>
      <c r="Z256" s="89">
        <f>IF(Ruimtestaat[[#This Row],[Frequentie weekend]]&gt;0,VALUE(LEFT(Y256,1))*R256,0)</f>
        <v>0</v>
      </c>
      <c r="AA256" s="85">
        <f>IF($Z256&gt;0,VLOOKUP($J256,Ruimtegroepen[],3,FALSE)*VLOOKUP($L256,Vloersoorten[],3,FALSE)*VLOOKUP($Y256,Frequenties[],3,FALSE)*VLOOKUP(#REF!,Locaties[],3,FALSE),0)</f>
        <v>0</v>
      </c>
      <c r="AB256" s="87">
        <f>Ruimtestaat[[#This Row],[Uitvoeringen weekend]]*Ruimtestaat[[#This Row],[Oppervlak (netto)]]</f>
        <v>0</v>
      </c>
      <c r="AC256" s="90">
        <f>IF(AB256&gt;0,Ruimtestaat[[#This Row],[Prest. (m2 /jaar) weekend]]/Ruimtestaat[[#This Row],[Norm (m2/uur) weekend]],0)</f>
        <v>0</v>
      </c>
      <c r="AD256" s="91">
        <f>Ruimtestaat[[#This Row],[uren / jaar weekend]]*Tariefsopbouw!$D$40</f>
        <v>0</v>
      </c>
      <c r="AE256" s="60">
        <f>Ruimtestaat[[#This Row],[Prest. (m2 /jaar) weekend]]+Ruimtestaat[[#This Row],[Prest. (m2 /jaar) werkdagen]]</f>
        <v>1134</v>
      </c>
      <c r="AF256" s="60">
        <f>Ruimtestaat[[#This Row],[uren / jaar weekend]]+Ruimtestaat[[#This Row],[uren / jaar werkdagen]]</f>
        <v>0</v>
      </c>
      <c r="AG256" s="61">
        <f>Ruimtestaat[[#This Row],[kosten / jaar weekend]]+Ruimtestaat[[#This Row],[kosten / jaar werkdagen]]</f>
        <v>0</v>
      </c>
      <c r="AH256" s="92"/>
      <c r="HL256" s="59"/>
    </row>
    <row r="257" spans="1:220">
      <c r="A257" s="24">
        <v>2</v>
      </c>
      <c r="B257" s="24" t="str">
        <f>VLOOKUP(Ruimtestaat[[#This Row],[Code]],Locaties[#All],2,FALSE)</f>
        <v>Het Stormink</v>
      </c>
      <c r="C257" s="24" t="str">
        <f>VLOOKUP(Ruimtestaat[[#This Row],[Code]],Locaties[#All],4,FALSE)</f>
        <v>Storminkstraat 1</v>
      </c>
      <c r="D257" s="24" t="str">
        <f>VLOOKUP(Ruimtestaat[[#This Row],[Code]],Locaties[#All],5,FALSE)</f>
        <v>7418 GH</v>
      </c>
      <c r="E257" s="24" t="str">
        <f>VLOOKUP(Ruimtestaat[[#This Row],[Code]],Locaties[#All],6,FALSE)</f>
        <v>Deventer</v>
      </c>
      <c r="F257" s="54"/>
      <c r="G257" s="24" t="s">
        <v>367</v>
      </c>
      <c r="H257" s="24" t="s">
        <v>687</v>
      </c>
      <c r="I257" s="4" t="s">
        <v>688</v>
      </c>
      <c r="J257" s="24">
        <v>16</v>
      </c>
      <c r="K257" s="54" t="str">
        <f>VLOOKUP(J257,Ruimtegroepen[],2,FALSE)</f>
        <v>Leslokalen theorie</v>
      </c>
      <c r="L257" s="24" t="s">
        <v>300</v>
      </c>
      <c r="M257" s="24" t="s">
        <v>157</v>
      </c>
      <c r="N257" s="83">
        <v>76.94</v>
      </c>
      <c r="O257" s="83"/>
      <c r="P257" s="93" t="str">
        <f>LEFT(VLOOKUP(Ruimtestaat[[#This Row],[Ruimte code]],Ruimtegroepen[#All],4,1),2)</f>
        <v>Le</v>
      </c>
      <c r="Q257" s="93"/>
      <c r="R257" s="84">
        <v>40</v>
      </c>
      <c r="S257" s="84" t="s">
        <v>318</v>
      </c>
      <c r="T257" s="85">
        <f>IF(R257&gt;0,IF(RIGHT(Ruimtestaat[[#This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7" s="85">
        <f>IF(T257&gt;0,VLOOKUP($J257,Ruimtegroepen[],3,FALSE)*VLOOKUP($L257,Vloersoorten[],3,FALSE)*VLOOKUP($S257,Frequenties[],3,FALSE)*VLOOKUP($A257,Locaties[],3,FALSE),0)</f>
        <v>0</v>
      </c>
      <c r="V257" s="86">
        <f>Ruimtestaat[[#This Row],[Uitvoeringen werkdagen]]*Ruimtestaat[[#This Row],[Oppervlak (netto)]]</f>
        <v>15388</v>
      </c>
      <c r="W257" s="87">
        <f>IF(U257&gt;0,Ruimtestaat[[#This Row],[Prest. (m2 /jaar) werkdagen]]/Ruimtestaat[[#This Row],[Norm (m2/uur) werkdagen]],0)</f>
        <v>0</v>
      </c>
      <c r="X257" s="88">
        <f>Ruimtestaat[[#This Row],[uren / jaar werkdagen]]*Tariefsopbouw!$E$35</f>
        <v>0</v>
      </c>
      <c r="Y257" s="85"/>
      <c r="Z257" s="89">
        <f>IF(Ruimtestaat[[#This Row],[Frequentie weekend]]&gt;0,VALUE(LEFT(Y257,1))*R257,0)</f>
        <v>0</v>
      </c>
      <c r="AA257" s="85">
        <f>IF($Z257&gt;0,VLOOKUP($J257,Ruimtegroepen[],3,FALSE)*VLOOKUP($L257,Vloersoorten[],3,FALSE)*VLOOKUP($Y257,Frequenties[],3,FALSE)*VLOOKUP(#REF!,Locaties[],3,FALSE),0)</f>
        <v>0</v>
      </c>
      <c r="AB257" s="87">
        <f>Ruimtestaat[[#This Row],[Uitvoeringen weekend]]*Ruimtestaat[[#This Row],[Oppervlak (netto)]]</f>
        <v>0</v>
      </c>
      <c r="AC257" s="90">
        <f>IF(AB257&gt;0,Ruimtestaat[[#This Row],[Prest. (m2 /jaar) weekend]]/Ruimtestaat[[#This Row],[Norm (m2/uur) weekend]],0)</f>
        <v>0</v>
      </c>
      <c r="AD257" s="91">
        <f>Ruimtestaat[[#This Row],[uren / jaar weekend]]*Tariefsopbouw!$D$40</f>
        <v>0</v>
      </c>
      <c r="AE257" s="60">
        <f>Ruimtestaat[[#This Row],[Prest. (m2 /jaar) weekend]]+Ruimtestaat[[#This Row],[Prest. (m2 /jaar) werkdagen]]</f>
        <v>15388</v>
      </c>
      <c r="AF257" s="60">
        <f>Ruimtestaat[[#This Row],[uren / jaar weekend]]+Ruimtestaat[[#This Row],[uren / jaar werkdagen]]</f>
        <v>0</v>
      </c>
      <c r="AG257" s="61">
        <f>Ruimtestaat[[#This Row],[kosten / jaar weekend]]+Ruimtestaat[[#This Row],[kosten / jaar werkdagen]]</f>
        <v>0</v>
      </c>
      <c r="AH257" s="92"/>
      <c r="HL257" s="59"/>
    </row>
    <row r="258" spans="1:220">
      <c r="A258" s="24">
        <v>2</v>
      </c>
      <c r="B258" s="24" t="str">
        <f>VLOOKUP(Ruimtestaat[[#This Row],[Code]],Locaties[#All],2,FALSE)</f>
        <v>Het Stormink</v>
      </c>
      <c r="C258" s="24" t="str">
        <f>VLOOKUP(Ruimtestaat[[#This Row],[Code]],Locaties[#All],4,FALSE)</f>
        <v>Storminkstraat 1</v>
      </c>
      <c r="D258" s="24" t="str">
        <f>VLOOKUP(Ruimtestaat[[#This Row],[Code]],Locaties[#All],5,FALSE)</f>
        <v>7418 GH</v>
      </c>
      <c r="E258" s="24" t="str">
        <f>VLOOKUP(Ruimtestaat[[#This Row],[Code]],Locaties[#All],6,FALSE)</f>
        <v>Deventer</v>
      </c>
      <c r="F258" s="54"/>
      <c r="G258" s="24" t="s">
        <v>367</v>
      </c>
      <c r="H258" s="24" t="s">
        <v>471</v>
      </c>
      <c r="I258" s="4" t="s">
        <v>689</v>
      </c>
      <c r="J258" s="24">
        <v>6</v>
      </c>
      <c r="K258" s="54" t="str">
        <f>VLOOKUP(J258,Ruimtegroepen[],2,FALSE)</f>
        <v>Gangen/hallen</v>
      </c>
      <c r="L258" s="24" t="s">
        <v>300</v>
      </c>
      <c r="M258" s="24" t="s">
        <v>157</v>
      </c>
      <c r="N258" s="83">
        <v>2.59</v>
      </c>
      <c r="O258" s="83"/>
      <c r="P258" s="93" t="str">
        <f>LEFT(VLOOKUP(Ruimtestaat[[#This Row],[Ruimte code]],Ruimtegroepen[#All],4,1),2)</f>
        <v>Ve</v>
      </c>
      <c r="Q258" s="93"/>
      <c r="R258" s="84">
        <v>40</v>
      </c>
      <c r="S258" s="84" t="s">
        <v>318</v>
      </c>
      <c r="T258" s="85">
        <f>IF(R258&gt;0,IF(RIGHT(Ruimtestaat[[#This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8" s="85">
        <f>IF(T258&gt;0,VLOOKUP($J258,Ruimtegroepen[],3,FALSE)*VLOOKUP($L258,Vloersoorten[],3,FALSE)*VLOOKUP($S258,Frequenties[],3,FALSE)*VLOOKUP($A258,Locaties[],3,FALSE),0)</f>
        <v>0</v>
      </c>
      <c r="V258" s="86">
        <f>Ruimtestaat[[#This Row],[Uitvoeringen werkdagen]]*Ruimtestaat[[#This Row],[Oppervlak (netto)]]</f>
        <v>518</v>
      </c>
      <c r="W258" s="87">
        <f>IF(U258&gt;0,Ruimtestaat[[#This Row],[Prest. (m2 /jaar) werkdagen]]/Ruimtestaat[[#This Row],[Norm (m2/uur) werkdagen]],0)</f>
        <v>0</v>
      </c>
      <c r="X258" s="88">
        <f>Ruimtestaat[[#This Row],[uren / jaar werkdagen]]*Tariefsopbouw!$E$35</f>
        <v>0</v>
      </c>
      <c r="Y258" s="85"/>
      <c r="Z258" s="89">
        <f>IF(Ruimtestaat[[#This Row],[Frequentie weekend]]&gt;0,VALUE(LEFT(Y258,1))*R258,0)</f>
        <v>0</v>
      </c>
      <c r="AA258" s="85">
        <f>IF($Z258&gt;0,VLOOKUP($J258,Ruimtegroepen[],3,FALSE)*VLOOKUP($L258,Vloersoorten[],3,FALSE)*VLOOKUP($Y258,Frequenties[],3,FALSE)*VLOOKUP(#REF!,Locaties[],3,FALSE),0)</f>
        <v>0</v>
      </c>
      <c r="AB258" s="87">
        <f>Ruimtestaat[[#This Row],[Uitvoeringen weekend]]*Ruimtestaat[[#This Row],[Oppervlak (netto)]]</f>
        <v>0</v>
      </c>
      <c r="AC258" s="90">
        <f>IF(AB258&gt;0,Ruimtestaat[[#This Row],[Prest. (m2 /jaar) weekend]]/Ruimtestaat[[#This Row],[Norm (m2/uur) weekend]],0)</f>
        <v>0</v>
      </c>
      <c r="AD258" s="91">
        <f>Ruimtestaat[[#This Row],[uren / jaar weekend]]*Tariefsopbouw!$D$40</f>
        <v>0</v>
      </c>
      <c r="AE258" s="60">
        <f>Ruimtestaat[[#This Row],[Prest. (m2 /jaar) weekend]]+Ruimtestaat[[#This Row],[Prest. (m2 /jaar) werkdagen]]</f>
        <v>518</v>
      </c>
      <c r="AF258" s="60">
        <f>Ruimtestaat[[#This Row],[uren / jaar weekend]]+Ruimtestaat[[#This Row],[uren / jaar werkdagen]]</f>
        <v>0</v>
      </c>
      <c r="AG258" s="61">
        <f>Ruimtestaat[[#This Row],[kosten / jaar weekend]]+Ruimtestaat[[#This Row],[kosten / jaar werkdagen]]</f>
        <v>0</v>
      </c>
      <c r="AH258" s="92"/>
      <c r="HL258" s="59"/>
    </row>
    <row r="259" spans="1:220">
      <c r="A259" s="24">
        <v>2</v>
      </c>
      <c r="B259" s="24" t="str">
        <f>VLOOKUP(Ruimtestaat[[#This Row],[Code]],Locaties[#All],2,FALSE)</f>
        <v>Het Stormink</v>
      </c>
      <c r="C259" s="24" t="str">
        <f>VLOOKUP(Ruimtestaat[[#This Row],[Code]],Locaties[#All],4,FALSE)</f>
        <v>Storminkstraat 1</v>
      </c>
      <c r="D259" s="24" t="str">
        <f>VLOOKUP(Ruimtestaat[[#This Row],[Code]],Locaties[#All],5,FALSE)</f>
        <v>7418 GH</v>
      </c>
      <c r="E259" s="24" t="str">
        <f>VLOOKUP(Ruimtestaat[[#This Row],[Code]],Locaties[#All],6,FALSE)</f>
        <v>Deventer</v>
      </c>
      <c r="F259" s="54"/>
      <c r="G259" s="24" t="s">
        <v>367</v>
      </c>
      <c r="H259" s="24" t="s">
        <v>690</v>
      </c>
      <c r="I259" s="4" t="s">
        <v>691</v>
      </c>
      <c r="J259" s="24">
        <v>22</v>
      </c>
      <c r="K259" s="54" t="str">
        <f>VLOOKUP(J259,Ruimtegroepen[],2,FALSE)</f>
        <v>Niet in onderhoud</v>
      </c>
      <c r="L259" s="24" t="s">
        <v>300</v>
      </c>
      <c r="M259" s="24" t="s">
        <v>157</v>
      </c>
      <c r="N259" s="83"/>
      <c r="O259" s="83">
        <v>1.61</v>
      </c>
      <c r="P259" s="93" t="str">
        <f>LEFT(VLOOKUP(Ruimtestaat[[#This Row],[Ruimte code]],Ruimtegroepen[#All],4,1),2)</f>
        <v/>
      </c>
      <c r="Q259" s="93"/>
      <c r="R259" s="84"/>
      <c r="S259" s="84"/>
      <c r="T259" s="85">
        <f>IF(R259&gt;0,IF(RIGHT(Ruimtestaat[[#This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59" s="85">
        <f>IF(T259&gt;0,VLOOKUP($J259,Ruimtegroepen[],3,FALSE)*VLOOKUP($L259,Vloersoorten[],3,FALSE)*VLOOKUP($S259,Frequenties[],3,FALSE)*VLOOKUP($A259,Locaties[],3,FALSE),0)</f>
        <v>0</v>
      </c>
      <c r="V259" s="86">
        <f>Ruimtestaat[[#This Row],[Uitvoeringen werkdagen]]*Ruimtestaat[[#This Row],[Oppervlak (netto)]]</f>
        <v>0</v>
      </c>
      <c r="W259" s="87">
        <f>IF(U259&gt;0,Ruimtestaat[[#This Row],[Prest. (m2 /jaar) werkdagen]]/Ruimtestaat[[#This Row],[Norm (m2/uur) werkdagen]],0)</f>
        <v>0</v>
      </c>
      <c r="X259" s="88">
        <f>Ruimtestaat[[#This Row],[uren / jaar werkdagen]]*Tariefsopbouw!$E$35</f>
        <v>0</v>
      </c>
      <c r="Y259" s="85"/>
      <c r="Z259" s="89">
        <f>IF(Ruimtestaat[[#This Row],[Frequentie weekend]]&gt;0,VALUE(LEFT(Y259,1))*R259,0)</f>
        <v>0</v>
      </c>
      <c r="AA259" s="85">
        <f>IF($Z259&gt;0,VLOOKUP($J259,Ruimtegroepen[],3,FALSE)*VLOOKUP($L259,Vloersoorten[],3,FALSE)*VLOOKUP($Y259,Frequenties[],3,FALSE)*VLOOKUP(#REF!,Locaties[],3,FALSE),0)</f>
        <v>0</v>
      </c>
      <c r="AB259" s="87">
        <f>Ruimtestaat[[#This Row],[Uitvoeringen weekend]]*Ruimtestaat[[#This Row],[Oppervlak (netto)]]</f>
        <v>0</v>
      </c>
      <c r="AC259" s="90">
        <f>IF(AB259&gt;0,Ruimtestaat[[#This Row],[Prest. (m2 /jaar) weekend]]/Ruimtestaat[[#This Row],[Norm (m2/uur) weekend]],0)</f>
        <v>0</v>
      </c>
      <c r="AD259" s="91">
        <f>Ruimtestaat[[#This Row],[uren / jaar weekend]]*Tariefsopbouw!$D$40</f>
        <v>0</v>
      </c>
      <c r="AE259" s="60">
        <f>Ruimtestaat[[#This Row],[Prest. (m2 /jaar) weekend]]+Ruimtestaat[[#This Row],[Prest. (m2 /jaar) werkdagen]]</f>
        <v>0</v>
      </c>
      <c r="AF259" s="60">
        <f>Ruimtestaat[[#This Row],[uren / jaar weekend]]+Ruimtestaat[[#This Row],[uren / jaar werkdagen]]</f>
        <v>0</v>
      </c>
      <c r="AG259" s="61">
        <f>Ruimtestaat[[#This Row],[kosten / jaar weekend]]+Ruimtestaat[[#This Row],[kosten / jaar werkdagen]]</f>
        <v>0</v>
      </c>
      <c r="AH259" s="92"/>
      <c r="HL259" s="59"/>
    </row>
    <row r="260" spans="1:220">
      <c r="A260" s="24">
        <v>2</v>
      </c>
      <c r="B260" s="24" t="str">
        <f>VLOOKUP(Ruimtestaat[[#This Row],[Code]],Locaties[#All],2,FALSE)</f>
        <v>Het Stormink</v>
      </c>
      <c r="C260" s="24" t="str">
        <f>VLOOKUP(Ruimtestaat[[#This Row],[Code]],Locaties[#All],4,FALSE)</f>
        <v>Storminkstraat 1</v>
      </c>
      <c r="D260" s="24" t="str">
        <f>VLOOKUP(Ruimtestaat[[#This Row],[Code]],Locaties[#All],5,FALSE)</f>
        <v>7418 GH</v>
      </c>
      <c r="E260" s="24" t="str">
        <f>VLOOKUP(Ruimtestaat[[#This Row],[Code]],Locaties[#All],6,FALSE)</f>
        <v>Deventer</v>
      </c>
      <c r="F260" s="54"/>
      <c r="G260" s="24" t="s">
        <v>367</v>
      </c>
      <c r="H260" s="24" t="s">
        <v>475</v>
      </c>
      <c r="I260" s="4" t="s">
        <v>692</v>
      </c>
      <c r="J260" s="24">
        <v>5</v>
      </c>
      <c r="K260" s="54" t="str">
        <f>VLOOKUP(J260,Ruimtegroepen[],2,FALSE)</f>
        <v>Sanitair</v>
      </c>
      <c r="L260" s="24" t="s">
        <v>300</v>
      </c>
      <c r="M260" s="24" t="s">
        <v>157</v>
      </c>
      <c r="N260" s="83">
        <v>11.6</v>
      </c>
      <c r="O260" s="83"/>
      <c r="P260" s="93" t="str">
        <f>LEFT(VLOOKUP(Ruimtestaat[[#This Row],[Ruimte code]],Ruimtegroepen[#All],4,1),2)</f>
        <v>Sa</v>
      </c>
      <c r="Q260" s="93"/>
      <c r="R260" s="84">
        <v>42</v>
      </c>
      <c r="S260" s="84" t="s">
        <v>316</v>
      </c>
      <c r="T260" s="85">
        <f>IF(R260&gt;0,IF(RIGHT(Ruimtestaat[[#This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60" s="85">
        <f>IF(T260&gt;0,VLOOKUP($J260,Ruimtegroepen[],3,FALSE)*VLOOKUP($L260,Vloersoorten[],3,FALSE)*VLOOKUP($S260,Frequenties[],3,FALSE)*VLOOKUP($A260,Locaties[],3,FALSE),0)</f>
        <v>0</v>
      </c>
      <c r="V260" s="86">
        <f>Ruimtestaat[[#This Row],[Uitvoeringen werkdagen]]*Ruimtestaat[[#This Row],[Oppervlak (netto)]]</f>
        <v>4872</v>
      </c>
      <c r="W260" s="87">
        <f>IF(U260&gt;0,Ruimtestaat[[#This Row],[Prest. (m2 /jaar) werkdagen]]/Ruimtestaat[[#This Row],[Norm (m2/uur) werkdagen]],0)</f>
        <v>0</v>
      </c>
      <c r="X260" s="88">
        <f>Ruimtestaat[[#This Row],[uren / jaar werkdagen]]*Tariefsopbouw!$E$35</f>
        <v>0</v>
      </c>
      <c r="Y260" s="85"/>
      <c r="Z260" s="89">
        <f>IF(Ruimtestaat[[#This Row],[Frequentie weekend]]&gt;0,VALUE(LEFT(Y260,1))*R260,0)</f>
        <v>0</v>
      </c>
      <c r="AA260" s="85">
        <f>IF($Z260&gt;0,VLOOKUP($J260,Ruimtegroepen[],3,FALSE)*VLOOKUP($L260,Vloersoorten[],3,FALSE)*VLOOKUP($Y260,Frequenties[],3,FALSE)*VLOOKUP(#REF!,Locaties[],3,FALSE),0)</f>
        <v>0</v>
      </c>
      <c r="AB260" s="87">
        <f>Ruimtestaat[[#This Row],[Uitvoeringen weekend]]*Ruimtestaat[[#This Row],[Oppervlak (netto)]]</f>
        <v>0</v>
      </c>
      <c r="AC260" s="90">
        <f>IF(AB260&gt;0,Ruimtestaat[[#This Row],[Prest. (m2 /jaar) weekend]]/Ruimtestaat[[#This Row],[Norm (m2/uur) weekend]],0)</f>
        <v>0</v>
      </c>
      <c r="AD260" s="91">
        <f>Ruimtestaat[[#This Row],[uren / jaar weekend]]*Tariefsopbouw!$D$40</f>
        <v>0</v>
      </c>
      <c r="AE260" s="60">
        <f>Ruimtestaat[[#This Row],[Prest. (m2 /jaar) weekend]]+Ruimtestaat[[#This Row],[Prest. (m2 /jaar) werkdagen]]</f>
        <v>4872</v>
      </c>
      <c r="AF260" s="60">
        <f>Ruimtestaat[[#This Row],[uren / jaar weekend]]+Ruimtestaat[[#This Row],[uren / jaar werkdagen]]</f>
        <v>0</v>
      </c>
      <c r="AG260" s="61">
        <f>Ruimtestaat[[#This Row],[kosten / jaar weekend]]+Ruimtestaat[[#This Row],[kosten / jaar werkdagen]]</f>
        <v>0</v>
      </c>
      <c r="AH260" s="92"/>
      <c r="HL260" s="59"/>
    </row>
    <row r="261" spans="1:220">
      <c r="A261" s="24">
        <v>2</v>
      </c>
      <c r="B261" s="24" t="str">
        <f>VLOOKUP(Ruimtestaat[[#This Row],[Code]],Locaties[#All],2,FALSE)</f>
        <v>Het Stormink</v>
      </c>
      <c r="C261" s="24" t="str">
        <f>VLOOKUP(Ruimtestaat[[#This Row],[Code]],Locaties[#All],4,FALSE)</f>
        <v>Storminkstraat 1</v>
      </c>
      <c r="D261" s="24" t="str">
        <f>VLOOKUP(Ruimtestaat[[#This Row],[Code]],Locaties[#All],5,FALSE)</f>
        <v>7418 GH</v>
      </c>
      <c r="E261" s="24" t="str">
        <f>VLOOKUP(Ruimtestaat[[#This Row],[Code]],Locaties[#All],6,FALSE)</f>
        <v>Deventer</v>
      </c>
      <c r="F261" s="54"/>
      <c r="G261" s="24" t="s">
        <v>367</v>
      </c>
      <c r="H261" s="24" t="s">
        <v>479</v>
      </c>
      <c r="I261" s="4" t="s">
        <v>693</v>
      </c>
      <c r="J261" s="24">
        <v>5</v>
      </c>
      <c r="K261" s="54" t="str">
        <f>VLOOKUP(J261,Ruimtegroepen[],2,FALSE)</f>
        <v>Sanitair</v>
      </c>
      <c r="L261" s="24" t="s">
        <v>300</v>
      </c>
      <c r="M261" s="24" t="s">
        <v>157</v>
      </c>
      <c r="N261" s="83">
        <v>11.6</v>
      </c>
      <c r="O261" s="83"/>
      <c r="P261" s="93" t="str">
        <f>LEFT(VLOOKUP(Ruimtestaat[[#This Row],[Ruimte code]],Ruimtegroepen[#All],4,1),2)</f>
        <v>Sa</v>
      </c>
      <c r="Q261" s="93"/>
      <c r="R261" s="84">
        <v>42</v>
      </c>
      <c r="S261" s="84" t="s">
        <v>316</v>
      </c>
      <c r="T261" s="85">
        <f>IF(R261&gt;0,IF(RIGHT(Ruimtestaat[[#This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61" s="85">
        <f>IF(T261&gt;0,VLOOKUP($J261,Ruimtegroepen[],3,FALSE)*VLOOKUP($L261,Vloersoorten[],3,FALSE)*VLOOKUP($S261,Frequenties[],3,FALSE)*VLOOKUP($A261,Locaties[],3,FALSE),0)</f>
        <v>0</v>
      </c>
      <c r="V261" s="86">
        <f>Ruimtestaat[[#This Row],[Uitvoeringen werkdagen]]*Ruimtestaat[[#This Row],[Oppervlak (netto)]]</f>
        <v>4872</v>
      </c>
      <c r="W261" s="87">
        <f>IF(U261&gt;0,Ruimtestaat[[#This Row],[Prest. (m2 /jaar) werkdagen]]/Ruimtestaat[[#This Row],[Norm (m2/uur) werkdagen]],0)</f>
        <v>0</v>
      </c>
      <c r="X261" s="88">
        <f>Ruimtestaat[[#This Row],[uren / jaar werkdagen]]*Tariefsopbouw!$E$35</f>
        <v>0</v>
      </c>
      <c r="Y261" s="85"/>
      <c r="Z261" s="89">
        <f>IF(Ruimtestaat[[#This Row],[Frequentie weekend]]&gt;0,VALUE(LEFT(Y261,1))*R261,0)</f>
        <v>0</v>
      </c>
      <c r="AA261" s="85">
        <f>IF($Z261&gt;0,VLOOKUP($J261,Ruimtegroepen[],3,FALSE)*VLOOKUP($L261,Vloersoorten[],3,FALSE)*VLOOKUP($Y261,Frequenties[],3,FALSE)*VLOOKUP(#REF!,Locaties[],3,FALSE),0)</f>
        <v>0</v>
      </c>
      <c r="AB261" s="87">
        <f>Ruimtestaat[[#This Row],[Uitvoeringen weekend]]*Ruimtestaat[[#This Row],[Oppervlak (netto)]]</f>
        <v>0</v>
      </c>
      <c r="AC261" s="90">
        <f>IF(AB261&gt;0,Ruimtestaat[[#This Row],[Prest. (m2 /jaar) weekend]]/Ruimtestaat[[#This Row],[Norm (m2/uur) weekend]],0)</f>
        <v>0</v>
      </c>
      <c r="AD261" s="91">
        <f>Ruimtestaat[[#This Row],[uren / jaar weekend]]*Tariefsopbouw!$D$40</f>
        <v>0</v>
      </c>
      <c r="AE261" s="60">
        <f>Ruimtestaat[[#This Row],[Prest. (m2 /jaar) weekend]]+Ruimtestaat[[#This Row],[Prest. (m2 /jaar) werkdagen]]</f>
        <v>4872</v>
      </c>
      <c r="AF261" s="60">
        <f>Ruimtestaat[[#This Row],[uren / jaar weekend]]+Ruimtestaat[[#This Row],[uren / jaar werkdagen]]</f>
        <v>0</v>
      </c>
      <c r="AG261" s="61">
        <f>Ruimtestaat[[#This Row],[kosten / jaar weekend]]+Ruimtestaat[[#This Row],[kosten / jaar werkdagen]]</f>
        <v>0</v>
      </c>
      <c r="AH261" s="92"/>
      <c r="HL261" s="59"/>
    </row>
    <row r="262" spans="1:220">
      <c r="A262" s="24">
        <v>2</v>
      </c>
      <c r="B262" s="24" t="str">
        <f>VLOOKUP(Ruimtestaat[[#This Row],[Code]],Locaties[#All],2,FALSE)</f>
        <v>Het Stormink</v>
      </c>
      <c r="C262" s="24" t="str">
        <f>VLOOKUP(Ruimtestaat[[#This Row],[Code]],Locaties[#All],4,FALSE)</f>
        <v>Storminkstraat 1</v>
      </c>
      <c r="D262" s="24" t="str">
        <f>VLOOKUP(Ruimtestaat[[#This Row],[Code]],Locaties[#All],5,FALSE)</f>
        <v>7418 GH</v>
      </c>
      <c r="E262" s="24" t="str">
        <f>VLOOKUP(Ruimtestaat[[#This Row],[Code]],Locaties[#All],6,FALSE)</f>
        <v>Deventer</v>
      </c>
      <c r="F262" s="54"/>
      <c r="G262" s="24" t="s">
        <v>367</v>
      </c>
      <c r="H262" s="24" t="s">
        <v>481</v>
      </c>
      <c r="I262" s="4" t="s">
        <v>375</v>
      </c>
      <c r="J262" s="24">
        <v>22</v>
      </c>
      <c r="K262" s="54" t="str">
        <f>VLOOKUP(J262,Ruimtegroepen[],2,FALSE)</f>
        <v>Niet in onderhoud</v>
      </c>
      <c r="L262" s="24" t="s">
        <v>300</v>
      </c>
      <c r="M262" s="24" t="s">
        <v>157</v>
      </c>
      <c r="N262" s="83"/>
      <c r="O262" s="83">
        <v>1.63</v>
      </c>
      <c r="P262" s="93" t="str">
        <f>LEFT(VLOOKUP(Ruimtestaat[[#This Row],[Ruimte code]],Ruimtegroepen[#All],4,1),2)</f>
        <v/>
      </c>
      <c r="Q262" s="93"/>
      <c r="R262" s="84"/>
      <c r="S262" s="84"/>
      <c r="T262" s="85">
        <f>IF(R262&gt;0,IF(RIGHT(Ruimtestaat[[#This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2" s="85">
        <f>IF(T262&gt;0,VLOOKUP($J262,Ruimtegroepen[],3,FALSE)*VLOOKUP($L262,Vloersoorten[],3,FALSE)*VLOOKUP($S262,Frequenties[],3,FALSE)*VLOOKUP($A262,Locaties[],3,FALSE),0)</f>
        <v>0</v>
      </c>
      <c r="V262" s="86">
        <f>Ruimtestaat[[#This Row],[Uitvoeringen werkdagen]]*Ruimtestaat[[#This Row],[Oppervlak (netto)]]</f>
        <v>0</v>
      </c>
      <c r="W262" s="87">
        <f>IF(U262&gt;0,Ruimtestaat[[#This Row],[Prest. (m2 /jaar) werkdagen]]/Ruimtestaat[[#This Row],[Norm (m2/uur) werkdagen]],0)</f>
        <v>0</v>
      </c>
      <c r="X262" s="88">
        <f>Ruimtestaat[[#This Row],[uren / jaar werkdagen]]*Tariefsopbouw!$E$35</f>
        <v>0</v>
      </c>
      <c r="Y262" s="85"/>
      <c r="Z262" s="89">
        <f>IF(Ruimtestaat[[#This Row],[Frequentie weekend]]&gt;0,VALUE(LEFT(Y262,1))*R262,0)</f>
        <v>0</v>
      </c>
      <c r="AA262" s="85">
        <f>IF($Z262&gt;0,VLOOKUP($J262,Ruimtegroepen[],3,FALSE)*VLOOKUP($L262,Vloersoorten[],3,FALSE)*VLOOKUP($Y262,Frequenties[],3,FALSE)*VLOOKUP(#REF!,Locaties[],3,FALSE),0)</f>
        <v>0</v>
      </c>
      <c r="AB262" s="87">
        <f>Ruimtestaat[[#This Row],[Uitvoeringen weekend]]*Ruimtestaat[[#This Row],[Oppervlak (netto)]]</f>
        <v>0</v>
      </c>
      <c r="AC262" s="90">
        <f>IF(AB262&gt;0,Ruimtestaat[[#This Row],[Prest. (m2 /jaar) weekend]]/Ruimtestaat[[#This Row],[Norm (m2/uur) weekend]],0)</f>
        <v>0</v>
      </c>
      <c r="AD262" s="91">
        <f>Ruimtestaat[[#This Row],[uren / jaar weekend]]*Tariefsopbouw!$D$40</f>
        <v>0</v>
      </c>
      <c r="AE262" s="60">
        <f>Ruimtestaat[[#This Row],[Prest. (m2 /jaar) weekend]]+Ruimtestaat[[#This Row],[Prest. (m2 /jaar) werkdagen]]</f>
        <v>0</v>
      </c>
      <c r="AF262" s="60">
        <f>Ruimtestaat[[#This Row],[uren / jaar weekend]]+Ruimtestaat[[#This Row],[uren / jaar werkdagen]]</f>
        <v>0</v>
      </c>
      <c r="AG262" s="61">
        <f>Ruimtestaat[[#This Row],[kosten / jaar weekend]]+Ruimtestaat[[#This Row],[kosten / jaar werkdagen]]</f>
        <v>0</v>
      </c>
      <c r="AH262" s="92"/>
      <c r="HL262" s="59"/>
    </row>
    <row r="263" spans="1:220">
      <c r="A263" s="24">
        <v>2</v>
      </c>
      <c r="B263" s="24" t="str">
        <f>VLOOKUP(Ruimtestaat[[#This Row],[Code]],Locaties[#All],2,FALSE)</f>
        <v>Het Stormink</v>
      </c>
      <c r="C263" s="24" t="str">
        <f>VLOOKUP(Ruimtestaat[[#This Row],[Code]],Locaties[#All],4,FALSE)</f>
        <v>Storminkstraat 1</v>
      </c>
      <c r="D263" s="24" t="str">
        <f>VLOOKUP(Ruimtestaat[[#This Row],[Code]],Locaties[#All],5,FALSE)</f>
        <v>7418 GH</v>
      </c>
      <c r="E263" s="24" t="str">
        <f>VLOOKUP(Ruimtestaat[[#This Row],[Code]],Locaties[#All],6,FALSE)</f>
        <v>Deventer</v>
      </c>
      <c r="F263" s="54"/>
      <c r="G263" s="24" t="s">
        <v>367</v>
      </c>
      <c r="H263" s="24" t="s">
        <v>482</v>
      </c>
      <c r="I263" s="4" t="s">
        <v>535</v>
      </c>
      <c r="J263" s="24">
        <v>22</v>
      </c>
      <c r="K263" s="54" t="str">
        <f>VLOOKUP(J263,Ruimtegroepen[],2,FALSE)</f>
        <v>Niet in onderhoud</v>
      </c>
      <c r="L263" s="24" t="s">
        <v>300</v>
      </c>
      <c r="M263" s="24" t="s">
        <v>157</v>
      </c>
      <c r="N263" s="83"/>
      <c r="O263" s="83">
        <v>3.16</v>
      </c>
      <c r="P263" s="93" t="str">
        <f>LEFT(VLOOKUP(Ruimtestaat[[#This Row],[Ruimte code]],Ruimtegroepen[#All],4,1),2)</f>
        <v/>
      </c>
      <c r="Q263" s="93"/>
      <c r="R263" s="84"/>
      <c r="S263" s="84"/>
      <c r="T263" s="85">
        <f>IF(R263&gt;0,IF(RIGHT(Ruimtestaat[[#This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3" s="85">
        <f>IF(T263&gt;0,VLOOKUP($J263,Ruimtegroepen[],3,FALSE)*VLOOKUP($L263,Vloersoorten[],3,FALSE)*VLOOKUP($S263,Frequenties[],3,FALSE)*VLOOKUP($A263,Locaties[],3,FALSE),0)</f>
        <v>0</v>
      </c>
      <c r="V263" s="86">
        <f>Ruimtestaat[[#This Row],[Uitvoeringen werkdagen]]*Ruimtestaat[[#This Row],[Oppervlak (netto)]]</f>
        <v>0</v>
      </c>
      <c r="W263" s="87">
        <f>IF(U263&gt;0,Ruimtestaat[[#This Row],[Prest. (m2 /jaar) werkdagen]]/Ruimtestaat[[#This Row],[Norm (m2/uur) werkdagen]],0)</f>
        <v>0</v>
      </c>
      <c r="X263" s="88">
        <f>Ruimtestaat[[#This Row],[uren / jaar werkdagen]]*Tariefsopbouw!$E$35</f>
        <v>0</v>
      </c>
      <c r="Y263" s="85"/>
      <c r="Z263" s="89">
        <f>IF(Ruimtestaat[[#This Row],[Frequentie weekend]]&gt;0,VALUE(LEFT(Y263,1))*R263,0)</f>
        <v>0</v>
      </c>
      <c r="AA263" s="85">
        <f>IF($Z263&gt;0,VLOOKUP($J263,Ruimtegroepen[],3,FALSE)*VLOOKUP($L263,Vloersoorten[],3,FALSE)*VLOOKUP($Y263,Frequenties[],3,FALSE)*VLOOKUP(#REF!,Locaties[],3,FALSE),0)</f>
        <v>0</v>
      </c>
      <c r="AB263" s="87">
        <f>Ruimtestaat[[#This Row],[Uitvoeringen weekend]]*Ruimtestaat[[#This Row],[Oppervlak (netto)]]</f>
        <v>0</v>
      </c>
      <c r="AC263" s="90">
        <f>IF(AB263&gt;0,Ruimtestaat[[#This Row],[Prest. (m2 /jaar) weekend]]/Ruimtestaat[[#This Row],[Norm (m2/uur) weekend]],0)</f>
        <v>0</v>
      </c>
      <c r="AD263" s="91">
        <f>Ruimtestaat[[#This Row],[uren / jaar weekend]]*Tariefsopbouw!$D$40</f>
        <v>0</v>
      </c>
      <c r="AE263" s="60">
        <f>Ruimtestaat[[#This Row],[Prest. (m2 /jaar) weekend]]+Ruimtestaat[[#This Row],[Prest. (m2 /jaar) werkdagen]]</f>
        <v>0</v>
      </c>
      <c r="AF263" s="60">
        <f>Ruimtestaat[[#This Row],[uren / jaar weekend]]+Ruimtestaat[[#This Row],[uren / jaar werkdagen]]</f>
        <v>0</v>
      </c>
      <c r="AG263" s="61">
        <f>Ruimtestaat[[#This Row],[kosten / jaar weekend]]+Ruimtestaat[[#This Row],[kosten / jaar werkdagen]]</f>
        <v>0</v>
      </c>
      <c r="AH263" s="92"/>
      <c r="HL263" s="59"/>
    </row>
    <row r="264" spans="1:220">
      <c r="A264" s="24">
        <v>2</v>
      </c>
      <c r="B264" s="24" t="str">
        <f>VLOOKUP(Ruimtestaat[[#This Row],[Code]],Locaties[#All],2,FALSE)</f>
        <v>Het Stormink</v>
      </c>
      <c r="C264" s="24" t="str">
        <f>VLOOKUP(Ruimtestaat[[#This Row],[Code]],Locaties[#All],4,FALSE)</f>
        <v>Storminkstraat 1</v>
      </c>
      <c r="D264" s="24" t="str">
        <f>VLOOKUP(Ruimtestaat[[#This Row],[Code]],Locaties[#All],5,FALSE)</f>
        <v>7418 GH</v>
      </c>
      <c r="E264" s="24" t="str">
        <f>VLOOKUP(Ruimtestaat[[#This Row],[Code]],Locaties[#All],6,FALSE)</f>
        <v>Deventer</v>
      </c>
      <c r="F264" s="54"/>
      <c r="G264" s="24" t="s">
        <v>367</v>
      </c>
      <c r="H264" s="24" t="s">
        <v>484</v>
      </c>
      <c r="I264" s="4" t="s">
        <v>674</v>
      </c>
      <c r="J264" s="24">
        <v>22</v>
      </c>
      <c r="K264" s="54" t="str">
        <f>VLOOKUP(J264,Ruimtegroepen[],2,FALSE)</f>
        <v>Niet in onderhoud</v>
      </c>
      <c r="L264" s="24" t="s">
        <v>300</v>
      </c>
      <c r="M264" s="24" t="s">
        <v>157</v>
      </c>
      <c r="N264" s="83"/>
      <c r="O264" s="83">
        <v>1.64</v>
      </c>
      <c r="P264" s="93" t="str">
        <f>LEFT(VLOOKUP(Ruimtestaat[[#This Row],[Ruimte code]],Ruimtegroepen[#All],4,1),2)</f>
        <v/>
      </c>
      <c r="Q264" s="93"/>
      <c r="R264" s="84"/>
      <c r="S264" s="84"/>
      <c r="T264" s="85">
        <f>IF(R264&gt;0,IF(RIGHT(Ruimtestaat[[#This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4" s="85">
        <f>IF(T264&gt;0,VLOOKUP($J264,Ruimtegroepen[],3,FALSE)*VLOOKUP($L264,Vloersoorten[],3,FALSE)*VLOOKUP($S264,Frequenties[],3,FALSE)*VLOOKUP($A264,Locaties[],3,FALSE),0)</f>
        <v>0</v>
      </c>
      <c r="V264" s="86">
        <f>Ruimtestaat[[#This Row],[Uitvoeringen werkdagen]]*Ruimtestaat[[#This Row],[Oppervlak (netto)]]</f>
        <v>0</v>
      </c>
      <c r="W264" s="87">
        <f>IF(U264&gt;0,Ruimtestaat[[#This Row],[Prest. (m2 /jaar) werkdagen]]/Ruimtestaat[[#This Row],[Norm (m2/uur) werkdagen]],0)</f>
        <v>0</v>
      </c>
      <c r="X264" s="88">
        <f>Ruimtestaat[[#This Row],[uren / jaar werkdagen]]*Tariefsopbouw!$E$35</f>
        <v>0</v>
      </c>
      <c r="Y264" s="85"/>
      <c r="Z264" s="89">
        <f>IF(Ruimtestaat[[#This Row],[Frequentie weekend]]&gt;0,VALUE(LEFT(Y264,1))*R264,0)</f>
        <v>0</v>
      </c>
      <c r="AA264" s="85">
        <f>IF($Z264&gt;0,VLOOKUP($J264,Ruimtegroepen[],3,FALSE)*VLOOKUP($L264,Vloersoorten[],3,FALSE)*VLOOKUP($Y264,Frequenties[],3,FALSE)*VLOOKUP(#REF!,Locaties[],3,FALSE),0)</f>
        <v>0</v>
      </c>
      <c r="AB264" s="87">
        <f>Ruimtestaat[[#This Row],[Uitvoeringen weekend]]*Ruimtestaat[[#This Row],[Oppervlak (netto)]]</f>
        <v>0</v>
      </c>
      <c r="AC264" s="90">
        <f>IF(AB264&gt;0,Ruimtestaat[[#This Row],[Prest. (m2 /jaar) weekend]]/Ruimtestaat[[#This Row],[Norm (m2/uur) weekend]],0)</f>
        <v>0</v>
      </c>
      <c r="AD264" s="91">
        <f>Ruimtestaat[[#This Row],[uren / jaar weekend]]*Tariefsopbouw!$D$40</f>
        <v>0</v>
      </c>
      <c r="AE264" s="60">
        <f>Ruimtestaat[[#This Row],[Prest. (m2 /jaar) weekend]]+Ruimtestaat[[#This Row],[Prest. (m2 /jaar) werkdagen]]</f>
        <v>0</v>
      </c>
      <c r="AF264" s="60">
        <f>Ruimtestaat[[#This Row],[uren / jaar weekend]]+Ruimtestaat[[#This Row],[uren / jaar werkdagen]]</f>
        <v>0</v>
      </c>
      <c r="AG264" s="61">
        <f>Ruimtestaat[[#This Row],[kosten / jaar weekend]]+Ruimtestaat[[#This Row],[kosten / jaar werkdagen]]</f>
        <v>0</v>
      </c>
      <c r="AH264" s="92"/>
      <c r="HL264" s="59"/>
    </row>
    <row r="265" spans="1:220">
      <c r="A265" s="24">
        <v>2</v>
      </c>
      <c r="B265" s="24" t="str">
        <f>VLOOKUP(Ruimtestaat[[#This Row],[Code]],Locaties[#All],2,FALSE)</f>
        <v>Het Stormink</v>
      </c>
      <c r="C265" s="24" t="str">
        <f>VLOOKUP(Ruimtestaat[[#This Row],[Code]],Locaties[#All],4,FALSE)</f>
        <v>Storminkstraat 1</v>
      </c>
      <c r="D265" s="24" t="str">
        <f>VLOOKUP(Ruimtestaat[[#This Row],[Code]],Locaties[#All],5,FALSE)</f>
        <v>7418 GH</v>
      </c>
      <c r="E265" s="24" t="str">
        <f>VLOOKUP(Ruimtestaat[[#This Row],[Code]],Locaties[#All],6,FALSE)</f>
        <v>Deventer</v>
      </c>
      <c r="F265" s="54"/>
      <c r="G265" s="24" t="s">
        <v>367</v>
      </c>
      <c r="H265" s="24" t="s">
        <v>694</v>
      </c>
      <c r="I265" s="4" t="s">
        <v>394</v>
      </c>
      <c r="J265" s="24">
        <v>22</v>
      </c>
      <c r="K265" s="54" t="str">
        <f>VLOOKUP(J265,Ruimtegroepen[],2,FALSE)</f>
        <v>Niet in onderhoud</v>
      </c>
      <c r="L265" s="24" t="s">
        <v>300</v>
      </c>
      <c r="M265" s="24" t="s">
        <v>157</v>
      </c>
      <c r="N265" s="83"/>
      <c r="O265" s="83">
        <v>12.3</v>
      </c>
      <c r="P265" s="93" t="str">
        <f>LEFT(VLOOKUP(Ruimtestaat[[#This Row],[Ruimte code]],Ruimtegroepen[#All],4,1),2)</f>
        <v/>
      </c>
      <c r="Q265" s="93"/>
      <c r="R265" s="84"/>
      <c r="S265" s="84"/>
      <c r="T265" s="85">
        <f>IF(R265&gt;0,IF(RIGHT(Ruimtestaat[[#This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5" s="85">
        <f>IF(T265&gt;0,VLOOKUP($J265,Ruimtegroepen[],3,FALSE)*VLOOKUP($L265,Vloersoorten[],3,FALSE)*VLOOKUP($S265,Frequenties[],3,FALSE)*VLOOKUP($A265,Locaties[],3,FALSE),0)</f>
        <v>0</v>
      </c>
      <c r="V265" s="86">
        <f>Ruimtestaat[[#This Row],[Uitvoeringen werkdagen]]*Ruimtestaat[[#This Row],[Oppervlak (netto)]]</f>
        <v>0</v>
      </c>
      <c r="W265" s="87">
        <f>IF(U265&gt;0,Ruimtestaat[[#This Row],[Prest. (m2 /jaar) werkdagen]]/Ruimtestaat[[#This Row],[Norm (m2/uur) werkdagen]],0)</f>
        <v>0</v>
      </c>
      <c r="X265" s="88">
        <f>Ruimtestaat[[#This Row],[uren / jaar werkdagen]]*Tariefsopbouw!$E$35</f>
        <v>0</v>
      </c>
      <c r="Y265" s="85"/>
      <c r="Z265" s="89">
        <f>IF(Ruimtestaat[[#This Row],[Frequentie weekend]]&gt;0,VALUE(LEFT(Y265,1))*R265,0)</f>
        <v>0</v>
      </c>
      <c r="AA265" s="85">
        <f>IF($Z265&gt;0,VLOOKUP($J265,Ruimtegroepen[],3,FALSE)*VLOOKUP($L265,Vloersoorten[],3,FALSE)*VLOOKUP($Y265,Frequenties[],3,FALSE)*VLOOKUP(#REF!,Locaties[],3,FALSE),0)</f>
        <v>0</v>
      </c>
      <c r="AB265" s="87">
        <f>Ruimtestaat[[#This Row],[Uitvoeringen weekend]]*Ruimtestaat[[#This Row],[Oppervlak (netto)]]</f>
        <v>0</v>
      </c>
      <c r="AC265" s="90">
        <f>IF(AB265&gt;0,Ruimtestaat[[#This Row],[Prest. (m2 /jaar) weekend]]/Ruimtestaat[[#This Row],[Norm (m2/uur) weekend]],0)</f>
        <v>0</v>
      </c>
      <c r="AD265" s="91">
        <f>Ruimtestaat[[#This Row],[uren / jaar weekend]]*Tariefsopbouw!$D$40</f>
        <v>0</v>
      </c>
      <c r="AE265" s="60">
        <f>Ruimtestaat[[#This Row],[Prest. (m2 /jaar) weekend]]+Ruimtestaat[[#This Row],[Prest. (m2 /jaar) werkdagen]]</f>
        <v>0</v>
      </c>
      <c r="AF265" s="60">
        <f>Ruimtestaat[[#This Row],[uren / jaar weekend]]+Ruimtestaat[[#This Row],[uren / jaar werkdagen]]</f>
        <v>0</v>
      </c>
      <c r="AG265" s="61">
        <f>Ruimtestaat[[#This Row],[kosten / jaar weekend]]+Ruimtestaat[[#This Row],[kosten / jaar werkdagen]]</f>
        <v>0</v>
      </c>
      <c r="AH265" s="92"/>
      <c r="HL265" s="59"/>
    </row>
    <row r="266" spans="1:220">
      <c r="A266" s="24">
        <v>2</v>
      </c>
      <c r="B266" s="24" t="str">
        <f>VLOOKUP(Ruimtestaat[[#This Row],[Code]],Locaties[#All],2,FALSE)</f>
        <v>Het Stormink</v>
      </c>
      <c r="C266" s="24" t="str">
        <f>VLOOKUP(Ruimtestaat[[#This Row],[Code]],Locaties[#All],4,FALSE)</f>
        <v>Storminkstraat 1</v>
      </c>
      <c r="D266" s="24" t="str">
        <f>VLOOKUP(Ruimtestaat[[#This Row],[Code]],Locaties[#All],5,FALSE)</f>
        <v>7418 GH</v>
      </c>
      <c r="E266" s="24" t="str">
        <f>VLOOKUP(Ruimtestaat[[#This Row],[Code]],Locaties[#All],6,FALSE)</f>
        <v>Deventer</v>
      </c>
      <c r="F266" s="54"/>
      <c r="G266" s="24" t="s">
        <v>367</v>
      </c>
      <c r="H266" s="24" t="s">
        <v>695</v>
      </c>
      <c r="I266" s="4" t="s">
        <v>696</v>
      </c>
      <c r="J266" s="24">
        <v>2</v>
      </c>
      <c r="K266" s="54" t="str">
        <f>VLOOKUP(J266,Ruimtegroepen[],2,FALSE)</f>
        <v>Kantoren</v>
      </c>
      <c r="L266" s="24" t="s">
        <v>300</v>
      </c>
      <c r="M266" s="24" t="s">
        <v>157</v>
      </c>
      <c r="N266" s="83">
        <v>36.71</v>
      </c>
      <c r="O266" s="83"/>
      <c r="P266" s="93" t="str">
        <f>LEFT(VLOOKUP(Ruimtestaat[[#This Row],[Ruimte code]],Ruimtegroepen[#All],4,1),2)</f>
        <v>Bu</v>
      </c>
      <c r="Q266" s="93"/>
      <c r="R266" s="84">
        <v>42</v>
      </c>
      <c r="S266" s="84" t="s">
        <v>322</v>
      </c>
      <c r="T266" s="85">
        <f>IF(R266&gt;0,IF(RIGHT(Ruimtestaat[[#This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66" s="85">
        <f>IF(T266&gt;0,VLOOKUP($J266,Ruimtegroepen[],3,FALSE)*VLOOKUP($L266,Vloersoorten[],3,FALSE)*VLOOKUP($S266,Frequenties[],3,FALSE)*VLOOKUP($A266,Locaties[],3,FALSE),0)</f>
        <v>0</v>
      </c>
      <c r="V266" s="86">
        <f>Ruimtestaat[[#This Row],[Uitvoeringen werkdagen]]*Ruimtestaat[[#This Row],[Oppervlak (netto)]]</f>
        <v>4625.46</v>
      </c>
      <c r="W266" s="87">
        <f>IF(U266&gt;0,Ruimtestaat[[#This Row],[Prest. (m2 /jaar) werkdagen]]/Ruimtestaat[[#This Row],[Norm (m2/uur) werkdagen]],0)</f>
        <v>0</v>
      </c>
      <c r="X266" s="88">
        <f>Ruimtestaat[[#This Row],[uren / jaar werkdagen]]*Tariefsopbouw!$E$35</f>
        <v>0</v>
      </c>
      <c r="Y266" s="85"/>
      <c r="Z266" s="89">
        <f>IF(Ruimtestaat[[#This Row],[Frequentie weekend]]&gt;0,VALUE(LEFT(Y266,1))*R266,0)</f>
        <v>0</v>
      </c>
      <c r="AA266" s="85">
        <f>IF($Z266&gt;0,VLOOKUP($J266,Ruimtegroepen[],3,FALSE)*VLOOKUP($L266,Vloersoorten[],3,FALSE)*VLOOKUP($Y266,Frequenties[],3,FALSE)*VLOOKUP(#REF!,Locaties[],3,FALSE),0)</f>
        <v>0</v>
      </c>
      <c r="AB266" s="87">
        <f>Ruimtestaat[[#This Row],[Uitvoeringen weekend]]*Ruimtestaat[[#This Row],[Oppervlak (netto)]]</f>
        <v>0</v>
      </c>
      <c r="AC266" s="90">
        <f>IF(AB266&gt;0,Ruimtestaat[[#This Row],[Prest. (m2 /jaar) weekend]]/Ruimtestaat[[#This Row],[Norm (m2/uur) weekend]],0)</f>
        <v>0</v>
      </c>
      <c r="AD266" s="91">
        <f>Ruimtestaat[[#This Row],[uren / jaar weekend]]*Tariefsopbouw!$D$40</f>
        <v>0</v>
      </c>
      <c r="AE266" s="60">
        <f>Ruimtestaat[[#This Row],[Prest. (m2 /jaar) weekend]]+Ruimtestaat[[#This Row],[Prest. (m2 /jaar) werkdagen]]</f>
        <v>4625.46</v>
      </c>
      <c r="AF266" s="60">
        <f>Ruimtestaat[[#This Row],[uren / jaar weekend]]+Ruimtestaat[[#This Row],[uren / jaar werkdagen]]</f>
        <v>0</v>
      </c>
      <c r="AG266" s="61">
        <f>Ruimtestaat[[#This Row],[kosten / jaar weekend]]+Ruimtestaat[[#This Row],[kosten / jaar werkdagen]]</f>
        <v>0</v>
      </c>
      <c r="AH266" s="92"/>
      <c r="HL266" s="59"/>
    </row>
    <row r="267" spans="1:220">
      <c r="A267" s="24">
        <v>2</v>
      </c>
      <c r="B267" s="24" t="str">
        <f>VLOOKUP(Ruimtestaat[[#This Row],[Code]],Locaties[#All],2,FALSE)</f>
        <v>Het Stormink</v>
      </c>
      <c r="C267" s="24" t="str">
        <f>VLOOKUP(Ruimtestaat[[#This Row],[Code]],Locaties[#All],4,FALSE)</f>
        <v>Storminkstraat 1</v>
      </c>
      <c r="D267" s="24" t="str">
        <f>VLOOKUP(Ruimtestaat[[#This Row],[Code]],Locaties[#All],5,FALSE)</f>
        <v>7418 GH</v>
      </c>
      <c r="E267" s="24" t="str">
        <f>VLOOKUP(Ruimtestaat[[#This Row],[Code]],Locaties[#All],6,FALSE)</f>
        <v>Deventer</v>
      </c>
      <c r="F267" s="54"/>
      <c r="G267" s="24" t="s">
        <v>367</v>
      </c>
      <c r="H267" s="24" t="s">
        <v>697</v>
      </c>
      <c r="I267" s="4" t="s">
        <v>698</v>
      </c>
      <c r="J267" s="24">
        <v>13</v>
      </c>
      <c r="K267" s="54" t="str">
        <f>VLOOKUP(J267,Ruimtegroepen[],2,FALSE)</f>
        <v>HV/Technieklokaal</v>
      </c>
      <c r="L267" s="24" t="s">
        <v>305</v>
      </c>
      <c r="M267" s="24" t="s">
        <v>668</v>
      </c>
      <c r="N267" s="83">
        <v>117.51</v>
      </c>
      <c r="O267" s="83"/>
      <c r="P267" s="93" t="str">
        <f>LEFT(VLOOKUP(Ruimtestaat[[#This Row],[Ruimte code]],Ruimtegroepen[#All],4,1),2)</f>
        <v>Le</v>
      </c>
      <c r="Q267" s="93"/>
      <c r="R267" s="84">
        <v>40</v>
      </c>
      <c r="S267" s="84" t="s">
        <v>318</v>
      </c>
      <c r="T267" s="85">
        <f>IF(R267&gt;0,IF(RIGHT(Ruimtestaat[[#This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7" s="85">
        <f>IF(T267&gt;0,VLOOKUP($J267,Ruimtegroepen[],3,FALSE)*VLOOKUP($L267,Vloersoorten[],3,FALSE)*VLOOKUP($S267,Frequenties[],3,FALSE)*VLOOKUP($A267,Locaties[],3,FALSE),0)</f>
        <v>0</v>
      </c>
      <c r="V267" s="86">
        <f>Ruimtestaat[[#This Row],[Uitvoeringen werkdagen]]*Ruimtestaat[[#This Row],[Oppervlak (netto)]]</f>
        <v>23502</v>
      </c>
      <c r="W267" s="87">
        <f>IF(U267&gt;0,Ruimtestaat[[#This Row],[Prest. (m2 /jaar) werkdagen]]/Ruimtestaat[[#This Row],[Norm (m2/uur) werkdagen]],0)</f>
        <v>0</v>
      </c>
      <c r="X267" s="88">
        <f>Ruimtestaat[[#This Row],[uren / jaar werkdagen]]*Tariefsopbouw!$E$35</f>
        <v>0</v>
      </c>
      <c r="Y267" s="85"/>
      <c r="Z267" s="89">
        <f>IF(Ruimtestaat[[#This Row],[Frequentie weekend]]&gt;0,VALUE(LEFT(Y267,1))*R267,0)</f>
        <v>0</v>
      </c>
      <c r="AA267" s="85">
        <f>IF($Z267&gt;0,VLOOKUP($J267,Ruimtegroepen[],3,FALSE)*VLOOKUP($L267,Vloersoorten[],3,FALSE)*VLOOKUP($Y267,Frequenties[],3,FALSE)*VLOOKUP(#REF!,Locaties[],3,FALSE),0)</f>
        <v>0</v>
      </c>
      <c r="AB267" s="87">
        <f>Ruimtestaat[[#This Row],[Uitvoeringen weekend]]*Ruimtestaat[[#This Row],[Oppervlak (netto)]]</f>
        <v>0</v>
      </c>
      <c r="AC267" s="90">
        <f>IF(AB267&gt;0,Ruimtestaat[[#This Row],[Prest. (m2 /jaar) weekend]]/Ruimtestaat[[#This Row],[Norm (m2/uur) weekend]],0)</f>
        <v>0</v>
      </c>
      <c r="AD267" s="91">
        <f>Ruimtestaat[[#This Row],[uren / jaar weekend]]*Tariefsopbouw!$D$40</f>
        <v>0</v>
      </c>
      <c r="AE267" s="60">
        <f>Ruimtestaat[[#This Row],[Prest. (m2 /jaar) weekend]]+Ruimtestaat[[#This Row],[Prest. (m2 /jaar) werkdagen]]</f>
        <v>23502</v>
      </c>
      <c r="AF267" s="60">
        <f>Ruimtestaat[[#This Row],[uren / jaar weekend]]+Ruimtestaat[[#This Row],[uren / jaar werkdagen]]</f>
        <v>0</v>
      </c>
      <c r="AG267" s="61">
        <f>Ruimtestaat[[#This Row],[kosten / jaar weekend]]+Ruimtestaat[[#This Row],[kosten / jaar werkdagen]]</f>
        <v>0</v>
      </c>
      <c r="AH267" s="92"/>
      <c r="HL267" s="59"/>
    </row>
    <row r="268" spans="1:220">
      <c r="A268" s="24">
        <v>2</v>
      </c>
      <c r="B268" s="24" t="str">
        <f>VLOOKUP(Ruimtestaat[[#This Row],[Code]],Locaties[#All],2,FALSE)</f>
        <v>Het Stormink</v>
      </c>
      <c r="C268" s="24" t="str">
        <f>VLOOKUP(Ruimtestaat[[#This Row],[Code]],Locaties[#All],4,FALSE)</f>
        <v>Storminkstraat 1</v>
      </c>
      <c r="D268" s="24" t="str">
        <f>VLOOKUP(Ruimtestaat[[#This Row],[Code]],Locaties[#All],5,FALSE)</f>
        <v>7418 GH</v>
      </c>
      <c r="E268" s="24" t="str">
        <f>VLOOKUP(Ruimtestaat[[#This Row],[Code]],Locaties[#All],6,FALSE)</f>
        <v>Deventer</v>
      </c>
      <c r="F268" s="54"/>
      <c r="G268" s="24" t="s">
        <v>367</v>
      </c>
      <c r="H268" s="24" t="s">
        <v>699</v>
      </c>
      <c r="I268" s="4" t="s">
        <v>698</v>
      </c>
      <c r="J268" s="24">
        <v>13</v>
      </c>
      <c r="K268" s="54" t="str">
        <f>VLOOKUP(J268,Ruimtegroepen[],2,FALSE)</f>
        <v>HV/Technieklokaal</v>
      </c>
      <c r="L268" s="24" t="s">
        <v>305</v>
      </c>
      <c r="M268" s="24" t="s">
        <v>668</v>
      </c>
      <c r="N268" s="83">
        <v>131.11000000000001</v>
      </c>
      <c r="O268" s="83"/>
      <c r="P268" s="93" t="str">
        <f>LEFT(VLOOKUP(Ruimtestaat[[#This Row],[Ruimte code]],Ruimtegroepen[#All],4,1),2)</f>
        <v>Le</v>
      </c>
      <c r="Q268" s="93"/>
      <c r="R268" s="84">
        <v>40</v>
      </c>
      <c r="S268" s="84" t="s">
        <v>318</v>
      </c>
      <c r="T268" s="85">
        <f>IF(R268&gt;0,IF(RIGHT(Ruimtestaat[[#This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8" s="85">
        <f>IF(T268&gt;0,VLOOKUP($J268,Ruimtegroepen[],3,FALSE)*VLOOKUP($L268,Vloersoorten[],3,FALSE)*VLOOKUP($S268,Frequenties[],3,FALSE)*VLOOKUP($A268,Locaties[],3,FALSE),0)</f>
        <v>0</v>
      </c>
      <c r="V268" s="86">
        <f>Ruimtestaat[[#This Row],[Uitvoeringen werkdagen]]*Ruimtestaat[[#This Row],[Oppervlak (netto)]]</f>
        <v>26222.000000000004</v>
      </c>
      <c r="W268" s="87">
        <f>IF(U268&gt;0,Ruimtestaat[[#This Row],[Prest. (m2 /jaar) werkdagen]]/Ruimtestaat[[#This Row],[Norm (m2/uur) werkdagen]],0)</f>
        <v>0</v>
      </c>
      <c r="X268" s="88">
        <f>Ruimtestaat[[#This Row],[uren / jaar werkdagen]]*Tariefsopbouw!$E$35</f>
        <v>0</v>
      </c>
      <c r="Y268" s="85"/>
      <c r="Z268" s="89">
        <f>IF(Ruimtestaat[[#This Row],[Frequentie weekend]]&gt;0,VALUE(LEFT(Y268,1))*R268,0)</f>
        <v>0</v>
      </c>
      <c r="AA268" s="85">
        <f>IF($Z268&gt;0,VLOOKUP($J268,Ruimtegroepen[],3,FALSE)*VLOOKUP($L268,Vloersoorten[],3,FALSE)*VLOOKUP($Y268,Frequenties[],3,FALSE)*VLOOKUP(#REF!,Locaties[],3,FALSE),0)</f>
        <v>0</v>
      </c>
      <c r="AB268" s="87">
        <f>Ruimtestaat[[#This Row],[Uitvoeringen weekend]]*Ruimtestaat[[#This Row],[Oppervlak (netto)]]</f>
        <v>0</v>
      </c>
      <c r="AC268" s="90">
        <f>IF(AB268&gt;0,Ruimtestaat[[#This Row],[Prest. (m2 /jaar) weekend]]/Ruimtestaat[[#This Row],[Norm (m2/uur) weekend]],0)</f>
        <v>0</v>
      </c>
      <c r="AD268" s="91">
        <f>Ruimtestaat[[#This Row],[uren / jaar weekend]]*Tariefsopbouw!$D$40</f>
        <v>0</v>
      </c>
      <c r="AE268" s="60">
        <f>Ruimtestaat[[#This Row],[Prest. (m2 /jaar) weekend]]+Ruimtestaat[[#This Row],[Prest. (m2 /jaar) werkdagen]]</f>
        <v>26222.000000000004</v>
      </c>
      <c r="AF268" s="60">
        <f>Ruimtestaat[[#This Row],[uren / jaar weekend]]+Ruimtestaat[[#This Row],[uren / jaar werkdagen]]</f>
        <v>0</v>
      </c>
      <c r="AG268" s="61">
        <f>Ruimtestaat[[#This Row],[kosten / jaar weekend]]+Ruimtestaat[[#This Row],[kosten / jaar werkdagen]]</f>
        <v>0</v>
      </c>
      <c r="AH268" s="92"/>
      <c r="HL268" s="59"/>
    </row>
    <row r="269" spans="1:220">
      <c r="A269" s="24">
        <v>2</v>
      </c>
      <c r="B269" s="24" t="str">
        <f>VLOOKUP(Ruimtestaat[[#This Row],[Code]],Locaties[#All],2,FALSE)</f>
        <v>Het Stormink</v>
      </c>
      <c r="C269" s="24" t="str">
        <f>VLOOKUP(Ruimtestaat[[#This Row],[Code]],Locaties[#All],4,FALSE)</f>
        <v>Storminkstraat 1</v>
      </c>
      <c r="D269" s="24" t="str">
        <f>VLOOKUP(Ruimtestaat[[#This Row],[Code]],Locaties[#All],5,FALSE)</f>
        <v>7418 GH</v>
      </c>
      <c r="E269" s="24" t="str">
        <f>VLOOKUP(Ruimtestaat[[#This Row],[Code]],Locaties[#All],6,FALSE)</f>
        <v>Deventer</v>
      </c>
      <c r="F269" s="54"/>
      <c r="G269" s="24" t="s">
        <v>367</v>
      </c>
      <c r="H269" s="24" t="s">
        <v>700</v>
      </c>
      <c r="I269" s="4" t="s">
        <v>698</v>
      </c>
      <c r="J269" s="24">
        <v>13</v>
      </c>
      <c r="K269" s="54" t="str">
        <f>VLOOKUP(J269,Ruimtegroepen[],2,FALSE)</f>
        <v>HV/Technieklokaal</v>
      </c>
      <c r="L269" s="24" t="s">
        <v>305</v>
      </c>
      <c r="M269" s="24" t="s">
        <v>668</v>
      </c>
      <c r="N269" s="83">
        <v>131.1</v>
      </c>
      <c r="O269" s="83"/>
      <c r="P269" s="93" t="str">
        <f>LEFT(VLOOKUP(Ruimtestaat[[#This Row],[Ruimte code]],Ruimtegroepen[#All],4,1),2)</f>
        <v>Le</v>
      </c>
      <c r="Q269" s="93"/>
      <c r="R269" s="84">
        <v>40</v>
      </c>
      <c r="S269" s="84" t="s">
        <v>318</v>
      </c>
      <c r="T269" s="85">
        <f>IF(R269&gt;0,IF(RIGHT(Ruimtestaat[[#This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9" s="85">
        <f>IF(T269&gt;0,VLOOKUP($J269,Ruimtegroepen[],3,FALSE)*VLOOKUP($L269,Vloersoorten[],3,FALSE)*VLOOKUP($S269,Frequenties[],3,FALSE)*VLOOKUP($A269,Locaties[],3,FALSE),0)</f>
        <v>0</v>
      </c>
      <c r="V269" s="86">
        <f>Ruimtestaat[[#This Row],[Uitvoeringen werkdagen]]*Ruimtestaat[[#This Row],[Oppervlak (netto)]]</f>
        <v>26220</v>
      </c>
      <c r="W269" s="87">
        <f>IF(U269&gt;0,Ruimtestaat[[#This Row],[Prest. (m2 /jaar) werkdagen]]/Ruimtestaat[[#This Row],[Norm (m2/uur) werkdagen]],0)</f>
        <v>0</v>
      </c>
      <c r="X269" s="88">
        <f>Ruimtestaat[[#This Row],[uren / jaar werkdagen]]*Tariefsopbouw!$E$35</f>
        <v>0</v>
      </c>
      <c r="Y269" s="85"/>
      <c r="Z269" s="89">
        <f>IF(Ruimtestaat[[#This Row],[Frequentie weekend]]&gt;0,VALUE(LEFT(Y269,1))*R269,0)</f>
        <v>0</v>
      </c>
      <c r="AA269" s="85">
        <f>IF($Z269&gt;0,VLOOKUP($J269,Ruimtegroepen[],3,FALSE)*VLOOKUP($L269,Vloersoorten[],3,FALSE)*VLOOKUP($Y269,Frequenties[],3,FALSE)*VLOOKUP(#REF!,Locaties[],3,FALSE),0)</f>
        <v>0</v>
      </c>
      <c r="AB269" s="87">
        <f>Ruimtestaat[[#This Row],[Uitvoeringen weekend]]*Ruimtestaat[[#This Row],[Oppervlak (netto)]]</f>
        <v>0</v>
      </c>
      <c r="AC269" s="90">
        <f>IF(AB269&gt;0,Ruimtestaat[[#This Row],[Prest. (m2 /jaar) weekend]]/Ruimtestaat[[#This Row],[Norm (m2/uur) weekend]],0)</f>
        <v>0</v>
      </c>
      <c r="AD269" s="91">
        <f>Ruimtestaat[[#This Row],[uren / jaar weekend]]*Tariefsopbouw!$D$40</f>
        <v>0</v>
      </c>
      <c r="AE269" s="60">
        <f>Ruimtestaat[[#This Row],[Prest. (m2 /jaar) weekend]]+Ruimtestaat[[#This Row],[Prest. (m2 /jaar) werkdagen]]</f>
        <v>26220</v>
      </c>
      <c r="AF269" s="60">
        <f>Ruimtestaat[[#This Row],[uren / jaar weekend]]+Ruimtestaat[[#This Row],[uren / jaar werkdagen]]</f>
        <v>0</v>
      </c>
      <c r="AG269" s="61">
        <f>Ruimtestaat[[#This Row],[kosten / jaar weekend]]+Ruimtestaat[[#This Row],[kosten / jaar werkdagen]]</f>
        <v>0</v>
      </c>
      <c r="AH269" s="92"/>
      <c r="HL269" s="59"/>
    </row>
    <row r="270" spans="1:220">
      <c r="A270" s="24">
        <v>2</v>
      </c>
      <c r="B270" s="24" t="str">
        <f>VLOOKUP(Ruimtestaat[[#This Row],[Code]],Locaties[#All],2,FALSE)</f>
        <v>Het Stormink</v>
      </c>
      <c r="C270" s="24" t="str">
        <f>VLOOKUP(Ruimtestaat[[#This Row],[Code]],Locaties[#All],4,FALSE)</f>
        <v>Storminkstraat 1</v>
      </c>
      <c r="D270" s="24" t="str">
        <f>VLOOKUP(Ruimtestaat[[#This Row],[Code]],Locaties[#All],5,FALSE)</f>
        <v>7418 GH</v>
      </c>
      <c r="E270" s="24" t="str">
        <f>VLOOKUP(Ruimtestaat[[#This Row],[Code]],Locaties[#All],6,FALSE)</f>
        <v>Deventer</v>
      </c>
      <c r="F270" s="54"/>
      <c r="G270" s="24" t="s">
        <v>367</v>
      </c>
      <c r="H270" s="24" t="s">
        <v>701</v>
      </c>
      <c r="I270" s="4" t="s">
        <v>698</v>
      </c>
      <c r="J270" s="24">
        <v>13</v>
      </c>
      <c r="K270" s="54" t="str">
        <f>VLOOKUP(J270,Ruimtegroepen[],2,FALSE)</f>
        <v>HV/Technieklokaal</v>
      </c>
      <c r="L270" s="24" t="s">
        <v>305</v>
      </c>
      <c r="M270" s="24" t="s">
        <v>668</v>
      </c>
      <c r="N270" s="83">
        <v>121.52</v>
      </c>
      <c r="O270" s="83"/>
      <c r="P270" s="93" t="str">
        <f>LEFT(VLOOKUP(Ruimtestaat[[#This Row],[Ruimte code]],Ruimtegroepen[#All],4,1),2)</f>
        <v>Le</v>
      </c>
      <c r="Q270" s="93"/>
      <c r="R270" s="84">
        <v>40</v>
      </c>
      <c r="S270" s="84" t="s">
        <v>318</v>
      </c>
      <c r="T270" s="85">
        <f>IF(R270&gt;0,IF(RIGHT(Ruimtestaat[[#This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0" s="85">
        <f>IF(T270&gt;0,VLOOKUP($J270,Ruimtegroepen[],3,FALSE)*VLOOKUP($L270,Vloersoorten[],3,FALSE)*VLOOKUP($S270,Frequenties[],3,FALSE)*VLOOKUP($A270,Locaties[],3,FALSE),0)</f>
        <v>0</v>
      </c>
      <c r="V270" s="86">
        <f>Ruimtestaat[[#This Row],[Uitvoeringen werkdagen]]*Ruimtestaat[[#This Row],[Oppervlak (netto)]]</f>
        <v>24304</v>
      </c>
      <c r="W270" s="87">
        <f>IF(U270&gt;0,Ruimtestaat[[#This Row],[Prest. (m2 /jaar) werkdagen]]/Ruimtestaat[[#This Row],[Norm (m2/uur) werkdagen]],0)</f>
        <v>0</v>
      </c>
      <c r="X270" s="88">
        <f>Ruimtestaat[[#This Row],[uren / jaar werkdagen]]*Tariefsopbouw!$E$35</f>
        <v>0</v>
      </c>
      <c r="Y270" s="85"/>
      <c r="Z270" s="89">
        <f>IF(Ruimtestaat[[#This Row],[Frequentie weekend]]&gt;0,VALUE(LEFT(Y270,1))*R270,0)</f>
        <v>0</v>
      </c>
      <c r="AA270" s="85">
        <f>IF($Z270&gt;0,VLOOKUP($J270,Ruimtegroepen[],3,FALSE)*VLOOKUP($L270,Vloersoorten[],3,FALSE)*VLOOKUP($Y270,Frequenties[],3,FALSE)*VLOOKUP(#REF!,Locaties[],3,FALSE),0)</f>
        <v>0</v>
      </c>
      <c r="AB270" s="87">
        <f>Ruimtestaat[[#This Row],[Uitvoeringen weekend]]*Ruimtestaat[[#This Row],[Oppervlak (netto)]]</f>
        <v>0</v>
      </c>
      <c r="AC270" s="90">
        <f>IF(AB270&gt;0,Ruimtestaat[[#This Row],[Prest. (m2 /jaar) weekend]]/Ruimtestaat[[#This Row],[Norm (m2/uur) weekend]],0)</f>
        <v>0</v>
      </c>
      <c r="AD270" s="91">
        <f>Ruimtestaat[[#This Row],[uren / jaar weekend]]*Tariefsopbouw!$D$40</f>
        <v>0</v>
      </c>
      <c r="AE270" s="60">
        <f>Ruimtestaat[[#This Row],[Prest. (m2 /jaar) weekend]]+Ruimtestaat[[#This Row],[Prest. (m2 /jaar) werkdagen]]</f>
        <v>24304</v>
      </c>
      <c r="AF270" s="60">
        <f>Ruimtestaat[[#This Row],[uren / jaar weekend]]+Ruimtestaat[[#This Row],[uren / jaar werkdagen]]</f>
        <v>0</v>
      </c>
      <c r="AG270" s="61">
        <f>Ruimtestaat[[#This Row],[kosten / jaar weekend]]+Ruimtestaat[[#This Row],[kosten / jaar werkdagen]]</f>
        <v>0</v>
      </c>
      <c r="AH270" s="92"/>
      <c r="HL270" s="59"/>
    </row>
    <row r="271" spans="1:220">
      <c r="A271" s="24">
        <v>2</v>
      </c>
      <c r="B271" s="24" t="str">
        <f>VLOOKUP(Ruimtestaat[[#This Row],[Code]],Locaties[#All],2,FALSE)</f>
        <v>Het Stormink</v>
      </c>
      <c r="C271" s="24" t="str">
        <f>VLOOKUP(Ruimtestaat[[#This Row],[Code]],Locaties[#All],4,FALSE)</f>
        <v>Storminkstraat 1</v>
      </c>
      <c r="D271" s="24" t="str">
        <f>VLOOKUP(Ruimtestaat[[#This Row],[Code]],Locaties[#All],5,FALSE)</f>
        <v>7418 GH</v>
      </c>
      <c r="E271" s="24" t="str">
        <f>VLOOKUP(Ruimtestaat[[#This Row],[Code]],Locaties[#All],6,FALSE)</f>
        <v>Deventer</v>
      </c>
      <c r="F271" s="54"/>
      <c r="G271" s="24" t="s">
        <v>367</v>
      </c>
      <c r="H271" s="24" t="s">
        <v>702</v>
      </c>
      <c r="I271" s="4" t="s">
        <v>703</v>
      </c>
      <c r="J271" s="24">
        <v>16</v>
      </c>
      <c r="K271" s="54" t="str">
        <f>VLOOKUP(J271,Ruimtegroepen[],2,FALSE)</f>
        <v>Leslokalen theorie</v>
      </c>
      <c r="L271" s="24" t="s">
        <v>305</v>
      </c>
      <c r="M271" s="24" t="s">
        <v>668</v>
      </c>
      <c r="N271" s="83">
        <v>37.47</v>
      </c>
      <c r="O271" s="83"/>
      <c r="P271" s="93" t="str">
        <f>LEFT(VLOOKUP(Ruimtestaat[[#This Row],[Ruimte code]],Ruimtegroepen[#All],4,1),2)</f>
        <v>Le</v>
      </c>
      <c r="Q271" s="93"/>
      <c r="R271" s="84">
        <v>40</v>
      </c>
      <c r="S271" s="84" t="s">
        <v>318</v>
      </c>
      <c r="T271" s="85">
        <f>IF(R271&gt;0,IF(RIGHT(Ruimtestaat[[#This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1" s="85">
        <f>IF(T271&gt;0,VLOOKUP($J271,Ruimtegroepen[],3,FALSE)*VLOOKUP($L271,Vloersoorten[],3,FALSE)*VLOOKUP($S271,Frequenties[],3,FALSE)*VLOOKUP($A271,Locaties[],3,FALSE),0)</f>
        <v>0</v>
      </c>
      <c r="V271" s="86">
        <f>Ruimtestaat[[#This Row],[Uitvoeringen werkdagen]]*Ruimtestaat[[#This Row],[Oppervlak (netto)]]</f>
        <v>7494</v>
      </c>
      <c r="W271" s="87">
        <f>IF(U271&gt;0,Ruimtestaat[[#This Row],[Prest. (m2 /jaar) werkdagen]]/Ruimtestaat[[#This Row],[Norm (m2/uur) werkdagen]],0)</f>
        <v>0</v>
      </c>
      <c r="X271" s="88">
        <f>Ruimtestaat[[#This Row],[uren / jaar werkdagen]]*Tariefsopbouw!$E$35</f>
        <v>0</v>
      </c>
      <c r="Y271" s="85"/>
      <c r="Z271" s="89">
        <f>IF(Ruimtestaat[[#This Row],[Frequentie weekend]]&gt;0,VALUE(LEFT(Y271,1))*R271,0)</f>
        <v>0</v>
      </c>
      <c r="AA271" s="85">
        <f>IF($Z271&gt;0,VLOOKUP($J271,Ruimtegroepen[],3,FALSE)*VLOOKUP($L271,Vloersoorten[],3,FALSE)*VLOOKUP($Y271,Frequenties[],3,FALSE)*VLOOKUP(#REF!,Locaties[],3,FALSE),0)</f>
        <v>0</v>
      </c>
      <c r="AB271" s="87">
        <f>Ruimtestaat[[#This Row],[Uitvoeringen weekend]]*Ruimtestaat[[#This Row],[Oppervlak (netto)]]</f>
        <v>0</v>
      </c>
      <c r="AC271" s="90">
        <f>IF(AB271&gt;0,Ruimtestaat[[#This Row],[Prest. (m2 /jaar) weekend]]/Ruimtestaat[[#This Row],[Norm (m2/uur) weekend]],0)</f>
        <v>0</v>
      </c>
      <c r="AD271" s="91">
        <f>Ruimtestaat[[#This Row],[uren / jaar weekend]]*Tariefsopbouw!$D$40</f>
        <v>0</v>
      </c>
      <c r="AE271" s="60">
        <f>Ruimtestaat[[#This Row],[Prest. (m2 /jaar) weekend]]+Ruimtestaat[[#This Row],[Prest. (m2 /jaar) werkdagen]]</f>
        <v>7494</v>
      </c>
      <c r="AF271" s="60">
        <f>Ruimtestaat[[#This Row],[uren / jaar weekend]]+Ruimtestaat[[#This Row],[uren / jaar werkdagen]]</f>
        <v>0</v>
      </c>
      <c r="AG271" s="61">
        <f>Ruimtestaat[[#This Row],[kosten / jaar weekend]]+Ruimtestaat[[#This Row],[kosten / jaar werkdagen]]</f>
        <v>0</v>
      </c>
      <c r="AH271" s="92"/>
      <c r="HL271" s="59"/>
    </row>
    <row r="272" spans="1:220">
      <c r="A272" s="24">
        <v>2</v>
      </c>
      <c r="B272" s="24" t="str">
        <f>VLOOKUP(Ruimtestaat[[#This Row],[Code]],Locaties[#All],2,FALSE)</f>
        <v>Het Stormink</v>
      </c>
      <c r="C272" s="24" t="str">
        <f>VLOOKUP(Ruimtestaat[[#This Row],[Code]],Locaties[#All],4,FALSE)</f>
        <v>Storminkstraat 1</v>
      </c>
      <c r="D272" s="24" t="str">
        <f>VLOOKUP(Ruimtestaat[[#This Row],[Code]],Locaties[#All],5,FALSE)</f>
        <v>7418 GH</v>
      </c>
      <c r="E272" s="24" t="str">
        <f>VLOOKUP(Ruimtestaat[[#This Row],[Code]],Locaties[#All],6,FALSE)</f>
        <v>Deventer</v>
      </c>
      <c r="F272" s="54"/>
      <c r="G272" s="24" t="s">
        <v>367</v>
      </c>
      <c r="H272" s="24" t="s">
        <v>704</v>
      </c>
      <c r="I272" s="4" t="s">
        <v>705</v>
      </c>
      <c r="J272" s="24">
        <v>13</v>
      </c>
      <c r="K272" s="54" t="str">
        <f>VLOOKUP(J272,Ruimtegroepen[],2,FALSE)</f>
        <v>HV/Technieklokaal</v>
      </c>
      <c r="L272" s="24" t="s">
        <v>305</v>
      </c>
      <c r="M272" s="24" t="s">
        <v>668</v>
      </c>
      <c r="N272" s="83">
        <v>30.72</v>
      </c>
      <c r="O272" s="83"/>
      <c r="P272" s="93" t="str">
        <f>LEFT(VLOOKUP(Ruimtestaat[[#This Row],[Ruimte code]],Ruimtegroepen[#All],4,1),2)</f>
        <v>Le</v>
      </c>
      <c r="Q272" s="93"/>
      <c r="R272" s="84">
        <v>40</v>
      </c>
      <c r="S272" s="84" t="s">
        <v>318</v>
      </c>
      <c r="T272" s="85">
        <f>IF(R272&gt;0,IF(RIGHT(Ruimtestaat[[#This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2" s="85">
        <f>IF(T272&gt;0,VLOOKUP($J272,Ruimtegroepen[],3,FALSE)*VLOOKUP($L272,Vloersoorten[],3,FALSE)*VLOOKUP($S272,Frequenties[],3,FALSE)*VLOOKUP($A272,Locaties[],3,FALSE),0)</f>
        <v>0</v>
      </c>
      <c r="V272" s="86">
        <f>Ruimtestaat[[#This Row],[Uitvoeringen werkdagen]]*Ruimtestaat[[#This Row],[Oppervlak (netto)]]</f>
        <v>6144</v>
      </c>
      <c r="W272" s="87">
        <f>IF(U272&gt;0,Ruimtestaat[[#This Row],[Prest. (m2 /jaar) werkdagen]]/Ruimtestaat[[#This Row],[Norm (m2/uur) werkdagen]],0)</f>
        <v>0</v>
      </c>
      <c r="X272" s="88">
        <f>Ruimtestaat[[#This Row],[uren / jaar werkdagen]]*Tariefsopbouw!$E$35</f>
        <v>0</v>
      </c>
      <c r="Y272" s="85"/>
      <c r="Z272" s="89">
        <f>IF(Ruimtestaat[[#This Row],[Frequentie weekend]]&gt;0,VALUE(LEFT(Y272,1))*R272,0)</f>
        <v>0</v>
      </c>
      <c r="AA272" s="85">
        <f>IF($Z272&gt;0,VLOOKUP($J272,Ruimtegroepen[],3,FALSE)*VLOOKUP($L272,Vloersoorten[],3,FALSE)*VLOOKUP($Y272,Frequenties[],3,FALSE)*VLOOKUP(#REF!,Locaties[],3,FALSE),0)</f>
        <v>0</v>
      </c>
      <c r="AB272" s="87">
        <f>Ruimtestaat[[#This Row],[Uitvoeringen weekend]]*Ruimtestaat[[#This Row],[Oppervlak (netto)]]</f>
        <v>0</v>
      </c>
      <c r="AC272" s="90">
        <f>IF(AB272&gt;0,Ruimtestaat[[#This Row],[Prest. (m2 /jaar) weekend]]/Ruimtestaat[[#This Row],[Norm (m2/uur) weekend]],0)</f>
        <v>0</v>
      </c>
      <c r="AD272" s="91">
        <f>Ruimtestaat[[#This Row],[uren / jaar weekend]]*Tariefsopbouw!$D$40</f>
        <v>0</v>
      </c>
      <c r="AE272" s="60">
        <f>Ruimtestaat[[#This Row],[Prest. (m2 /jaar) weekend]]+Ruimtestaat[[#This Row],[Prest. (m2 /jaar) werkdagen]]</f>
        <v>6144</v>
      </c>
      <c r="AF272" s="60">
        <f>Ruimtestaat[[#This Row],[uren / jaar weekend]]+Ruimtestaat[[#This Row],[uren / jaar werkdagen]]</f>
        <v>0</v>
      </c>
      <c r="AG272" s="61">
        <f>Ruimtestaat[[#This Row],[kosten / jaar weekend]]+Ruimtestaat[[#This Row],[kosten / jaar werkdagen]]</f>
        <v>0</v>
      </c>
      <c r="AH272" s="92"/>
      <c r="HL272" s="59"/>
    </row>
    <row r="273" spans="1:220">
      <c r="A273" s="24">
        <v>2</v>
      </c>
      <c r="B273" s="24" t="str">
        <f>VLOOKUP(Ruimtestaat[[#This Row],[Code]],Locaties[#All],2,FALSE)</f>
        <v>Het Stormink</v>
      </c>
      <c r="C273" s="24" t="str">
        <f>VLOOKUP(Ruimtestaat[[#This Row],[Code]],Locaties[#All],4,FALSE)</f>
        <v>Storminkstraat 1</v>
      </c>
      <c r="D273" s="24" t="str">
        <f>VLOOKUP(Ruimtestaat[[#This Row],[Code]],Locaties[#All],5,FALSE)</f>
        <v>7418 GH</v>
      </c>
      <c r="E273" s="24" t="str">
        <f>VLOOKUP(Ruimtestaat[[#This Row],[Code]],Locaties[#All],6,FALSE)</f>
        <v>Deventer</v>
      </c>
      <c r="F273" s="54"/>
      <c r="G273" s="24" t="s">
        <v>367</v>
      </c>
      <c r="H273" s="24" t="s">
        <v>486</v>
      </c>
      <c r="I273" s="4" t="s">
        <v>487</v>
      </c>
      <c r="J273" s="24">
        <v>6</v>
      </c>
      <c r="K273" s="54" t="str">
        <f>VLOOKUP(J273,Ruimtegroepen[],2,FALSE)</f>
        <v>Gangen/hallen</v>
      </c>
      <c r="L273" s="24" t="s">
        <v>300</v>
      </c>
      <c r="M273" s="24" t="s">
        <v>157</v>
      </c>
      <c r="N273" s="83">
        <v>135.66</v>
      </c>
      <c r="O273" s="83"/>
      <c r="P273" s="93" t="str">
        <f>LEFT(VLOOKUP(Ruimtestaat[[#This Row],[Ruimte code]],Ruimtegroepen[#All],4,1),2)</f>
        <v>Ve</v>
      </c>
      <c r="Q273" s="93"/>
      <c r="R273" s="84">
        <v>40</v>
      </c>
      <c r="S273" s="84" t="s">
        <v>318</v>
      </c>
      <c r="T273" s="85">
        <f>IF(R273&gt;0,IF(RIGHT(Ruimtestaat[[#This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3" s="85">
        <f>IF(T273&gt;0,VLOOKUP($J273,Ruimtegroepen[],3,FALSE)*VLOOKUP($L273,Vloersoorten[],3,FALSE)*VLOOKUP($S273,Frequenties[],3,FALSE)*VLOOKUP($A273,Locaties[],3,FALSE),0)</f>
        <v>0</v>
      </c>
      <c r="V273" s="86">
        <f>Ruimtestaat[[#This Row],[Uitvoeringen werkdagen]]*Ruimtestaat[[#This Row],[Oppervlak (netto)]]</f>
        <v>27132</v>
      </c>
      <c r="W273" s="87">
        <f>IF(U273&gt;0,Ruimtestaat[[#This Row],[Prest. (m2 /jaar) werkdagen]]/Ruimtestaat[[#This Row],[Norm (m2/uur) werkdagen]],0)</f>
        <v>0</v>
      </c>
      <c r="X273" s="88">
        <f>Ruimtestaat[[#This Row],[uren / jaar werkdagen]]*Tariefsopbouw!$E$35</f>
        <v>0</v>
      </c>
      <c r="Y273" s="85"/>
      <c r="Z273" s="89">
        <f>IF(Ruimtestaat[[#This Row],[Frequentie weekend]]&gt;0,VALUE(LEFT(Y273,1))*R273,0)</f>
        <v>0</v>
      </c>
      <c r="AA273" s="85">
        <f>IF($Z273&gt;0,VLOOKUP($J273,Ruimtegroepen[],3,FALSE)*VLOOKUP($L273,Vloersoorten[],3,FALSE)*VLOOKUP($Y273,Frequenties[],3,FALSE)*VLOOKUP(#REF!,Locaties[],3,FALSE),0)</f>
        <v>0</v>
      </c>
      <c r="AB273" s="87">
        <f>Ruimtestaat[[#This Row],[Uitvoeringen weekend]]*Ruimtestaat[[#This Row],[Oppervlak (netto)]]</f>
        <v>0</v>
      </c>
      <c r="AC273" s="90">
        <f>IF(AB273&gt;0,Ruimtestaat[[#This Row],[Prest. (m2 /jaar) weekend]]/Ruimtestaat[[#This Row],[Norm (m2/uur) weekend]],0)</f>
        <v>0</v>
      </c>
      <c r="AD273" s="91">
        <f>Ruimtestaat[[#This Row],[uren / jaar weekend]]*Tariefsopbouw!$D$40</f>
        <v>0</v>
      </c>
      <c r="AE273" s="60">
        <f>Ruimtestaat[[#This Row],[Prest. (m2 /jaar) weekend]]+Ruimtestaat[[#This Row],[Prest. (m2 /jaar) werkdagen]]</f>
        <v>27132</v>
      </c>
      <c r="AF273" s="60">
        <f>Ruimtestaat[[#This Row],[uren / jaar weekend]]+Ruimtestaat[[#This Row],[uren / jaar werkdagen]]</f>
        <v>0</v>
      </c>
      <c r="AG273" s="61">
        <f>Ruimtestaat[[#This Row],[kosten / jaar weekend]]+Ruimtestaat[[#This Row],[kosten / jaar werkdagen]]</f>
        <v>0</v>
      </c>
      <c r="AH273" s="92"/>
      <c r="HL273" s="59"/>
    </row>
    <row r="274" spans="1:220">
      <c r="A274" s="24">
        <v>2</v>
      </c>
      <c r="B274" s="24" t="str">
        <f>VLOOKUP(Ruimtestaat[[#This Row],[Code]],Locaties[#All],2,FALSE)</f>
        <v>Het Stormink</v>
      </c>
      <c r="C274" s="24" t="str">
        <f>VLOOKUP(Ruimtestaat[[#This Row],[Code]],Locaties[#All],4,FALSE)</f>
        <v>Storminkstraat 1</v>
      </c>
      <c r="D274" s="24" t="str">
        <f>VLOOKUP(Ruimtestaat[[#This Row],[Code]],Locaties[#All],5,FALSE)</f>
        <v>7418 GH</v>
      </c>
      <c r="E274" s="24" t="str">
        <f>VLOOKUP(Ruimtestaat[[#This Row],[Code]],Locaties[#All],6,FALSE)</f>
        <v>Deventer</v>
      </c>
      <c r="F274" s="54"/>
      <c r="G274" s="24" t="s">
        <v>367</v>
      </c>
      <c r="H274" s="24" t="s">
        <v>488</v>
      </c>
      <c r="I274" s="4" t="s">
        <v>487</v>
      </c>
      <c r="J274" s="24">
        <v>6</v>
      </c>
      <c r="K274" s="54" t="str">
        <f>VLOOKUP(J274,Ruimtegroepen[],2,FALSE)</f>
        <v>Gangen/hallen</v>
      </c>
      <c r="L274" s="24" t="s">
        <v>300</v>
      </c>
      <c r="M274" s="24" t="s">
        <v>157</v>
      </c>
      <c r="N274" s="83">
        <v>174.44</v>
      </c>
      <c r="O274" s="83"/>
      <c r="P274" s="93" t="str">
        <f>LEFT(VLOOKUP(Ruimtestaat[[#This Row],[Ruimte code]],Ruimtegroepen[#All],4,1),2)</f>
        <v>Ve</v>
      </c>
      <c r="Q274" s="93"/>
      <c r="R274" s="84">
        <v>40</v>
      </c>
      <c r="S274" s="84" t="s">
        <v>318</v>
      </c>
      <c r="T274" s="85">
        <f>IF(R274&gt;0,IF(RIGHT(Ruimtestaat[[#This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4" s="85">
        <f>IF(T274&gt;0,VLOOKUP($J274,Ruimtegroepen[],3,FALSE)*VLOOKUP($L274,Vloersoorten[],3,FALSE)*VLOOKUP($S274,Frequenties[],3,FALSE)*VLOOKUP($A274,Locaties[],3,FALSE),0)</f>
        <v>0</v>
      </c>
      <c r="V274" s="86">
        <f>Ruimtestaat[[#This Row],[Uitvoeringen werkdagen]]*Ruimtestaat[[#This Row],[Oppervlak (netto)]]</f>
        <v>34888</v>
      </c>
      <c r="W274" s="87">
        <f>IF(U274&gt;0,Ruimtestaat[[#This Row],[Prest. (m2 /jaar) werkdagen]]/Ruimtestaat[[#This Row],[Norm (m2/uur) werkdagen]],0)</f>
        <v>0</v>
      </c>
      <c r="X274" s="88">
        <f>Ruimtestaat[[#This Row],[uren / jaar werkdagen]]*Tariefsopbouw!$E$35</f>
        <v>0</v>
      </c>
      <c r="Y274" s="85"/>
      <c r="Z274" s="89">
        <f>IF(Ruimtestaat[[#This Row],[Frequentie weekend]]&gt;0,VALUE(LEFT(Y274,1))*R274,0)</f>
        <v>0</v>
      </c>
      <c r="AA274" s="85">
        <f>IF($Z274&gt;0,VLOOKUP($J274,Ruimtegroepen[],3,FALSE)*VLOOKUP($L274,Vloersoorten[],3,FALSE)*VLOOKUP($Y274,Frequenties[],3,FALSE)*VLOOKUP(#REF!,Locaties[],3,FALSE),0)</f>
        <v>0</v>
      </c>
      <c r="AB274" s="87">
        <f>Ruimtestaat[[#This Row],[Uitvoeringen weekend]]*Ruimtestaat[[#This Row],[Oppervlak (netto)]]</f>
        <v>0</v>
      </c>
      <c r="AC274" s="90">
        <f>IF(AB274&gt;0,Ruimtestaat[[#This Row],[Prest. (m2 /jaar) weekend]]/Ruimtestaat[[#This Row],[Norm (m2/uur) weekend]],0)</f>
        <v>0</v>
      </c>
      <c r="AD274" s="91">
        <f>Ruimtestaat[[#This Row],[uren / jaar weekend]]*Tariefsopbouw!$D$40</f>
        <v>0</v>
      </c>
      <c r="AE274" s="60">
        <f>Ruimtestaat[[#This Row],[Prest. (m2 /jaar) weekend]]+Ruimtestaat[[#This Row],[Prest. (m2 /jaar) werkdagen]]</f>
        <v>34888</v>
      </c>
      <c r="AF274" s="60">
        <f>Ruimtestaat[[#This Row],[uren / jaar weekend]]+Ruimtestaat[[#This Row],[uren / jaar werkdagen]]</f>
        <v>0</v>
      </c>
      <c r="AG274" s="61">
        <f>Ruimtestaat[[#This Row],[kosten / jaar weekend]]+Ruimtestaat[[#This Row],[kosten / jaar werkdagen]]</f>
        <v>0</v>
      </c>
      <c r="AH274" s="92"/>
      <c r="HL274" s="59"/>
    </row>
    <row r="275" spans="1:220">
      <c r="A275" s="24">
        <v>2</v>
      </c>
      <c r="B275" s="24" t="str">
        <f>VLOOKUP(Ruimtestaat[[#This Row],[Code]],Locaties[#All],2,FALSE)</f>
        <v>Het Stormink</v>
      </c>
      <c r="C275" s="24" t="str">
        <f>VLOOKUP(Ruimtestaat[[#This Row],[Code]],Locaties[#All],4,FALSE)</f>
        <v>Storminkstraat 1</v>
      </c>
      <c r="D275" s="24" t="str">
        <f>VLOOKUP(Ruimtestaat[[#This Row],[Code]],Locaties[#All],5,FALSE)</f>
        <v>7418 GH</v>
      </c>
      <c r="E275" s="24" t="str">
        <f>VLOOKUP(Ruimtestaat[[#This Row],[Code]],Locaties[#All],6,FALSE)</f>
        <v>Deventer</v>
      </c>
      <c r="F275" s="54"/>
      <c r="G275" s="24" t="s">
        <v>367</v>
      </c>
      <c r="H275" s="24" t="s">
        <v>489</v>
      </c>
      <c r="I275" s="4" t="s">
        <v>487</v>
      </c>
      <c r="J275" s="24">
        <v>6</v>
      </c>
      <c r="K275" s="54" t="str">
        <f>VLOOKUP(J275,Ruimtegroepen[],2,FALSE)</f>
        <v>Gangen/hallen</v>
      </c>
      <c r="L275" s="24" t="s">
        <v>300</v>
      </c>
      <c r="M275" s="24" t="s">
        <v>157</v>
      </c>
      <c r="N275" s="83">
        <v>162.43</v>
      </c>
      <c r="O275" s="83"/>
      <c r="P275" s="93" t="str">
        <f>LEFT(VLOOKUP(Ruimtestaat[[#This Row],[Ruimte code]],Ruimtegroepen[#All],4,1),2)</f>
        <v>Ve</v>
      </c>
      <c r="Q275" s="93"/>
      <c r="R275" s="84">
        <v>40</v>
      </c>
      <c r="S275" s="84" t="s">
        <v>318</v>
      </c>
      <c r="T275" s="85">
        <f>IF(R275&gt;0,IF(RIGHT(Ruimtestaat[[#This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5" s="85">
        <f>IF(T275&gt;0,VLOOKUP($J275,Ruimtegroepen[],3,FALSE)*VLOOKUP($L275,Vloersoorten[],3,FALSE)*VLOOKUP($S275,Frequenties[],3,FALSE)*VLOOKUP($A275,Locaties[],3,FALSE),0)</f>
        <v>0</v>
      </c>
      <c r="V275" s="86">
        <f>Ruimtestaat[[#This Row],[Uitvoeringen werkdagen]]*Ruimtestaat[[#This Row],[Oppervlak (netto)]]</f>
        <v>32486</v>
      </c>
      <c r="W275" s="87">
        <f>IF(U275&gt;0,Ruimtestaat[[#This Row],[Prest. (m2 /jaar) werkdagen]]/Ruimtestaat[[#This Row],[Norm (m2/uur) werkdagen]],0)</f>
        <v>0</v>
      </c>
      <c r="X275" s="88">
        <f>Ruimtestaat[[#This Row],[uren / jaar werkdagen]]*Tariefsopbouw!$E$35</f>
        <v>0</v>
      </c>
      <c r="Y275" s="85"/>
      <c r="Z275" s="89">
        <f>IF(Ruimtestaat[[#This Row],[Frequentie weekend]]&gt;0,VALUE(LEFT(Y275,1))*R275,0)</f>
        <v>0</v>
      </c>
      <c r="AA275" s="85">
        <f>IF($Z275&gt;0,VLOOKUP($J275,Ruimtegroepen[],3,FALSE)*VLOOKUP($L275,Vloersoorten[],3,FALSE)*VLOOKUP($Y275,Frequenties[],3,FALSE)*VLOOKUP(#REF!,Locaties[],3,FALSE),0)</f>
        <v>0</v>
      </c>
      <c r="AB275" s="87">
        <f>Ruimtestaat[[#This Row],[Uitvoeringen weekend]]*Ruimtestaat[[#This Row],[Oppervlak (netto)]]</f>
        <v>0</v>
      </c>
      <c r="AC275" s="90">
        <f>IF(AB275&gt;0,Ruimtestaat[[#This Row],[Prest. (m2 /jaar) weekend]]/Ruimtestaat[[#This Row],[Norm (m2/uur) weekend]],0)</f>
        <v>0</v>
      </c>
      <c r="AD275" s="91">
        <f>Ruimtestaat[[#This Row],[uren / jaar weekend]]*Tariefsopbouw!$D$40</f>
        <v>0</v>
      </c>
      <c r="AE275" s="60">
        <f>Ruimtestaat[[#This Row],[Prest. (m2 /jaar) weekend]]+Ruimtestaat[[#This Row],[Prest. (m2 /jaar) werkdagen]]</f>
        <v>32486</v>
      </c>
      <c r="AF275" s="60">
        <f>Ruimtestaat[[#This Row],[uren / jaar weekend]]+Ruimtestaat[[#This Row],[uren / jaar werkdagen]]</f>
        <v>0</v>
      </c>
      <c r="AG275" s="61">
        <f>Ruimtestaat[[#This Row],[kosten / jaar weekend]]+Ruimtestaat[[#This Row],[kosten / jaar werkdagen]]</f>
        <v>0</v>
      </c>
      <c r="AH275" s="92"/>
      <c r="HL275" s="59"/>
    </row>
    <row r="276" spans="1:220">
      <c r="A276" s="24">
        <v>2</v>
      </c>
      <c r="B276" s="24" t="str">
        <f>VLOOKUP(Ruimtestaat[[#This Row],[Code]],Locaties[#All],2,FALSE)</f>
        <v>Het Stormink</v>
      </c>
      <c r="C276" s="24" t="str">
        <f>VLOOKUP(Ruimtestaat[[#This Row],[Code]],Locaties[#All],4,FALSE)</f>
        <v>Storminkstraat 1</v>
      </c>
      <c r="D276" s="24" t="str">
        <f>VLOOKUP(Ruimtestaat[[#This Row],[Code]],Locaties[#All],5,FALSE)</f>
        <v>7418 GH</v>
      </c>
      <c r="E276" s="24" t="str">
        <f>VLOOKUP(Ruimtestaat[[#This Row],[Code]],Locaties[#All],6,FALSE)</f>
        <v>Deventer</v>
      </c>
      <c r="F276" s="54"/>
      <c r="G276" s="24" t="s">
        <v>367</v>
      </c>
      <c r="H276" s="24" t="s">
        <v>490</v>
      </c>
      <c r="I276" s="4" t="s">
        <v>487</v>
      </c>
      <c r="J276" s="24">
        <v>6</v>
      </c>
      <c r="K276" s="54" t="str">
        <f>VLOOKUP(J276,Ruimtegroepen[],2,FALSE)</f>
        <v>Gangen/hallen</v>
      </c>
      <c r="L276" s="24" t="s">
        <v>300</v>
      </c>
      <c r="M276" s="24" t="s">
        <v>157</v>
      </c>
      <c r="N276" s="83">
        <v>33.799999999999997</v>
      </c>
      <c r="O276" s="83"/>
      <c r="P276" s="93" t="str">
        <f>LEFT(VLOOKUP(Ruimtestaat[[#This Row],[Ruimte code]],Ruimtegroepen[#All],4,1),2)</f>
        <v>Ve</v>
      </c>
      <c r="Q276" s="93"/>
      <c r="R276" s="84">
        <v>40</v>
      </c>
      <c r="S276" s="84" t="s">
        <v>318</v>
      </c>
      <c r="T276" s="85">
        <f>IF(R276&gt;0,IF(RIGHT(Ruimtestaat[[#This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6" s="85">
        <f>IF(T276&gt;0,VLOOKUP($J276,Ruimtegroepen[],3,FALSE)*VLOOKUP($L276,Vloersoorten[],3,FALSE)*VLOOKUP($S276,Frequenties[],3,FALSE)*VLOOKUP($A276,Locaties[],3,FALSE),0)</f>
        <v>0</v>
      </c>
      <c r="V276" s="86">
        <f>Ruimtestaat[[#This Row],[Uitvoeringen werkdagen]]*Ruimtestaat[[#This Row],[Oppervlak (netto)]]</f>
        <v>6759.9999999999991</v>
      </c>
      <c r="W276" s="87">
        <f>IF(U276&gt;0,Ruimtestaat[[#This Row],[Prest. (m2 /jaar) werkdagen]]/Ruimtestaat[[#This Row],[Norm (m2/uur) werkdagen]],0)</f>
        <v>0</v>
      </c>
      <c r="X276" s="88">
        <f>Ruimtestaat[[#This Row],[uren / jaar werkdagen]]*Tariefsopbouw!$E$35</f>
        <v>0</v>
      </c>
      <c r="Y276" s="85"/>
      <c r="Z276" s="89">
        <f>IF(Ruimtestaat[[#This Row],[Frequentie weekend]]&gt;0,VALUE(LEFT(Y276,1))*R276,0)</f>
        <v>0</v>
      </c>
      <c r="AA276" s="85">
        <f>IF($Z276&gt;0,VLOOKUP($J276,Ruimtegroepen[],3,FALSE)*VLOOKUP($L276,Vloersoorten[],3,FALSE)*VLOOKUP($Y276,Frequenties[],3,FALSE)*VLOOKUP(#REF!,Locaties[],3,FALSE),0)</f>
        <v>0</v>
      </c>
      <c r="AB276" s="87">
        <f>Ruimtestaat[[#This Row],[Uitvoeringen weekend]]*Ruimtestaat[[#This Row],[Oppervlak (netto)]]</f>
        <v>0</v>
      </c>
      <c r="AC276" s="90">
        <f>IF(AB276&gt;0,Ruimtestaat[[#This Row],[Prest. (m2 /jaar) weekend]]/Ruimtestaat[[#This Row],[Norm (m2/uur) weekend]],0)</f>
        <v>0</v>
      </c>
      <c r="AD276" s="91">
        <f>Ruimtestaat[[#This Row],[uren / jaar weekend]]*Tariefsopbouw!$D$40</f>
        <v>0</v>
      </c>
      <c r="AE276" s="60">
        <f>Ruimtestaat[[#This Row],[Prest. (m2 /jaar) weekend]]+Ruimtestaat[[#This Row],[Prest. (m2 /jaar) werkdagen]]</f>
        <v>6759.9999999999991</v>
      </c>
      <c r="AF276" s="60">
        <f>Ruimtestaat[[#This Row],[uren / jaar weekend]]+Ruimtestaat[[#This Row],[uren / jaar werkdagen]]</f>
        <v>0</v>
      </c>
      <c r="AG276" s="61">
        <f>Ruimtestaat[[#This Row],[kosten / jaar weekend]]+Ruimtestaat[[#This Row],[kosten / jaar werkdagen]]</f>
        <v>0</v>
      </c>
      <c r="AH276" s="92"/>
      <c r="HL276" s="59"/>
    </row>
    <row r="277" spans="1:220">
      <c r="A277" s="24">
        <v>2</v>
      </c>
      <c r="B277" s="24" t="str">
        <f>VLOOKUP(Ruimtestaat[[#This Row],[Code]],Locaties[#All],2,FALSE)</f>
        <v>Het Stormink</v>
      </c>
      <c r="C277" s="24" t="str">
        <f>VLOOKUP(Ruimtestaat[[#This Row],[Code]],Locaties[#All],4,FALSE)</f>
        <v>Storminkstraat 1</v>
      </c>
      <c r="D277" s="24" t="str">
        <f>VLOOKUP(Ruimtestaat[[#This Row],[Code]],Locaties[#All],5,FALSE)</f>
        <v>7418 GH</v>
      </c>
      <c r="E277" s="24" t="str">
        <f>VLOOKUP(Ruimtestaat[[#This Row],[Code]],Locaties[#All],6,FALSE)</f>
        <v>Deventer</v>
      </c>
      <c r="F277" s="54"/>
      <c r="G277" s="24" t="s">
        <v>367</v>
      </c>
      <c r="H277" s="24" t="s">
        <v>706</v>
      </c>
      <c r="I277" s="4" t="s">
        <v>487</v>
      </c>
      <c r="J277" s="24">
        <v>6</v>
      </c>
      <c r="K277" s="54" t="str">
        <f>VLOOKUP(J277,Ruimtegroepen[],2,FALSE)</f>
        <v>Gangen/hallen</v>
      </c>
      <c r="L277" s="24" t="s">
        <v>300</v>
      </c>
      <c r="M277" s="24" t="s">
        <v>157</v>
      </c>
      <c r="N277" s="83">
        <v>18.489999999999998</v>
      </c>
      <c r="O277" s="83"/>
      <c r="P277" s="93" t="str">
        <f>LEFT(VLOOKUP(Ruimtestaat[[#This Row],[Ruimte code]],Ruimtegroepen[#All],4,1),2)</f>
        <v>Ve</v>
      </c>
      <c r="Q277" s="93"/>
      <c r="R277" s="84">
        <v>40</v>
      </c>
      <c r="S277" s="84" t="s">
        <v>318</v>
      </c>
      <c r="T277" s="85">
        <f>IF(R277&gt;0,IF(RIGHT(Ruimtestaat[[#This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7" s="85">
        <f>IF(T277&gt;0,VLOOKUP($J277,Ruimtegroepen[],3,FALSE)*VLOOKUP($L277,Vloersoorten[],3,FALSE)*VLOOKUP($S277,Frequenties[],3,FALSE)*VLOOKUP($A277,Locaties[],3,FALSE),0)</f>
        <v>0</v>
      </c>
      <c r="V277" s="86">
        <f>Ruimtestaat[[#This Row],[Uitvoeringen werkdagen]]*Ruimtestaat[[#This Row],[Oppervlak (netto)]]</f>
        <v>3697.9999999999995</v>
      </c>
      <c r="W277" s="87">
        <f>IF(U277&gt;0,Ruimtestaat[[#This Row],[Prest. (m2 /jaar) werkdagen]]/Ruimtestaat[[#This Row],[Norm (m2/uur) werkdagen]],0)</f>
        <v>0</v>
      </c>
      <c r="X277" s="88">
        <f>Ruimtestaat[[#This Row],[uren / jaar werkdagen]]*Tariefsopbouw!$E$35</f>
        <v>0</v>
      </c>
      <c r="Y277" s="85"/>
      <c r="Z277" s="89">
        <f>IF(Ruimtestaat[[#This Row],[Frequentie weekend]]&gt;0,VALUE(LEFT(Y277,1))*R277,0)</f>
        <v>0</v>
      </c>
      <c r="AA277" s="85">
        <f>IF($Z277&gt;0,VLOOKUP($J277,Ruimtegroepen[],3,FALSE)*VLOOKUP($L277,Vloersoorten[],3,FALSE)*VLOOKUP($Y277,Frequenties[],3,FALSE)*VLOOKUP(#REF!,Locaties[],3,FALSE),0)</f>
        <v>0</v>
      </c>
      <c r="AB277" s="87">
        <f>Ruimtestaat[[#This Row],[Uitvoeringen weekend]]*Ruimtestaat[[#This Row],[Oppervlak (netto)]]</f>
        <v>0</v>
      </c>
      <c r="AC277" s="90">
        <f>IF(AB277&gt;0,Ruimtestaat[[#This Row],[Prest. (m2 /jaar) weekend]]/Ruimtestaat[[#This Row],[Norm (m2/uur) weekend]],0)</f>
        <v>0</v>
      </c>
      <c r="AD277" s="91">
        <f>Ruimtestaat[[#This Row],[uren / jaar weekend]]*Tariefsopbouw!$D$40</f>
        <v>0</v>
      </c>
      <c r="AE277" s="60">
        <f>Ruimtestaat[[#This Row],[Prest. (m2 /jaar) weekend]]+Ruimtestaat[[#This Row],[Prest. (m2 /jaar) werkdagen]]</f>
        <v>3697.9999999999995</v>
      </c>
      <c r="AF277" s="60">
        <f>Ruimtestaat[[#This Row],[uren / jaar weekend]]+Ruimtestaat[[#This Row],[uren / jaar werkdagen]]</f>
        <v>0</v>
      </c>
      <c r="AG277" s="61">
        <f>Ruimtestaat[[#This Row],[kosten / jaar weekend]]+Ruimtestaat[[#This Row],[kosten / jaar werkdagen]]</f>
        <v>0</v>
      </c>
      <c r="AH277" s="92"/>
      <c r="HL277" s="59"/>
    </row>
    <row r="278" spans="1:220">
      <c r="A278" s="24">
        <v>2</v>
      </c>
      <c r="B278" s="24" t="str">
        <f>VLOOKUP(Ruimtestaat[[#This Row],[Code]],Locaties[#All],2,FALSE)</f>
        <v>Het Stormink</v>
      </c>
      <c r="C278" s="24" t="str">
        <f>VLOOKUP(Ruimtestaat[[#This Row],[Code]],Locaties[#All],4,FALSE)</f>
        <v>Storminkstraat 1</v>
      </c>
      <c r="D278" s="24" t="str">
        <f>VLOOKUP(Ruimtestaat[[#This Row],[Code]],Locaties[#All],5,FALSE)</f>
        <v>7418 GH</v>
      </c>
      <c r="E278" s="24" t="str">
        <f>VLOOKUP(Ruimtestaat[[#This Row],[Code]],Locaties[#All],6,FALSE)</f>
        <v>Deventer</v>
      </c>
      <c r="F278" s="54"/>
      <c r="G278" s="24" t="s">
        <v>367</v>
      </c>
      <c r="H278" s="24" t="s">
        <v>707</v>
      </c>
      <c r="I278" s="4" t="s">
        <v>103</v>
      </c>
      <c r="J278" s="24">
        <v>10</v>
      </c>
      <c r="K278" s="54" t="str">
        <f>VLOOKUP(J278,Ruimtegroepen[],2,FALSE)</f>
        <v>Trappenhuizen/lift</v>
      </c>
      <c r="L278" s="24" t="s">
        <v>300</v>
      </c>
      <c r="M278" s="24" t="s">
        <v>157</v>
      </c>
      <c r="N278" s="83">
        <v>6.34</v>
      </c>
      <c r="O278" s="83"/>
      <c r="P278" s="93" t="str">
        <f>LEFT(VLOOKUP(Ruimtestaat[[#This Row],[Ruimte code]],Ruimtegroepen[#All],4,1),2)</f>
        <v>Ve</v>
      </c>
      <c r="Q278" s="93"/>
      <c r="R278" s="84">
        <v>40</v>
      </c>
      <c r="S278" s="84" t="s">
        <v>318</v>
      </c>
      <c r="T278" s="85">
        <f>IF(R278&gt;0,IF(RIGHT(Ruimtestaat[[#This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8" s="85">
        <f>IF(T278&gt;0,VLOOKUP($J278,Ruimtegroepen[],3,FALSE)*VLOOKUP($L278,Vloersoorten[],3,FALSE)*VLOOKUP($S278,Frequenties[],3,FALSE)*VLOOKUP($A278,Locaties[],3,FALSE),0)</f>
        <v>0</v>
      </c>
      <c r="V278" s="86">
        <f>Ruimtestaat[[#This Row],[Uitvoeringen werkdagen]]*Ruimtestaat[[#This Row],[Oppervlak (netto)]]</f>
        <v>1268</v>
      </c>
      <c r="W278" s="87">
        <f>IF(U278&gt;0,Ruimtestaat[[#This Row],[Prest. (m2 /jaar) werkdagen]]/Ruimtestaat[[#This Row],[Norm (m2/uur) werkdagen]],0)</f>
        <v>0</v>
      </c>
      <c r="X278" s="88">
        <f>Ruimtestaat[[#This Row],[uren / jaar werkdagen]]*Tariefsopbouw!$E$35</f>
        <v>0</v>
      </c>
      <c r="Y278" s="85"/>
      <c r="Z278" s="89">
        <f>IF(Ruimtestaat[[#This Row],[Frequentie weekend]]&gt;0,VALUE(LEFT(Y278,1))*R278,0)</f>
        <v>0</v>
      </c>
      <c r="AA278" s="85">
        <f>IF($Z278&gt;0,VLOOKUP($J278,Ruimtegroepen[],3,FALSE)*VLOOKUP($L278,Vloersoorten[],3,FALSE)*VLOOKUP($Y278,Frequenties[],3,FALSE)*VLOOKUP(#REF!,Locaties[],3,FALSE),0)</f>
        <v>0</v>
      </c>
      <c r="AB278" s="87">
        <f>Ruimtestaat[[#This Row],[Uitvoeringen weekend]]*Ruimtestaat[[#This Row],[Oppervlak (netto)]]</f>
        <v>0</v>
      </c>
      <c r="AC278" s="90">
        <f>IF(AB278&gt;0,Ruimtestaat[[#This Row],[Prest. (m2 /jaar) weekend]]/Ruimtestaat[[#This Row],[Norm (m2/uur) weekend]],0)</f>
        <v>0</v>
      </c>
      <c r="AD278" s="91">
        <f>Ruimtestaat[[#This Row],[uren / jaar weekend]]*Tariefsopbouw!$D$40</f>
        <v>0</v>
      </c>
      <c r="AE278" s="60">
        <f>Ruimtestaat[[#This Row],[Prest. (m2 /jaar) weekend]]+Ruimtestaat[[#This Row],[Prest. (m2 /jaar) werkdagen]]</f>
        <v>1268</v>
      </c>
      <c r="AF278" s="60">
        <f>Ruimtestaat[[#This Row],[uren / jaar weekend]]+Ruimtestaat[[#This Row],[uren / jaar werkdagen]]</f>
        <v>0</v>
      </c>
      <c r="AG278" s="61">
        <f>Ruimtestaat[[#This Row],[kosten / jaar weekend]]+Ruimtestaat[[#This Row],[kosten / jaar werkdagen]]</f>
        <v>0</v>
      </c>
      <c r="AH278" s="92"/>
      <c r="HL278" s="59"/>
    </row>
    <row r="279" spans="1:220">
      <c r="A279" s="24">
        <v>2</v>
      </c>
      <c r="B279" s="24" t="str">
        <f>VLOOKUP(Ruimtestaat[[#This Row],[Code]],Locaties[#All],2,FALSE)</f>
        <v>Het Stormink</v>
      </c>
      <c r="C279" s="24" t="str">
        <f>VLOOKUP(Ruimtestaat[[#This Row],[Code]],Locaties[#All],4,FALSE)</f>
        <v>Storminkstraat 1</v>
      </c>
      <c r="D279" s="24" t="str">
        <f>VLOOKUP(Ruimtestaat[[#This Row],[Code]],Locaties[#All],5,FALSE)</f>
        <v>7418 GH</v>
      </c>
      <c r="E279" s="24" t="str">
        <f>VLOOKUP(Ruimtestaat[[#This Row],[Code]],Locaties[#All],6,FALSE)</f>
        <v>Deventer</v>
      </c>
      <c r="F279" s="54"/>
      <c r="G279" s="24" t="s">
        <v>367</v>
      </c>
      <c r="H279" s="24" t="s">
        <v>708</v>
      </c>
      <c r="I279" s="4" t="s">
        <v>709</v>
      </c>
      <c r="J279" s="24">
        <v>16</v>
      </c>
      <c r="K279" s="54" t="str">
        <f>VLOOKUP(J279,Ruimtegroepen[],2,FALSE)</f>
        <v>Leslokalen theorie</v>
      </c>
      <c r="L279" s="24" t="s">
        <v>300</v>
      </c>
      <c r="M279" s="24" t="s">
        <v>157</v>
      </c>
      <c r="N279" s="83">
        <v>58.32</v>
      </c>
      <c r="O279" s="83"/>
      <c r="P279" s="93" t="str">
        <f>LEFT(VLOOKUP(Ruimtestaat[[#This Row],[Ruimte code]],Ruimtegroepen[#All],4,1),2)</f>
        <v>Le</v>
      </c>
      <c r="Q279" s="93"/>
      <c r="R279" s="84">
        <v>40</v>
      </c>
      <c r="S279" s="84" t="s">
        <v>318</v>
      </c>
      <c r="T279" s="85">
        <f>IF(R279&gt;0,IF(RIGHT(Ruimtestaat[[#This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9" s="85">
        <f>IF(T279&gt;0,VLOOKUP($J279,Ruimtegroepen[],3,FALSE)*VLOOKUP($L279,Vloersoorten[],3,FALSE)*VLOOKUP($S279,Frequenties[],3,FALSE)*VLOOKUP($A279,Locaties[],3,FALSE),0)</f>
        <v>0</v>
      </c>
      <c r="V279" s="86">
        <f>Ruimtestaat[[#This Row],[Uitvoeringen werkdagen]]*Ruimtestaat[[#This Row],[Oppervlak (netto)]]</f>
        <v>11664</v>
      </c>
      <c r="W279" s="87">
        <f>IF(U279&gt;0,Ruimtestaat[[#This Row],[Prest. (m2 /jaar) werkdagen]]/Ruimtestaat[[#This Row],[Norm (m2/uur) werkdagen]],0)</f>
        <v>0</v>
      </c>
      <c r="X279" s="88">
        <f>Ruimtestaat[[#This Row],[uren / jaar werkdagen]]*Tariefsopbouw!$E$35</f>
        <v>0</v>
      </c>
      <c r="Y279" s="85"/>
      <c r="Z279" s="89">
        <f>IF(Ruimtestaat[[#This Row],[Frequentie weekend]]&gt;0,VALUE(LEFT(Y279,1))*R279,0)</f>
        <v>0</v>
      </c>
      <c r="AA279" s="85">
        <f>IF($Z279&gt;0,VLOOKUP($J279,Ruimtegroepen[],3,FALSE)*VLOOKUP($L279,Vloersoorten[],3,FALSE)*VLOOKUP($Y279,Frequenties[],3,FALSE)*VLOOKUP(#REF!,Locaties[],3,FALSE),0)</f>
        <v>0</v>
      </c>
      <c r="AB279" s="87">
        <f>Ruimtestaat[[#This Row],[Uitvoeringen weekend]]*Ruimtestaat[[#This Row],[Oppervlak (netto)]]</f>
        <v>0</v>
      </c>
      <c r="AC279" s="90">
        <f>IF(AB279&gt;0,Ruimtestaat[[#This Row],[Prest. (m2 /jaar) weekend]]/Ruimtestaat[[#This Row],[Norm (m2/uur) weekend]],0)</f>
        <v>0</v>
      </c>
      <c r="AD279" s="91">
        <f>Ruimtestaat[[#This Row],[uren / jaar weekend]]*Tariefsopbouw!$D$40</f>
        <v>0</v>
      </c>
      <c r="AE279" s="60">
        <f>Ruimtestaat[[#This Row],[Prest. (m2 /jaar) weekend]]+Ruimtestaat[[#This Row],[Prest. (m2 /jaar) werkdagen]]</f>
        <v>11664</v>
      </c>
      <c r="AF279" s="60">
        <f>Ruimtestaat[[#This Row],[uren / jaar weekend]]+Ruimtestaat[[#This Row],[uren / jaar werkdagen]]</f>
        <v>0</v>
      </c>
      <c r="AG279" s="61">
        <f>Ruimtestaat[[#This Row],[kosten / jaar weekend]]+Ruimtestaat[[#This Row],[kosten / jaar werkdagen]]</f>
        <v>0</v>
      </c>
      <c r="AH279" s="92"/>
      <c r="HL279" s="59"/>
    </row>
    <row r="280" spans="1:220">
      <c r="A280" s="24">
        <v>2</v>
      </c>
      <c r="B280" s="24" t="str">
        <f>VLOOKUP(Ruimtestaat[[#This Row],[Code]],Locaties[#All],2,FALSE)</f>
        <v>Het Stormink</v>
      </c>
      <c r="C280" s="24" t="str">
        <f>VLOOKUP(Ruimtestaat[[#This Row],[Code]],Locaties[#All],4,FALSE)</f>
        <v>Storminkstraat 1</v>
      </c>
      <c r="D280" s="24" t="str">
        <f>VLOOKUP(Ruimtestaat[[#This Row],[Code]],Locaties[#All],5,FALSE)</f>
        <v>7418 GH</v>
      </c>
      <c r="E280" s="24" t="str">
        <f>VLOOKUP(Ruimtestaat[[#This Row],[Code]],Locaties[#All],6,FALSE)</f>
        <v>Deventer</v>
      </c>
      <c r="F280" s="54"/>
      <c r="G280" s="24" t="s">
        <v>367</v>
      </c>
      <c r="H280" s="24" t="s">
        <v>710</v>
      </c>
      <c r="I280" s="4" t="s">
        <v>439</v>
      </c>
      <c r="J280" s="24">
        <v>16</v>
      </c>
      <c r="K280" s="54" t="str">
        <f>VLOOKUP(J280,Ruimtegroepen[],2,FALSE)</f>
        <v>Leslokalen theorie</v>
      </c>
      <c r="L280" s="24" t="s">
        <v>300</v>
      </c>
      <c r="M280" s="24" t="s">
        <v>157</v>
      </c>
      <c r="N280" s="83">
        <v>77.92</v>
      </c>
      <c r="O280" s="83"/>
      <c r="P280" s="93" t="str">
        <f>LEFT(VLOOKUP(Ruimtestaat[[#This Row],[Ruimte code]],Ruimtegroepen[#All],4,1),2)</f>
        <v>Le</v>
      </c>
      <c r="Q280" s="93"/>
      <c r="R280" s="84">
        <v>40</v>
      </c>
      <c r="S280" s="84" t="s">
        <v>318</v>
      </c>
      <c r="T280" s="85">
        <f>IF(R280&gt;0,IF(RIGHT(Ruimtestaat[[#This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0" s="85">
        <f>IF(T280&gt;0,VLOOKUP($J280,Ruimtegroepen[],3,FALSE)*VLOOKUP($L280,Vloersoorten[],3,FALSE)*VLOOKUP($S280,Frequenties[],3,FALSE)*VLOOKUP($A280,Locaties[],3,FALSE),0)</f>
        <v>0</v>
      </c>
      <c r="V280" s="86">
        <f>Ruimtestaat[[#This Row],[Uitvoeringen werkdagen]]*Ruimtestaat[[#This Row],[Oppervlak (netto)]]</f>
        <v>15584</v>
      </c>
      <c r="W280" s="87">
        <f>IF(U280&gt;0,Ruimtestaat[[#This Row],[Prest. (m2 /jaar) werkdagen]]/Ruimtestaat[[#This Row],[Norm (m2/uur) werkdagen]],0)</f>
        <v>0</v>
      </c>
      <c r="X280" s="88">
        <f>Ruimtestaat[[#This Row],[uren / jaar werkdagen]]*Tariefsopbouw!$E$35</f>
        <v>0</v>
      </c>
      <c r="Y280" s="85"/>
      <c r="Z280" s="89">
        <f>IF(Ruimtestaat[[#This Row],[Frequentie weekend]]&gt;0,VALUE(LEFT(Y280,1))*R280,0)</f>
        <v>0</v>
      </c>
      <c r="AA280" s="85">
        <f>IF($Z280&gt;0,VLOOKUP($J280,Ruimtegroepen[],3,FALSE)*VLOOKUP($L280,Vloersoorten[],3,FALSE)*VLOOKUP($Y280,Frequenties[],3,FALSE)*VLOOKUP(#REF!,Locaties[],3,FALSE),0)</f>
        <v>0</v>
      </c>
      <c r="AB280" s="87">
        <f>Ruimtestaat[[#This Row],[Uitvoeringen weekend]]*Ruimtestaat[[#This Row],[Oppervlak (netto)]]</f>
        <v>0</v>
      </c>
      <c r="AC280" s="90">
        <f>IF(AB280&gt;0,Ruimtestaat[[#This Row],[Prest. (m2 /jaar) weekend]]/Ruimtestaat[[#This Row],[Norm (m2/uur) weekend]],0)</f>
        <v>0</v>
      </c>
      <c r="AD280" s="91">
        <f>Ruimtestaat[[#This Row],[uren / jaar weekend]]*Tariefsopbouw!$D$40</f>
        <v>0</v>
      </c>
      <c r="AE280" s="60">
        <f>Ruimtestaat[[#This Row],[Prest. (m2 /jaar) weekend]]+Ruimtestaat[[#This Row],[Prest. (m2 /jaar) werkdagen]]</f>
        <v>15584</v>
      </c>
      <c r="AF280" s="60">
        <f>Ruimtestaat[[#This Row],[uren / jaar weekend]]+Ruimtestaat[[#This Row],[uren / jaar werkdagen]]</f>
        <v>0</v>
      </c>
      <c r="AG280" s="61">
        <f>Ruimtestaat[[#This Row],[kosten / jaar weekend]]+Ruimtestaat[[#This Row],[kosten / jaar werkdagen]]</f>
        <v>0</v>
      </c>
      <c r="AH280" s="92"/>
      <c r="HL280" s="59"/>
    </row>
    <row r="281" spans="1:220">
      <c r="A281" s="24">
        <v>2</v>
      </c>
      <c r="B281" s="24" t="str">
        <f>VLOOKUP(Ruimtestaat[[#This Row],[Code]],Locaties[#All],2,FALSE)</f>
        <v>Het Stormink</v>
      </c>
      <c r="C281" s="24" t="str">
        <f>VLOOKUP(Ruimtestaat[[#This Row],[Code]],Locaties[#All],4,FALSE)</f>
        <v>Storminkstraat 1</v>
      </c>
      <c r="D281" s="24" t="str">
        <f>VLOOKUP(Ruimtestaat[[#This Row],[Code]],Locaties[#All],5,FALSE)</f>
        <v>7418 GH</v>
      </c>
      <c r="E281" s="24" t="str">
        <f>VLOOKUP(Ruimtestaat[[#This Row],[Code]],Locaties[#All],6,FALSE)</f>
        <v>Deventer</v>
      </c>
      <c r="F281" s="54"/>
      <c r="G281" s="24" t="s">
        <v>367</v>
      </c>
      <c r="H281" s="24" t="s">
        <v>711</v>
      </c>
      <c r="I281" s="4" t="s">
        <v>439</v>
      </c>
      <c r="J281" s="24">
        <v>16</v>
      </c>
      <c r="K281" s="54" t="str">
        <f>VLOOKUP(J281,Ruimtegroepen[],2,FALSE)</f>
        <v>Leslokalen theorie</v>
      </c>
      <c r="L281" s="24" t="s">
        <v>300</v>
      </c>
      <c r="M281" s="24" t="s">
        <v>157</v>
      </c>
      <c r="N281" s="83">
        <v>57.93</v>
      </c>
      <c r="O281" s="83"/>
      <c r="P281" s="93" t="str">
        <f>LEFT(VLOOKUP(Ruimtestaat[[#This Row],[Ruimte code]],Ruimtegroepen[#All],4,1),2)</f>
        <v>Le</v>
      </c>
      <c r="Q281" s="93"/>
      <c r="R281" s="84">
        <v>40</v>
      </c>
      <c r="S281" s="84" t="s">
        <v>318</v>
      </c>
      <c r="T281" s="85">
        <f>IF(R281&gt;0,IF(RIGHT(Ruimtestaat[[#This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1" s="85">
        <f>IF(T281&gt;0,VLOOKUP($J281,Ruimtegroepen[],3,FALSE)*VLOOKUP($L281,Vloersoorten[],3,FALSE)*VLOOKUP($S281,Frequenties[],3,FALSE)*VLOOKUP($A281,Locaties[],3,FALSE),0)</f>
        <v>0</v>
      </c>
      <c r="V281" s="86">
        <f>Ruimtestaat[[#This Row],[Uitvoeringen werkdagen]]*Ruimtestaat[[#This Row],[Oppervlak (netto)]]</f>
        <v>11586</v>
      </c>
      <c r="W281" s="87">
        <f>IF(U281&gt;0,Ruimtestaat[[#This Row],[Prest. (m2 /jaar) werkdagen]]/Ruimtestaat[[#This Row],[Norm (m2/uur) werkdagen]],0)</f>
        <v>0</v>
      </c>
      <c r="X281" s="88">
        <f>Ruimtestaat[[#This Row],[uren / jaar werkdagen]]*Tariefsopbouw!$E$35</f>
        <v>0</v>
      </c>
      <c r="Y281" s="85"/>
      <c r="Z281" s="89">
        <f>IF(Ruimtestaat[[#This Row],[Frequentie weekend]]&gt;0,VALUE(LEFT(Y281,1))*R281,0)</f>
        <v>0</v>
      </c>
      <c r="AA281" s="85">
        <f>IF($Z281&gt;0,VLOOKUP($J281,Ruimtegroepen[],3,FALSE)*VLOOKUP($L281,Vloersoorten[],3,FALSE)*VLOOKUP($Y281,Frequenties[],3,FALSE)*VLOOKUP(#REF!,Locaties[],3,FALSE),0)</f>
        <v>0</v>
      </c>
      <c r="AB281" s="87">
        <f>Ruimtestaat[[#This Row],[Uitvoeringen weekend]]*Ruimtestaat[[#This Row],[Oppervlak (netto)]]</f>
        <v>0</v>
      </c>
      <c r="AC281" s="90">
        <f>IF(AB281&gt;0,Ruimtestaat[[#This Row],[Prest. (m2 /jaar) weekend]]/Ruimtestaat[[#This Row],[Norm (m2/uur) weekend]],0)</f>
        <v>0</v>
      </c>
      <c r="AD281" s="91">
        <f>Ruimtestaat[[#This Row],[uren / jaar weekend]]*Tariefsopbouw!$D$40</f>
        <v>0</v>
      </c>
      <c r="AE281" s="60">
        <f>Ruimtestaat[[#This Row],[Prest. (m2 /jaar) weekend]]+Ruimtestaat[[#This Row],[Prest. (m2 /jaar) werkdagen]]</f>
        <v>11586</v>
      </c>
      <c r="AF281" s="60">
        <f>Ruimtestaat[[#This Row],[uren / jaar weekend]]+Ruimtestaat[[#This Row],[uren / jaar werkdagen]]</f>
        <v>0</v>
      </c>
      <c r="AG281" s="61">
        <f>Ruimtestaat[[#This Row],[kosten / jaar weekend]]+Ruimtestaat[[#This Row],[kosten / jaar werkdagen]]</f>
        <v>0</v>
      </c>
      <c r="AH281" s="92"/>
      <c r="HL281" s="59"/>
    </row>
    <row r="282" spans="1:220">
      <c r="A282" s="24">
        <v>2</v>
      </c>
      <c r="B282" s="24" t="str">
        <f>VLOOKUP(Ruimtestaat[[#This Row],[Code]],Locaties[#All],2,FALSE)</f>
        <v>Het Stormink</v>
      </c>
      <c r="C282" s="24" t="str">
        <f>VLOOKUP(Ruimtestaat[[#This Row],[Code]],Locaties[#All],4,FALSE)</f>
        <v>Storminkstraat 1</v>
      </c>
      <c r="D282" s="24" t="str">
        <f>VLOOKUP(Ruimtestaat[[#This Row],[Code]],Locaties[#All],5,FALSE)</f>
        <v>7418 GH</v>
      </c>
      <c r="E282" s="24" t="str">
        <f>VLOOKUP(Ruimtestaat[[#This Row],[Code]],Locaties[#All],6,FALSE)</f>
        <v>Deventer</v>
      </c>
      <c r="F282" s="54"/>
      <c r="G282" s="24" t="s">
        <v>367</v>
      </c>
      <c r="H282" s="24" t="s">
        <v>712</v>
      </c>
      <c r="I282" s="4" t="s">
        <v>709</v>
      </c>
      <c r="J282" s="24">
        <v>16</v>
      </c>
      <c r="K282" s="54" t="str">
        <f>VLOOKUP(J282,Ruimtegroepen[],2,FALSE)</f>
        <v>Leslokalen theorie</v>
      </c>
      <c r="L282" s="24" t="s">
        <v>300</v>
      </c>
      <c r="M282" s="24" t="s">
        <v>157</v>
      </c>
      <c r="N282" s="83">
        <v>58.52</v>
      </c>
      <c r="O282" s="83"/>
      <c r="P282" s="93" t="str">
        <f>LEFT(VLOOKUP(Ruimtestaat[[#This Row],[Ruimte code]],Ruimtegroepen[#All],4,1),2)</f>
        <v>Le</v>
      </c>
      <c r="Q282" s="93"/>
      <c r="R282" s="84">
        <v>40</v>
      </c>
      <c r="S282" s="84" t="s">
        <v>318</v>
      </c>
      <c r="T282" s="85">
        <f>IF(R282&gt;0,IF(RIGHT(Ruimtestaat[[#This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2" s="85">
        <f>IF(T282&gt;0,VLOOKUP($J282,Ruimtegroepen[],3,FALSE)*VLOOKUP($L282,Vloersoorten[],3,FALSE)*VLOOKUP($S282,Frequenties[],3,FALSE)*VLOOKUP($A282,Locaties[],3,FALSE),0)</f>
        <v>0</v>
      </c>
      <c r="V282" s="86">
        <f>Ruimtestaat[[#This Row],[Uitvoeringen werkdagen]]*Ruimtestaat[[#This Row],[Oppervlak (netto)]]</f>
        <v>11704</v>
      </c>
      <c r="W282" s="87">
        <f>IF(U282&gt;0,Ruimtestaat[[#This Row],[Prest. (m2 /jaar) werkdagen]]/Ruimtestaat[[#This Row],[Norm (m2/uur) werkdagen]],0)</f>
        <v>0</v>
      </c>
      <c r="X282" s="88">
        <f>Ruimtestaat[[#This Row],[uren / jaar werkdagen]]*Tariefsopbouw!$E$35</f>
        <v>0</v>
      </c>
      <c r="Y282" s="85"/>
      <c r="Z282" s="89">
        <f>IF(Ruimtestaat[[#This Row],[Frequentie weekend]]&gt;0,VALUE(LEFT(Y282,1))*R282,0)</f>
        <v>0</v>
      </c>
      <c r="AA282" s="85">
        <f>IF($Z282&gt;0,VLOOKUP($J282,Ruimtegroepen[],3,FALSE)*VLOOKUP($L282,Vloersoorten[],3,FALSE)*VLOOKUP($Y282,Frequenties[],3,FALSE)*VLOOKUP(#REF!,Locaties[],3,FALSE),0)</f>
        <v>0</v>
      </c>
      <c r="AB282" s="87">
        <f>Ruimtestaat[[#This Row],[Uitvoeringen weekend]]*Ruimtestaat[[#This Row],[Oppervlak (netto)]]</f>
        <v>0</v>
      </c>
      <c r="AC282" s="90">
        <f>IF(AB282&gt;0,Ruimtestaat[[#This Row],[Prest. (m2 /jaar) weekend]]/Ruimtestaat[[#This Row],[Norm (m2/uur) weekend]],0)</f>
        <v>0</v>
      </c>
      <c r="AD282" s="91">
        <f>Ruimtestaat[[#This Row],[uren / jaar weekend]]*Tariefsopbouw!$D$40</f>
        <v>0</v>
      </c>
      <c r="AE282" s="60">
        <f>Ruimtestaat[[#This Row],[Prest. (m2 /jaar) weekend]]+Ruimtestaat[[#This Row],[Prest. (m2 /jaar) werkdagen]]</f>
        <v>11704</v>
      </c>
      <c r="AF282" s="60">
        <f>Ruimtestaat[[#This Row],[uren / jaar weekend]]+Ruimtestaat[[#This Row],[uren / jaar werkdagen]]</f>
        <v>0</v>
      </c>
      <c r="AG282" s="61">
        <f>Ruimtestaat[[#This Row],[kosten / jaar weekend]]+Ruimtestaat[[#This Row],[kosten / jaar werkdagen]]</f>
        <v>0</v>
      </c>
      <c r="AH282" s="92"/>
      <c r="HL282" s="59"/>
    </row>
    <row r="283" spans="1:220">
      <c r="A283" s="24">
        <v>2</v>
      </c>
      <c r="B283" s="24" t="str">
        <f>VLOOKUP(Ruimtestaat[[#This Row],[Code]],Locaties[#All],2,FALSE)</f>
        <v>Het Stormink</v>
      </c>
      <c r="C283" s="24" t="str">
        <f>VLOOKUP(Ruimtestaat[[#This Row],[Code]],Locaties[#All],4,FALSE)</f>
        <v>Storminkstraat 1</v>
      </c>
      <c r="D283" s="24" t="str">
        <f>VLOOKUP(Ruimtestaat[[#This Row],[Code]],Locaties[#All],5,FALSE)</f>
        <v>7418 GH</v>
      </c>
      <c r="E283" s="24" t="str">
        <f>VLOOKUP(Ruimtestaat[[#This Row],[Code]],Locaties[#All],6,FALSE)</f>
        <v>Deventer</v>
      </c>
      <c r="F283" s="54"/>
      <c r="G283" s="24" t="s">
        <v>367</v>
      </c>
      <c r="H283" s="24" t="s">
        <v>713</v>
      </c>
      <c r="I283" s="4" t="s">
        <v>709</v>
      </c>
      <c r="J283" s="24">
        <v>16</v>
      </c>
      <c r="K283" s="54" t="str">
        <f>VLOOKUP(J283,Ruimtegroepen[],2,FALSE)</f>
        <v>Leslokalen theorie</v>
      </c>
      <c r="L283" s="24" t="s">
        <v>300</v>
      </c>
      <c r="M283" s="24" t="s">
        <v>157</v>
      </c>
      <c r="N283" s="83">
        <v>58.35</v>
      </c>
      <c r="O283" s="83"/>
      <c r="P283" s="93" t="str">
        <f>LEFT(VLOOKUP(Ruimtestaat[[#This Row],[Ruimte code]],Ruimtegroepen[#All],4,1),2)</f>
        <v>Le</v>
      </c>
      <c r="Q283" s="93"/>
      <c r="R283" s="84">
        <v>40</v>
      </c>
      <c r="S283" s="84" t="s">
        <v>318</v>
      </c>
      <c r="T283" s="85">
        <f>IF(R283&gt;0,IF(RIGHT(Ruimtestaat[[#This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3" s="85">
        <f>IF(T283&gt;0,VLOOKUP($J283,Ruimtegroepen[],3,FALSE)*VLOOKUP($L283,Vloersoorten[],3,FALSE)*VLOOKUP($S283,Frequenties[],3,FALSE)*VLOOKUP($A283,Locaties[],3,FALSE),0)</f>
        <v>0</v>
      </c>
      <c r="V283" s="86">
        <f>Ruimtestaat[[#This Row],[Uitvoeringen werkdagen]]*Ruimtestaat[[#This Row],[Oppervlak (netto)]]</f>
        <v>11670</v>
      </c>
      <c r="W283" s="87">
        <f>IF(U283&gt;0,Ruimtestaat[[#This Row],[Prest. (m2 /jaar) werkdagen]]/Ruimtestaat[[#This Row],[Norm (m2/uur) werkdagen]],0)</f>
        <v>0</v>
      </c>
      <c r="X283" s="88">
        <f>Ruimtestaat[[#This Row],[uren / jaar werkdagen]]*Tariefsopbouw!$E$35</f>
        <v>0</v>
      </c>
      <c r="Y283" s="85"/>
      <c r="Z283" s="89">
        <f>IF(Ruimtestaat[[#This Row],[Frequentie weekend]]&gt;0,VALUE(LEFT(Y283,1))*R283,0)</f>
        <v>0</v>
      </c>
      <c r="AA283" s="85">
        <f>IF($Z283&gt;0,VLOOKUP($J283,Ruimtegroepen[],3,FALSE)*VLOOKUP($L283,Vloersoorten[],3,FALSE)*VLOOKUP($Y283,Frequenties[],3,FALSE)*VLOOKUP(#REF!,Locaties[],3,FALSE),0)</f>
        <v>0</v>
      </c>
      <c r="AB283" s="87">
        <f>Ruimtestaat[[#This Row],[Uitvoeringen weekend]]*Ruimtestaat[[#This Row],[Oppervlak (netto)]]</f>
        <v>0</v>
      </c>
      <c r="AC283" s="90">
        <f>IF(AB283&gt;0,Ruimtestaat[[#This Row],[Prest. (m2 /jaar) weekend]]/Ruimtestaat[[#This Row],[Norm (m2/uur) weekend]],0)</f>
        <v>0</v>
      </c>
      <c r="AD283" s="91">
        <f>Ruimtestaat[[#This Row],[uren / jaar weekend]]*Tariefsopbouw!$D$40</f>
        <v>0</v>
      </c>
      <c r="AE283" s="60">
        <f>Ruimtestaat[[#This Row],[Prest. (m2 /jaar) weekend]]+Ruimtestaat[[#This Row],[Prest. (m2 /jaar) werkdagen]]</f>
        <v>11670</v>
      </c>
      <c r="AF283" s="60">
        <f>Ruimtestaat[[#This Row],[uren / jaar weekend]]+Ruimtestaat[[#This Row],[uren / jaar werkdagen]]</f>
        <v>0</v>
      </c>
      <c r="AG283" s="61">
        <f>Ruimtestaat[[#This Row],[kosten / jaar weekend]]+Ruimtestaat[[#This Row],[kosten / jaar werkdagen]]</f>
        <v>0</v>
      </c>
      <c r="AH283" s="92"/>
      <c r="HL283" s="59"/>
    </row>
    <row r="284" spans="1:220">
      <c r="A284" s="24">
        <v>2</v>
      </c>
      <c r="B284" s="24" t="str">
        <f>VLOOKUP(Ruimtestaat[[#This Row],[Code]],Locaties[#All],2,FALSE)</f>
        <v>Het Stormink</v>
      </c>
      <c r="C284" s="24" t="str">
        <f>VLOOKUP(Ruimtestaat[[#This Row],[Code]],Locaties[#All],4,FALSE)</f>
        <v>Storminkstraat 1</v>
      </c>
      <c r="D284" s="24" t="str">
        <f>VLOOKUP(Ruimtestaat[[#This Row],[Code]],Locaties[#All],5,FALSE)</f>
        <v>7418 GH</v>
      </c>
      <c r="E284" s="24" t="str">
        <f>VLOOKUP(Ruimtestaat[[#This Row],[Code]],Locaties[#All],6,FALSE)</f>
        <v>Deventer</v>
      </c>
      <c r="F284" s="54"/>
      <c r="G284" s="24" t="s">
        <v>367</v>
      </c>
      <c r="H284" s="24" t="s">
        <v>714</v>
      </c>
      <c r="I284" s="4" t="s">
        <v>709</v>
      </c>
      <c r="J284" s="24">
        <v>16</v>
      </c>
      <c r="K284" s="54" t="str">
        <f>VLOOKUP(J284,Ruimtegroepen[],2,FALSE)</f>
        <v>Leslokalen theorie</v>
      </c>
      <c r="L284" s="24" t="s">
        <v>300</v>
      </c>
      <c r="M284" s="24" t="s">
        <v>157</v>
      </c>
      <c r="N284" s="83">
        <v>57.9</v>
      </c>
      <c r="O284" s="83"/>
      <c r="P284" s="93" t="str">
        <f>LEFT(VLOOKUP(Ruimtestaat[[#This Row],[Ruimte code]],Ruimtegroepen[#All],4,1),2)</f>
        <v>Le</v>
      </c>
      <c r="Q284" s="93"/>
      <c r="R284" s="84">
        <v>40</v>
      </c>
      <c r="S284" s="84" t="s">
        <v>318</v>
      </c>
      <c r="T284" s="85">
        <f>IF(R284&gt;0,IF(RIGHT(Ruimtestaat[[#This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4" s="85">
        <f>IF(T284&gt;0,VLOOKUP($J284,Ruimtegroepen[],3,FALSE)*VLOOKUP($L284,Vloersoorten[],3,FALSE)*VLOOKUP($S284,Frequenties[],3,FALSE)*VLOOKUP($A284,Locaties[],3,FALSE),0)</f>
        <v>0</v>
      </c>
      <c r="V284" s="86">
        <f>Ruimtestaat[[#This Row],[Uitvoeringen werkdagen]]*Ruimtestaat[[#This Row],[Oppervlak (netto)]]</f>
        <v>11580</v>
      </c>
      <c r="W284" s="87">
        <f>IF(U284&gt;0,Ruimtestaat[[#This Row],[Prest. (m2 /jaar) werkdagen]]/Ruimtestaat[[#This Row],[Norm (m2/uur) werkdagen]],0)</f>
        <v>0</v>
      </c>
      <c r="X284" s="88">
        <f>Ruimtestaat[[#This Row],[uren / jaar werkdagen]]*Tariefsopbouw!$E$35</f>
        <v>0</v>
      </c>
      <c r="Y284" s="85"/>
      <c r="Z284" s="89">
        <f>IF(Ruimtestaat[[#This Row],[Frequentie weekend]]&gt;0,VALUE(LEFT(Y284,1))*R284,0)</f>
        <v>0</v>
      </c>
      <c r="AA284" s="85">
        <f>IF($Z284&gt;0,VLOOKUP($J284,Ruimtegroepen[],3,FALSE)*VLOOKUP($L284,Vloersoorten[],3,FALSE)*VLOOKUP($Y284,Frequenties[],3,FALSE)*VLOOKUP(#REF!,Locaties[],3,FALSE),0)</f>
        <v>0</v>
      </c>
      <c r="AB284" s="87">
        <f>Ruimtestaat[[#This Row],[Uitvoeringen weekend]]*Ruimtestaat[[#This Row],[Oppervlak (netto)]]</f>
        <v>0</v>
      </c>
      <c r="AC284" s="90">
        <f>IF(AB284&gt;0,Ruimtestaat[[#This Row],[Prest. (m2 /jaar) weekend]]/Ruimtestaat[[#This Row],[Norm (m2/uur) weekend]],0)</f>
        <v>0</v>
      </c>
      <c r="AD284" s="91">
        <f>Ruimtestaat[[#This Row],[uren / jaar weekend]]*Tariefsopbouw!$D$40</f>
        <v>0</v>
      </c>
      <c r="AE284" s="60">
        <f>Ruimtestaat[[#This Row],[Prest. (m2 /jaar) weekend]]+Ruimtestaat[[#This Row],[Prest. (m2 /jaar) werkdagen]]</f>
        <v>11580</v>
      </c>
      <c r="AF284" s="60">
        <f>Ruimtestaat[[#This Row],[uren / jaar weekend]]+Ruimtestaat[[#This Row],[uren / jaar werkdagen]]</f>
        <v>0</v>
      </c>
      <c r="AG284" s="61">
        <f>Ruimtestaat[[#This Row],[kosten / jaar weekend]]+Ruimtestaat[[#This Row],[kosten / jaar werkdagen]]</f>
        <v>0</v>
      </c>
      <c r="AH284" s="92"/>
      <c r="HL284" s="59"/>
    </row>
    <row r="285" spans="1:220">
      <c r="A285" s="24">
        <v>2</v>
      </c>
      <c r="B285" s="24" t="str">
        <f>VLOOKUP(Ruimtestaat[[#This Row],[Code]],Locaties[#All],2,FALSE)</f>
        <v>Het Stormink</v>
      </c>
      <c r="C285" s="24" t="str">
        <f>VLOOKUP(Ruimtestaat[[#This Row],[Code]],Locaties[#All],4,FALSE)</f>
        <v>Storminkstraat 1</v>
      </c>
      <c r="D285" s="24" t="str">
        <f>VLOOKUP(Ruimtestaat[[#This Row],[Code]],Locaties[#All],5,FALSE)</f>
        <v>7418 GH</v>
      </c>
      <c r="E285" s="24" t="str">
        <f>VLOOKUP(Ruimtestaat[[#This Row],[Code]],Locaties[#All],6,FALSE)</f>
        <v>Deventer</v>
      </c>
      <c r="F285" s="54"/>
      <c r="G285" s="24" t="s">
        <v>367</v>
      </c>
      <c r="H285" s="24" t="s">
        <v>715</v>
      </c>
      <c r="I285" s="4" t="s">
        <v>709</v>
      </c>
      <c r="J285" s="24">
        <v>16</v>
      </c>
      <c r="K285" s="54" t="str">
        <f>VLOOKUP(J285,Ruimtegroepen[],2,FALSE)</f>
        <v>Leslokalen theorie</v>
      </c>
      <c r="L285" s="24" t="s">
        <v>300</v>
      </c>
      <c r="M285" s="24" t="s">
        <v>157</v>
      </c>
      <c r="N285" s="83">
        <v>58.65</v>
      </c>
      <c r="O285" s="83"/>
      <c r="P285" s="93" t="str">
        <f>LEFT(VLOOKUP(Ruimtestaat[[#This Row],[Ruimte code]],Ruimtegroepen[#All],4,1),2)</f>
        <v>Le</v>
      </c>
      <c r="Q285" s="93"/>
      <c r="R285" s="84">
        <v>40</v>
      </c>
      <c r="S285" s="84" t="s">
        <v>318</v>
      </c>
      <c r="T285" s="85">
        <f>IF(R285&gt;0,IF(RIGHT(Ruimtestaat[[#This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5" s="85">
        <f>IF(T285&gt;0,VLOOKUP($J285,Ruimtegroepen[],3,FALSE)*VLOOKUP($L285,Vloersoorten[],3,FALSE)*VLOOKUP($S285,Frequenties[],3,FALSE)*VLOOKUP($A285,Locaties[],3,FALSE),0)</f>
        <v>0</v>
      </c>
      <c r="V285" s="86">
        <f>Ruimtestaat[[#This Row],[Uitvoeringen werkdagen]]*Ruimtestaat[[#This Row],[Oppervlak (netto)]]</f>
        <v>11730</v>
      </c>
      <c r="W285" s="87">
        <f>IF(U285&gt;0,Ruimtestaat[[#This Row],[Prest. (m2 /jaar) werkdagen]]/Ruimtestaat[[#This Row],[Norm (m2/uur) werkdagen]],0)</f>
        <v>0</v>
      </c>
      <c r="X285" s="88">
        <f>Ruimtestaat[[#This Row],[uren / jaar werkdagen]]*Tariefsopbouw!$E$35</f>
        <v>0</v>
      </c>
      <c r="Y285" s="85"/>
      <c r="Z285" s="89">
        <f>IF(Ruimtestaat[[#This Row],[Frequentie weekend]]&gt;0,VALUE(LEFT(Y285,1))*R285,0)</f>
        <v>0</v>
      </c>
      <c r="AA285" s="85">
        <f>IF($Z285&gt;0,VLOOKUP($J285,Ruimtegroepen[],3,FALSE)*VLOOKUP($L285,Vloersoorten[],3,FALSE)*VLOOKUP($Y285,Frequenties[],3,FALSE)*VLOOKUP(#REF!,Locaties[],3,FALSE),0)</f>
        <v>0</v>
      </c>
      <c r="AB285" s="87">
        <f>Ruimtestaat[[#This Row],[Uitvoeringen weekend]]*Ruimtestaat[[#This Row],[Oppervlak (netto)]]</f>
        <v>0</v>
      </c>
      <c r="AC285" s="90">
        <f>IF(AB285&gt;0,Ruimtestaat[[#This Row],[Prest. (m2 /jaar) weekend]]/Ruimtestaat[[#This Row],[Norm (m2/uur) weekend]],0)</f>
        <v>0</v>
      </c>
      <c r="AD285" s="91">
        <f>Ruimtestaat[[#This Row],[uren / jaar weekend]]*Tariefsopbouw!$D$40</f>
        <v>0</v>
      </c>
      <c r="AE285" s="60">
        <f>Ruimtestaat[[#This Row],[Prest. (m2 /jaar) weekend]]+Ruimtestaat[[#This Row],[Prest. (m2 /jaar) werkdagen]]</f>
        <v>11730</v>
      </c>
      <c r="AF285" s="60">
        <f>Ruimtestaat[[#This Row],[uren / jaar weekend]]+Ruimtestaat[[#This Row],[uren / jaar werkdagen]]</f>
        <v>0</v>
      </c>
      <c r="AG285" s="61">
        <f>Ruimtestaat[[#This Row],[kosten / jaar weekend]]+Ruimtestaat[[#This Row],[kosten / jaar werkdagen]]</f>
        <v>0</v>
      </c>
      <c r="AH285" s="92"/>
      <c r="HL285" s="59"/>
    </row>
    <row r="286" spans="1:220">
      <c r="A286" s="24">
        <v>2</v>
      </c>
      <c r="B286" s="24" t="str">
        <f>VLOOKUP(Ruimtestaat[[#This Row],[Code]],Locaties[#All],2,FALSE)</f>
        <v>Het Stormink</v>
      </c>
      <c r="C286" s="24" t="str">
        <f>VLOOKUP(Ruimtestaat[[#This Row],[Code]],Locaties[#All],4,FALSE)</f>
        <v>Storminkstraat 1</v>
      </c>
      <c r="D286" s="24" t="str">
        <f>VLOOKUP(Ruimtestaat[[#This Row],[Code]],Locaties[#All],5,FALSE)</f>
        <v>7418 GH</v>
      </c>
      <c r="E286" s="24" t="str">
        <f>VLOOKUP(Ruimtestaat[[#This Row],[Code]],Locaties[#All],6,FALSE)</f>
        <v>Deventer</v>
      </c>
      <c r="F286" s="54"/>
      <c r="G286" s="24" t="s">
        <v>367</v>
      </c>
      <c r="H286" s="24" t="s">
        <v>504</v>
      </c>
      <c r="I286" s="4" t="s">
        <v>716</v>
      </c>
      <c r="J286" s="24">
        <v>10</v>
      </c>
      <c r="K286" s="54" t="str">
        <f>VLOOKUP(J286,Ruimtegroepen[],2,FALSE)</f>
        <v>Trappenhuizen/lift</v>
      </c>
      <c r="L286" s="24" t="s">
        <v>300</v>
      </c>
      <c r="M286" s="24" t="s">
        <v>157</v>
      </c>
      <c r="N286" s="83">
        <v>25.41</v>
      </c>
      <c r="O286" s="83"/>
      <c r="P286" s="93" t="str">
        <f>LEFT(VLOOKUP(Ruimtestaat[[#This Row],[Ruimte code]],Ruimtegroepen[#All],4,1),2)</f>
        <v>Ve</v>
      </c>
      <c r="Q286" s="93"/>
      <c r="R286" s="84">
        <v>40</v>
      </c>
      <c r="S286" s="84" t="s">
        <v>318</v>
      </c>
      <c r="T286" s="85">
        <f>IF(R286&gt;0,IF(RIGHT(Ruimtestaat[[#This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6" s="85">
        <f>IF(T286&gt;0,VLOOKUP($J286,Ruimtegroepen[],3,FALSE)*VLOOKUP($L286,Vloersoorten[],3,FALSE)*VLOOKUP($S286,Frequenties[],3,FALSE)*VLOOKUP($A286,Locaties[],3,FALSE),0)</f>
        <v>0</v>
      </c>
      <c r="V286" s="86">
        <f>Ruimtestaat[[#This Row],[Uitvoeringen werkdagen]]*Ruimtestaat[[#This Row],[Oppervlak (netto)]]</f>
        <v>5082</v>
      </c>
      <c r="W286" s="87">
        <f>IF(U286&gt;0,Ruimtestaat[[#This Row],[Prest. (m2 /jaar) werkdagen]]/Ruimtestaat[[#This Row],[Norm (m2/uur) werkdagen]],0)</f>
        <v>0</v>
      </c>
      <c r="X286" s="88">
        <f>Ruimtestaat[[#This Row],[uren / jaar werkdagen]]*Tariefsopbouw!$E$35</f>
        <v>0</v>
      </c>
      <c r="Y286" s="85"/>
      <c r="Z286" s="89">
        <f>IF(Ruimtestaat[[#This Row],[Frequentie weekend]]&gt;0,VALUE(LEFT(Y286,1))*R286,0)</f>
        <v>0</v>
      </c>
      <c r="AA286" s="85">
        <f>IF($Z286&gt;0,VLOOKUP($J286,Ruimtegroepen[],3,FALSE)*VLOOKUP($L286,Vloersoorten[],3,FALSE)*VLOOKUP($Y286,Frequenties[],3,FALSE)*VLOOKUP(#REF!,Locaties[],3,FALSE),0)</f>
        <v>0</v>
      </c>
      <c r="AB286" s="87">
        <f>Ruimtestaat[[#This Row],[Uitvoeringen weekend]]*Ruimtestaat[[#This Row],[Oppervlak (netto)]]</f>
        <v>0</v>
      </c>
      <c r="AC286" s="90">
        <f>IF(AB286&gt;0,Ruimtestaat[[#This Row],[Prest. (m2 /jaar) weekend]]/Ruimtestaat[[#This Row],[Norm (m2/uur) weekend]],0)</f>
        <v>0</v>
      </c>
      <c r="AD286" s="91">
        <f>Ruimtestaat[[#This Row],[uren / jaar weekend]]*Tariefsopbouw!$D$40</f>
        <v>0</v>
      </c>
      <c r="AE286" s="60">
        <f>Ruimtestaat[[#This Row],[Prest. (m2 /jaar) weekend]]+Ruimtestaat[[#This Row],[Prest. (m2 /jaar) werkdagen]]</f>
        <v>5082</v>
      </c>
      <c r="AF286" s="60">
        <f>Ruimtestaat[[#This Row],[uren / jaar weekend]]+Ruimtestaat[[#This Row],[uren / jaar werkdagen]]</f>
        <v>0</v>
      </c>
      <c r="AG286" s="61">
        <f>Ruimtestaat[[#This Row],[kosten / jaar weekend]]+Ruimtestaat[[#This Row],[kosten / jaar werkdagen]]</f>
        <v>0</v>
      </c>
      <c r="AH286" s="92"/>
      <c r="HL286" s="59"/>
    </row>
    <row r="287" spans="1:220">
      <c r="A287" s="24">
        <v>2</v>
      </c>
      <c r="B287" s="24" t="str">
        <f>VLOOKUP(Ruimtestaat[[#This Row],[Code]],Locaties[#All],2,FALSE)</f>
        <v>Het Stormink</v>
      </c>
      <c r="C287" s="24" t="str">
        <f>VLOOKUP(Ruimtestaat[[#This Row],[Code]],Locaties[#All],4,FALSE)</f>
        <v>Storminkstraat 1</v>
      </c>
      <c r="D287" s="24" t="str">
        <f>VLOOKUP(Ruimtestaat[[#This Row],[Code]],Locaties[#All],5,FALSE)</f>
        <v>7418 GH</v>
      </c>
      <c r="E287" s="24" t="str">
        <f>VLOOKUP(Ruimtestaat[[#This Row],[Code]],Locaties[#All],6,FALSE)</f>
        <v>Deventer</v>
      </c>
      <c r="F287" s="54"/>
      <c r="G287" s="24" t="s">
        <v>367</v>
      </c>
      <c r="H287" s="24" t="s">
        <v>505</v>
      </c>
      <c r="I287" s="4" t="s">
        <v>716</v>
      </c>
      <c r="J287" s="24">
        <v>10</v>
      </c>
      <c r="K287" s="54" t="str">
        <f>VLOOKUP(J287,Ruimtegroepen[],2,FALSE)</f>
        <v>Trappenhuizen/lift</v>
      </c>
      <c r="L287" s="24" t="s">
        <v>300</v>
      </c>
      <c r="M287" s="24" t="s">
        <v>157</v>
      </c>
      <c r="N287" s="83">
        <v>36.049999999999997</v>
      </c>
      <c r="O287" s="83"/>
      <c r="P287" s="93" t="str">
        <f>LEFT(VLOOKUP(Ruimtestaat[[#This Row],[Ruimte code]],Ruimtegroepen[#All],4,1),2)</f>
        <v>Ve</v>
      </c>
      <c r="Q287" s="93"/>
      <c r="R287" s="84">
        <v>40</v>
      </c>
      <c r="S287" s="84" t="s">
        <v>318</v>
      </c>
      <c r="T287" s="85">
        <f>IF(R287&gt;0,IF(RIGHT(Ruimtestaat[[#This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7" s="85">
        <f>IF(T287&gt;0,VLOOKUP($J287,Ruimtegroepen[],3,FALSE)*VLOOKUP($L287,Vloersoorten[],3,FALSE)*VLOOKUP($S287,Frequenties[],3,FALSE)*VLOOKUP($A287,Locaties[],3,FALSE),0)</f>
        <v>0</v>
      </c>
      <c r="V287" s="86">
        <f>Ruimtestaat[[#This Row],[Uitvoeringen werkdagen]]*Ruimtestaat[[#This Row],[Oppervlak (netto)]]</f>
        <v>7209.9999999999991</v>
      </c>
      <c r="W287" s="87">
        <f>IF(U287&gt;0,Ruimtestaat[[#This Row],[Prest. (m2 /jaar) werkdagen]]/Ruimtestaat[[#This Row],[Norm (m2/uur) werkdagen]],0)</f>
        <v>0</v>
      </c>
      <c r="X287" s="88">
        <f>Ruimtestaat[[#This Row],[uren / jaar werkdagen]]*Tariefsopbouw!$E$35</f>
        <v>0</v>
      </c>
      <c r="Y287" s="85"/>
      <c r="Z287" s="89">
        <f>IF(Ruimtestaat[[#This Row],[Frequentie weekend]]&gt;0,VALUE(LEFT(Y287,1))*R287,0)</f>
        <v>0</v>
      </c>
      <c r="AA287" s="85">
        <f>IF($Z287&gt;0,VLOOKUP($J287,Ruimtegroepen[],3,FALSE)*VLOOKUP($L287,Vloersoorten[],3,FALSE)*VLOOKUP($Y287,Frequenties[],3,FALSE)*VLOOKUP(#REF!,Locaties[],3,FALSE),0)</f>
        <v>0</v>
      </c>
      <c r="AB287" s="87">
        <f>Ruimtestaat[[#This Row],[Uitvoeringen weekend]]*Ruimtestaat[[#This Row],[Oppervlak (netto)]]</f>
        <v>0</v>
      </c>
      <c r="AC287" s="90">
        <f>IF(AB287&gt;0,Ruimtestaat[[#This Row],[Prest. (m2 /jaar) weekend]]/Ruimtestaat[[#This Row],[Norm (m2/uur) weekend]],0)</f>
        <v>0</v>
      </c>
      <c r="AD287" s="91">
        <f>Ruimtestaat[[#This Row],[uren / jaar weekend]]*Tariefsopbouw!$D$40</f>
        <v>0</v>
      </c>
      <c r="AE287" s="60">
        <f>Ruimtestaat[[#This Row],[Prest. (m2 /jaar) weekend]]+Ruimtestaat[[#This Row],[Prest. (m2 /jaar) werkdagen]]</f>
        <v>7209.9999999999991</v>
      </c>
      <c r="AF287" s="60">
        <f>Ruimtestaat[[#This Row],[uren / jaar weekend]]+Ruimtestaat[[#This Row],[uren / jaar werkdagen]]</f>
        <v>0</v>
      </c>
      <c r="AG287" s="61">
        <f>Ruimtestaat[[#This Row],[kosten / jaar weekend]]+Ruimtestaat[[#This Row],[kosten / jaar werkdagen]]</f>
        <v>0</v>
      </c>
      <c r="AH287" s="92"/>
      <c r="HL287" s="59"/>
    </row>
    <row r="288" spans="1:220">
      <c r="A288" s="24">
        <v>2</v>
      </c>
      <c r="B288" s="24" t="str">
        <f>VLOOKUP(Ruimtestaat[[#This Row],[Code]],Locaties[#All],2,FALSE)</f>
        <v>Het Stormink</v>
      </c>
      <c r="C288" s="24" t="str">
        <f>VLOOKUP(Ruimtestaat[[#This Row],[Code]],Locaties[#All],4,FALSE)</f>
        <v>Storminkstraat 1</v>
      </c>
      <c r="D288" s="24" t="str">
        <f>VLOOKUP(Ruimtestaat[[#This Row],[Code]],Locaties[#All],5,FALSE)</f>
        <v>7418 GH</v>
      </c>
      <c r="E288" s="24" t="str">
        <f>VLOOKUP(Ruimtestaat[[#This Row],[Code]],Locaties[#All],6,FALSE)</f>
        <v>Deventer</v>
      </c>
      <c r="F288" s="54"/>
      <c r="G288" s="24" t="s">
        <v>367</v>
      </c>
      <c r="H288" s="24" t="s">
        <v>506</v>
      </c>
      <c r="I288" s="4" t="s">
        <v>716</v>
      </c>
      <c r="J288" s="24">
        <v>10</v>
      </c>
      <c r="K288" s="54" t="str">
        <f>VLOOKUP(J288,Ruimtegroepen[],2,FALSE)</f>
        <v>Trappenhuizen/lift</v>
      </c>
      <c r="L288" s="24" t="s">
        <v>300</v>
      </c>
      <c r="M288" s="24" t="s">
        <v>157</v>
      </c>
      <c r="N288" s="83">
        <v>25.17</v>
      </c>
      <c r="O288" s="83"/>
      <c r="P288" s="93" t="str">
        <f>LEFT(VLOOKUP(Ruimtestaat[[#This Row],[Ruimte code]],Ruimtegroepen[#All],4,1),2)</f>
        <v>Ve</v>
      </c>
      <c r="Q288" s="93"/>
      <c r="R288" s="84">
        <v>40</v>
      </c>
      <c r="S288" s="84" t="s">
        <v>318</v>
      </c>
      <c r="T288" s="85">
        <f>IF(R288&gt;0,IF(RIGHT(Ruimtestaat[[#This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8" s="85">
        <f>IF(T288&gt;0,VLOOKUP($J288,Ruimtegroepen[],3,FALSE)*VLOOKUP($L288,Vloersoorten[],3,FALSE)*VLOOKUP($S288,Frequenties[],3,FALSE)*VLOOKUP($A288,Locaties[],3,FALSE),0)</f>
        <v>0</v>
      </c>
      <c r="V288" s="86">
        <f>Ruimtestaat[[#This Row],[Uitvoeringen werkdagen]]*Ruimtestaat[[#This Row],[Oppervlak (netto)]]</f>
        <v>5034</v>
      </c>
      <c r="W288" s="87">
        <f>IF(U288&gt;0,Ruimtestaat[[#This Row],[Prest. (m2 /jaar) werkdagen]]/Ruimtestaat[[#This Row],[Norm (m2/uur) werkdagen]],0)</f>
        <v>0</v>
      </c>
      <c r="X288" s="88">
        <f>Ruimtestaat[[#This Row],[uren / jaar werkdagen]]*Tariefsopbouw!$E$35</f>
        <v>0</v>
      </c>
      <c r="Y288" s="85"/>
      <c r="Z288" s="89">
        <f>IF(Ruimtestaat[[#This Row],[Frequentie weekend]]&gt;0,VALUE(LEFT(Y288,1))*R288,0)</f>
        <v>0</v>
      </c>
      <c r="AA288" s="85">
        <f>IF($Z288&gt;0,VLOOKUP($J288,Ruimtegroepen[],3,FALSE)*VLOOKUP($L288,Vloersoorten[],3,FALSE)*VLOOKUP($Y288,Frequenties[],3,FALSE)*VLOOKUP(#REF!,Locaties[],3,FALSE),0)</f>
        <v>0</v>
      </c>
      <c r="AB288" s="87">
        <f>Ruimtestaat[[#This Row],[Uitvoeringen weekend]]*Ruimtestaat[[#This Row],[Oppervlak (netto)]]</f>
        <v>0</v>
      </c>
      <c r="AC288" s="90">
        <f>IF(AB288&gt;0,Ruimtestaat[[#This Row],[Prest. (m2 /jaar) weekend]]/Ruimtestaat[[#This Row],[Norm (m2/uur) weekend]],0)</f>
        <v>0</v>
      </c>
      <c r="AD288" s="91">
        <f>Ruimtestaat[[#This Row],[uren / jaar weekend]]*Tariefsopbouw!$D$40</f>
        <v>0</v>
      </c>
      <c r="AE288" s="60">
        <f>Ruimtestaat[[#This Row],[Prest. (m2 /jaar) weekend]]+Ruimtestaat[[#This Row],[Prest. (m2 /jaar) werkdagen]]</f>
        <v>5034</v>
      </c>
      <c r="AF288" s="60">
        <f>Ruimtestaat[[#This Row],[uren / jaar weekend]]+Ruimtestaat[[#This Row],[uren / jaar werkdagen]]</f>
        <v>0</v>
      </c>
      <c r="AG288" s="61">
        <f>Ruimtestaat[[#This Row],[kosten / jaar weekend]]+Ruimtestaat[[#This Row],[kosten / jaar werkdagen]]</f>
        <v>0</v>
      </c>
      <c r="AH288" s="92"/>
      <c r="HL288" s="59"/>
    </row>
    <row r="289" spans="1:220">
      <c r="A289" s="24">
        <v>2</v>
      </c>
      <c r="B289" s="24" t="str">
        <f>VLOOKUP(Ruimtestaat[[#This Row],[Code]],Locaties[#All],2,FALSE)</f>
        <v>Het Stormink</v>
      </c>
      <c r="C289" s="24" t="str">
        <f>VLOOKUP(Ruimtestaat[[#This Row],[Code]],Locaties[#All],4,FALSE)</f>
        <v>Storminkstraat 1</v>
      </c>
      <c r="D289" s="24" t="str">
        <f>VLOOKUP(Ruimtestaat[[#This Row],[Code]],Locaties[#All],5,FALSE)</f>
        <v>7418 GH</v>
      </c>
      <c r="E289" s="24" t="str">
        <f>VLOOKUP(Ruimtestaat[[#This Row],[Code]],Locaties[#All],6,FALSE)</f>
        <v>Deventer</v>
      </c>
      <c r="F289" s="54"/>
      <c r="G289" s="24" t="s">
        <v>512</v>
      </c>
      <c r="H289" s="24" t="s">
        <v>516</v>
      </c>
      <c r="I289" s="4" t="s">
        <v>521</v>
      </c>
      <c r="J289" s="24">
        <v>16</v>
      </c>
      <c r="K289" s="54" t="str">
        <f>VLOOKUP(J289,Ruimtegroepen[],2,FALSE)</f>
        <v>Leslokalen theorie</v>
      </c>
      <c r="L289" s="24" t="s">
        <v>300</v>
      </c>
      <c r="M289" s="24" t="s">
        <v>157</v>
      </c>
      <c r="N289" s="83">
        <v>9.19</v>
      </c>
      <c r="O289" s="83"/>
      <c r="P289" s="93" t="str">
        <f>LEFT(VLOOKUP(Ruimtestaat[[#This Row],[Ruimte code]],Ruimtegroepen[#All],4,1),2)</f>
        <v>Le</v>
      </c>
      <c r="Q289" s="93"/>
      <c r="R289" s="84">
        <v>40</v>
      </c>
      <c r="S289" s="84" t="s">
        <v>318</v>
      </c>
      <c r="T289" s="85">
        <f>IF(R289&gt;0,IF(RIGHT(Ruimtestaat[[#This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9" s="85">
        <f>IF(T289&gt;0,VLOOKUP($J289,Ruimtegroepen[],3,FALSE)*VLOOKUP($L289,Vloersoorten[],3,FALSE)*VLOOKUP($S289,Frequenties[],3,FALSE)*VLOOKUP($A289,Locaties[],3,FALSE),0)</f>
        <v>0</v>
      </c>
      <c r="V289" s="86">
        <f>Ruimtestaat[[#This Row],[Uitvoeringen werkdagen]]*Ruimtestaat[[#This Row],[Oppervlak (netto)]]</f>
        <v>1838</v>
      </c>
      <c r="W289" s="87">
        <f>IF(U289&gt;0,Ruimtestaat[[#This Row],[Prest. (m2 /jaar) werkdagen]]/Ruimtestaat[[#This Row],[Norm (m2/uur) werkdagen]],0)</f>
        <v>0</v>
      </c>
      <c r="X289" s="88">
        <f>Ruimtestaat[[#This Row],[uren / jaar werkdagen]]*Tariefsopbouw!$E$35</f>
        <v>0</v>
      </c>
      <c r="Y289" s="85"/>
      <c r="Z289" s="89">
        <f>IF(Ruimtestaat[[#This Row],[Frequentie weekend]]&gt;0,VALUE(LEFT(Y289,1))*R289,0)</f>
        <v>0</v>
      </c>
      <c r="AA289" s="85">
        <f>IF($Z289&gt;0,VLOOKUP($J289,Ruimtegroepen[],3,FALSE)*VLOOKUP($L289,Vloersoorten[],3,FALSE)*VLOOKUP($Y289,Frequenties[],3,FALSE)*VLOOKUP(#REF!,Locaties[],3,FALSE),0)</f>
        <v>0</v>
      </c>
      <c r="AB289" s="87">
        <f>Ruimtestaat[[#This Row],[Uitvoeringen weekend]]*Ruimtestaat[[#This Row],[Oppervlak (netto)]]</f>
        <v>0</v>
      </c>
      <c r="AC289" s="90">
        <f>IF(AB289&gt;0,Ruimtestaat[[#This Row],[Prest. (m2 /jaar) weekend]]/Ruimtestaat[[#This Row],[Norm (m2/uur) weekend]],0)</f>
        <v>0</v>
      </c>
      <c r="AD289" s="91">
        <f>Ruimtestaat[[#This Row],[uren / jaar weekend]]*Tariefsopbouw!$D$40</f>
        <v>0</v>
      </c>
      <c r="AE289" s="60">
        <f>Ruimtestaat[[#This Row],[Prest. (m2 /jaar) weekend]]+Ruimtestaat[[#This Row],[Prest. (m2 /jaar) werkdagen]]</f>
        <v>1838</v>
      </c>
      <c r="AF289" s="60">
        <f>Ruimtestaat[[#This Row],[uren / jaar weekend]]+Ruimtestaat[[#This Row],[uren / jaar werkdagen]]</f>
        <v>0</v>
      </c>
      <c r="AG289" s="61">
        <f>Ruimtestaat[[#This Row],[kosten / jaar weekend]]+Ruimtestaat[[#This Row],[kosten / jaar werkdagen]]</f>
        <v>0</v>
      </c>
      <c r="AH289" s="92"/>
      <c r="HL289" s="59"/>
    </row>
    <row r="290" spans="1:220">
      <c r="A290" s="24">
        <v>2</v>
      </c>
      <c r="B290" s="24" t="str">
        <f>VLOOKUP(Ruimtestaat[[#This Row],[Code]],Locaties[#All],2,FALSE)</f>
        <v>Het Stormink</v>
      </c>
      <c r="C290" s="24" t="str">
        <f>VLOOKUP(Ruimtestaat[[#This Row],[Code]],Locaties[#All],4,FALSE)</f>
        <v>Storminkstraat 1</v>
      </c>
      <c r="D290" s="24" t="str">
        <f>VLOOKUP(Ruimtestaat[[#This Row],[Code]],Locaties[#All],5,FALSE)</f>
        <v>7418 GH</v>
      </c>
      <c r="E290" s="24" t="str">
        <f>VLOOKUP(Ruimtestaat[[#This Row],[Code]],Locaties[#All],6,FALSE)</f>
        <v>Deventer</v>
      </c>
      <c r="F290" s="54"/>
      <c r="G290" s="24" t="s">
        <v>512</v>
      </c>
      <c r="H290" s="24" t="s">
        <v>517</v>
      </c>
      <c r="I290" s="4" t="s">
        <v>521</v>
      </c>
      <c r="J290" s="24">
        <v>16</v>
      </c>
      <c r="K290" s="54" t="str">
        <f>VLOOKUP(J290,Ruimtegroepen[],2,FALSE)</f>
        <v>Leslokalen theorie</v>
      </c>
      <c r="L290" s="24" t="s">
        <v>300</v>
      </c>
      <c r="M290" s="24" t="s">
        <v>157</v>
      </c>
      <c r="N290" s="83">
        <v>9.06</v>
      </c>
      <c r="O290" s="83"/>
      <c r="P290" s="93" t="str">
        <f>LEFT(VLOOKUP(Ruimtestaat[[#This Row],[Ruimte code]],Ruimtegroepen[#All],4,1),2)</f>
        <v>Le</v>
      </c>
      <c r="Q290" s="93"/>
      <c r="R290" s="84">
        <v>40</v>
      </c>
      <c r="S290" s="84" t="s">
        <v>318</v>
      </c>
      <c r="T290" s="85">
        <f>IF(R290&gt;0,IF(RIGHT(Ruimtestaat[[#This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0" s="85">
        <f>IF(T290&gt;0,VLOOKUP($J290,Ruimtegroepen[],3,FALSE)*VLOOKUP($L290,Vloersoorten[],3,FALSE)*VLOOKUP($S290,Frequenties[],3,FALSE)*VLOOKUP($A290,Locaties[],3,FALSE),0)</f>
        <v>0</v>
      </c>
      <c r="V290" s="86">
        <f>Ruimtestaat[[#This Row],[Uitvoeringen werkdagen]]*Ruimtestaat[[#This Row],[Oppervlak (netto)]]</f>
        <v>1812</v>
      </c>
      <c r="W290" s="87">
        <f>IF(U290&gt;0,Ruimtestaat[[#This Row],[Prest. (m2 /jaar) werkdagen]]/Ruimtestaat[[#This Row],[Norm (m2/uur) werkdagen]],0)</f>
        <v>0</v>
      </c>
      <c r="X290" s="88">
        <f>Ruimtestaat[[#This Row],[uren / jaar werkdagen]]*Tariefsopbouw!$E$35</f>
        <v>0</v>
      </c>
      <c r="Y290" s="85"/>
      <c r="Z290" s="89">
        <f>IF(Ruimtestaat[[#This Row],[Frequentie weekend]]&gt;0,VALUE(LEFT(Y290,1))*R290,0)</f>
        <v>0</v>
      </c>
      <c r="AA290" s="85">
        <f>IF($Z290&gt;0,VLOOKUP($J290,Ruimtegroepen[],3,FALSE)*VLOOKUP($L290,Vloersoorten[],3,FALSE)*VLOOKUP($Y290,Frequenties[],3,FALSE)*VLOOKUP(#REF!,Locaties[],3,FALSE),0)</f>
        <v>0</v>
      </c>
      <c r="AB290" s="87">
        <f>Ruimtestaat[[#This Row],[Uitvoeringen weekend]]*Ruimtestaat[[#This Row],[Oppervlak (netto)]]</f>
        <v>0</v>
      </c>
      <c r="AC290" s="90">
        <f>IF(AB290&gt;0,Ruimtestaat[[#This Row],[Prest. (m2 /jaar) weekend]]/Ruimtestaat[[#This Row],[Norm (m2/uur) weekend]],0)</f>
        <v>0</v>
      </c>
      <c r="AD290" s="91">
        <f>Ruimtestaat[[#This Row],[uren / jaar weekend]]*Tariefsopbouw!$D$40</f>
        <v>0</v>
      </c>
      <c r="AE290" s="60">
        <f>Ruimtestaat[[#This Row],[Prest. (m2 /jaar) weekend]]+Ruimtestaat[[#This Row],[Prest. (m2 /jaar) werkdagen]]</f>
        <v>1812</v>
      </c>
      <c r="AF290" s="60">
        <f>Ruimtestaat[[#This Row],[uren / jaar weekend]]+Ruimtestaat[[#This Row],[uren / jaar werkdagen]]</f>
        <v>0</v>
      </c>
      <c r="AG290" s="61">
        <f>Ruimtestaat[[#This Row],[kosten / jaar weekend]]+Ruimtestaat[[#This Row],[kosten / jaar werkdagen]]</f>
        <v>0</v>
      </c>
      <c r="AH290" s="92"/>
      <c r="HL290" s="59"/>
    </row>
    <row r="291" spans="1:220">
      <c r="A291" s="24">
        <v>2</v>
      </c>
      <c r="B291" s="24" t="str">
        <f>VLOOKUP(Ruimtestaat[[#This Row],[Code]],Locaties[#All],2,FALSE)</f>
        <v>Het Stormink</v>
      </c>
      <c r="C291" s="24" t="str">
        <f>VLOOKUP(Ruimtestaat[[#This Row],[Code]],Locaties[#All],4,FALSE)</f>
        <v>Storminkstraat 1</v>
      </c>
      <c r="D291" s="24" t="str">
        <f>VLOOKUP(Ruimtestaat[[#This Row],[Code]],Locaties[#All],5,FALSE)</f>
        <v>7418 GH</v>
      </c>
      <c r="E291" s="24" t="str">
        <f>VLOOKUP(Ruimtestaat[[#This Row],[Code]],Locaties[#All],6,FALSE)</f>
        <v>Deventer</v>
      </c>
      <c r="F291" s="54"/>
      <c r="G291" s="24" t="s">
        <v>512</v>
      </c>
      <c r="H291" s="24" t="s">
        <v>518</v>
      </c>
      <c r="I291" s="4" t="s">
        <v>717</v>
      </c>
      <c r="J291" s="24">
        <v>22</v>
      </c>
      <c r="K291" s="54" t="str">
        <f>VLOOKUP(J291,Ruimtegroepen[],2,FALSE)</f>
        <v>Niet in onderhoud</v>
      </c>
      <c r="L291" s="24" t="s">
        <v>300</v>
      </c>
      <c r="M291" s="24" t="s">
        <v>157</v>
      </c>
      <c r="N291" s="83"/>
      <c r="O291" s="83">
        <v>38.520000000000003</v>
      </c>
      <c r="P291" s="93" t="str">
        <f>LEFT(VLOOKUP(Ruimtestaat[[#This Row],[Ruimte code]],Ruimtegroepen[#All],4,1),2)</f>
        <v/>
      </c>
      <c r="Q291" s="93"/>
      <c r="R291" s="84"/>
      <c r="S291" s="84"/>
      <c r="T291" s="85">
        <f>IF(R291&gt;0,IF(RIGHT(Ruimtestaat[[#This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1" s="85">
        <f>IF(T291&gt;0,VLOOKUP($J291,Ruimtegroepen[],3,FALSE)*VLOOKUP($L291,Vloersoorten[],3,FALSE)*VLOOKUP($S291,Frequenties[],3,FALSE)*VLOOKUP($A291,Locaties[],3,FALSE),0)</f>
        <v>0</v>
      </c>
      <c r="V291" s="86">
        <f>Ruimtestaat[[#This Row],[Uitvoeringen werkdagen]]*Ruimtestaat[[#This Row],[Oppervlak (netto)]]</f>
        <v>0</v>
      </c>
      <c r="W291" s="87">
        <f>IF(U291&gt;0,Ruimtestaat[[#This Row],[Prest. (m2 /jaar) werkdagen]]/Ruimtestaat[[#This Row],[Norm (m2/uur) werkdagen]],0)</f>
        <v>0</v>
      </c>
      <c r="X291" s="88">
        <f>Ruimtestaat[[#This Row],[uren / jaar werkdagen]]*Tariefsopbouw!$E$35</f>
        <v>0</v>
      </c>
      <c r="Y291" s="85"/>
      <c r="Z291" s="89">
        <f>IF(Ruimtestaat[[#This Row],[Frequentie weekend]]&gt;0,VALUE(LEFT(Y291,1))*R291,0)</f>
        <v>0</v>
      </c>
      <c r="AA291" s="85">
        <f>IF($Z291&gt;0,VLOOKUP($J291,Ruimtegroepen[],3,FALSE)*VLOOKUP($L291,Vloersoorten[],3,FALSE)*VLOOKUP($Y291,Frequenties[],3,FALSE)*VLOOKUP(#REF!,Locaties[],3,FALSE),0)</f>
        <v>0</v>
      </c>
      <c r="AB291" s="87">
        <f>Ruimtestaat[[#This Row],[Uitvoeringen weekend]]*Ruimtestaat[[#This Row],[Oppervlak (netto)]]</f>
        <v>0</v>
      </c>
      <c r="AC291" s="90">
        <f>IF(AB291&gt;0,Ruimtestaat[[#This Row],[Prest. (m2 /jaar) weekend]]/Ruimtestaat[[#This Row],[Norm (m2/uur) weekend]],0)</f>
        <v>0</v>
      </c>
      <c r="AD291" s="91">
        <f>Ruimtestaat[[#This Row],[uren / jaar weekend]]*Tariefsopbouw!$D$40</f>
        <v>0</v>
      </c>
      <c r="AE291" s="60">
        <f>Ruimtestaat[[#This Row],[Prest. (m2 /jaar) weekend]]+Ruimtestaat[[#This Row],[Prest. (m2 /jaar) werkdagen]]</f>
        <v>0</v>
      </c>
      <c r="AF291" s="60">
        <f>Ruimtestaat[[#This Row],[uren / jaar weekend]]+Ruimtestaat[[#This Row],[uren / jaar werkdagen]]</f>
        <v>0</v>
      </c>
      <c r="AG291" s="61">
        <f>Ruimtestaat[[#This Row],[kosten / jaar weekend]]+Ruimtestaat[[#This Row],[kosten / jaar werkdagen]]</f>
        <v>0</v>
      </c>
      <c r="AH291" s="92"/>
      <c r="HL291" s="59"/>
    </row>
    <row r="292" spans="1:220">
      <c r="A292" s="24">
        <v>2</v>
      </c>
      <c r="B292" s="24" t="str">
        <f>VLOOKUP(Ruimtestaat[[#This Row],[Code]],Locaties[#All],2,FALSE)</f>
        <v>Het Stormink</v>
      </c>
      <c r="C292" s="24" t="str">
        <f>VLOOKUP(Ruimtestaat[[#This Row],[Code]],Locaties[#All],4,FALSE)</f>
        <v>Storminkstraat 1</v>
      </c>
      <c r="D292" s="24" t="str">
        <f>VLOOKUP(Ruimtestaat[[#This Row],[Code]],Locaties[#All],5,FALSE)</f>
        <v>7418 GH</v>
      </c>
      <c r="E292" s="24" t="str">
        <f>VLOOKUP(Ruimtestaat[[#This Row],[Code]],Locaties[#All],6,FALSE)</f>
        <v>Deventer</v>
      </c>
      <c r="F292" s="54"/>
      <c r="G292" s="24" t="s">
        <v>512</v>
      </c>
      <c r="H292" s="24" t="s">
        <v>528</v>
      </c>
      <c r="I292" s="4" t="s">
        <v>691</v>
      </c>
      <c r="J292" s="24">
        <v>22</v>
      </c>
      <c r="K292" s="54" t="str">
        <f>VLOOKUP(J292,Ruimtegroepen[],2,FALSE)</f>
        <v>Niet in onderhoud</v>
      </c>
      <c r="L292" s="24" t="s">
        <v>300</v>
      </c>
      <c r="M292" s="24" t="s">
        <v>157</v>
      </c>
      <c r="N292" s="83"/>
      <c r="O292" s="83">
        <v>1.62</v>
      </c>
      <c r="P292" s="93" t="str">
        <f>LEFT(VLOOKUP(Ruimtestaat[[#This Row],[Ruimte code]],Ruimtegroepen[#All],4,1),2)</f>
        <v/>
      </c>
      <c r="Q292" s="93"/>
      <c r="R292" s="84"/>
      <c r="S292" s="84"/>
      <c r="T292" s="85">
        <f>IF(R292&gt;0,IF(RIGHT(Ruimtestaat[[#This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2" s="85">
        <f>IF(T292&gt;0,VLOOKUP($J292,Ruimtegroepen[],3,FALSE)*VLOOKUP($L292,Vloersoorten[],3,FALSE)*VLOOKUP($S292,Frequenties[],3,FALSE)*VLOOKUP($A292,Locaties[],3,FALSE),0)</f>
        <v>0</v>
      </c>
      <c r="V292" s="86">
        <f>Ruimtestaat[[#This Row],[Uitvoeringen werkdagen]]*Ruimtestaat[[#This Row],[Oppervlak (netto)]]</f>
        <v>0</v>
      </c>
      <c r="W292" s="87">
        <f>IF(U292&gt;0,Ruimtestaat[[#This Row],[Prest. (m2 /jaar) werkdagen]]/Ruimtestaat[[#This Row],[Norm (m2/uur) werkdagen]],0)</f>
        <v>0</v>
      </c>
      <c r="X292" s="88">
        <f>Ruimtestaat[[#This Row],[uren / jaar werkdagen]]*Tariefsopbouw!$E$35</f>
        <v>0</v>
      </c>
      <c r="Y292" s="85"/>
      <c r="Z292" s="89">
        <f>IF(Ruimtestaat[[#This Row],[Frequentie weekend]]&gt;0,VALUE(LEFT(Y292,1))*R292,0)</f>
        <v>0</v>
      </c>
      <c r="AA292" s="85">
        <f>IF($Z292&gt;0,VLOOKUP($J292,Ruimtegroepen[],3,FALSE)*VLOOKUP($L292,Vloersoorten[],3,FALSE)*VLOOKUP($Y292,Frequenties[],3,FALSE)*VLOOKUP(#REF!,Locaties[],3,FALSE),0)</f>
        <v>0</v>
      </c>
      <c r="AB292" s="87">
        <f>Ruimtestaat[[#This Row],[Uitvoeringen weekend]]*Ruimtestaat[[#This Row],[Oppervlak (netto)]]</f>
        <v>0</v>
      </c>
      <c r="AC292" s="90">
        <f>IF(AB292&gt;0,Ruimtestaat[[#This Row],[Prest. (m2 /jaar) weekend]]/Ruimtestaat[[#This Row],[Norm (m2/uur) weekend]],0)</f>
        <v>0</v>
      </c>
      <c r="AD292" s="91">
        <f>Ruimtestaat[[#This Row],[uren / jaar weekend]]*Tariefsopbouw!$D$40</f>
        <v>0</v>
      </c>
      <c r="AE292" s="60">
        <f>Ruimtestaat[[#This Row],[Prest. (m2 /jaar) weekend]]+Ruimtestaat[[#This Row],[Prest. (m2 /jaar) werkdagen]]</f>
        <v>0</v>
      </c>
      <c r="AF292" s="60">
        <f>Ruimtestaat[[#This Row],[uren / jaar weekend]]+Ruimtestaat[[#This Row],[uren / jaar werkdagen]]</f>
        <v>0</v>
      </c>
      <c r="AG292" s="61">
        <f>Ruimtestaat[[#This Row],[kosten / jaar weekend]]+Ruimtestaat[[#This Row],[kosten / jaar werkdagen]]</f>
        <v>0</v>
      </c>
      <c r="AH292" s="92"/>
      <c r="HL292" s="59"/>
    </row>
    <row r="293" spans="1:220">
      <c r="A293" s="24">
        <v>2</v>
      </c>
      <c r="B293" s="24" t="str">
        <f>VLOOKUP(Ruimtestaat[[#This Row],[Code]],Locaties[#All],2,FALSE)</f>
        <v>Het Stormink</v>
      </c>
      <c r="C293" s="24" t="str">
        <f>VLOOKUP(Ruimtestaat[[#This Row],[Code]],Locaties[#All],4,FALSE)</f>
        <v>Storminkstraat 1</v>
      </c>
      <c r="D293" s="24" t="str">
        <f>VLOOKUP(Ruimtestaat[[#This Row],[Code]],Locaties[#All],5,FALSE)</f>
        <v>7418 GH</v>
      </c>
      <c r="E293" s="24" t="str">
        <f>VLOOKUP(Ruimtestaat[[#This Row],[Code]],Locaties[#All],6,FALSE)</f>
        <v>Deventer</v>
      </c>
      <c r="F293" s="54"/>
      <c r="G293" s="24" t="s">
        <v>512</v>
      </c>
      <c r="H293" s="24" t="s">
        <v>529</v>
      </c>
      <c r="I293" s="4" t="s">
        <v>689</v>
      </c>
      <c r="J293" s="24">
        <v>6</v>
      </c>
      <c r="K293" s="54" t="str">
        <f>VLOOKUP(J293,Ruimtegroepen[],2,FALSE)</f>
        <v>Gangen/hallen</v>
      </c>
      <c r="L293" s="24" t="s">
        <v>300</v>
      </c>
      <c r="M293" s="24" t="s">
        <v>157</v>
      </c>
      <c r="N293" s="83">
        <v>2.59</v>
      </c>
      <c r="O293" s="83"/>
      <c r="P293" s="93" t="str">
        <f>LEFT(VLOOKUP(Ruimtestaat[[#This Row],[Ruimte code]],Ruimtegroepen[#All],4,1),2)</f>
        <v>Ve</v>
      </c>
      <c r="Q293" s="93"/>
      <c r="R293" s="84">
        <v>40</v>
      </c>
      <c r="S293" s="84" t="s">
        <v>318</v>
      </c>
      <c r="T293" s="85">
        <f>IF(R293&gt;0,IF(RIGHT(Ruimtestaat[[#This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3" s="85">
        <f>IF(T293&gt;0,VLOOKUP($J293,Ruimtegroepen[],3,FALSE)*VLOOKUP($L293,Vloersoorten[],3,FALSE)*VLOOKUP($S293,Frequenties[],3,FALSE)*VLOOKUP($A293,Locaties[],3,FALSE),0)</f>
        <v>0</v>
      </c>
      <c r="V293" s="86">
        <f>Ruimtestaat[[#This Row],[Uitvoeringen werkdagen]]*Ruimtestaat[[#This Row],[Oppervlak (netto)]]</f>
        <v>518</v>
      </c>
      <c r="W293" s="87">
        <f>IF(U293&gt;0,Ruimtestaat[[#This Row],[Prest. (m2 /jaar) werkdagen]]/Ruimtestaat[[#This Row],[Norm (m2/uur) werkdagen]],0)</f>
        <v>0</v>
      </c>
      <c r="X293" s="88">
        <f>Ruimtestaat[[#This Row],[uren / jaar werkdagen]]*Tariefsopbouw!$E$35</f>
        <v>0</v>
      </c>
      <c r="Y293" s="85"/>
      <c r="Z293" s="89">
        <f>IF(Ruimtestaat[[#This Row],[Frequentie weekend]]&gt;0,VALUE(LEFT(Y293,1))*R293,0)</f>
        <v>0</v>
      </c>
      <c r="AA293" s="85">
        <f>IF($Z293&gt;0,VLOOKUP($J293,Ruimtegroepen[],3,FALSE)*VLOOKUP($L293,Vloersoorten[],3,FALSE)*VLOOKUP($Y293,Frequenties[],3,FALSE)*VLOOKUP(#REF!,Locaties[],3,FALSE),0)</f>
        <v>0</v>
      </c>
      <c r="AB293" s="87">
        <f>Ruimtestaat[[#This Row],[Uitvoeringen weekend]]*Ruimtestaat[[#This Row],[Oppervlak (netto)]]</f>
        <v>0</v>
      </c>
      <c r="AC293" s="90">
        <f>IF(AB293&gt;0,Ruimtestaat[[#This Row],[Prest. (m2 /jaar) weekend]]/Ruimtestaat[[#This Row],[Norm (m2/uur) weekend]],0)</f>
        <v>0</v>
      </c>
      <c r="AD293" s="91">
        <f>Ruimtestaat[[#This Row],[uren / jaar weekend]]*Tariefsopbouw!$D$40</f>
        <v>0</v>
      </c>
      <c r="AE293" s="60">
        <f>Ruimtestaat[[#This Row],[Prest. (m2 /jaar) weekend]]+Ruimtestaat[[#This Row],[Prest. (m2 /jaar) werkdagen]]</f>
        <v>518</v>
      </c>
      <c r="AF293" s="60">
        <f>Ruimtestaat[[#This Row],[uren / jaar weekend]]+Ruimtestaat[[#This Row],[uren / jaar werkdagen]]</f>
        <v>0</v>
      </c>
      <c r="AG293" s="61">
        <f>Ruimtestaat[[#This Row],[kosten / jaar weekend]]+Ruimtestaat[[#This Row],[kosten / jaar werkdagen]]</f>
        <v>0</v>
      </c>
      <c r="AH293" s="92"/>
      <c r="HL293" s="59"/>
    </row>
    <row r="294" spans="1:220">
      <c r="A294" s="24">
        <v>2</v>
      </c>
      <c r="B294" s="24" t="str">
        <f>VLOOKUP(Ruimtestaat[[#This Row],[Code]],Locaties[#All],2,FALSE)</f>
        <v>Het Stormink</v>
      </c>
      <c r="C294" s="24" t="str">
        <f>VLOOKUP(Ruimtestaat[[#This Row],[Code]],Locaties[#All],4,FALSE)</f>
        <v>Storminkstraat 1</v>
      </c>
      <c r="D294" s="24" t="str">
        <f>VLOOKUP(Ruimtestaat[[#This Row],[Code]],Locaties[#All],5,FALSE)</f>
        <v>7418 GH</v>
      </c>
      <c r="E294" s="24" t="str">
        <f>VLOOKUP(Ruimtestaat[[#This Row],[Code]],Locaties[#All],6,FALSE)</f>
        <v>Deventer</v>
      </c>
      <c r="F294" s="54"/>
      <c r="G294" s="24" t="s">
        <v>512</v>
      </c>
      <c r="H294" s="24" t="s">
        <v>531</v>
      </c>
      <c r="I294" s="4" t="s">
        <v>473</v>
      </c>
      <c r="J294" s="24">
        <v>5</v>
      </c>
      <c r="K294" s="54" t="str">
        <f>VLOOKUP(J294,Ruimtegroepen[],2,FALSE)</f>
        <v>Sanitair</v>
      </c>
      <c r="L294" s="24" t="s">
        <v>300</v>
      </c>
      <c r="M294" s="24" t="s">
        <v>157</v>
      </c>
      <c r="N294" s="83">
        <v>11.6</v>
      </c>
      <c r="O294" s="83"/>
      <c r="P294" s="93" t="str">
        <f>LEFT(VLOOKUP(Ruimtestaat[[#This Row],[Ruimte code]],Ruimtegroepen[#All],4,1),2)</f>
        <v>Sa</v>
      </c>
      <c r="Q294" s="93"/>
      <c r="R294" s="84">
        <v>42</v>
      </c>
      <c r="S294" s="84" t="s">
        <v>316</v>
      </c>
      <c r="T294" s="85">
        <f>IF(R294&gt;0,IF(RIGHT(Ruimtestaat[[#This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94" s="85">
        <f>IF(T294&gt;0,VLOOKUP($J294,Ruimtegroepen[],3,FALSE)*VLOOKUP($L294,Vloersoorten[],3,FALSE)*VLOOKUP($S294,Frequenties[],3,FALSE)*VLOOKUP($A294,Locaties[],3,FALSE),0)</f>
        <v>0</v>
      </c>
      <c r="V294" s="86">
        <f>Ruimtestaat[[#This Row],[Uitvoeringen werkdagen]]*Ruimtestaat[[#This Row],[Oppervlak (netto)]]</f>
        <v>4872</v>
      </c>
      <c r="W294" s="87">
        <f>IF(U294&gt;0,Ruimtestaat[[#This Row],[Prest. (m2 /jaar) werkdagen]]/Ruimtestaat[[#This Row],[Norm (m2/uur) werkdagen]],0)</f>
        <v>0</v>
      </c>
      <c r="X294" s="88">
        <f>Ruimtestaat[[#This Row],[uren / jaar werkdagen]]*Tariefsopbouw!$E$35</f>
        <v>0</v>
      </c>
      <c r="Y294" s="85"/>
      <c r="Z294" s="89">
        <f>IF(Ruimtestaat[[#This Row],[Frequentie weekend]]&gt;0,VALUE(LEFT(Y294,1))*R294,0)</f>
        <v>0</v>
      </c>
      <c r="AA294" s="85">
        <f>IF($Z294&gt;0,VLOOKUP($J294,Ruimtegroepen[],3,FALSE)*VLOOKUP($L294,Vloersoorten[],3,FALSE)*VLOOKUP($Y294,Frequenties[],3,FALSE)*VLOOKUP(#REF!,Locaties[],3,FALSE),0)</f>
        <v>0</v>
      </c>
      <c r="AB294" s="87">
        <f>Ruimtestaat[[#This Row],[Uitvoeringen weekend]]*Ruimtestaat[[#This Row],[Oppervlak (netto)]]</f>
        <v>0</v>
      </c>
      <c r="AC294" s="90">
        <f>IF(AB294&gt;0,Ruimtestaat[[#This Row],[Prest. (m2 /jaar) weekend]]/Ruimtestaat[[#This Row],[Norm (m2/uur) weekend]],0)</f>
        <v>0</v>
      </c>
      <c r="AD294" s="91">
        <f>Ruimtestaat[[#This Row],[uren / jaar weekend]]*Tariefsopbouw!$D$40</f>
        <v>0</v>
      </c>
      <c r="AE294" s="60">
        <f>Ruimtestaat[[#This Row],[Prest. (m2 /jaar) weekend]]+Ruimtestaat[[#This Row],[Prest. (m2 /jaar) werkdagen]]</f>
        <v>4872</v>
      </c>
      <c r="AF294" s="60">
        <f>Ruimtestaat[[#This Row],[uren / jaar weekend]]+Ruimtestaat[[#This Row],[uren / jaar werkdagen]]</f>
        <v>0</v>
      </c>
      <c r="AG294" s="61">
        <f>Ruimtestaat[[#This Row],[kosten / jaar weekend]]+Ruimtestaat[[#This Row],[kosten / jaar werkdagen]]</f>
        <v>0</v>
      </c>
      <c r="AH294" s="92"/>
      <c r="HL294" s="59"/>
    </row>
    <row r="295" spans="1:220">
      <c r="A295" s="24">
        <v>2</v>
      </c>
      <c r="B295" s="24" t="str">
        <f>VLOOKUP(Ruimtestaat[[#This Row],[Code]],Locaties[#All],2,FALSE)</f>
        <v>Het Stormink</v>
      </c>
      <c r="C295" s="24" t="str">
        <f>VLOOKUP(Ruimtestaat[[#This Row],[Code]],Locaties[#All],4,FALSE)</f>
        <v>Storminkstraat 1</v>
      </c>
      <c r="D295" s="24" t="str">
        <f>VLOOKUP(Ruimtestaat[[#This Row],[Code]],Locaties[#All],5,FALSE)</f>
        <v>7418 GH</v>
      </c>
      <c r="E295" s="24" t="str">
        <f>VLOOKUP(Ruimtestaat[[#This Row],[Code]],Locaties[#All],6,FALSE)</f>
        <v>Deventer</v>
      </c>
      <c r="F295" s="54"/>
      <c r="G295" s="24" t="s">
        <v>512</v>
      </c>
      <c r="H295" s="24" t="s">
        <v>532</v>
      </c>
      <c r="I295" s="4" t="s">
        <v>675</v>
      </c>
      <c r="J295" s="24">
        <v>5</v>
      </c>
      <c r="K295" s="54" t="str">
        <f>VLOOKUP(J295,Ruimtegroepen[],2,FALSE)</f>
        <v>Sanitair</v>
      </c>
      <c r="L295" s="24" t="s">
        <v>300</v>
      </c>
      <c r="M295" s="24" t="s">
        <v>157</v>
      </c>
      <c r="N295" s="83">
        <v>11.6</v>
      </c>
      <c r="O295" s="83"/>
      <c r="P295" s="93" t="str">
        <f>LEFT(VLOOKUP(Ruimtestaat[[#This Row],[Ruimte code]],Ruimtegroepen[#All],4,1),2)</f>
        <v>Sa</v>
      </c>
      <c r="Q295" s="93"/>
      <c r="R295" s="84">
        <v>42</v>
      </c>
      <c r="S295" s="84" t="s">
        <v>316</v>
      </c>
      <c r="T295" s="85">
        <f>IF(R295&gt;0,IF(RIGHT(Ruimtestaat[[#This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95" s="85">
        <f>IF(T295&gt;0,VLOOKUP($J295,Ruimtegroepen[],3,FALSE)*VLOOKUP($L295,Vloersoorten[],3,FALSE)*VLOOKUP($S295,Frequenties[],3,FALSE)*VLOOKUP($A295,Locaties[],3,FALSE),0)</f>
        <v>0</v>
      </c>
      <c r="V295" s="86">
        <f>Ruimtestaat[[#This Row],[Uitvoeringen werkdagen]]*Ruimtestaat[[#This Row],[Oppervlak (netto)]]</f>
        <v>4872</v>
      </c>
      <c r="W295" s="87">
        <f>IF(U295&gt;0,Ruimtestaat[[#This Row],[Prest. (m2 /jaar) werkdagen]]/Ruimtestaat[[#This Row],[Norm (m2/uur) werkdagen]],0)</f>
        <v>0</v>
      </c>
      <c r="X295" s="88">
        <f>Ruimtestaat[[#This Row],[uren / jaar werkdagen]]*Tariefsopbouw!$E$35</f>
        <v>0</v>
      </c>
      <c r="Y295" s="85"/>
      <c r="Z295" s="89">
        <f>IF(Ruimtestaat[[#This Row],[Frequentie weekend]]&gt;0,VALUE(LEFT(Y295,1))*R295,0)</f>
        <v>0</v>
      </c>
      <c r="AA295" s="85">
        <f>IF($Z295&gt;0,VLOOKUP($J295,Ruimtegroepen[],3,FALSE)*VLOOKUP($L295,Vloersoorten[],3,FALSE)*VLOOKUP($Y295,Frequenties[],3,FALSE)*VLOOKUP(#REF!,Locaties[],3,FALSE),0)</f>
        <v>0</v>
      </c>
      <c r="AB295" s="87">
        <f>Ruimtestaat[[#This Row],[Uitvoeringen weekend]]*Ruimtestaat[[#This Row],[Oppervlak (netto)]]</f>
        <v>0</v>
      </c>
      <c r="AC295" s="90">
        <f>IF(AB295&gt;0,Ruimtestaat[[#This Row],[Prest. (m2 /jaar) weekend]]/Ruimtestaat[[#This Row],[Norm (m2/uur) weekend]],0)</f>
        <v>0</v>
      </c>
      <c r="AD295" s="91">
        <f>Ruimtestaat[[#This Row],[uren / jaar weekend]]*Tariefsopbouw!$D$40</f>
        <v>0</v>
      </c>
      <c r="AE295" s="60">
        <f>Ruimtestaat[[#This Row],[Prest. (m2 /jaar) weekend]]+Ruimtestaat[[#This Row],[Prest. (m2 /jaar) werkdagen]]</f>
        <v>4872</v>
      </c>
      <c r="AF295" s="60">
        <f>Ruimtestaat[[#This Row],[uren / jaar weekend]]+Ruimtestaat[[#This Row],[uren / jaar werkdagen]]</f>
        <v>0</v>
      </c>
      <c r="AG295" s="61">
        <f>Ruimtestaat[[#This Row],[kosten / jaar weekend]]+Ruimtestaat[[#This Row],[kosten / jaar werkdagen]]</f>
        <v>0</v>
      </c>
      <c r="AH295" s="92"/>
      <c r="HL295" s="59"/>
    </row>
    <row r="296" spans="1:220">
      <c r="A296" s="24">
        <v>2</v>
      </c>
      <c r="B296" s="24" t="str">
        <f>VLOOKUP(Ruimtestaat[[#This Row],[Code]],Locaties[#All],2,FALSE)</f>
        <v>Het Stormink</v>
      </c>
      <c r="C296" s="24" t="str">
        <f>VLOOKUP(Ruimtestaat[[#This Row],[Code]],Locaties[#All],4,FALSE)</f>
        <v>Storminkstraat 1</v>
      </c>
      <c r="D296" s="24" t="str">
        <f>VLOOKUP(Ruimtestaat[[#This Row],[Code]],Locaties[#All],5,FALSE)</f>
        <v>7418 GH</v>
      </c>
      <c r="E296" s="24" t="str">
        <f>VLOOKUP(Ruimtestaat[[#This Row],[Code]],Locaties[#All],6,FALSE)</f>
        <v>Deventer</v>
      </c>
      <c r="F296" s="54"/>
      <c r="G296" s="24" t="s">
        <v>512</v>
      </c>
      <c r="H296" s="24" t="s">
        <v>533</v>
      </c>
      <c r="I296" s="4" t="s">
        <v>375</v>
      </c>
      <c r="J296" s="24">
        <v>22</v>
      </c>
      <c r="K296" s="54" t="str">
        <f>VLOOKUP(J296,Ruimtegroepen[],2,FALSE)</f>
        <v>Niet in onderhoud</v>
      </c>
      <c r="L296" s="24" t="s">
        <v>300</v>
      </c>
      <c r="M296" s="24" t="s">
        <v>157</v>
      </c>
      <c r="N296" s="83"/>
      <c r="O296" s="83">
        <v>1.63</v>
      </c>
      <c r="P296" s="93" t="str">
        <f>LEFT(VLOOKUP(Ruimtestaat[[#This Row],[Ruimte code]],Ruimtegroepen[#All],4,1),2)</f>
        <v/>
      </c>
      <c r="Q296" s="93"/>
      <c r="R296" s="84"/>
      <c r="S296" s="84"/>
      <c r="T296" s="85">
        <f>IF(R296&gt;0,IF(RIGHT(Ruimtestaat[[#This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6" s="85">
        <f>IF(T296&gt;0,VLOOKUP($J296,Ruimtegroepen[],3,FALSE)*VLOOKUP($L296,Vloersoorten[],3,FALSE)*VLOOKUP($S296,Frequenties[],3,FALSE)*VLOOKUP($A296,Locaties[],3,FALSE),0)</f>
        <v>0</v>
      </c>
      <c r="V296" s="86">
        <f>Ruimtestaat[[#This Row],[Uitvoeringen werkdagen]]*Ruimtestaat[[#This Row],[Oppervlak (netto)]]</f>
        <v>0</v>
      </c>
      <c r="W296" s="87">
        <f>IF(U296&gt;0,Ruimtestaat[[#This Row],[Prest. (m2 /jaar) werkdagen]]/Ruimtestaat[[#This Row],[Norm (m2/uur) werkdagen]],0)</f>
        <v>0</v>
      </c>
      <c r="X296" s="88">
        <f>Ruimtestaat[[#This Row],[uren / jaar werkdagen]]*Tariefsopbouw!$E$35</f>
        <v>0</v>
      </c>
      <c r="Y296" s="85"/>
      <c r="Z296" s="89">
        <f>IF(Ruimtestaat[[#This Row],[Frequentie weekend]]&gt;0,VALUE(LEFT(Y296,1))*R296,0)</f>
        <v>0</v>
      </c>
      <c r="AA296" s="85">
        <f>IF($Z296&gt;0,VLOOKUP($J296,Ruimtegroepen[],3,FALSE)*VLOOKUP($L296,Vloersoorten[],3,FALSE)*VLOOKUP($Y296,Frequenties[],3,FALSE)*VLOOKUP(#REF!,Locaties[],3,FALSE),0)</f>
        <v>0</v>
      </c>
      <c r="AB296" s="87">
        <f>Ruimtestaat[[#This Row],[Uitvoeringen weekend]]*Ruimtestaat[[#This Row],[Oppervlak (netto)]]</f>
        <v>0</v>
      </c>
      <c r="AC296" s="90">
        <f>IF(AB296&gt;0,Ruimtestaat[[#This Row],[Prest. (m2 /jaar) weekend]]/Ruimtestaat[[#This Row],[Norm (m2/uur) weekend]],0)</f>
        <v>0</v>
      </c>
      <c r="AD296" s="91">
        <f>Ruimtestaat[[#This Row],[uren / jaar weekend]]*Tariefsopbouw!$D$40</f>
        <v>0</v>
      </c>
      <c r="AE296" s="60">
        <f>Ruimtestaat[[#This Row],[Prest. (m2 /jaar) weekend]]+Ruimtestaat[[#This Row],[Prest. (m2 /jaar) werkdagen]]</f>
        <v>0</v>
      </c>
      <c r="AF296" s="60">
        <f>Ruimtestaat[[#This Row],[uren / jaar weekend]]+Ruimtestaat[[#This Row],[uren / jaar werkdagen]]</f>
        <v>0</v>
      </c>
      <c r="AG296" s="61">
        <f>Ruimtestaat[[#This Row],[kosten / jaar weekend]]+Ruimtestaat[[#This Row],[kosten / jaar werkdagen]]</f>
        <v>0</v>
      </c>
      <c r="AH296" s="92"/>
      <c r="HL296" s="59"/>
    </row>
    <row r="297" spans="1:220">
      <c r="A297" s="24">
        <v>2</v>
      </c>
      <c r="B297" s="24" t="str">
        <f>VLOOKUP(Ruimtestaat[[#This Row],[Code]],Locaties[#All],2,FALSE)</f>
        <v>Het Stormink</v>
      </c>
      <c r="C297" s="24" t="str">
        <f>VLOOKUP(Ruimtestaat[[#This Row],[Code]],Locaties[#All],4,FALSE)</f>
        <v>Storminkstraat 1</v>
      </c>
      <c r="D297" s="24" t="str">
        <f>VLOOKUP(Ruimtestaat[[#This Row],[Code]],Locaties[#All],5,FALSE)</f>
        <v>7418 GH</v>
      </c>
      <c r="E297" s="24" t="str">
        <f>VLOOKUP(Ruimtestaat[[#This Row],[Code]],Locaties[#All],6,FALSE)</f>
        <v>Deventer</v>
      </c>
      <c r="F297" s="54"/>
      <c r="G297" s="24" t="s">
        <v>512</v>
      </c>
      <c r="H297" s="24" t="s">
        <v>534</v>
      </c>
      <c r="I297" s="4" t="s">
        <v>535</v>
      </c>
      <c r="J297" s="24">
        <v>22</v>
      </c>
      <c r="K297" s="54" t="str">
        <f>VLOOKUP(J297,Ruimtegroepen[],2,FALSE)</f>
        <v>Niet in onderhoud</v>
      </c>
      <c r="L297" s="24" t="s">
        <v>300</v>
      </c>
      <c r="M297" s="24" t="s">
        <v>157</v>
      </c>
      <c r="N297" s="83"/>
      <c r="O297" s="83">
        <v>3.16</v>
      </c>
      <c r="P297" s="93" t="str">
        <f>LEFT(VLOOKUP(Ruimtestaat[[#This Row],[Ruimte code]],Ruimtegroepen[#All],4,1),2)</f>
        <v/>
      </c>
      <c r="Q297" s="93"/>
      <c r="R297" s="84"/>
      <c r="S297" s="84"/>
      <c r="T297" s="85">
        <f>IF(R297&gt;0,IF(RIGHT(Ruimtestaat[[#This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7" s="85">
        <f>IF(T297&gt;0,VLOOKUP($J297,Ruimtegroepen[],3,FALSE)*VLOOKUP($L297,Vloersoorten[],3,FALSE)*VLOOKUP($S297,Frequenties[],3,FALSE)*VLOOKUP($A297,Locaties[],3,FALSE),0)</f>
        <v>0</v>
      </c>
      <c r="V297" s="86">
        <f>Ruimtestaat[[#This Row],[Uitvoeringen werkdagen]]*Ruimtestaat[[#This Row],[Oppervlak (netto)]]</f>
        <v>0</v>
      </c>
      <c r="W297" s="87">
        <f>IF(U297&gt;0,Ruimtestaat[[#This Row],[Prest. (m2 /jaar) werkdagen]]/Ruimtestaat[[#This Row],[Norm (m2/uur) werkdagen]],0)</f>
        <v>0</v>
      </c>
      <c r="X297" s="88">
        <f>Ruimtestaat[[#This Row],[uren / jaar werkdagen]]*Tariefsopbouw!$E$35</f>
        <v>0</v>
      </c>
      <c r="Y297" s="85"/>
      <c r="Z297" s="89">
        <f>IF(Ruimtestaat[[#This Row],[Frequentie weekend]]&gt;0,VALUE(LEFT(Y297,1))*R297,0)</f>
        <v>0</v>
      </c>
      <c r="AA297" s="85">
        <f>IF($Z297&gt;0,VLOOKUP($J297,Ruimtegroepen[],3,FALSE)*VLOOKUP($L297,Vloersoorten[],3,FALSE)*VLOOKUP($Y297,Frequenties[],3,FALSE)*VLOOKUP(#REF!,Locaties[],3,FALSE),0)</f>
        <v>0</v>
      </c>
      <c r="AB297" s="87">
        <f>Ruimtestaat[[#This Row],[Uitvoeringen weekend]]*Ruimtestaat[[#This Row],[Oppervlak (netto)]]</f>
        <v>0</v>
      </c>
      <c r="AC297" s="90">
        <f>IF(AB297&gt;0,Ruimtestaat[[#This Row],[Prest. (m2 /jaar) weekend]]/Ruimtestaat[[#This Row],[Norm (m2/uur) weekend]],0)</f>
        <v>0</v>
      </c>
      <c r="AD297" s="91">
        <f>Ruimtestaat[[#This Row],[uren / jaar weekend]]*Tariefsopbouw!$D$40</f>
        <v>0</v>
      </c>
      <c r="AE297" s="60">
        <f>Ruimtestaat[[#This Row],[Prest. (m2 /jaar) weekend]]+Ruimtestaat[[#This Row],[Prest. (m2 /jaar) werkdagen]]</f>
        <v>0</v>
      </c>
      <c r="AF297" s="60">
        <f>Ruimtestaat[[#This Row],[uren / jaar weekend]]+Ruimtestaat[[#This Row],[uren / jaar werkdagen]]</f>
        <v>0</v>
      </c>
      <c r="AG297" s="61">
        <f>Ruimtestaat[[#This Row],[kosten / jaar weekend]]+Ruimtestaat[[#This Row],[kosten / jaar werkdagen]]</f>
        <v>0</v>
      </c>
      <c r="AH297" s="92"/>
      <c r="HL297" s="59"/>
    </row>
    <row r="298" spans="1:220">
      <c r="A298" s="24">
        <v>2</v>
      </c>
      <c r="B298" s="24" t="str">
        <f>VLOOKUP(Ruimtestaat[[#This Row],[Code]],Locaties[#All],2,FALSE)</f>
        <v>Het Stormink</v>
      </c>
      <c r="C298" s="24" t="str">
        <f>VLOOKUP(Ruimtestaat[[#This Row],[Code]],Locaties[#All],4,FALSE)</f>
        <v>Storminkstraat 1</v>
      </c>
      <c r="D298" s="24" t="str">
        <f>VLOOKUP(Ruimtestaat[[#This Row],[Code]],Locaties[#All],5,FALSE)</f>
        <v>7418 GH</v>
      </c>
      <c r="E298" s="24" t="str">
        <f>VLOOKUP(Ruimtestaat[[#This Row],[Code]],Locaties[#All],6,FALSE)</f>
        <v>Deventer</v>
      </c>
      <c r="F298" s="54"/>
      <c r="G298" s="24" t="s">
        <v>512</v>
      </c>
      <c r="H298" s="24" t="s">
        <v>536</v>
      </c>
      <c r="I298" s="4" t="s">
        <v>674</v>
      </c>
      <c r="J298" s="24">
        <v>22</v>
      </c>
      <c r="K298" s="54" t="str">
        <f>VLOOKUP(J298,Ruimtegroepen[],2,FALSE)</f>
        <v>Niet in onderhoud</v>
      </c>
      <c r="L298" s="24" t="s">
        <v>300</v>
      </c>
      <c r="M298" s="24" t="s">
        <v>157</v>
      </c>
      <c r="N298" s="83"/>
      <c r="O298" s="83">
        <v>1.64</v>
      </c>
      <c r="P298" s="93" t="str">
        <f>LEFT(VLOOKUP(Ruimtestaat[[#This Row],[Ruimte code]],Ruimtegroepen[#All],4,1),2)</f>
        <v/>
      </c>
      <c r="Q298" s="93"/>
      <c r="R298" s="84"/>
      <c r="S298" s="84"/>
      <c r="T298" s="85">
        <f>IF(R298&gt;0,IF(RIGHT(Ruimtestaat[[#This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8" s="85">
        <f>IF(T298&gt;0,VLOOKUP($J298,Ruimtegroepen[],3,FALSE)*VLOOKUP($L298,Vloersoorten[],3,FALSE)*VLOOKUP($S298,Frequenties[],3,FALSE)*VLOOKUP($A298,Locaties[],3,FALSE),0)</f>
        <v>0</v>
      </c>
      <c r="V298" s="86">
        <f>Ruimtestaat[[#This Row],[Uitvoeringen werkdagen]]*Ruimtestaat[[#This Row],[Oppervlak (netto)]]</f>
        <v>0</v>
      </c>
      <c r="W298" s="87">
        <f>IF(U298&gt;0,Ruimtestaat[[#This Row],[Prest. (m2 /jaar) werkdagen]]/Ruimtestaat[[#This Row],[Norm (m2/uur) werkdagen]],0)</f>
        <v>0</v>
      </c>
      <c r="X298" s="88">
        <f>Ruimtestaat[[#This Row],[uren / jaar werkdagen]]*Tariefsopbouw!$E$35</f>
        <v>0</v>
      </c>
      <c r="Y298" s="85"/>
      <c r="Z298" s="89">
        <f>IF(Ruimtestaat[[#This Row],[Frequentie weekend]]&gt;0,VALUE(LEFT(Y298,1))*R298,0)</f>
        <v>0</v>
      </c>
      <c r="AA298" s="85">
        <f>IF($Z298&gt;0,VLOOKUP($J298,Ruimtegroepen[],3,FALSE)*VLOOKUP($L298,Vloersoorten[],3,FALSE)*VLOOKUP($Y298,Frequenties[],3,FALSE)*VLOOKUP(#REF!,Locaties[],3,FALSE),0)</f>
        <v>0</v>
      </c>
      <c r="AB298" s="87">
        <f>Ruimtestaat[[#This Row],[Uitvoeringen weekend]]*Ruimtestaat[[#This Row],[Oppervlak (netto)]]</f>
        <v>0</v>
      </c>
      <c r="AC298" s="90">
        <f>IF(AB298&gt;0,Ruimtestaat[[#This Row],[Prest. (m2 /jaar) weekend]]/Ruimtestaat[[#This Row],[Norm (m2/uur) weekend]],0)</f>
        <v>0</v>
      </c>
      <c r="AD298" s="91">
        <f>Ruimtestaat[[#This Row],[uren / jaar weekend]]*Tariefsopbouw!$D$40</f>
        <v>0</v>
      </c>
      <c r="AE298" s="60">
        <f>Ruimtestaat[[#This Row],[Prest. (m2 /jaar) weekend]]+Ruimtestaat[[#This Row],[Prest. (m2 /jaar) werkdagen]]</f>
        <v>0</v>
      </c>
      <c r="AF298" s="60">
        <f>Ruimtestaat[[#This Row],[uren / jaar weekend]]+Ruimtestaat[[#This Row],[uren / jaar werkdagen]]</f>
        <v>0</v>
      </c>
      <c r="AG298" s="61">
        <f>Ruimtestaat[[#This Row],[kosten / jaar weekend]]+Ruimtestaat[[#This Row],[kosten / jaar werkdagen]]</f>
        <v>0</v>
      </c>
      <c r="AH298" s="92"/>
      <c r="HL298" s="59"/>
    </row>
    <row r="299" spans="1:220">
      <c r="A299" s="24">
        <v>2</v>
      </c>
      <c r="B299" s="24" t="str">
        <f>VLOOKUP(Ruimtestaat[[#This Row],[Code]],Locaties[#All],2,FALSE)</f>
        <v>Het Stormink</v>
      </c>
      <c r="C299" s="24" t="str">
        <f>VLOOKUP(Ruimtestaat[[#This Row],[Code]],Locaties[#All],4,FALSE)</f>
        <v>Storminkstraat 1</v>
      </c>
      <c r="D299" s="24" t="str">
        <f>VLOOKUP(Ruimtestaat[[#This Row],[Code]],Locaties[#All],5,FALSE)</f>
        <v>7418 GH</v>
      </c>
      <c r="E299" s="24" t="str">
        <f>VLOOKUP(Ruimtestaat[[#This Row],[Code]],Locaties[#All],6,FALSE)</f>
        <v>Deventer</v>
      </c>
      <c r="F299" s="54"/>
      <c r="G299" s="24" t="s">
        <v>512</v>
      </c>
      <c r="H299" s="24" t="s">
        <v>556</v>
      </c>
      <c r="I299" s="4" t="s">
        <v>718</v>
      </c>
      <c r="J299" s="24">
        <v>5</v>
      </c>
      <c r="K299" s="54" t="str">
        <f>VLOOKUP(J299,Ruimtegroepen[],2,FALSE)</f>
        <v>Sanitair</v>
      </c>
      <c r="L299" s="24" t="s">
        <v>300</v>
      </c>
      <c r="M299" s="24" t="s">
        <v>157</v>
      </c>
      <c r="N299" s="83">
        <v>2.7</v>
      </c>
      <c r="O299" s="83"/>
      <c r="P299" s="93" t="str">
        <f>LEFT(VLOOKUP(Ruimtestaat[[#This Row],[Ruimte code]],Ruimtegroepen[#All],4,1),2)</f>
        <v>Sa</v>
      </c>
      <c r="Q299" s="93"/>
      <c r="R299" s="84">
        <v>42</v>
      </c>
      <c r="S299" s="84" t="s">
        <v>316</v>
      </c>
      <c r="T299" s="85">
        <f>IF(R299&gt;0,IF(RIGHT(Ruimtestaat[[#This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99" s="85">
        <f>IF(T299&gt;0,VLOOKUP($J299,Ruimtegroepen[],3,FALSE)*VLOOKUP($L299,Vloersoorten[],3,FALSE)*VLOOKUP($S299,Frequenties[],3,FALSE)*VLOOKUP($A299,Locaties[],3,FALSE),0)</f>
        <v>0</v>
      </c>
      <c r="V299" s="86">
        <f>Ruimtestaat[[#This Row],[Uitvoeringen werkdagen]]*Ruimtestaat[[#This Row],[Oppervlak (netto)]]</f>
        <v>1134</v>
      </c>
      <c r="W299" s="87">
        <f>IF(U299&gt;0,Ruimtestaat[[#This Row],[Prest. (m2 /jaar) werkdagen]]/Ruimtestaat[[#This Row],[Norm (m2/uur) werkdagen]],0)</f>
        <v>0</v>
      </c>
      <c r="X299" s="88">
        <f>Ruimtestaat[[#This Row],[uren / jaar werkdagen]]*Tariefsopbouw!$E$35</f>
        <v>0</v>
      </c>
      <c r="Y299" s="85"/>
      <c r="Z299" s="89">
        <f>IF(Ruimtestaat[[#This Row],[Frequentie weekend]]&gt;0,VALUE(LEFT(Y299,1))*R299,0)</f>
        <v>0</v>
      </c>
      <c r="AA299" s="85">
        <f>IF($Z299&gt;0,VLOOKUP($J299,Ruimtegroepen[],3,FALSE)*VLOOKUP($L299,Vloersoorten[],3,FALSE)*VLOOKUP($Y299,Frequenties[],3,FALSE)*VLOOKUP(#REF!,Locaties[],3,FALSE),0)</f>
        <v>0</v>
      </c>
      <c r="AB299" s="87">
        <f>Ruimtestaat[[#This Row],[Uitvoeringen weekend]]*Ruimtestaat[[#This Row],[Oppervlak (netto)]]</f>
        <v>0</v>
      </c>
      <c r="AC299" s="90">
        <f>IF(AB299&gt;0,Ruimtestaat[[#This Row],[Prest. (m2 /jaar) weekend]]/Ruimtestaat[[#This Row],[Norm (m2/uur) weekend]],0)</f>
        <v>0</v>
      </c>
      <c r="AD299" s="91">
        <f>Ruimtestaat[[#This Row],[uren / jaar weekend]]*Tariefsopbouw!$D$40</f>
        <v>0</v>
      </c>
      <c r="AE299" s="60">
        <f>Ruimtestaat[[#This Row],[Prest. (m2 /jaar) weekend]]+Ruimtestaat[[#This Row],[Prest. (m2 /jaar) werkdagen]]</f>
        <v>1134</v>
      </c>
      <c r="AF299" s="60">
        <f>Ruimtestaat[[#This Row],[uren / jaar weekend]]+Ruimtestaat[[#This Row],[uren / jaar werkdagen]]</f>
        <v>0</v>
      </c>
      <c r="AG299" s="61">
        <f>Ruimtestaat[[#This Row],[kosten / jaar weekend]]+Ruimtestaat[[#This Row],[kosten / jaar werkdagen]]</f>
        <v>0</v>
      </c>
      <c r="AH299" s="92"/>
      <c r="HL299" s="59"/>
    </row>
    <row r="300" spans="1:220">
      <c r="A300" s="24">
        <v>2</v>
      </c>
      <c r="B300" s="24" t="str">
        <f>VLOOKUP(Ruimtestaat[[#This Row],[Code]],Locaties[#All],2,FALSE)</f>
        <v>Het Stormink</v>
      </c>
      <c r="C300" s="24" t="str">
        <f>VLOOKUP(Ruimtestaat[[#This Row],[Code]],Locaties[#All],4,FALSE)</f>
        <v>Storminkstraat 1</v>
      </c>
      <c r="D300" s="24" t="str">
        <f>VLOOKUP(Ruimtestaat[[#This Row],[Code]],Locaties[#All],5,FALSE)</f>
        <v>7418 GH</v>
      </c>
      <c r="E300" s="24" t="str">
        <f>VLOOKUP(Ruimtestaat[[#This Row],[Code]],Locaties[#All],6,FALSE)</f>
        <v>Deventer</v>
      </c>
      <c r="F300" s="54"/>
      <c r="G300" s="24" t="s">
        <v>512</v>
      </c>
      <c r="H300" s="24" t="s">
        <v>558</v>
      </c>
      <c r="I300" s="4" t="s">
        <v>692</v>
      </c>
      <c r="J300" s="24">
        <v>5</v>
      </c>
      <c r="K300" s="54" t="str">
        <f>VLOOKUP(J300,Ruimtegroepen[],2,FALSE)</f>
        <v>Sanitair</v>
      </c>
      <c r="L300" s="24" t="s">
        <v>300</v>
      </c>
      <c r="M300" s="24" t="s">
        <v>157</v>
      </c>
      <c r="N300" s="83">
        <v>2.7</v>
      </c>
      <c r="O300" s="83"/>
      <c r="P300" s="93" t="str">
        <f>LEFT(VLOOKUP(Ruimtestaat[[#This Row],[Ruimte code]],Ruimtegroepen[#All],4,1),2)</f>
        <v>Sa</v>
      </c>
      <c r="Q300" s="93"/>
      <c r="R300" s="84">
        <v>42</v>
      </c>
      <c r="S300" s="84" t="s">
        <v>316</v>
      </c>
      <c r="T300" s="85">
        <f>IF(R300&gt;0,IF(RIGHT(Ruimtestaat[[#This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00" s="85">
        <f>IF(T300&gt;0,VLOOKUP($J300,Ruimtegroepen[],3,FALSE)*VLOOKUP($L300,Vloersoorten[],3,FALSE)*VLOOKUP($S300,Frequenties[],3,FALSE)*VLOOKUP($A300,Locaties[],3,FALSE),0)</f>
        <v>0</v>
      </c>
      <c r="V300" s="86">
        <f>Ruimtestaat[[#This Row],[Uitvoeringen werkdagen]]*Ruimtestaat[[#This Row],[Oppervlak (netto)]]</f>
        <v>1134</v>
      </c>
      <c r="W300" s="87">
        <f>IF(U300&gt;0,Ruimtestaat[[#This Row],[Prest. (m2 /jaar) werkdagen]]/Ruimtestaat[[#This Row],[Norm (m2/uur) werkdagen]],0)</f>
        <v>0</v>
      </c>
      <c r="X300" s="88">
        <f>Ruimtestaat[[#This Row],[uren / jaar werkdagen]]*Tariefsopbouw!$E$35</f>
        <v>0</v>
      </c>
      <c r="Y300" s="85"/>
      <c r="Z300" s="89">
        <f>IF(Ruimtestaat[[#This Row],[Frequentie weekend]]&gt;0,VALUE(LEFT(Y300,1))*R300,0)</f>
        <v>0</v>
      </c>
      <c r="AA300" s="85">
        <f>IF($Z300&gt;0,VLOOKUP($J300,Ruimtegroepen[],3,FALSE)*VLOOKUP($L300,Vloersoorten[],3,FALSE)*VLOOKUP($Y300,Frequenties[],3,FALSE)*VLOOKUP(#REF!,Locaties[],3,FALSE),0)</f>
        <v>0</v>
      </c>
      <c r="AB300" s="87">
        <f>Ruimtestaat[[#This Row],[Uitvoeringen weekend]]*Ruimtestaat[[#This Row],[Oppervlak (netto)]]</f>
        <v>0</v>
      </c>
      <c r="AC300" s="90">
        <f>IF(AB300&gt;0,Ruimtestaat[[#This Row],[Prest. (m2 /jaar) weekend]]/Ruimtestaat[[#This Row],[Norm (m2/uur) weekend]],0)</f>
        <v>0</v>
      </c>
      <c r="AD300" s="91">
        <f>Ruimtestaat[[#This Row],[uren / jaar weekend]]*Tariefsopbouw!$D$40</f>
        <v>0</v>
      </c>
      <c r="AE300" s="60">
        <f>Ruimtestaat[[#This Row],[Prest. (m2 /jaar) weekend]]+Ruimtestaat[[#This Row],[Prest. (m2 /jaar) werkdagen]]</f>
        <v>1134</v>
      </c>
      <c r="AF300" s="60">
        <f>Ruimtestaat[[#This Row],[uren / jaar weekend]]+Ruimtestaat[[#This Row],[uren / jaar werkdagen]]</f>
        <v>0</v>
      </c>
      <c r="AG300" s="61">
        <f>Ruimtestaat[[#This Row],[kosten / jaar weekend]]+Ruimtestaat[[#This Row],[kosten / jaar werkdagen]]</f>
        <v>0</v>
      </c>
      <c r="AH300" s="92"/>
      <c r="HL300" s="59"/>
    </row>
    <row r="301" spans="1:220">
      <c r="A301" s="24">
        <v>2</v>
      </c>
      <c r="B301" s="24" t="str">
        <f>VLOOKUP(Ruimtestaat[[#This Row],[Code]],Locaties[#All],2,FALSE)</f>
        <v>Het Stormink</v>
      </c>
      <c r="C301" s="24" t="str">
        <f>VLOOKUP(Ruimtestaat[[#This Row],[Code]],Locaties[#All],4,FALSE)</f>
        <v>Storminkstraat 1</v>
      </c>
      <c r="D301" s="24" t="str">
        <f>VLOOKUP(Ruimtestaat[[#This Row],[Code]],Locaties[#All],5,FALSE)</f>
        <v>7418 GH</v>
      </c>
      <c r="E301" s="24" t="str">
        <f>VLOOKUP(Ruimtestaat[[#This Row],[Code]],Locaties[#All],6,FALSE)</f>
        <v>Deventer</v>
      </c>
      <c r="F301" s="54"/>
      <c r="G301" s="24" t="s">
        <v>512</v>
      </c>
      <c r="H301" s="24" t="s">
        <v>561</v>
      </c>
      <c r="I301" s="4" t="s">
        <v>719</v>
      </c>
      <c r="J301" s="24">
        <v>16</v>
      </c>
      <c r="K301" s="54" t="str">
        <f>VLOOKUP(J301,Ruimtegroepen[],2,FALSE)</f>
        <v>Leslokalen theorie</v>
      </c>
      <c r="L301" s="24" t="s">
        <v>300</v>
      </c>
      <c r="M301" s="24" t="s">
        <v>157</v>
      </c>
      <c r="N301" s="83">
        <v>76.760000000000005</v>
      </c>
      <c r="O301" s="83"/>
      <c r="P301" s="93" t="str">
        <f>LEFT(VLOOKUP(Ruimtestaat[[#This Row],[Ruimte code]],Ruimtegroepen[#All],4,1),2)</f>
        <v>Le</v>
      </c>
      <c r="Q301" s="93"/>
      <c r="R301" s="84">
        <v>40</v>
      </c>
      <c r="S301" s="84" t="s">
        <v>318</v>
      </c>
      <c r="T301" s="85">
        <f>IF(R301&gt;0,IF(RIGHT(Ruimtestaat[[#This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1" s="85">
        <f>IF(T301&gt;0,VLOOKUP($J301,Ruimtegroepen[],3,FALSE)*VLOOKUP($L301,Vloersoorten[],3,FALSE)*VLOOKUP($S301,Frequenties[],3,FALSE)*VLOOKUP($A301,Locaties[],3,FALSE),0)</f>
        <v>0</v>
      </c>
      <c r="V301" s="86">
        <f>Ruimtestaat[[#This Row],[Uitvoeringen werkdagen]]*Ruimtestaat[[#This Row],[Oppervlak (netto)]]</f>
        <v>15352.000000000002</v>
      </c>
      <c r="W301" s="87">
        <f>IF(U301&gt;0,Ruimtestaat[[#This Row],[Prest. (m2 /jaar) werkdagen]]/Ruimtestaat[[#This Row],[Norm (m2/uur) werkdagen]],0)</f>
        <v>0</v>
      </c>
      <c r="X301" s="88">
        <f>Ruimtestaat[[#This Row],[uren / jaar werkdagen]]*Tariefsopbouw!$E$35</f>
        <v>0</v>
      </c>
      <c r="Y301" s="85"/>
      <c r="Z301" s="89">
        <f>IF(Ruimtestaat[[#This Row],[Frequentie weekend]]&gt;0,VALUE(LEFT(Y301,1))*R301,0)</f>
        <v>0</v>
      </c>
      <c r="AA301" s="85">
        <f>IF($Z301&gt;0,VLOOKUP($J301,Ruimtegroepen[],3,FALSE)*VLOOKUP($L301,Vloersoorten[],3,FALSE)*VLOOKUP($Y301,Frequenties[],3,FALSE)*VLOOKUP(#REF!,Locaties[],3,FALSE),0)</f>
        <v>0</v>
      </c>
      <c r="AB301" s="87">
        <f>Ruimtestaat[[#This Row],[Uitvoeringen weekend]]*Ruimtestaat[[#This Row],[Oppervlak (netto)]]</f>
        <v>0</v>
      </c>
      <c r="AC301" s="90">
        <f>IF(AB301&gt;0,Ruimtestaat[[#This Row],[Prest. (m2 /jaar) weekend]]/Ruimtestaat[[#This Row],[Norm (m2/uur) weekend]],0)</f>
        <v>0</v>
      </c>
      <c r="AD301" s="91">
        <f>Ruimtestaat[[#This Row],[uren / jaar weekend]]*Tariefsopbouw!$D$40</f>
        <v>0</v>
      </c>
      <c r="AE301" s="60">
        <f>Ruimtestaat[[#This Row],[Prest. (m2 /jaar) weekend]]+Ruimtestaat[[#This Row],[Prest. (m2 /jaar) werkdagen]]</f>
        <v>15352.000000000002</v>
      </c>
      <c r="AF301" s="60">
        <f>Ruimtestaat[[#This Row],[uren / jaar weekend]]+Ruimtestaat[[#This Row],[uren / jaar werkdagen]]</f>
        <v>0</v>
      </c>
      <c r="AG301" s="61">
        <f>Ruimtestaat[[#This Row],[kosten / jaar weekend]]+Ruimtestaat[[#This Row],[kosten / jaar werkdagen]]</f>
        <v>0</v>
      </c>
      <c r="AH301" s="92"/>
      <c r="HL301" s="59"/>
    </row>
    <row r="302" spans="1:220">
      <c r="A302" s="24">
        <v>2</v>
      </c>
      <c r="B302" s="24" t="str">
        <f>VLOOKUP(Ruimtestaat[[#This Row],[Code]],Locaties[#All],2,FALSE)</f>
        <v>Het Stormink</v>
      </c>
      <c r="C302" s="24" t="str">
        <f>VLOOKUP(Ruimtestaat[[#This Row],[Code]],Locaties[#All],4,FALSE)</f>
        <v>Storminkstraat 1</v>
      </c>
      <c r="D302" s="24" t="str">
        <f>VLOOKUP(Ruimtestaat[[#This Row],[Code]],Locaties[#All],5,FALSE)</f>
        <v>7418 GH</v>
      </c>
      <c r="E302" s="24" t="str">
        <f>VLOOKUP(Ruimtestaat[[#This Row],[Code]],Locaties[#All],6,FALSE)</f>
        <v>Deventer</v>
      </c>
      <c r="F302" s="54"/>
      <c r="G302" s="24" t="s">
        <v>512</v>
      </c>
      <c r="H302" s="24" t="s">
        <v>720</v>
      </c>
      <c r="I302" s="4" t="s">
        <v>689</v>
      </c>
      <c r="J302" s="24">
        <v>6</v>
      </c>
      <c r="K302" s="54" t="str">
        <f>VLOOKUP(J302,Ruimtegroepen[],2,FALSE)</f>
        <v>Gangen/hallen</v>
      </c>
      <c r="L302" s="24" t="s">
        <v>300</v>
      </c>
      <c r="M302" s="24" t="s">
        <v>157</v>
      </c>
      <c r="N302" s="83">
        <v>2.59</v>
      </c>
      <c r="O302" s="83"/>
      <c r="P302" s="93" t="str">
        <f>LEFT(VLOOKUP(Ruimtestaat[[#This Row],[Ruimte code]],Ruimtegroepen[#All],4,1),2)</f>
        <v>Ve</v>
      </c>
      <c r="Q302" s="93"/>
      <c r="R302" s="84">
        <v>40</v>
      </c>
      <c r="S302" s="84" t="s">
        <v>318</v>
      </c>
      <c r="T302" s="85">
        <f>IF(R302&gt;0,IF(RIGHT(Ruimtestaat[[#This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2" s="85">
        <f>IF(T302&gt;0,VLOOKUP($J302,Ruimtegroepen[],3,FALSE)*VLOOKUP($L302,Vloersoorten[],3,FALSE)*VLOOKUP($S302,Frequenties[],3,FALSE)*VLOOKUP($A302,Locaties[],3,FALSE),0)</f>
        <v>0</v>
      </c>
      <c r="V302" s="86">
        <f>Ruimtestaat[[#This Row],[Uitvoeringen werkdagen]]*Ruimtestaat[[#This Row],[Oppervlak (netto)]]</f>
        <v>518</v>
      </c>
      <c r="W302" s="87">
        <f>IF(U302&gt;0,Ruimtestaat[[#This Row],[Prest. (m2 /jaar) werkdagen]]/Ruimtestaat[[#This Row],[Norm (m2/uur) werkdagen]],0)</f>
        <v>0</v>
      </c>
      <c r="X302" s="88">
        <f>Ruimtestaat[[#This Row],[uren / jaar werkdagen]]*Tariefsopbouw!$E$35</f>
        <v>0</v>
      </c>
      <c r="Y302" s="85"/>
      <c r="Z302" s="89">
        <f>IF(Ruimtestaat[[#This Row],[Frequentie weekend]]&gt;0,VALUE(LEFT(Y302,1))*R302,0)</f>
        <v>0</v>
      </c>
      <c r="AA302" s="85">
        <f>IF($Z302&gt;0,VLOOKUP($J302,Ruimtegroepen[],3,FALSE)*VLOOKUP($L302,Vloersoorten[],3,FALSE)*VLOOKUP($Y302,Frequenties[],3,FALSE)*VLOOKUP(#REF!,Locaties[],3,FALSE),0)</f>
        <v>0</v>
      </c>
      <c r="AB302" s="87">
        <f>Ruimtestaat[[#This Row],[Uitvoeringen weekend]]*Ruimtestaat[[#This Row],[Oppervlak (netto)]]</f>
        <v>0</v>
      </c>
      <c r="AC302" s="90">
        <f>IF(AB302&gt;0,Ruimtestaat[[#This Row],[Prest. (m2 /jaar) weekend]]/Ruimtestaat[[#This Row],[Norm (m2/uur) weekend]],0)</f>
        <v>0</v>
      </c>
      <c r="AD302" s="91">
        <f>Ruimtestaat[[#This Row],[uren / jaar weekend]]*Tariefsopbouw!$D$40</f>
        <v>0</v>
      </c>
      <c r="AE302" s="60">
        <f>Ruimtestaat[[#This Row],[Prest. (m2 /jaar) weekend]]+Ruimtestaat[[#This Row],[Prest. (m2 /jaar) werkdagen]]</f>
        <v>518</v>
      </c>
      <c r="AF302" s="60">
        <f>Ruimtestaat[[#This Row],[uren / jaar weekend]]+Ruimtestaat[[#This Row],[uren / jaar werkdagen]]</f>
        <v>0</v>
      </c>
      <c r="AG302" s="61">
        <f>Ruimtestaat[[#This Row],[kosten / jaar weekend]]+Ruimtestaat[[#This Row],[kosten / jaar werkdagen]]</f>
        <v>0</v>
      </c>
      <c r="AH302" s="92"/>
      <c r="HL302" s="59"/>
    </row>
    <row r="303" spans="1:220">
      <c r="A303" s="24">
        <v>2</v>
      </c>
      <c r="B303" s="24" t="str">
        <f>VLOOKUP(Ruimtestaat[[#This Row],[Code]],Locaties[#All],2,FALSE)</f>
        <v>Het Stormink</v>
      </c>
      <c r="C303" s="24" t="str">
        <f>VLOOKUP(Ruimtestaat[[#This Row],[Code]],Locaties[#All],4,FALSE)</f>
        <v>Storminkstraat 1</v>
      </c>
      <c r="D303" s="24" t="str">
        <f>VLOOKUP(Ruimtestaat[[#This Row],[Code]],Locaties[#All],5,FALSE)</f>
        <v>7418 GH</v>
      </c>
      <c r="E303" s="24" t="str">
        <f>VLOOKUP(Ruimtestaat[[#This Row],[Code]],Locaties[#All],6,FALSE)</f>
        <v>Deventer</v>
      </c>
      <c r="F303" s="54"/>
      <c r="G303" s="24" t="s">
        <v>512</v>
      </c>
      <c r="H303" s="24" t="s">
        <v>721</v>
      </c>
      <c r="I303" s="4" t="s">
        <v>691</v>
      </c>
      <c r="J303" s="24">
        <v>22</v>
      </c>
      <c r="K303" s="54" t="str">
        <f>VLOOKUP(J303,Ruimtegroepen[],2,FALSE)</f>
        <v>Niet in onderhoud</v>
      </c>
      <c r="L303" s="24" t="s">
        <v>300</v>
      </c>
      <c r="M303" s="24" t="s">
        <v>157</v>
      </c>
      <c r="N303" s="83"/>
      <c r="O303" s="83">
        <v>1.61</v>
      </c>
      <c r="P303" s="93" t="str">
        <f>LEFT(VLOOKUP(Ruimtestaat[[#This Row],[Ruimte code]],Ruimtegroepen[#All],4,1),2)</f>
        <v/>
      </c>
      <c r="Q303" s="93"/>
      <c r="R303" s="84"/>
      <c r="S303" s="84"/>
      <c r="T303" s="85">
        <f>IF(R303&gt;0,IF(RIGHT(Ruimtestaat[[#This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3" s="85">
        <f>IF(T303&gt;0,VLOOKUP($J303,Ruimtegroepen[],3,FALSE)*VLOOKUP($L303,Vloersoorten[],3,FALSE)*VLOOKUP($S303,Frequenties[],3,FALSE)*VLOOKUP($A303,Locaties[],3,FALSE),0)</f>
        <v>0</v>
      </c>
      <c r="V303" s="86">
        <f>Ruimtestaat[[#This Row],[Uitvoeringen werkdagen]]*Ruimtestaat[[#This Row],[Oppervlak (netto)]]</f>
        <v>0</v>
      </c>
      <c r="W303" s="87">
        <f>IF(U303&gt;0,Ruimtestaat[[#This Row],[Prest. (m2 /jaar) werkdagen]]/Ruimtestaat[[#This Row],[Norm (m2/uur) werkdagen]],0)</f>
        <v>0</v>
      </c>
      <c r="X303" s="88">
        <f>Ruimtestaat[[#This Row],[uren / jaar werkdagen]]*Tariefsopbouw!$E$35</f>
        <v>0</v>
      </c>
      <c r="Y303" s="85"/>
      <c r="Z303" s="89">
        <f>IF(Ruimtestaat[[#This Row],[Frequentie weekend]]&gt;0,VALUE(LEFT(Y303,1))*R303,0)</f>
        <v>0</v>
      </c>
      <c r="AA303" s="85">
        <f>IF($Z303&gt;0,VLOOKUP($J303,Ruimtegroepen[],3,FALSE)*VLOOKUP($L303,Vloersoorten[],3,FALSE)*VLOOKUP($Y303,Frequenties[],3,FALSE)*VLOOKUP(#REF!,Locaties[],3,FALSE),0)</f>
        <v>0</v>
      </c>
      <c r="AB303" s="87">
        <f>Ruimtestaat[[#This Row],[Uitvoeringen weekend]]*Ruimtestaat[[#This Row],[Oppervlak (netto)]]</f>
        <v>0</v>
      </c>
      <c r="AC303" s="90">
        <f>IF(AB303&gt;0,Ruimtestaat[[#This Row],[Prest. (m2 /jaar) weekend]]/Ruimtestaat[[#This Row],[Norm (m2/uur) weekend]],0)</f>
        <v>0</v>
      </c>
      <c r="AD303" s="91">
        <f>Ruimtestaat[[#This Row],[uren / jaar weekend]]*Tariefsopbouw!$D$40</f>
        <v>0</v>
      </c>
      <c r="AE303" s="60">
        <f>Ruimtestaat[[#This Row],[Prest. (m2 /jaar) weekend]]+Ruimtestaat[[#This Row],[Prest. (m2 /jaar) werkdagen]]</f>
        <v>0</v>
      </c>
      <c r="AF303" s="60">
        <f>Ruimtestaat[[#This Row],[uren / jaar weekend]]+Ruimtestaat[[#This Row],[uren / jaar werkdagen]]</f>
        <v>0</v>
      </c>
      <c r="AG303" s="61">
        <f>Ruimtestaat[[#This Row],[kosten / jaar weekend]]+Ruimtestaat[[#This Row],[kosten / jaar werkdagen]]</f>
        <v>0</v>
      </c>
      <c r="AH303" s="92"/>
      <c r="HL303" s="59"/>
    </row>
    <row r="304" spans="1:220">
      <c r="A304" s="24">
        <v>2</v>
      </c>
      <c r="B304" s="24" t="str">
        <f>VLOOKUP(Ruimtestaat[[#This Row],[Code]],Locaties[#All],2,FALSE)</f>
        <v>Het Stormink</v>
      </c>
      <c r="C304" s="24" t="str">
        <f>VLOOKUP(Ruimtestaat[[#This Row],[Code]],Locaties[#All],4,FALSE)</f>
        <v>Storminkstraat 1</v>
      </c>
      <c r="D304" s="24" t="str">
        <f>VLOOKUP(Ruimtestaat[[#This Row],[Code]],Locaties[#All],5,FALSE)</f>
        <v>7418 GH</v>
      </c>
      <c r="E304" s="24" t="str">
        <f>VLOOKUP(Ruimtestaat[[#This Row],[Code]],Locaties[#All],6,FALSE)</f>
        <v>Deventer</v>
      </c>
      <c r="F304" s="54"/>
      <c r="G304" s="24" t="s">
        <v>512</v>
      </c>
      <c r="H304" s="24" t="s">
        <v>722</v>
      </c>
      <c r="I304" s="4" t="s">
        <v>473</v>
      </c>
      <c r="J304" s="24">
        <v>5</v>
      </c>
      <c r="K304" s="54" t="str">
        <f>VLOOKUP(J304,Ruimtegroepen[],2,FALSE)</f>
        <v>Sanitair</v>
      </c>
      <c r="L304" s="24" t="s">
        <v>300</v>
      </c>
      <c r="M304" s="24" t="s">
        <v>157</v>
      </c>
      <c r="N304" s="83">
        <v>11.6</v>
      </c>
      <c r="O304" s="83"/>
      <c r="P304" s="93" t="str">
        <f>LEFT(VLOOKUP(Ruimtestaat[[#This Row],[Ruimte code]],Ruimtegroepen[#All],4,1),2)</f>
        <v>Sa</v>
      </c>
      <c r="Q304" s="93"/>
      <c r="R304" s="84">
        <v>42</v>
      </c>
      <c r="S304" s="84" t="s">
        <v>316</v>
      </c>
      <c r="T304" s="85">
        <f>IF(R304&gt;0,IF(RIGHT(Ruimtestaat[[#This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04" s="85">
        <f>IF(T304&gt;0,VLOOKUP($J304,Ruimtegroepen[],3,FALSE)*VLOOKUP($L304,Vloersoorten[],3,FALSE)*VLOOKUP($S304,Frequenties[],3,FALSE)*VLOOKUP($A304,Locaties[],3,FALSE),0)</f>
        <v>0</v>
      </c>
      <c r="V304" s="86">
        <f>Ruimtestaat[[#This Row],[Uitvoeringen werkdagen]]*Ruimtestaat[[#This Row],[Oppervlak (netto)]]</f>
        <v>4872</v>
      </c>
      <c r="W304" s="87">
        <f>IF(U304&gt;0,Ruimtestaat[[#This Row],[Prest. (m2 /jaar) werkdagen]]/Ruimtestaat[[#This Row],[Norm (m2/uur) werkdagen]],0)</f>
        <v>0</v>
      </c>
      <c r="X304" s="88">
        <f>Ruimtestaat[[#This Row],[uren / jaar werkdagen]]*Tariefsopbouw!$E$35</f>
        <v>0</v>
      </c>
      <c r="Y304" s="85"/>
      <c r="Z304" s="89">
        <f>IF(Ruimtestaat[[#This Row],[Frequentie weekend]]&gt;0,VALUE(LEFT(Y304,1))*R304,0)</f>
        <v>0</v>
      </c>
      <c r="AA304" s="85">
        <f>IF($Z304&gt;0,VLOOKUP($J304,Ruimtegroepen[],3,FALSE)*VLOOKUP($L304,Vloersoorten[],3,FALSE)*VLOOKUP($Y304,Frequenties[],3,FALSE)*VLOOKUP(#REF!,Locaties[],3,FALSE),0)</f>
        <v>0</v>
      </c>
      <c r="AB304" s="87">
        <f>Ruimtestaat[[#This Row],[Uitvoeringen weekend]]*Ruimtestaat[[#This Row],[Oppervlak (netto)]]</f>
        <v>0</v>
      </c>
      <c r="AC304" s="90">
        <f>IF(AB304&gt;0,Ruimtestaat[[#This Row],[Prest. (m2 /jaar) weekend]]/Ruimtestaat[[#This Row],[Norm (m2/uur) weekend]],0)</f>
        <v>0</v>
      </c>
      <c r="AD304" s="91">
        <f>Ruimtestaat[[#This Row],[uren / jaar weekend]]*Tariefsopbouw!$D$40</f>
        <v>0</v>
      </c>
      <c r="AE304" s="60">
        <f>Ruimtestaat[[#This Row],[Prest. (m2 /jaar) weekend]]+Ruimtestaat[[#This Row],[Prest. (m2 /jaar) werkdagen]]</f>
        <v>4872</v>
      </c>
      <c r="AF304" s="60">
        <f>Ruimtestaat[[#This Row],[uren / jaar weekend]]+Ruimtestaat[[#This Row],[uren / jaar werkdagen]]</f>
        <v>0</v>
      </c>
      <c r="AG304" s="61">
        <f>Ruimtestaat[[#This Row],[kosten / jaar weekend]]+Ruimtestaat[[#This Row],[kosten / jaar werkdagen]]</f>
        <v>0</v>
      </c>
      <c r="AH304" s="92"/>
      <c r="HL304" s="59"/>
    </row>
    <row r="305" spans="1:220">
      <c r="A305" s="24">
        <v>2</v>
      </c>
      <c r="B305" s="24" t="str">
        <f>VLOOKUP(Ruimtestaat[[#This Row],[Code]],Locaties[#All],2,FALSE)</f>
        <v>Het Stormink</v>
      </c>
      <c r="C305" s="24" t="str">
        <f>VLOOKUP(Ruimtestaat[[#This Row],[Code]],Locaties[#All],4,FALSE)</f>
        <v>Storminkstraat 1</v>
      </c>
      <c r="D305" s="24" t="str">
        <f>VLOOKUP(Ruimtestaat[[#This Row],[Code]],Locaties[#All],5,FALSE)</f>
        <v>7418 GH</v>
      </c>
      <c r="E305" s="24" t="str">
        <f>VLOOKUP(Ruimtestaat[[#This Row],[Code]],Locaties[#All],6,FALSE)</f>
        <v>Deventer</v>
      </c>
      <c r="F305" s="54"/>
      <c r="G305" s="24" t="s">
        <v>512</v>
      </c>
      <c r="H305" s="24" t="s">
        <v>723</v>
      </c>
      <c r="I305" s="4" t="s">
        <v>675</v>
      </c>
      <c r="J305" s="24">
        <v>5</v>
      </c>
      <c r="K305" s="54" t="str">
        <f>VLOOKUP(J305,Ruimtegroepen[],2,FALSE)</f>
        <v>Sanitair</v>
      </c>
      <c r="L305" s="24" t="s">
        <v>300</v>
      </c>
      <c r="M305" s="24" t="s">
        <v>157</v>
      </c>
      <c r="N305" s="83">
        <v>11.6</v>
      </c>
      <c r="O305" s="83"/>
      <c r="P305" s="93" t="str">
        <f>LEFT(VLOOKUP(Ruimtestaat[[#This Row],[Ruimte code]],Ruimtegroepen[#All],4,1),2)</f>
        <v>Sa</v>
      </c>
      <c r="Q305" s="93"/>
      <c r="R305" s="84">
        <v>42</v>
      </c>
      <c r="S305" s="84" t="s">
        <v>316</v>
      </c>
      <c r="T305" s="85">
        <f>IF(R305&gt;0,IF(RIGHT(Ruimtestaat[[#This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05" s="85">
        <f>IF(T305&gt;0,VLOOKUP($J305,Ruimtegroepen[],3,FALSE)*VLOOKUP($L305,Vloersoorten[],3,FALSE)*VLOOKUP($S305,Frequenties[],3,FALSE)*VLOOKUP($A305,Locaties[],3,FALSE),0)</f>
        <v>0</v>
      </c>
      <c r="V305" s="86">
        <f>Ruimtestaat[[#This Row],[Uitvoeringen werkdagen]]*Ruimtestaat[[#This Row],[Oppervlak (netto)]]</f>
        <v>4872</v>
      </c>
      <c r="W305" s="87">
        <f>IF(U305&gt;0,Ruimtestaat[[#This Row],[Prest. (m2 /jaar) werkdagen]]/Ruimtestaat[[#This Row],[Norm (m2/uur) werkdagen]],0)</f>
        <v>0</v>
      </c>
      <c r="X305" s="88">
        <f>Ruimtestaat[[#This Row],[uren / jaar werkdagen]]*Tariefsopbouw!$E$35</f>
        <v>0</v>
      </c>
      <c r="Y305" s="85"/>
      <c r="Z305" s="89">
        <f>IF(Ruimtestaat[[#This Row],[Frequentie weekend]]&gt;0,VALUE(LEFT(Y305,1))*R305,0)</f>
        <v>0</v>
      </c>
      <c r="AA305" s="85">
        <f>IF($Z305&gt;0,VLOOKUP($J305,Ruimtegroepen[],3,FALSE)*VLOOKUP($L305,Vloersoorten[],3,FALSE)*VLOOKUP($Y305,Frequenties[],3,FALSE)*VLOOKUP(#REF!,Locaties[],3,FALSE),0)</f>
        <v>0</v>
      </c>
      <c r="AB305" s="87">
        <f>Ruimtestaat[[#This Row],[Uitvoeringen weekend]]*Ruimtestaat[[#This Row],[Oppervlak (netto)]]</f>
        <v>0</v>
      </c>
      <c r="AC305" s="90">
        <f>IF(AB305&gt;0,Ruimtestaat[[#This Row],[Prest. (m2 /jaar) weekend]]/Ruimtestaat[[#This Row],[Norm (m2/uur) weekend]],0)</f>
        <v>0</v>
      </c>
      <c r="AD305" s="91">
        <f>Ruimtestaat[[#This Row],[uren / jaar weekend]]*Tariefsopbouw!$D$40</f>
        <v>0</v>
      </c>
      <c r="AE305" s="60">
        <f>Ruimtestaat[[#This Row],[Prest. (m2 /jaar) weekend]]+Ruimtestaat[[#This Row],[Prest. (m2 /jaar) werkdagen]]</f>
        <v>4872</v>
      </c>
      <c r="AF305" s="60">
        <f>Ruimtestaat[[#This Row],[uren / jaar weekend]]+Ruimtestaat[[#This Row],[uren / jaar werkdagen]]</f>
        <v>0</v>
      </c>
      <c r="AG305" s="61">
        <f>Ruimtestaat[[#This Row],[kosten / jaar weekend]]+Ruimtestaat[[#This Row],[kosten / jaar werkdagen]]</f>
        <v>0</v>
      </c>
      <c r="AH305" s="92"/>
      <c r="HL305" s="59"/>
    </row>
    <row r="306" spans="1:220">
      <c r="A306" s="24">
        <v>2</v>
      </c>
      <c r="B306" s="24" t="str">
        <f>VLOOKUP(Ruimtestaat[[#This Row],[Code]],Locaties[#All],2,FALSE)</f>
        <v>Het Stormink</v>
      </c>
      <c r="C306" s="24" t="str">
        <f>VLOOKUP(Ruimtestaat[[#This Row],[Code]],Locaties[#All],4,FALSE)</f>
        <v>Storminkstraat 1</v>
      </c>
      <c r="D306" s="24" t="str">
        <f>VLOOKUP(Ruimtestaat[[#This Row],[Code]],Locaties[#All],5,FALSE)</f>
        <v>7418 GH</v>
      </c>
      <c r="E306" s="24" t="str">
        <f>VLOOKUP(Ruimtestaat[[#This Row],[Code]],Locaties[#All],6,FALSE)</f>
        <v>Deventer</v>
      </c>
      <c r="F306" s="54"/>
      <c r="G306" s="24" t="s">
        <v>512</v>
      </c>
      <c r="H306" s="24" t="s">
        <v>724</v>
      </c>
      <c r="I306" s="4" t="s">
        <v>375</v>
      </c>
      <c r="J306" s="24">
        <v>22</v>
      </c>
      <c r="K306" s="54" t="str">
        <f>VLOOKUP(J306,Ruimtegroepen[],2,FALSE)</f>
        <v>Niet in onderhoud</v>
      </c>
      <c r="L306" s="24" t="s">
        <v>300</v>
      </c>
      <c r="M306" s="24" t="s">
        <v>157</v>
      </c>
      <c r="N306" s="83"/>
      <c r="O306" s="83">
        <v>1.64</v>
      </c>
      <c r="P306" s="93" t="str">
        <f>LEFT(VLOOKUP(Ruimtestaat[[#This Row],[Ruimte code]],Ruimtegroepen[#All],4,1),2)</f>
        <v/>
      </c>
      <c r="Q306" s="93"/>
      <c r="R306" s="84"/>
      <c r="S306" s="84"/>
      <c r="T306" s="85">
        <f>IF(R306&gt;0,IF(RIGHT(Ruimtestaat[[#This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6" s="85">
        <f>IF(T306&gt;0,VLOOKUP($J306,Ruimtegroepen[],3,FALSE)*VLOOKUP($L306,Vloersoorten[],3,FALSE)*VLOOKUP($S306,Frequenties[],3,FALSE)*VLOOKUP($A306,Locaties[],3,FALSE),0)</f>
        <v>0</v>
      </c>
      <c r="V306" s="86">
        <f>Ruimtestaat[[#This Row],[Uitvoeringen werkdagen]]*Ruimtestaat[[#This Row],[Oppervlak (netto)]]</f>
        <v>0</v>
      </c>
      <c r="W306" s="87">
        <f>IF(U306&gt;0,Ruimtestaat[[#This Row],[Prest. (m2 /jaar) werkdagen]]/Ruimtestaat[[#This Row],[Norm (m2/uur) werkdagen]],0)</f>
        <v>0</v>
      </c>
      <c r="X306" s="88">
        <f>Ruimtestaat[[#This Row],[uren / jaar werkdagen]]*Tariefsopbouw!$E$35</f>
        <v>0</v>
      </c>
      <c r="Y306" s="85"/>
      <c r="Z306" s="89">
        <f>IF(Ruimtestaat[[#This Row],[Frequentie weekend]]&gt;0,VALUE(LEFT(Y306,1))*R306,0)</f>
        <v>0</v>
      </c>
      <c r="AA306" s="85">
        <f>IF($Z306&gt;0,VLOOKUP($J306,Ruimtegroepen[],3,FALSE)*VLOOKUP($L306,Vloersoorten[],3,FALSE)*VLOOKUP($Y306,Frequenties[],3,FALSE)*VLOOKUP(#REF!,Locaties[],3,FALSE),0)</f>
        <v>0</v>
      </c>
      <c r="AB306" s="87">
        <f>Ruimtestaat[[#This Row],[Uitvoeringen weekend]]*Ruimtestaat[[#This Row],[Oppervlak (netto)]]</f>
        <v>0</v>
      </c>
      <c r="AC306" s="90">
        <f>IF(AB306&gt;0,Ruimtestaat[[#This Row],[Prest. (m2 /jaar) weekend]]/Ruimtestaat[[#This Row],[Norm (m2/uur) weekend]],0)</f>
        <v>0</v>
      </c>
      <c r="AD306" s="91">
        <f>Ruimtestaat[[#This Row],[uren / jaar weekend]]*Tariefsopbouw!$D$40</f>
        <v>0</v>
      </c>
      <c r="AE306" s="60">
        <f>Ruimtestaat[[#This Row],[Prest. (m2 /jaar) weekend]]+Ruimtestaat[[#This Row],[Prest. (m2 /jaar) werkdagen]]</f>
        <v>0</v>
      </c>
      <c r="AF306" s="60">
        <f>Ruimtestaat[[#This Row],[uren / jaar weekend]]+Ruimtestaat[[#This Row],[uren / jaar werkdagen]]</f>
        <v>0</v>
      </c>
      <c r="AG306" s="61">
        <f>Ruimtestaat[[#This Row],[kosten / jaar weekend]]+Ruimtestaat[[#This Row],[kosten / jaar werkdagen]]</f>
        <v>0</v>
      </c>
      <c r="AH306" s="92"/>
      <c r="HL306" s="59"/>
    </row>
    <row r="307" spans="1:220">
      <c r="A307" s="24">
        <v>2</v>
      </c>
      <c r="B307" s="24" t="str">
        <f>VLOOKUP(Ruimtestaat[[#This Row],[Code]],Locaties[#All],2,FALSE)</f>
        <v>Het Stormink</v>
      </c>
      <c r="C307" s="24" t="str">
        <f>VLOOKUP(Ruimtestaat[[#This Row],[Code]],Locaties[#All],4,FALSE)</f>
        <v>Storminkstraat 1</v>
      </c>
      <c r="D307" s="24" t="str">
        <f>VLOOKUP(Ruimtestaat[[#This Row],[Code]],Locaties[#All],5,FALSE)</f>
        <v>7418 GH</v>
      </c>
      <c r="E307" s="24" t="str">
        <f>VLOOKUP(Ruimtestaat[[#This Row],[Code]],Locaties[#All],6,FALSE)</f>
        <v>Deventer</v>
      </c>
      <c r="F307" s="54"/>
      <c r="G307" s="24" t="s">
        <v>512</v>
      </c>
      <c r="H307" s="24" t="s">
        <v>725</v>
      </c>
      <c r="I307" s="4" t="s">
        <v>535</v>
      </c>
      <c r="J307" s="24">
        <v>22</v>
      </c>
      <c r="K307" s="54" t="str">
        <f>VLOOKUP(J307,Ruimtegroepen[],2,FALSE)</f>
        <v>Niet in onderhoud</v>
      </c>
      <c r="L307" s="24" t="s">
        <v>300</v>
      </c>
      <c r="M307" s="24" t="s">
        <v>157</v>
      </c>
      <c r="N307" s="83"/>
      <c r="O307" s="83">
        <v>3.16</v>
      </c>
      <c r="P307" s="93" t="str">
        <f>LEFT(VLOOKUP(Ruimtestaat[[#This Row],[Ruimte code]],Ruimtegroepen[#All],4,1),2)</f>
        <v/>
      </c>
      <c r="Q307" s="93"/>
      <c r="R307" s="84"/>
      <c r="S307" s="84"/>
      <c r="T307" s="85">
        <f>IF(R307&gt;0,IF(RIGHT(Ruimtestaat[[#This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7" s="85">
        <f>IF(T307&gt;0,VLOOKUP($J307,Ruimtegroepen[],3,FALSE)*VLOOKUP($L307,Vloersoorten[],3,FALSE)*VLOOKUP($S307,Frequenties[],3,FALSE)*VLOOKUP($A307,Locaties[],3,FALSE),0)</f>
        <v>0</v>
      </c>
      <c r="V307" s="86">
        <f>Ruimtestaat[[#This Row],[Uitvoeringen werkdagen]]*Ruimtestaat[[#This Row],[Oppervlak (netto)]]</f>
        <v>0</v>
      </c>
      <c r="W307" s="87">
        <f>IF(U307&gt;0,Ruimtestaat[[#This Row],[Prest. (m2 /jaar) werkdagen]]/Ruimtestaat[[#This Row],[Norm (m2/uur) werkdagen]],0)</f>
        <v>0</v>
      </c>
      <c r="X307" s="88">
        <f>Ruimtestaat[[#This Row],[uren / jaar werkdagen]]*Tariefsopbouw!$E$35</f>
        <v>0</v>
      </c>
      <c r="Y307" s="85"/>
      <c r="Z307" s="89">
        <f>IF(Ruimtestaat[[#This Row],[Frequentie weekend]]&gt;0,VALUE(LEFT(Y307,1))*R307,0)</f>
        <v>0</v>
      </c>
      <c r="AA307" s="85">
        <f>IF($Z307&gt;0,VLOOKUP($J307,Ruimtegroepen[],3,FALSE)*VLOOKUP($L307,Vloersoorten[],3,FALSE)*VLOOKUP($Y307,Frequenties[],3,FALSE)*VLOOKUP(#REF!,Locaties[],3,FALSE),0)</f>
        <v>0</v>
      </c>
      <c r="AB307" s="87">
        <f>Ruimtestaat[[#This Row],[Uitvoeringen weekend]]*Ruimtestaat[[#This Row],[Oppervlak (netto)]]</f>
        <v>0</v>
      </c>
      <c r="AC307" s="90">
        <f>IF(AB307&gt;0,Ruimtestaat[[#This Row],[Prest. (m2 /jaar) weekend]]/Ruimtestaat[[#This Row],[Norm (m2/uur) weekend]],0)</f>
        <v>0</v>
      </c>
      <c r="AD307" s="91">
        <f>Ruimtestaat[[#This Row],[uren / jaar weekend]]*Tariefsopbouw!$D$40</f>
        <v>0</v>
      </c>
      <c r="AE307" s="60">
        <f>Ruimtestaat[[#This Row],[Prest. (m2 /jaar) weekend]]+Ruimtestaat[[#This Row],[Prest. (m2 /jaar) werkdagen]]</f>
        <v>0</v>
      </c>
      <c r="AF307" s="60">
        <f>Ruimtestaat[[#This Row],[uren / jaar weekend]]+Ruimtestaat[[#This Row],[uren / jaar werkdagen]]</f>
        <v>0</v>
      </c>
      <c r="AG307" s="61">
        <f>Ruimtestaat[[#This Row],[kosten / jaar weekend]]+Ruimtestaat[[#This Row],[kosten / jaar werkdagen]]</f>
        <v>0</v>
      </c>
      <c r="AH307" s="92"/>
      <c r="HL307" s="59"/>
    </row>
    <row r="308" spans="1:220">
      <c r="A308" s="24">
        <v>2</v>
      </c>
      <c r="B308" s="24" t="str">
        <f>VLOOKUP(Ruimtestaat[[#This Row],[Code]],Locaties[#All],2,FALSE)</f>
        <v>Het Stormink</v>
      </c>
      <c r="C308" s="24" t="str">
        <f>VLOOKUP(Ruimtestaat[[#This Row],[Code]],Locaties[#All],4,FALSE)</f>
        <v>Storminkstraat 1</v>
      </c>
      <c r="D308" s="24" t="str">
        <f>VLOOKUP(Ruimtestaat[[#This Row],[Code]],Locaties[#All],5,FALSE)</f>
        <v>7418 GH</v>
      </c>
      <c r="E308" s="24" t="str">
        <f>VLOOKUP(Ruimtestaat[[#This Row],[Code]],Locaties[#All],6,FALSE)</f>
        <v>Deventer</v>
      </c>
      <c r="F308" s="54"/>
      <c r="G308" s="24" t="s">
        <v>512</v>
      </c>
      <c r="H308" s="24" t="s">
        <v>726</v>
      </c>
      <c r="I308" s="4" t="s">
        <v>674</v>
      </c>
      <c r="J308" s="24">
        <v>22</v>
      </c>
      <c r="K308" s="54" t="str">
        <f>VLOOKUP(J308,Ruimtegroepen[],2,FALSE)</f>
        <v>Niet in onderhoud</v>
      </c>
      <c r="L308" s="24" t="s">
        <v>300</v>
      </c>
      <c r="M308" s="24" t="s">
        <v>157</v>
      </c>
      <c r="N308" s="83"/>
      <c r="O308" s="83">
        <v>1.63</v>
      </c>
      <c r="P308" s="93" t="str">
        <f>LEFT(VLOOKUP(Ruimtestaat[[#This Row],[Ruimte code]],Ruimtegroepen[#All],4,1),2)</f>
        <v/>
      </c>
      <c r="Q308" s="93"/>
      <c r="R308" s="84"/>
      <c r="S308" s="84"/>
      <c r="T308" s="85">
        <f>IF(R308&gt;0,IF(RIGHT(Ruimtestaat[[#This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8" s="85">
        <f>IF(T308&gt;0,VLOOKUP($J308,Ruimtegroepen[],3,FALSE)*VLOOKUP($L308,Vloersoorten[],3,FALSE)*VLOOKUP($S308,Frequenties[],3,FALSE)*VLOOKUP($A308,Locaties[],3,FALSE),0)</f>
        <v>0</v>
      </c>
      <c r="V308" s="86">
        <f>Ruimtestaat[[#This Row],[Uitvoeringen werkdagen]]*Ruimtestaat[[#This Row],[Oppervlak (netto)]]</f>
        <v>0</v>
      </c>
      <c r="W308" s="87">
        <f>IF(U308&gt;0,Ruimtestaat[[#This Row],[Prest. (m2 /jaar) werkdagen]]/Ruimtestaat[[#This Row],[Norm (m2/uur) werkdagen]],0)</f>
        <v>0</v>
      </c>
      <c r="X308" s="88">
        <f>Ruimtestaat[[#This Row],[uren / jaar werkdagen]]*Tariefsopbouw!$E$35</f>
        <v>0</v>
      </c>
      <c r="Y308" s="85"/>
      <c r="Z308" s="89">
        <f>IF(Ruimtestaat[[#This Row],[Frequentie weekend]]&gt;0,VALUE(LEFT(Y308,1))*R308,0)</f>
        <v>0</v>
      </c>
      <c r="AA308" s="85">
        <f>IF($Z308&gt;0,VLOOKUP($J308,Ruimtegroepen[],3,FALSE)*VLOOKUP($L308,Vloersoorten[],3,FALSE)*VLOOKUP($Y308,Frequenties[],3,FALSE)*VLOOKUP(#REF!,Locaties[],3,FALSE),0)</f>
        <v>0</v>
      </c>
      <c r="AB308" s="87">
        <f>Ruimtestaat[[#This Row],[Uitvoeringen weekend]]*Ruimtestaat[[#This Row],[Oppervlak (netto)]]</f>
        <v>0</v>
      </c>
      <c r="AC308" s="90">
        <f>IF(AB308&gt;0,Ruimtestaat[[#This Row],[Prest. (m2 /jaar) weekend]]/Ruimtestaat[[#This Row],[Norm (m2/uur) weekend]],0)</f>
        <v>0</v>
      </c>
      <c r="AD308" s="91">
        <f>Ruimtestaat[[#This Row],[uren / jaar weekend]]*Tariefsopbouw!$D$40</f>
        <v>0</v>
      </c>
      <c r="AE308" s="60">
        <f>Ruimtestaat[[#This Row],[Prest. (m2 /jaar) weekend]]+Ruimtestaat[[#This Row],[Prest. (m2 /jaar) werkdagen]]</f>
        <v>0</v>
      </c>
      <c r="AF308" s="60">
        <f>Ruimtestaat[[#This Row],[uren / jaar weekend]]+Ruimtestaat[[#This Row],[uren / jaar werkdagen]]</f>
        <v>0</v>
      </c>
      <c r="AG308" s="61">
        <f>Ruimtestaat[[#This Row],[kosten / jaar weekend]]+Ruimtestaat[[#This Row],[kosten / jaar werkdagen]]</f>
        <v>0</v>
      </c>
      <c r="AH308" s="92"/>
      <c r="HL308" s="59"/>
    </row>
    <row r="309" spans="1:220">
      <c r="A309" s="24">
        <v>2</v>
      </c>
      <c r="B309" s="24" t="str">
        <f>VLOOKUP(Ruimtestaat[[#This Row],[Code]],Locaties[#All],2,FALSE)</f>
        <v>Het Stormink</v>
      </c>
      <c r="C309" s="24" t="str">
        <f>VLOOKUP(Ruimtestaat[[#This Row],[Code]],Locaties[#All],4,FALSE)</f>
        <v>Storminkstraat 1</v>
      </c>
      <c r="D309" s="24" t="str">
        <f>VLOOKUP(Ruimtestaat[[#This Row],[Code]],Locaties[#All],5,FALSE)</f>
        <v>7418 GH</v>
      </c>
      <c r="E309" s="24" t="str">
        <f>VLOOKUP(Ruimtestaat[[#This Row],[Code]],Locaties[#All],6,FALSE)</f>
        <v>Deventer</v>
      </c>
      <c r="F309" s="54"/>
      <c r="G309" s="24" t="s">
        <v>512</v>
      </c>
      <c r="H309" s="24" t="s">
        <v>727</v>
      </c>
      <c r="I309" s="4" t="s">
        <v>394</v>
      </c>
      <c r="J309" s="24">
        <v>22</v>
      </c>
      <c r="K309" s="54" t="str">
        <f>VLOOKUP(J309,Ruimtegroepen[],2,FALSE)</f>
        <v>Niet in onderhoud</v>
      </c>
      <c r="L309" s="24" t="s">
        <v>300</v>
      </c>
      <c r="M309" s="24" t="s">
        <v>157</v>
      </c>
      <c r="N309" s="83"/>
      <c r="O309" s="83">
        <v>12.3</v>
      </c>
      <c r="P309" s="93" t="str">
        <f>LEFT(VLOOKUP(Ruimtestaat[[#This Row],[Ruimte code]],Ruimtegroepen[#All],4,1),2)</f>
        <v/>
      </c>
      <c r="Q309" s="93"/>
      <c r="R309" s="84"/>
      <c r="S309" s="84"/>
      <c r="T309" s="85">
        <f>IF(R309&gt;0,IF(RIGHT(Ruimtestaat[[#This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9" s="85">
        <f>IF(T309&gt;0,VLOOKUP($J309,Ruimtegroepen[],3,FALSE)*VLOOKUP($L309,Vloersoorten[],3,FALSE)*VLOOKUP($S309,Frequenties[],3,FALSE)*VLOOKUP($A309,Locaties[],3,FALSE),0)</f>
        <v>0</v>
      </c>
      <c r="V309" s="86">
        <f>Ruimtestaat[[#This Row],[Uitvoeringen werkdagen]]*Ruimtestaat[[#This Row],[Oppervlak (netto)]]</f>
        <v>0</v>
      </c>
      <c r="W309" s="87">
        <f>IF(U309&gt;0,Ruimtestaat[[#This Row],[Prest. (m2 /jaar) werkdagen]]/Ruimtestaat[[#This Row],[Norm (m2/uur) werkdagen]],0)</f>
        <v>0</v>
      </c>
      <c r="X309" s="88">
        <f>Ruimtestaat[[#This Row],[uren / jaar werkdagen]]*Tariefsopbouw!$E$35</f>
        <v>0</v>
      </c>
      <c r="Y309" s="85"/>
      <c r="Z309" s="89">
        <f>IF(Ruimtestaat[[#This Row],[Frequentie weekend]]&gt;0,VALUE(LEFT(Y309,1))*R309,0)</f>
        <v>0</v>
      </c>
      <c r="AA309" s="85">
        <f>IF($Z309&gt;0,VLOOKUP($J309,Ruimtegroepen[],3,FALSE)*VLOOKUP($L309,Vloersoorten[],3,FALSE)*VLOOKUP($Y309,Frequenties[],3,FALSE)*VLOOKUP(#REF!,Locaties[],3,FALSE),0)</f>
        <v>0</v>
      </c>
      <c r="AB309" s="87">
        <f>Ruimtestaat[[#This Row],[Uitvoeringen weekend]]*Ruimtestaat[[#This Row],[Oppervlak (netto)]]</f>
        <v>0</v>
      </c>
      <c r="AC309" s="90">
        <f>IF(AB309&gt;0,Ruimtestaat[[#This Row],[Prest. (m2 /jaar) weekend]]/Ruimtestaat[[#This Row],[Norm (m2/uur) weekend]],0)</f>
        <v>0</v>
      </c>
      <c r="AD309" s="91">
        <f>Ruimtestaat[[#This Row],[uren / jaar weekend]]*Tariefsopbouw!$D$40</f>
        <v>0</v>
      </c>
      <c r="AE309" s="60">
        <f>Ruimtestaat[[#This Row],[Prest. (m2 /jaar) weekend]]+Ruimtestaat[[#This Row],[Prest. (m2 /jaar) werkdagen]]</f>
        <v>0</v>
      </c>
      <c r="AF309" s="60">
        <f>Ruimtestaat[[#This Row],[uren / jaar weekend]]+Ruimtestaat[[#This Row],[uren / jaar werkdagen]]</f>
        <v>0</v>
      </c>
      <c r="AG309" s="61">
        <f>Ruimtestaat[[#This Row],[kosten / jaar weekend]]+Ruimtestaat[[#This Row],[kosten / jaar werkdagen]]</f>
        <v>0</v>
      </c>
      <c r="AH309" s="92"/>
      <c r="HL309" s="59"/>
    </row>
    <row r="310" spans="1:220">
      <c r="A310" s="24">
        <v>2</v>
      </c>
      <c r="B310" s="24" t="str">
        <f>VLOOKUP(Ruimtestaat[[#This Row],[Code]],Locaties[#All],2,FALSE)</f>
        <v>Het Stormink</v>
      </c>
      <c r="C310" s="24" t="str">
        <f>VLOOKUP(Ruimtestaat[[#This Row],[Code]],Locaties[#All],4,FALSE)</f>
        <v>Storminkstraat 1</v>
      </c>
      <c r="D310" s="24" t="str">
        <f>VLOOKUP(Ruimtestaat[[#This Row],[Code]],Locaties[#All],5,FALSE)</f>
        <v>7418 GH</v>
      </c>
      <c r="E310" s="24" t="str">
        <f>VLOOKUP(Ruimtestaat[[#This Row],[Code]],Locaties[#All],6,FALSE)</f>
        <v>Deventer</v>
      </c>
      <c r="F310" s="54"/>
      <c r="G310" s="24" t="s">
        <v>512</v>
      </c>
      <c r="H310" s="24" t="s">
        <v>728</v>
      </c>
      <c r="I310" s="4" t="s">
        <v>394</v>
      </c>
      <c r="J310" s="24">
        <v>22</v>
      </c>
      <c r="K310" s="54" t="str">
        <f>VLOOKUP(J310,Ruimtegroepen[],2,FALSE)</f>
        <v>Niet in onderhoud</v>
      </c>
      <c r="L310" s="24" t="s">
        <v>300</v>
      </c>
      <c r="M310" s="24" t="s">
        <v>157</v>
      </c>
      <c r="N310" s="83"/>
      <c r="O310" s="83">
        <v>12.3</v>
      </c>
      <c r="P310" s="93" t="str">
        <f>LEFT(VLOOKUP(Ruimtestaat[[#This Row],[Ruimte code]],Ruimtegroepen[#All],4,1),2)</f>
        <v/>
      </c>
      <c r="Q310" s="93"/>
      <c r="R310" s="84"/>
      <c r="S310" s="84"/>
      <c r="T310" s="85">
        <f>IF(R310&gt;0,IF(RIGHT(Ruimtestaat[[#This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10" s="85">
        <f>IF(T310&gt;0,VLOOKUP($J310,Ruimtegroepen[],3,FALSE)*VLOOKUP($L310,Vloersoorten[],3,FALSE)*VLOOKUP($S310,Frequenties[],3,FALSE)*VLOOKUP($A310,Locaties[],3,FALSE),0)</f>
        <v>0</v>
      </c>
      <c r="V310" s="86">
        <f>Ruimtestaat[[#This Row],[Uitvoeringen werkdagen]]*Ruimtestaat[[#This Row],[Oppervlak (netto)]]</f>
        <v>0</v>
      </c>
      <c r="W310" s="87">
        <f>IF(U310&gt;0,Ruimtestaat[[#This Row],[Prest. (m2 /jaar) werkdagen]]/Ruimtestaat[[#This Row],[Norm (m2/uur) werkdagen]],0)</f>
        <v>0</v>
      </c>
      <c r="X310" s="88">
        <f>Ruimtestaat[[#This Row],[uren / jaar werkdagen]]*Tariefsopbouw!$E$35</f>
        <v>0</v>
      </c>
      <c r="Y310" s="85"/>
      <c r="Z310" s="89">
        <f>IF(Ruimtestaat[[#This Row],[Frequentie weekend]]&gt;0,VALUE(LEFT(Y310,1))*R310,0)</f>
        <v>0</v>
      </c>
      <c r="AA310" s="85">
        <f>IF($Z310&gt;0,VLOOKUP($J310,Ruimtegroepen[],3,FALSE)*VLOOKUP($L310,Vloersoorten[],3,FALSE)*VLOOKUP($Y310,Frequenties[],3,FALSE)*VLOOKUP(#REF!,Locaties[],3,FALSE),0)</f>
        <v>0</v>
      </c>
      <c r="AB310" s="87">
        <f>Ruimtestaat[[#This Row],[Uitvoeringen weekend]]*Ruimtestaat[[#This Row],[Oppervlak (netto)]]</f>
        <v>0</v>
      </c>
      <c r="AC310" s="90">
        <f>IF(AB310&gt;0,Ruimtestaat[[#This Row],[Prest. (m2 /jaar) weekend]]/Ruimtestaat[[#This Row],[Norm (m2/uur) weekend]],0)</f>
        <v>0</v>
      </c>
      <c r="AD310" s="91">
        <f>Ruimtestaat[[#This Row],[uren / jaar weekend]]*Tariefsopbouw!$D$40</f>
        <v>0</v>
      </c>
      <c r="AE310" s="60">
        <f>Ruimtestaat[[#This Row],[Prest. (m2 /jaar) weekend]]+Ruimtestaat[[#This Row],[Prest. (m2 /jaar) werkdagen]]</f>
        <v>0</v>
      </c>
      <c r="AF310" s="60">
        <f>Ruimtestaat[[#This Row],[uren / jaar weekend]]+Ruimtestaat[[#This Row],[uren / jaar werkdagen]]</f>
        <v>0</v>
      </c>
      <c r="AG310" s="61">
        <f>Ruimtestaat[[#This Row],[kosten / jaar weekend]]+Ruimtestaat[[#This Row],[kosten / jaar werkdagen]]</f>
        <v>0</v>
      </c>
      <c r="AH310" s="92"/>
      <c r="HL310" s="59"/>
    </row>
    <row r="311" spans="1:220">
      <c r="A311" s="24">
        <v>2</v>
      </c>
      <c r="B311" s="24" t="str">
        <f>VLOOKUP(Ruimtestaat[[#This Row],[Code]],Locaties[#All],2,FALSE)</f>
        <v>Het Stormink</v>
      </c>
      <c r="C311" s="24" t="str">
        <f>VLOOKUP(Ruimtestaat[[#This Row],[Code]],Locaties[#All],4,FALSE)</f>
        <v>Storminkstraat 1</v>
      </c>
      <c r="D311" s="24" t="str">
        <f>VLOOKUP(Ruimtestaat[[#This Row],[Code]],Locaties[#All],5,FALSE)</f>
        <v>7418 GH</v>
      </c>
      <c r="E311" s="24" t="str">
        <f>VLOOKUP(Ruimtestaat[[#This Row],[Code]],Locaties[#All],6,FALSE)</f>
        <v>Deventer</v>
      </c>
      <c r="F311" s="54"/>
      <c r="G311" s="24" t="s">
        <v>512</v>
      </c>
      <c r="H311" s="24" t="s">
        <v>729</v>
      </c>
      <c r="I311" s="4" t="s">
        <v>730</v>
      </c>
      <c r="J311" s="24">
        <v>15</v>
      </c>
      <c r="K311" s="54" t="str">
        <f>VLOOKUP(J311,Ruimtegroepen[],2,FALSE)</f>
        <v>Keuken/pantry</v>
      </c>
      <c r="L311" s="24" t="s">
        <v>300</v>
      </c>
      <c r="M311" s="24" t="s">
        <v>157</v>
      </c>
      <c r="N311" s="83">
        <v>29.46</v>
      </c>
      <c r="O311" s="83"/>
      <c r="P311" s="93" t="str">
        <f>LEFT(VLOOKUP(Ruimtestaat[[#This Row],[Ruimte code]],Ruimtegroepen[#All],4,1),2)</f>
        <v>Ve</v>
      </c>
      <c r="Q311" s="93"/>
      <c r="R311" s="84">
        <v>40</v>
      </c>
      <c r="S311" s="84" t="s">
        <v>318</v>
      </c>
      <c r="T311" s="85">
        <f>IF(R311&gt;0,IF(RIGHT(Ruimtestaat[[#This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1" s="85">
        <f>IF(T311&gt;0,VLOOKUP($J311,Ruimtegroepen[],3,FALSE)*VLOOKUP($L311,Vloersoorten[],3,FALSE)*VLOOKUP($S311,Frequenties[],3,FALSE)*VLOOKUP($A311,Locaties[],3,FALSE),0)</f>
        <v>0</v>
      </c>
      <c r="V311" s="86">
        <f>Ruimtestaat[[#This Row],[Uitvoeringen werkdagen]]*Ruimtestaat[[#This Row],[Oppervlak (netto)]]</f>
        <v>5892</v>
      </c>
      <c r="W311" s="87">
        <f>IF(U311&gt;0,Ruimtestaat[[#This Row],[Prest. (m2 /jaar) werkdagen]]/Ruimtestaat[[#This Row],[Norm (m2/uur) werkdagen]],0)</f>
        <v>0</v>
      </c>
      <c r="X311" s="88">
        <f>Ruimtestaat[[#This Row],[uren / jaar werkdagen]]*Tariefsopbouw!$E$35</f>
        <v>0</v>
      </c>
      <c r="Y311" s="85"/>
      <c r="Z311" s="89">
        <f>IF(Ruimtestaat[[#This Row],[Frequentie weekend]]&gt;0,VALUE(LEFT(Y311,1))*R311,0)</f>
        <v>0</v>
      </c>
      <c r="AA311" s="85">
        <f>IF($Z311&gt;0,VLOOKUP($J311,Ruimtegroepen[],3,FALSE)*VLOOKUP($L311,Vloersoorten[],3,FALSE)*VLOOKUP($Y311,Frequenties[],3,FALSE)*VLOOKUP(#REF!,Locaties[],3,FALSE),0)</f>
        <v>0</v>
      </c>
      <c r="AB311" s="87">
        <f>Ruimtestaat[[#This Row],[Uitvoeringen weekend]]*Ruimtestaat[[#This Row],[Oppervlak (netto)]]</f>
        <v>0</v>
      </c>
      <c r="AC311" s="90">
        <f>IF(AB311&gt;0,Ruimtestaat[[#This Row],[Prest. (m2 /jaar) weekend]]/Ruimtestaat[[#This Row],[Norm (m2/uur) weekend]],0)</f>
        <v>0</v>
      </c>
      <c r="AD311" s="91">
        <f>Ruimtestaat[[#This Row],[uren / jaar weekend]]*Tariefsopbouw!$D$40</f>
        <v>0</v>
      </c>
      <c r="AE311" s="60">
        <f>Ruimtestaat[[#This Row],[Prest. (m2 /jaar) weekend]]+Ruimtestaat[[#This Row],[Prest. (m2 /jaar) werkdagen]]</f>
        <v>5892</v>
      </c>
      <c r="AF311" s="60">
        <f>Ruimtestaat[[#This Row],[uren / jaar weekend]]+Ruimtestaat[[#This Row],[uren / jaar werkdagen]]</f>
        <v>0</v>
      </c>
      <c r="AG311" s="61">
        <f>Ruimtestaat[[#This Row],[kosten / jaar weekend]]+Ruimtestaat[[#This Row],[kosten / jaar werkdagen]]</f>
        <v>0</v>
      </c>
      <c r="AH311" s="92"/>
      <c r="HL311" s="59"/>
    </row>
    <row r="312" spans="1:220">
      <c r="A312" s="24">
        <v>2</v>
      </c>
      <c r="B312" s="24" t="str">
        <f>VLOOKUP(Ruimtestaat[[#This Row],[Code]],Locaties[#All],2,FALSE)</f>
        <v>Het Stormink</v>
      </c>
      <c r="C312" s="24" t="str">
        <f>VLOOKUP(Ruimtestaat[[#This Row],[Code]],Locaties[#All],4,FALSE)</f>
        <v>Storminkstraat 1</v>
      </c>
      <c r="D312" s="24" t="str">
        <f>VLOOKUP(Ruimtestaat[[#This Row],[Code]],Locaties[#All],5,FALSE)</f>
        <v>7418 GH</v>
      </c>
      <c r="E312" s="24" t="str">
        <f>VLOOKUP(Ruimtestaat[[#This Row],[Code]],Locaties[#All],6,FALSE)</f>
        <v>Deventer</v>
      </c>
      <c r="F312" s="54"/>
      <c r="G312" s="24" t="s">
        <v>512</v>
      </c>
      <c r="H312" s="24" t="s">
        <v>731</v>
      </c>
      <c r="I312" s="4" t="s">
        <v>732</v>
      </c>
      <c r="J312" s="24">
        <v>22</v>
      </c>
      <c r="K312" s="54" t="str">
        <f>VLOOKUP(J312,Ruimtegroepen[],2,FALSE)</f>
        <v>Niet in onderhoud</v>
      </c>
      <c r="L312" s="24" t="s">
        <v>300</v>
      </c>
      <c r="M312" s="24" t="s">
        <v>157</v>
      </c>
      <c r="N312" s="83"/>
      <c r="O312" s="83">
        <v>69.48</v>
      </c>
      <c r="P312" s="93" t="str">
        <f>LEFT(VLOOKUP(Ruimtestaat[[#This Row],[Ruimte code]],Ruimtegroepen[#All],4,1),2)</f>
        <v/>
      </c>
      <c r="Q312" s="93"/>
      <c r="R312" s="84"/>
      <c r="S312" s="84"/>
      <c r="T312" s="85">
        <f>IF(R312&gt;0,IF(RIGHT(Ruimtestaat[[#This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12" s="85">
        <f>IF(T312&gt;0,VLOOKUP($J312,Ruimtegroepen[],3,FALSE)*VLOOKUP($L312,Vloersoorten[],3,FALSE)*VLOOKUP($S312,Frequenties[],3,FALSE)*VLOOKUP($A312,Locaties[],3,FALSE),0)</f>
        <v>0</v>
      </c>
      <c r="V312" s="86">
        <f>Ruimtestaat[[#This Row],[Uitvoeringen werkdagen]]*Ruimtestaat[[#This Row],[Oppervlak (netto)]]</f>
        <v>0</v>
      </c>
      <c r="W312" s="87">
        <f>IF(U312&gt;0,Ruimtestaat[[#This Row],[Prest. (m2 /jaar) werkdagen]]/Ruimtestaat[[#This Row],[Norm (m2/uur) werkdagen]],0)</f>
        <v>0</v>
      </c>
      <c r="X312" s="88">
        <f>Ruimtestaat[[#This Row],[uren / jaar werkdagen]]*Tariefsopbouw!$E$35</f>
        <v>0</v>
      </c>
      <c r="Y312" s="85"/>
      <c r="Z312" s="89">
        <f>IF(Ruimtestaat[[#This Row],[Frequentie weekend]]&gt;0,VALUE(LEFT(Y312,1))*R312,0)</f>
        <v>0</v>
      </c>
      <c r="AA312" s="85">
        <f>IF($Z312&gt;0,VLOOKUP($J312,Ruimtegroepen[],3,FALSE)*VLOOKUP($L312,Vloersoorten[],3,FALSE)*VLOOKUP($Y312,Frequenties[],3,FALSE)*VLOOKUP(#REF!,Locaties[],3,FALSE),0)</f>
        <v>0</v>
      </c>
      <c r="AB312" s="87">
        <f>Ruimtestaat[[#This Row],[Uitvoeringen weekend]]*Ruimtestaat[[#This Row],[Oppervlak (netto)]]</f>
        <v>0</v>
      </c>
      <c r="AC312" s="90">
        <f>IF(AB312&gt;0,Ruimtestaat[[#This Row],[Prest. (m2 /jaar) weekend]]/Ruimtestaat[[#This Row],[Norm (m2/uur) weekend]],0)</f>
        <v>0</v>
      </c>
      <c r="AD312" s="91">
        <f>Ruimtestaat[[#This Row],[uren / jaar weekend]]*Tariefsopbouw!$D$40</f>
        <v>0</v>
      </c>
      <c r="AE312" s="60">
        <f>Ruimtestaat[[#This Row],[Prest. (m2 /jaar) weekend]]+Ruimtestaat[[#This Row],[Prest. (m2 /jaar) werkdagen]]</f>
        <v>0</v>
      </c>
      <c r="AF312" s="60">
        <f>Ruimtestaat[[#This Row],[uren / jaar weekend]]+Ruimtestaat[[#This Row],[uren / jaar werkdagen]]</f>
        <v>0</v>
      </c>
      <c r="AG312" s="61">
        <f>Ruimtestaat[[#This Row],[kosten / jaar weekend]]+Ruimtestaat[[#This Row],[kosten / jaar werkdagen]]</f>
        <v>0</v>
      </c>
      <c r="AH312" s="92"/>
      <c r="HL312" s="59"/>
    </row>
    <row r="313" spans="1:220">
      <c r="A313" s="24">
        <v>2</v>
      </c>
      <c r="B313" s="24" t="str">
        <f>VLOOKUP(Ruimtestaat[[#This Row],[Code]],Locaties[#All],2,FALSE)</f>
        <v>Het Stormink</v>
      </c>
      <c r="C313" s="24" t="str">
        <f>VLOOKUP(Ruimtestaat[[#This Row],[Code]],Locaties[#All],4,FALSE)</f>
        <v>Storminkstraat 1</v>
      </c>
      <c r="D313" s="24" t="str">
        <f>VLOOKUP(Ruimtestaat[[#This Row],[Code]],Locaties[#All],5,FALSE)</f>
        <v>7418 GH</v>
      </c>
      <c r="E313" s="24" t="str">
        <f>VLOOKUP(Ruimtestaat[[#This Row],[Code]],Locaties[#All],6,FALSE)</f>
        <v>Deventer</v>
      </c>
      <c r="F313" s="54"/>
      <c r="G313" s="24" t="s">
        <v>512</v>
      </c>
      <c r="H313" s="24" t="s">
        <v>733</v>
      </c>
      <c r="I313" s="4" t="s">
        <v>734</v>
      </c>
      <c r="J313" s="24">
        <v>11</v>
      </c>
      <c r="K313" s="54" t="str">
        <f>VLOOKUP(J313,Ruimtegroepen[],2,FALSE)</f>
        <v>Kooklokaal/leskeuken</v>
      </c>
      <c r="L313" s="24" t="s">
        <v>300</v>
      </c>
      <c r="M313" s="24" t="s">
        <v>157</v>
      </c>
      <c r="N313" s="83">
        <v>137.55000000000001</v>
      </c>
      <c r="O313" s="83"/>
      <c r="P313" s="93" t="str">
        <f>LEFT(VLOOKUP(Ruimtestaat[[#This Row],[Ruimte code]],Ruimtegroepen[#All],4,1),2)</f>
        <v>Le</v>
      </c>
      <c r="Q313" s="93"/>
      <c r="R313" s="84">
        <v>40</v>
      </c>
      <c r="S313" s="84" t="s">
        <v>318</v>
      </c>
      <c r="T313" s="85">
        <f>IF(R313&gt;0,IF(RIGHT(Ruimtestaat[[#This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3" s="85">
        <f>IF(T313&gt;0,VLOOKUP($J313,Ruimtegroepen[],3,FALSE)*VLOOKUP($L313,Vloersoorten[],3,FALSE)*VLOOKUP($S313,Frequenties[],3,FALSE)*VLOOKUP($A313,Locaties[],3,FALSE),0)</f>
        <v>0</v>
      </c>
      <c r="V313" s="86">
        <f>Ruimtestaat[[#This Row],[Uitvoeringen werkdagen]]*Ruimtestaat[[#This Row],[Oppervlak (netto)]]</f>
        <v>27510.000000000004</v>
      </c>
      <c r="W313" s="87">
        <f>IF(U313&gt;0,Ruimtestaat[[#This Row],[Prest. (m2 /jaar) werkdagen]]/Ruimtestaat[[#This Row],[Norm (m2/uur) werkdagen]],0)</f>
        <v>0</v>
      </c>
      <c r="X313" s="88">
        <f>Ruimtestaat[[#This Row],[uren / jaar werkdagen]]*Tariefsopbouw!$E$35</f>
        <v>0</v>
      </c>
      <c r="Y313" s="85"/>
      <c r="Z313" s="89">
        <f>IF(Ruimtestaat[[#This Row],[Frequentie weekend]]&gt;0,VALUE(LEFT(Y313,1))*R313,0)</f>
        <v>0</v>
      </c>
      <c r="AA313" s="85">
        <f>IF($Z313&gt;0,VLOOKUP($J313,Ruimtegroepen[],3,FALSE)*VLOOKUP($L313,Vloersoorten[],3,FALSE)*VLOOKUP($Y313,Frequenties[],3,FALSE)*VLOOKUP(#REF!,Locaties[],3,FALSE),0)</f>
        <v>0</v>
      </c>
      <c r="AB313" s="87">
        <f>Ruimtestaat[[#This Row],[Uitvoeringen weekend]]*Ruimtestaat[[#This Row],[Oppervlak (netto)]]</f>
        <v>0</v>
      </c>
      <c r="AC313" s="90">
        <f>IF(AB313&gt;0,Ruimtestaat[[#This Row],[Prest. (m2 /jaar) weekend]]/Ruimtestaat[[#This Row],[Norm (m2/uur) weekend]],0)</f>
        <v>0</v>
      </c>
      <c r="AD313" s="91">
        <f>Ruimtestaat[[#This Row],[uren / jaar weekend]]*Tariefsopbouw!$D$40</f>
        <v>0</v>
      </c>
      <c r="AE313" s="60">
        <f>Ruimtestaat[[#This Row],[Prest. (m2 /jaar) weekend]]+Ruimtestaat[[#This Row],[Prest. (m2 /jaar) werkdagen]]</f>
        <v>27510.000000000004</v>
      </c>
      <c r="AF313" s="60">
        <f>Ruimtestaat[[#This Row],[uren / jaar weekend]]+Ruimtestaat[[#This Row],[uren / jaar werkdagen]]</f>
        <v>0</v>
      </c>
      <c r="AG313" s="61">
        <f>Ruimtestaat[[#This Row],[kosten / jaar weekend]]+Ruimtestaat[[#This Row],[kosten / jaar werkdagen]]</f>
        <v>0</v>
      </c>
      <c r="AH313" s="92"/>
      <c r="HL313" s="59"/>
    </row>
    <row r="314" spans="1:220">
      <c r="A314" s="24">
        <v>2</v>
      </c>
      <c r="B314" s="24" t="str">
        <f>VLOOKUP(Ruimtestaat[[#This Row],[Code]],Locaties[#All],2,FALSE)</f>
        <v>Het Stormink</v>
      </c>
      <c r="C314" s="24" t="str">
        <f>VLOOKUP(Ruimtestaat[[#This Row],[Code]],Locaties[#All],4,FALSE)</f>
        <v>Storminkstraat 1</v>
      </c>
      <c r="D314" s="24" t="str">
        <f>VLOOKUP(Ruimtestaat[[#This Row],[Code]],Locaties[#All],5,FALSE)</f>
        <v>7418 GH</v>
      </c>
      <c r="E314" s="24" t="str">
        <f>VLOOKUP(Ruimtestaat[[#This Row],[Code]],Locaties[#All],6,FALSE)</f>
        <v>Deventer</v>
      </c>
      <c r="F314" s="54"/>
      <c r="G314" s="24" t="s">
        <v>512</v>
      </c>
      <c r="H314" s="24" t="s">
        <v>735</v>
      </c>
      <c r="I314" s="4" t="s">
        <v>736</v>
      </c>
      <c r="J314" s="24">
        <v>16</v>
      </c>
      <c r="K314" s="54" t="str">
        <f>VLOOKUP(J314,Ruimtegroepen[],2,FALSE)</f>
        <v>Leslokalen theorie</v>
      </c>
      <c r="L314" s="24" t="s">
        <v>300</v>
      </c>
      <c r="M314" s="24" t="s">
        <v>157</v>
      </c>
      <c r="N314" s="83">
        <v>82.35</v>
      </c>
      <c r="O314" s="83"/>
      <c r="P314" s="93" t="str">
        <f>LEFT(VLOOKUP(Ruimtestaat[[#This Row],[Ruimte code]],Ruimtegroepen[#All],4,1),2)</f>
        <v>Le</v>
      </c>
      <c r="Q314" s="93"/>
      <c r="R314" s="84">
        <v>40</v>
      </c>
      <c r="S314" s="84" t="s">
        <v>318</v>
      </c>
      <c r="T314" s="85">
        <f>IF(R314&gt;0,IF(RIGHT(Ruimtestaat[[#This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4" s="85">
        <f>IF(T314&gt;0,VLOOKUP($J314,Ruimtegroepen[],3,FALSE)*VLOOKUP($L314,Vloersoorten[],3,FALSE)*VLOOKUP($S314,Frequenties[],3,FALSE)*VLOOKUP($A314,Locaties[],3,FALSE),0)</f>
        <v>0</v>
      </c>
      <c r="V314" s="86">
        <f>Ruimtestaat[[#This Row],[Uitvoeringen werkdagen]]*Ruimtestaat[[#This Row],[Oppervlak (netto)]]</f>
        <v>16470</v>
      </c>
      <c r="W314" s="87">
        <f>IF(U314&gt;0,Ruimtestaat[[#This Row],[Prest. (m2 /jaar) werkdagen]]/Ruimtestaat[[#This Row],[Norm (m2/uur) werkdagen]],0)</f>
        <v>0</v>
      </c>
      <c r="X314" s="88">
        <f>Ruimtestaat[[#This Row],[uren / jaar werkdagen]]*Tariefsopbouw!$E$35</f>
        <v>0</v>
      </c>
      <c r="Y314" s="85"/>
      <c r="Z314" s="89">
        <f>IF(Ruimtestaat[[#This Row],[Frequentie weekend]]&gt;0,VALUE(LEFT(Y314,1))*R314,0)</f>
        <v>0</v>
      </c>
      <c r="AA314" s="85">
        <f>IF($Z314&gt;0,VLOOKUP($J314,Ruimtegroepen[],3,FALSE)*VLOOKUP($L314,Vloersoorten[],3,FALSE)*VLOOKUP($Y314,Frequenties[],3,FALSE)*VLOOKUP(#REF!,Locaties[],3,FALSE),0)</f>
        <v>0</v>
      </c>
      <c r="AB314" s="87">
        <f>Ruimtestaat[[#This Row],[Uitvoeringen weekend]]*Ruimtestaat[[#This Row],[Oppervlak (netto)]]</f>
        <v>0</v>
      </c>
      <c r="AC314" s="90">
        <f>IF(AB314&gt;0,Ruimtestaat[[#This Row],[Prest. (m2 /jaar) weekend]]/Ruimtestaat[[#This Row],[Norm (m2/uur) weekend]],0)</f>
        <v>0</v>
      </c>
      <c r="AD314" s="91">
        <f>Ruimtestaat[[#This Row],[uren / jaar weekend]]*Tariefsopbouw!$D$40</f>
        <v>0</v>
      </c>
      <c r="AE314" s="60">
        <f>Ruimtestaat[[#This Row],[Prest. (m2 /jaar) weekend]]+Ruimtestaat[[#This Row],[Prest. (m2 /jaar) werkdagen]]</f>
        <v>16470</v>
      </c>
      <c r="AF314" s="60">
        <f>Ruimtestaat[[#This Row],[uren / jaar weekend]]+Ruimtestaat[[#This Row],[uren / jaar werkdagen]]</f>
        <v>0</v>
      </c>
      <c r="AG314" s="61">
        <f>Ruimtestaat[[#This Row],[kosten / jaar weekend]]+Ruimtestaat[[#This Row],[kosten / jaar werkdagen]]</f>
        <v>0</v>
      </c>
      <c r="AH314" s="92"/>
      <c r="HL314" s="59"/>
    </row>
    <row r="315" spans="1:220">
      <c r="A315" s="24">
        <v>2</v>
      </c>
      <c r="B315" s="24" t="str">
        <f>VLOOKUP(Ruimtestaat[[#This Row],[Code]],Locaties[#All],2,FALSE)</f>
        <v>Het Stormink</v>
      </c>
      <c r="C315" s="24" t="str">
        <f>VLOOKUP(Ruimtestaat[[#This Row],[Code]],Locaties[#All],4,FALSE)</f>
        <v>Storminkstraat 1</v>
      </c>
      <c r="D315" s="24" t="str">
        <f>VLOOKUP(Ruimtestaat[[#This Row],[Code]],Locaties[#All],5,FALSE)</f>
        <v>7418 GH</v>
      </c>
      <c r="E315" s="24" t="str">
        <f>VLOOKUP(Ruimtestaat[[#This Row],[Code]],Locaties[#All],6,FALSE)</f>
        <v>Deventer</v>
      </c>
      <c r="F315" s="54"/>
      <c r="G315" s="24" t="s">
        <v>512</v>
      </c>
      <c r="H315" s="24" t="s">
        <v>737</v>
      </c>
      <c r="I315" s="4" t="s">
        <v>487</v>
      </c>
      <c r="J315" s="24">
        <v>6</v>
      </c>
      <c r="K315" s="54" t="str">
        <f>VLOOKUP(J315,Ruimtegroepen[],2,FALSE)</f>
        <v>Gangen/hallen</v>
      </c>
      <c r="L315" s="24" t="s">
        <v>300</v>
      </c>
      <c r="M315" s="24" t="s">
        <v>157</v>
      </c>
      <c r="N315" s="83">
        <v>55.9</v>
      </c>
      <c r="O315" s="83"/>
      <c r="P315" s="93" t="str">
        <f>LEFT(VLOOKUP(Ruimtestaat[[#This Row],[Ruimte code]],Ruimtegroepen[#All],4,1),2)</f>
        <v>Ve</v>
      </c>
      <c r="Q315" s="93"/>
      <c r="R315" s="84">
        <v>40</v>
      </c>
      <c r="S315" s="84" t="s">
        <v>318</v>
      </c>
      <c r="T315" s="85">
        <f>IF(R315&gt;0,IF(RIGHT(Ruimtestaat[[#This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5" s="85">
        <f>IF(T315&gt;0,VLOOKUP($J315,Ruimtegroepen[],3,FALSE)*VLOOKUP($L315,Vloersoorten[],3,FALSE)*VLOOKUP($S315,Frequenties[],3,FALSE)*VLOOKUP($A315,Locaties[],3,FALSE),0)</f>
        <v>0</v>
      </c>
      <c r="V315" s="86">
        <f>Ruimtestaat[[#This Row],[Uitvoeringen werkdagen]]*Ruimtestaat[[#This Row],[Oppervlak (netto)]]</f>
        <v>11180</v>
      </c>
      <c r="W315" s="87">
        <f>IF(U315&gt;0,Ruimtestaat[[#This Row],[Prest. (m2 /jaar) werkdagen]]/Ruimtestaat[[#This Row],[Norm (m2/uur) werkdagen]],0)</f>
        <v>0</v>
      </c>
      <c r="X315" s="88">
        <f>Ruimtestaat[[#This Row],[uren / jaar werkdagen]]*Tariefsopbouw!$E$35</f>
        <v>0</v>
      </c>
      <c r="Y315" s="85"/>
      <c r="Z315" s="89">
        <f>IF(Ruimtestaat[[#This Row],[Frequentie weekend]]&gt;0,VALUE(LEFT(Y315,1))*R315,0)</f>
        <v>0</v>
      </c>
      <c r="AA315" s="85">
        <f>IF($Z315&gt;0,VLOOKUP($J315,Ruimtegroepen[],3,FALSE)*VLOOKUP($L315,Vloersoorten[],3,FALSE)*VLOOKUP($Y315,Frequenties[],3,FALSE)*VLOOKUP(#REF!,Locaties[],3,FALSE),0)</f>
        <v>0</v>
      </c>
      <c r="AB315" s="87">
        <f>Ruimtestaat[[#This Row],[Uitvoeringen weekend]]*Ruimtestaat[[#This Row],[Oppervlak (netto)]]</f>
        <v>0</v>
      </c>
      <c r="AC315" s="90">
        <f>IF(AB315&gt;0,Ruimtestaat[[#This Row],[Prest. (m2 /jaar) weekend]]/Ruimtestaat[[#This Row],[Norm (m2/uur) weekend]],0)</f>
        <v>0</v>
      </c>
      <c r="AD315" s="91">
        <f>Ruimtestaat[[#This Row],[uren / jaar weekend]]*Tariefsopbouw!$D$40</f>
        <v>0</v>
      </c>
      <c r="AE315" s="60">
        <f>Ruimtestaat[[#This Row],[Prest. (m2 /jaar) weekend]]+Ruimtestaat[[#This Row],[Prest. (m2 /jaar) werkdagen]]</f>
        <v>11180</v>
      </c>
      <c r="AF315" s="60">
        <f>Ruimtestaat[[#This Row],[uren / jaar weekend]]+Ruimtestaat[[#This Row],[uren / jaar werkdagen]]</f>
        <v>0</v>
      </c>
      <c r="AG315" s="61">
        <f>Ruimtestaat[[#This Row],[kosten / jaar weekend]]+Ruimtestaat[[#This Row],[kosten / jaar werkdagen]]</f>
        <v>0</v>
      </c>
      <c r="AH315" s="92"/>
      <c r="HL315" s="59"/>
    </row>
    <row r="316" spans="1:220">
      <c r="A316" s="24">
        <v>2</v>
      </c>
      <c r="B316" s="24" t="str">
        <f>VLOOKUP(Ruimtestaat[[#This Row],[Code]],Locaties[#All],2,FALSE)</f>
        <v>Het Stormink</v>
      </c>
      <c r="C316" s="24" t="str">
        <f>VLOOKUP(Ruimtestaat[[#This Row],[Code]],Locaties[#All],4,FALSE)</f>
        <v>Storminkstraat 1</v>
      </c>
      <c r="D316" s="24" t="str">
        <f>VLOOKUP(Ruimtestaat[[#This Row],[Code]],Locaties[#All],5,FALSE)</f>
        <v>7418 GH</v>
      </c>
      <c r="E316" s="24" t="str">
        <f>VLOOKUP(Ruimtestaat[[#This Row],[Code]],Locaties[#All],6,FALSE)</f>
        <v>Deventer</v>
      </c>
      <c r="F316" s="54"/>
      <c r="G316" s="24" t="s">
        <v>512</v>
      </c>
      <c r="H316" s="24" t="s">
        <v>738</v>
      </c>
      <c r="I316" s="4" t="s">
        <v>739</v>
      </c>
      <c r="J316" s="24">
        <v>12</v>
      </c>
      <c r="K316" s="54" t="str">
        <f>VLOOKUP(J316,Ruimtegroepen[],2,FALSE)</f>
        <v>Kantine</v>
      </c>
      <c r="L316" s="24" t="s">
        <v>300</v>
      </c>
      <c r="M316" s="24" t="s">
        <v>157</v>
      </c>
      <c r="N316" s="83">
        <v>677.93</v>
      </c>
      <c r="O316" s="83"/>
      <c r="P316" s="93" t="str">
        <f>LEFT(VLOOKUP(Ruimtestaat[[#This Row],[Ruimte code]],Ruimtegroepen[#All],4,1),2)</f>
        <v>Ve</v>
      </c>
      <c r="Q316" s="93"/>
      <c r="R316" s="84">
        <v>40</v>
      </c>
      <c r="S316" s="84" t="s">
        <v>318</v>
      </c>
      <c r="T316" s="85">
        <f>IF(R316&gt;0,IF(RIGHT(Ruimtestaat[[#This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6" s="85">
        <f>IF(T316&gt;0,VLOOKUP($J316,Ruimtegroepen[],3,FALSE)*VLOOKUP($L316,Vloersoorten[],3,FALSE)*VLOOKUP($S316,Frequenties[],3,FALSE)*VLOOKUP($A316,Locaties[],3,FALSE),0)</f>
        <v>0</v>
      </c>
      <c r="V316" s="86">
        <f>Ruimtestaat[[#This Row],[Uitvoeringen werkdagen]]*Ruimtestaat[[#This Row],[Oppervlak (netto)]]</f>
        <v>135586</v>
      </c>
      <c r="W316" s="87">
        <f>IF(U316&gt;0,Ruimtestaat[[#This Row],[Prest. (m2 /jaar) werkdagen]]/Ruimtestaat[[#This Row],[Norm (m2/uur) werkdagen]],0)</f>
        <v>0</v>
      </c>
      <c r="X316" s="88">
        <f>Ruimtestaat[[#This Row],[uren / jaar werkdagen]]*Tariefsopbouw!$E$35</f>
        <v>0</v>
      </c>
      <c r="Y316" s="85"/>
      <c r="Z316" s="89">
        <f>IF(Ruimtestaat[[#This Row],[Frequentie weekend]]&gt;0,VALUE(LEFT(Y316,1))*R316,0)</f>
        <v>0</v>
      </c>
      <c r="AA316" s="85">
        <f>IF($Z316&gt;0,VLOOKUP($J316,Ruimtegroepen[],3,FALSE)*VLOOKUP($L316,Vloersoorten[],3,FALSE)*VLOOKUP($Y316,Frequenties[],3,FALSE)*VLOOKUP(#REF!,Locaties[],3,FALSE),0)</f>
        <v>0</v>
      </c>
      <c r="AB316" s="87">
        <f>Ruimtestaat[[#This Row],[Uitvoeringen weekend]]*Ruimtestaat[[#This Row],[Oppervlak (netto)]]</f>
        <v>0</v>
      </c>
      <c r="AC316" s="90">
        <f>IF(AB316&gt;0,Ruimtestaat[[#This Row],[Prest. (m2 /jaar) weekend]]/Ruimtestaat[[#This Row],[Norm (m2/uur) weekend]],0)</f>
        <v>0</v>
      </c>
      <c r="AD316" s="91">
        <f>Ruimtestaat[[#This Row],[uren / jaar weekend]]*Tariefsopbouw!$D$40</f>
        <v>0</v>
      </c>
      <c r="AE316" s="60">
        <f>Ruimtestaat[[#This Row],[Prest. (m2 /jaar) weekend]]+Ruimtestaat[[#This Row],[Prest. (m2 /jaar) werkdagen]]</f>
        <v>135586</v>
      </c>
      <c r="AF316" s="60">
        <f>Ruimtestaat[[#This Row],[uren / jaar weekend]]+Ruimtestaat[[#This Row],[uren / jaar werkdagen]]</f>
        <v>0</v>
      </c>
      <c r="AG316" s="61">
        <f>Ruimtestaat[[#This Row],[kosten / jaar weekend]]+Ruimtestaat[[#This Row],[kosten / jaar werkdagen]]</f>
        <v>0</v>
      </c>
      <c r="AH316" s="92"/>
      <c r="HL316" s="59"/>
    </row>
    <row r="317" spans="1:220">
      <c r="A317" s="24">
        <v>2</v>
      </c>
      <c r="B317" s="24" t="str">
        <f>VLOOKUP(Ruimtestaat[[#This Row],[Code]],Locaties[#All],2,FALSE)</f>
        <v>Het Stormink</v>
      </c>
      <c r="C317" s="24" t="str">
        <f>VLOOKUP(Ruimtestaat[[#This Row],[Code]],Locaties[#All],4,FALSE)</f>
        <v>Storminkstraat 1</v>
      </c>
      <c r="D317" s="24" t="str">
        <f>VLOOKUP(Ruimtestaat[[#This Row],[Code]],Locaties[#All],5,FALSE)</f>
        <v>7418 GH</v>
      </c>
      <c r="E317" s="24" t="str">
        <f>VLOOKUP(Ruimtestaat[[#This Row],[Code]],Locaties[#All],6,FALSE)</f>
        <v>Deventer</v>
      </c>
      <c r="F317" s="54"/>
      <c r="G317" s="24" t="s">
        <v>512</v>
      </c>
      <c r="H317" s="24" t="s">
        <v>740</v>
      </c>
      <c r="I317" s="4" t="s">
        <v>487</v>
      </c>
      <c r="J317" s="24">
        <v>6</v>
      </c>
      <c r="K317" s="54" t="str">
        <f>VLOOKUP(J317,Ruimtegroepen[],2,FALSE)</f>
        <v>Gangen/hallen</v>
      </c>
      <c r="L317" s="24" t="s">
        <v>300</v>
      </c>
      <c r="M317" s="24" t="s">
        <v>157</v>
      </c>
      <c r="N317" s="83">
        <v>166.85</v>
      </c>
      <c r="O317" s="83"/>
      <c r="P317" s="93" t="str">
        <f>LEFT(VLOOKUP(Ruimtestaat[[#This Row],[Ruimte code]],Ruimtegroepen[#All],4,1),2)</f>
        <v>Ve</v>
      </c>
      <c r="Q317" s="93"/>
      <c r="R317" s="84">
        <v>40</v>
      </c>
      <c r="S317" s="84" t="s">
        <v>318</v>
      </c>
      <c r="T317" s="85">
        <f>IF(R317&gt;0,IF(RIGHT(Ruimtestaat[[#This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7" s="85">
        <f>IF(T317&gt;0,VLOOKUP($J317,Ruimtegroepen[],3,FALSE)*VLOOKUP($L317,Vloersoorten[],3,FALSE)*VLOOKUP($S317,Frequenties[],3,FALSE)*VLOOKUP($A317,Locaties[],3,FALSE),0)</f>
        <v>0</v>
      </c>
      <c r="V317" s="86">
        <f>Ruimtestaat[[#This Row],[Uitvoeringen werkdagen]]*Ruimtestaat[[#This Row],[Oppervlak (netto)]]</f>
        <v>33370</v>
      </c>
      <c r="W317" s="87">
        <f>IF(U317&gt;0,Ruimtestaat[[#This Row],[Prest. (m2 /jaar) werkdagen]]/Ruimtestaat[[#This Row],[Norm (m2/uur) werkdagen]],0)</f>
        <v>0</v>
      </c>
      <c r="X317" s="88">
        <f>Ruimtestaat[[#This Row],[uren / jaar werkdagen]]*Tariefsopbouw!$E$35</f>
        <v>0</v>
      </c>
      <c r="Y317" s="85"/>
      <c r="Z317" s="89">
        <f>IF(Ruimtestaat[[#This Row],[Frequentie weekend]]&gt;0,VALUE(LEFT(Y317,1))*R317,0)</f>
        <v>0</v>
      </c>
      <c r="AA317" s="85">
        <f>IF($Z317&gt;0,VLOOKUP($J317,Ruimtegroepen[],3,FALSE)*VLOOKUP($L317,Vloersoorten[],3,FALSE)*VLOOKUP($Y317,Frequenties[],3,FALSE)*VLOOKUP(#REF!,Locaties[],3,FALSE),0)</f>
        <v>0</v>
      </c>
      <c r="AB317" s="87">
        <f>Ruimtestaat[[#This Row],[Uitvoeringen weekend]]*Ruimtestaat[[#This Row],[Oppervlak (netto)]]</f>
        <v>0</v>
      </c>
      <c r="AC317" s="90">
        <f>IF(AB317&gt;0,Ruimtestaat[[#This Row],[Prest. (m2 /jaar) weekend]]/Ruimtestaat[[#This Row],[Norm (m2/uur) weekend]],0)</f>
        <v>0</v>
      </c>
      <c r="AD317" s="91">
        <f>Ruimtestaat[[#This Row],[uren / jaar weekend]]*Tariefsopbouw!$D$40</f>
        <v>0</v>
      </c>
      <c r="AE317" s="60">
        <f>Ruimtestaat[[#This Row],[Prest. (m2 /jaar) weekend]]+Ruimtestaat[[#This Row],[Prest. (m2 /jaar) werkdagen]]</f>
        <v>33370</v>
      </c>
      <c r="AF317" s="60">
        <f>Ruimtestaat[[#This Row],[uren / jaar weekend]]+Ruimtestaat[[#This Row],[uren / jaar werkdagen]]</f>
        <v>0</v>
      </c>
      <c r="AG317" s="61">
        <f>Ruimtestaat[[#This Row],[kosten / jaar weekend]]+Ruimtestaat[[#This Row],[kosten / jaar werkdagen]]</f>
        <v>0</v>
      </c>
      <c r="AH317" s="92"/>
      <c r="HL317" s="59"/>
    </row>
    <row r="318" spans="1:220">
      <c r="A318" s="24">
        <v>2</v>
      </c>
      <c r="B318" s="24" t="str">
        <f>VLOOKUP(Ruimtestaat[[#This Row],[Code]],Locaties[#All],2,FALSE)</f>
        <v>Het Stormink</v>
      </c>
      <c r="C318" s="24" t="str">
        <f>VLOOKUP(Ruimtestaat[[#This Row],[Code]],Locaties[#All],4,FALSE)</f>
        <v>Storminkstraat 1</v>
      </c>
      <c r="D318" s="24" t="str">
        <f>VLOOKUP(Ruimtestaat[[#This Row],[Code]],Locaties[#All],5,FALSE)</f>
        <v>7418 GH</v>
      </c>
      <c r="E318" s="24" t="str">
        <f>VLOOKUP(Ruimtestaat[[#This Row],[Code]],Locaties[#All],6,FALSE)</f>
        <v>Deventer</v>
      </c>
      <c r="F318" s="54"/>
      <c r="G318" s="24" t="s">
        <v>512</v>
      </c>
      <c r="H318" s="24" t="s">
        <v>741</v>
      </c>
      <c r="I318" s="4" t="s">
        <v>103</v>
      </c>
      <c r="J318" s="24">
        <v>10</v>
      </c>
      <c r="K318" s="54" t="str">
        <f>VLOOKUP(J318,Ruimtegroepen[],2,FALSE)</f>
        <v>Trappenhuizen/lift</v>
      </c>
      <c r="L318" s="24" t="s">
        <v>300</v>
      </c>
      <c r="M318" s="24" t="s">
        <v>157</v>
      </c>
      <c r="N318" s="83">
        <v>6.33</v>
      </c>
      <c r="O318" s="83"/>
      <c r="P318" s="93" t="str">
        <f>LEFT(VLOOKUP(Ruimtestaat[[#This Row],[Ruimte code]],Ruimtegroepen[#All],4,1),2)</f>
        <v>Ve</v>
      </c>
      <c r="Q318" s="93"/>
      <c r="R318" s="84">
        <v>40</v>
      </c>
      <c r="S318" s="84" t="s">
        <v>318</v>
      </c>
      <c r="T318" s="85">
        <f>IF(R318&gt;0,IF(RIGHT(Ruimtestaat[[#This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8" s="85">
        <f>IF(T318&gt;0,VLOOKUP($J318,Ruimtegroepen[],3,FALSE)*VLOOKUP($L318,Vloersoorten[],3,FALSE)*VLOOKUP($S318,Frequenties[],3,FALSE)*VLOOKUP($A318,Locaties[],3,FALSE),0)</f>
        <v>0</v>
      </c>
      <c r="V318" s="86">
        <f>Ruimtestaat[[#This Row],[Uitvoeringen werkdagen]]*Ruimtestaat[[#This Row],[Oppervlak (netto)]]</f>
        <v>1266</v>
      </c>
      <c r="W318" s="87">
        <f>IF(U318&gt;0,Ruimtestaat[[#This Row],[Prest. (m2 /jaar) werkdagen]]/Ruimtestaat[[#This Row],[Norm (m2/uur) werkdagen]],0)</f>
        <v>0</v>
      </c>
      <c r="X318" s="88">
        <f>Ruimtestaat[[#This Row],[uren / jaar werkdagen]]*Tariefsopbouw!$E$35</f>
        <v>0</v>
      </c>
      <c r="Y318" s="85"/>
      <c r="Z318" s="89">
        <f>IF(Ruimtestaat[[#This Row],[Frequentie weekend]]&gt;0,VALUE(LEFT(Y318,1))*R318,0)</f>
        <v>0</v>
      </c>
      <c r="AA318" s="85">
        <f>IF($Z318&gt;0,VLOOKUP($J318,Ruimtegroepen[],3,FALSE)*VLOOKUP($L318,Vloersoorten[],3,FALSE)*VLOOKUP($Y318,Frequenties[],3,FALSE)*VLOOKUP(#REF!,Locaties[],3,FALSE),0)</f>
        <v>0</v>
      </c>
      <c r="AB318" s="87">
        <f>Ruimtestaat[[#This Row],[Uitvoeringen weekend]]*Ruimtestaat[[#This Row],[Oppervlak (netto)]]</f>
        <v>0</v>
      </c>
      <c r="AC318" s="90">
        <f>IF(AB318&gt;0,Ruimtestaat[[#This Row],[Prest. (m2 /jaar) weekend]]/Ruimtestaat[[#This Row],[Norm (m2/uur) weekend]],0)</f>
        <v>0</v>
      </c>
      <c r="AD318" s="91">
        <f>Ruimtestaat[[#This Row],[uren / jaar weekend]]*Tariefsopbouw!$D$40</f>
        <v>0</v>
      </c>
      <c r="AE318" s="60">
        <f>Ruimtestaat[[#This Row],[Prest. (m2 /jaar) weekend]]+Ruimtestaat[[#This Row],[Prest. (m2 /jaar) werkdagen]]</f>
        <v>1266</v>
      </c>
      <c r="AF318" s="60">
        <f>Ruimtestaat[[#This Row],[uren / jaar weekend]]+Ruimtestaat[[#This Row],[uren / jaar werkdagen]]</f>
        <v>0</v>
      </c>
      <c r="AG318" s="61">
        <f>Ruimtestaat[[#This Row],[kosten / jaar weekend]]+Ruimtestaat[[#This Row],[kosten / jaar werkdagen]]</f>
        <v>0</v>
      </c>
      <c r="AH318" s="92"/>
      <c r="HL318" s="59"/>
    </row>
    <row r="319" spans="1:220">
      <c r="A319" s="24">
        <v>2</v>
      </c>
      <c r="B319" s="24" t="str">
        <f>VLOOKUP(Ruimtestaat[[#This Row],[Code]],Locaties[#All],2,FALSE)</f>
        <v>Het Stormink</v>
      </c>
      <c r="C319" s="24" t="str">
        <f>VLOOKUP(Ruimtestaat[[#This Row],[Code]],Locaties[#All],4,FALSE)</f>
        <v>Storminkstraat 1</v>
      </c>
      <c r="D319" s="24" t="str">
        <f>VLOOKUP(Ruimtestaat[[#This Row],[Code]],Locaties[#All],5,FALSE)</f>
        <v>7418 GH</v>
      </c>
      <c r="E319" s="24" t="str">
        <f>VLOOKUP(Ruimtestaat[[#This Row],[Code]],Locaties[#All],6,FALSE)</f>
        <v>Deventer</v>
      </c>
      <c r="F319" s="54"/>
      <c r="G319" s="24" t="s">
        <v>512</v>
      </c>
      <c r="H319" s="24" t="s">
        <v>742</v>
      </c>
      <c r="I319" s="4" t="s">
        <v>684</v>
      </c>
      <c r="J319" s="24">
        <v>2</v>
      </c>
      <c r="K319" s="54" t="str">
        <f>VLOOKUP(J319,Ruimtegroepen[],2,FALSE)</f>
        <v>Kantoren</v>
      </c>
      <c r="L319" s="24" t="s">
        <v>300</v>
      </c>
      <c r="M319" s="24" t="s">
        <v>157</v>
      </c>
      <c r="N319" s="83">
        <v>25.25</v>
      </c>
      <c r="O319" s="83"/>
      <c r="P319" s="93" t="str">
        <f>LEFT(VLOOKUP(Ruimtestaat[[#This Row],[Ruimte code]],Ruimtegroepen[#All],4,1),2)</f>
        <v>Bu</v>
      </c>
      <c r="Q319" s="93"/>
      <c r="R319" s="84">
        <v>42</v>
      </c>
      <c r="S319" s="84" t="s">
        <v>322</v>
      </c>
      <c r="T319" s="85">
        <f>IF(R319&gt;0,IF(RIGHT(Ruimtestaat[[#This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19" s="85">
        <f>IF(T319&gt;0,VLOOKUP($J319,Ruimtegroepen[],3,FALSE)*VLOOKUP($L319,Vloersoorten[],3,FALSE)*VLOOKUP($S319,Frequenties[],3,FALSE)*VLOOKUP($A319,Locaties[],3,FALSE),0)</f>
        <v>0</v>
      </c>
      <c r="V319" s="86">
        <f>Ruimtestaat[[#This Row],[Uitvoeringen werkdagen]]*Ruimtestaat[[#This Row],[Oppervlak (netto)]]</f>
        <v>3181.5</v>
      </c>
      <c r="W319" s="87">
        <f>IF(U319&gt;0,Ruimtestaat[[#This Row],[Prest. (m2 /jaar) werkdagen]]/Ruimtestaat[[#This Row],[Norm (m2/uur) werkdagen]],0)</f>
        <v>0</v>
      </c>
      <c r="X319" s="88">
        <f>Ruimtestaat[[#This Row],[uren / jaar werkdagen]]*Tariefsopbouw!$E$35</f>
        <v>0</v>
      </c>
      <c r="Y319" s="85"/>
      <c r="Z319" s="89">
        <f>IF(Ruimtestaat[[#This Row],[Frequentie weekend]]&gt;0,VALUE(LEFT(Y319,1))*R319,0)</f>
        <v>0</v>
      </c>
      <c r="AA319" s="85">
        <f>IF($Z319&gt;0,VLOOKUP($J319,Ruimtegroepen[],3,FALSE)*VLOOKUP($L319,Vloersoorten[],3,FALSE)*VLOOKUP($Y319,Frequenties[],3,FALSE)*VLOOKUP(#REF!,Locaties[],3,FALSE),0)</f>
        <v>0</v>
      </c>
      <c r="AB319" s="87">
        <f>Ruimtestaat[[#This Row],[Uitvoeringen weekend]]*Ruimtestaat[[#This Row],[Oppervlak (netto)]]</f>
        <v>0</v>
      </c>
      <c r="AC319" s="90">
        <f>IF(AB319&gt;0,Ruimtestaat[[#This Row],[Prest. (m2 /jaar) weekend]]/Ruimtestaat[[#This Row],[Norm (m2/uur) weekend]],0)</f>
        <v>0</v>
      </c>
      <c r="AD319" s="91">
        <f>Ruimtestaat[[#This Row],[uren / jaar weekend]]*Tariefsopbouw!$D$40</f>
        <v>0</v>
      </c>
      <c r="AE319" s="60">
        <f>Ruimtestaat[[#This Row],[Prest. (m2 /jaar) weekend]]+Ruimtestaat[[#This Row],[Prest. (m2 /jaar) werkdagen]]</f>
        <v>3181.5</v>
      </c>
      <c r="AF319" s="60">
        <f>Ruimtestaat[[#This Row],[uren / jaar weekend]]+Ruimtestaat[[#This Row],[uren / jaar werkdagen]]</f>
        <v>0</v>
      </c>
      <c r="AG319" s="61">
        <f>Ruimtestaat[[#This Row],[kosten / jaar weekend]]+Ruimtestaat[[#This Row],[kosten / jaar werkdagen]]</f>
        <v>0</v>
      </c>
      <c r="AH319" s="92"/>
      <c r="HL319" s="59"/>
    </row>
    <row r="320" spans="1:220">
      <c r="A320" s="24">
        <v>2</v>
      </c>
      <c r="B320" s="24" t="str">
        <f>VLOOKUP(Ruimtestaat[[#This Row],[Code]],Locaties[#All],2,FALSE)</f>
        <v>Het Stormink</v>
      </c>
      <c r="C320" s="24" t="str">
        <f>VLOOKUP(Ruimtestaat[[#This Row],[Code]],Locaties[#All],4,FALSE)</f>
        <v>Storminkstraat 1</v>
      </c>
      <c r="D320" s="24" t="str">
        <f>VLOOKUP(Ruimtestaat[[#This Row],[Code]],Locaties[#All],5,FALSE)</f>
        <v>7418 GH</v>
      </c>
      <c r="E320" s="24" t="str">
        <f>VLOOKUP(Ruimtestaat[[#This Row],[Code]],Locaties[#All],6,FALSE)</f>
        <v>Deventer</v>
      </c>
      <c r="F320" s="54"/>
      <c r="G320" s="24" t="s">
        <v>512</v>
      </c>
      <c r="H320" s="24" t="s">
        <v>743</v>
      </c>
      <c r="I320" s="4" t="s">
        <v>384</v>
      </c>
      <c r="J320" s="24">
        <v>4</v>
      </c>
      <c r="K320" s="54" t="str">
        <f>VLOOKUP(J320,Ruimtegroepen[],2,FALSE)</f>
        <v>Vergader/spreekkamers</v>
      </c>
      <c r="L320" s="24" t="s">
        <v>300</v>
      </c>
      <c r="M320" s="24" t="s">
        <v>157</v>
      </c>
      <c r="N320" s="83">
        <v>12.61</v>
      </c>
      <c r="O320" s="83"/>
      <c r="P320" s="93" t="str">
        <f>LEFT(VLOOKUP(Ruimtestaat[[#This Row],[Ruimte code]],Ruimtegroepen[#All],4,1),2)</f>
        <v>Bu</v>
      </c>
      <c r="Q320" s="93"/>
      <c r="R320" s="84">
        <v>40</v>
      </c>
      <c r="S320" s="84" t="s">
        <v>322</v>
      </c>
      <c r="T320" s="85">
        <f>IF(R320&gt;0,IF(RIGHT(Ruimtestaat[[#This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20" s="85">
        <f>IF(T320&gt;0,VLOOKUP($J320,Ruimtegroepen[],3,FALSE)*VLOOKUP($L320,Vloersoorten[],3,FALSE)*VLOOKUP($S320,Frequenties[],3,FALSE)*VLOOKUP($A320,Locaties[],3,FALSE),0)</f>
        <v>0</v>
      </c>
      <c r="V320" s="86">
        <f>Ruimtestaat[[#This Row],[Uitvoeringen werkdagen]]*Ruimtestaat[[#This Row],[Oppervlak (netto)]]</f>
        <v>1513.1999999999998</v>
      </c>
      <c r="W320" s="87">
        <f>IF(U320&gt;0,Ruimtestaat[[#This Row],[Prest. (m2 /jaar) werkdagen]]/Ruimtestaat[[#This Row],[Norm (m2/uur) werkdagen]],0)</f>
        <v>0</v>
      </c>
      <c r="X320" s="88">
        <f>Ruimtestaat[[#This Row],[uren / jaar werkdagen]]*Tariefsopbouw!$E$35</f>
        <v>0</v>
      </c>
      <c r="Y320" s="85"/>
      <c r="Z320" s="89">
        <f>IF(Ruimtestaat[[#This Row],[Frequentie weekend]]&gt;0,VALUE(LEFT(Y320,1))*R320,0)</f>
        <v>0</v>
      </c>
      <c r="AA320" s="85">
        <f>IF($Z320&gt;0,VLOOKUP($J320,Ruimtegroepen[],3,FALSE)*VLOOKUP($L320,Vloersoorten[],3,FALSE)*VLOOKUP($Y320,Frequenties[],3,FALSE)*VLOOKUP(#REF!,Locaties[],3,FALSE),0)</f>
        <v>0</v>
      </c>
      <c r="AB320" s="87">
        <f>Ruimtestaat[[#This Row],[Uitvoeringen weekend]]*Ruimtestaat[[#This Row],[Oppervlak (netto)]]</f>
        <v>0</v>
      </c>
      <c r="AC320" s="90">
        <f>IF(AB320&gt;0,Ruimtestaat[[#This Row],[Prest. (m2 /jaar) weekend]]/Ruimtestaat[[#This Row],[Norm (m2/uur) weekend]],0)</f>
        <v>0</v>
      </c>
      <c r="AD320" s="91">
        <f>Ruimtestaat[[#This Row],[uren / jaar weekend]]*Tariefsopbouw!$D$40</f>
        <v>0</v>
      </c>
      <c r="AE320" s="60">
        <f>Ruimtestaat[[#This Row],[Prest. (m2 /jaar) weekend]]+Ruimtestaat[[#This Row],[Prest. (m2 /jaar) werkdagen]]</f>
        <v>1513.1999999999998</v>
      </c>
      <c r="AF320" s="60">
        <f>Ruimtestaat[[#This Row],[uren / jaar weekend]]+Ruimtestaat[[#This Row],[uren / jaar werkdagen]]</f>
        <v>0</v>
      </c>
      <c r="AG320" s="61">
        <f>Ruimtestaat[[#This Row],[kosten / jaar weekend]]+Ruimtestaat[[#This Row],[kosten / jaar werkdagen]]</f>
        <v>0</v>
      </c>
      <c r="AH320" s="92"/>
      <c r="HL320" s="59"/>
    </row>
    <row r="321" spans="1:220">
      <c r="A321" s="24">
        <v>2</v>
      </c>
      <c r="B321" s="24" t="str">
        <f>VLOOKUP(Ruimtestaat[[#This Row],[Code]],Locaties[#All],2,FALSE)</f>
        <v>Het Stormink</v>
      </c>
      <c r="C321" s="24" t="str">
        <f>VLOOKUP(Ruimtestaat[[#This Row],[Code]],Locaties[#All],4,FALSE)</f>
        <v>Storminkstraat 1</v>
      </c>
      <c r="D321" s="24" t="str">
        <f>VLOOKUP(Ruimtestaat[[#This Row],[Code]],Locaties[#All],5,FALSE)</f>
        <v>7418 GH</v>
      </c>
      <c r="E321" s="24" t="str">
        <f>VLOOKUP(Ruimtestaat[[#This Row],[Code]],Locaties[#All],6,FALSE)</f>
        <v>Deventer</v>
      </c>
      <c r="F321" s="54"/>
      <c r="G321" s="24" t="s">
        <v>512</v>
      </c>
      <c r="H321" s="24" t="s">
        <v>744</v>
      </c>
      <c r="I321" s="4" t="s">
        <v>685</v>
      </c>
      <c r="J321" s="24">
        <v>2</v>
      </c>
      <c r="K321" s="54" t="str">
        <f>VLOOKUP(J321,Ruimtegroepen[],2,FALSE)</f>
        <v>Kantoren</v>
      </c>
      <c r="L321" s="24" t="s">
        <v>300</v>
      </c>
      <c r="M321" s="24" t="s">
        <v>157</v>
      </c>
      <c r="N321" s="83">
        <v>12.61</v>
      </c>
      <c r="O321" s="83"/>
      <c r="P321" s="93" t="str">
        <f>LEFT(VLOOKUP(Ruimtestaat[[#This Row],[Ruimte code]],Ruimtegroepen[#All],4,1),2)</f>
        <v>Bu</v>
      </c>
      <c r="Q321" s="93"/>
      <c r="R321" s="84">
        <v>42</v>
      </c>
      <c r="S321" s="84" t="s">
        <v>322</v>
      </c>
      <c r="T321" s="85">
        <f>IF(R321&gt;0,IF(RIGHT(Ruimtestaat[[#This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21" s="85">
        <f>IF(T321&gt;0,VLOOKUP($J321,Ruimtegroepen[],3,FALSE)*VLOOKUP($L321,Vloersoorten[],3,FALSE)*VLOOKUP($S321,Frequenties[],3,FALSE)*VLOOKUP($A321,Locaties[],3,FALSE),0)</f>
        <v>0</v>
      </c>
      <c r="V321" s="86">
        <f>Ruimtestaat[[#This Row],[Uitvoeringen werkdagen]]*Ruimtestaat[[#This Row],[Oppervlak (netto)]]</f>
        <v>1588.86</v>
      </c>
      <c r="W321" s="87">
        <f>IF(U321&gt;0,Ruimtestaat[[#This Row],[Prest. (m2 /jaar) werkdagen]]/Ruimtestaat[[#This Row],[Norm (m2/uur) werkdagen]],0)</f>
        <v>0</v>
      </c>
      <c r="X321" s="88">
        <f>Ruimtestaat[[#This Row],[uren / jaar werkdagen]]*Tariefsopbouw!$E$35</f>
        <v>0</v>
      </c>
      <c r="Y321" s="85"/>
      <c r="Z321" s="89">
        <f>IF(Ruimtestaat[[#This Row],[Frequentie weekend]]&gt;0,VALUE(LEFT(Y321,1))*R321,0)</f>
        <v>0</v>
      </c>
      <c r="AA321" s="85">
        <f>IF($Z321&gt;0,VLOOKUP($J321,Ruimtegroepen[],3,FALSE)*VLOOKUP($L321,Vloersoorten[],3,FALSE)*VLOOKUP($Y321,Frequenties[],3,FALSE)*VLOOKUP(#REF!,Locaties[],3,FALSE),0)</f>
        <v>0</v>
      </c>
      <c r="AB321" s="87">
        <f>Ruimtestaat[[#This Row],[Uitvoeringen weekend]]*Ruimtestaat[[#This Row],[Oppervlak (netto)]]</f>
        <v>0</v>
      </c>
      <c r="AC321" s="90">
        <f>IF(AB321&gt;0,Ruimtestaat[[#This Row],[Prest. (m2 /jaar) weekend]]/Ruimtestaat[[#This Row],[Norm (m2/uur) weekend]],0)</f>
        <v>0</v>
      </c>
      <c r="AD321" s="91">
        <f>Ruimtestaat[[#This Row],[uren / jaar weekend]]*Tariefsopbouw!$D$40</f>
        <v>0</v>
      </c>
      <c r="AE321" s="60">
        <f>Ruimtestaat[[#This Row],[Prest. (m2 /jaar) weekend]]+Ruimtestaat[[#This Row],[Prest. (m2 /jaar) werkdagen]]</f>
        <v>1588.86</v>
      </c>
      <c r="AF321" s="60">
        <f>Ruimtestaat[[#This Row],[uren / jaar weekend]]+Ruimtestaat[[#This Row],[uren / jaar werkdagen]]</f>
        <v>0</v>
      </c>
      <c r="AG321" s="61">
        <f>Ruimtestaat[[#This Row],[kosten / jaar weekend]]+Ruimtestaat[[#This Row],[kosten / jaar werkdagen]]</f>
        <v>0</v>
      </c>
      <c r="AH321" s="92"/>
      <c r="HL321" s="59"/>
    </row>
    <row r="322" spans="1:220">
      <c r="A322" s="24">
        <v>2</v>
      </c>
      <c r="B322" s="24" t="str">
        <f>VLOOKUP(Ruimtestaat[[#This Row],[Code]],Locaties[#All],2,FALSE)</f>
        <v>Het Stormink</v>
      </c>
      <c r="C322" s="24" t="str">
        <f>VLOOKUP(Ruimtestaat[[#This Row],[Code]],Locaties[#All],4,FALSE)</f>
        <v>Storminkstraat 1</v>
      </c>
      <c r="D322" s="24" t="str">
        <f>VLOOKUP(Ruimtestaat[[#This Row],[Code]],Locaties[#All],5,FALSE)</f>
        <v>7418 GH</v>
      </c>
      <c r="E322" s="24" t="str">
        <f>VLOOKUP(Ruimtestaat[[#This Row],[Code]],Locaties[#All],6,FALSE)</f>
        <v>Deventer</v>
      </c>
      <c r="F322" s="54"/>
      <c r="G322" s="24" t="s">
        <v>512</v>
      </c>
      <c r="H322" s="24" t="s">
        <v>745</v>
      </c>
      <c r="I322" s="4" t="s">
        <v>746</v>
      </c>
      <c r="J322" s="24">
        <v>2</v>
      </c>
      <c r="K322" s="54" t="str">
        <f>VLOOKUP(J322,Ruimtegroepen[],2,FALSE)</f>
        <v>Kantoren</v>
      </c>
      <c r="L322" s="24" t="s">
        <v>300</v>
      </c>
      <c r="M322" s="24" t="s">
        <v>157</v>
      </c>
      <c r="N322" s="83">
        <v>25.72</v>
      </c>
      <c r="O322" s="83"/>
      <c r="P322" s="93" t="str">
        <f>LEFT(VLOOKUP(Ruimtestaat[[#This Row],[Ruimte code]],Ruimtegroepen[#All],4,1),2)</f>
        <v>Bu</v>
      </c>
      <c r="Q322" s="93"/>
      <c r="R322" s="84">
        <v>42</v>
      </c>
      <c r="S322" s="84" t="s">
        <v>322</v>
      </c>
      <c r="T322" s="85">
        <f>IF(R322&gt;0,IF(RIGHT(Ruimtestaat[[#This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22" s="85">
        <f>IF(T322&gt;0,VLOOKUP($J322,Ruimtegroepen[],3,FALSE)*VLOOKUP($L322,Vloersoorten[],3,FALSE)*VLOOKUP($S322,Frequenties[],3,FALSE)*VLOOKUP($A322,Locaties[],3,FALSE),0)</f>
        <v>0</v>
      </c>
      <c r="V322" s="86">
        <f>Ruimtestaat[[#This Row],[Uitvoeringen werkdagen]]*Ruimtestaat[[#This Row],[Oppervlak (netto)]]</f>
        <v>3240.72</v>
      </c>
      <c r="W322" s="87">
        <f>IF(U322&gt;0,Ruimtestaat[[#This Row],[Prest. (m2 /jaar) werkdagen]]/Ruimtestaat[[#This Row],[Norm (m2/uur) werkdagen]],0)</f>
        <v>0</v>
      </c>
      <c r="X322" s="88">
        <f>Ruimtestaat[[#This Row],[uren / jaar werkdagen]]*Tariefsopbouw!$E$35</f>
        <v>0</v>
      </c>
      <c r="Y322" s="85"/>
      <c r="Z322" s="89">
        <f>IF(Ruimtestaat[[#This Row],[Frequentie weekend]]&gt;0,VALUE(LEFT(Y322,1))*R322,0)</f>
        <v>0</v>
      </c>
      <c r="AA322" s="85">
        <f>IF($Z322&gt;0,VLOOKUP($J322,Ruimtegroepen[],3,FALSE)*VLOOKUP($L322,Vloersoorten[],3,FALSE)*VLOOKUP($Y322,Frequenties[],3,FALSE)*VLOOKUP(#REF!,Locaties[],3,FALSE),0)</f>
        <v>0</v>
      </c>
      <c r="AB322" s="87">
        <f>Ruimtestaat[[#This Row],[Uitvoeringen weekend]]*Ruimtestaat[[#This Row],[Oppervlak (netto)]]</f>
        <v>0</v>
      </c>
      <c r="AC322" s="90">
        <f>IF(AB322&gt;0,Ruimtestaat[[#This Row],[Prest. (m2 /jaar) weekend]]/Ruimtestaat[[#This Row],[Norm (m2/uur) weekend]],0)</f>
        <v>0</v>
      </c>
      <c r="AD322" s="91">
        <f>Ruimtestaat[[#This Row],[uren / jaar weekend]]*Tariefsopbouw!$D$40</f>
        <v>0</v>
      </c>
      <c r="AE322" s="60">
        <f>Ruimtestaat[[#This Row],[Prest. (m2 /jaar) weekend]]+Ruimtestaat[[#This Row],[Prest. (m2 /jaar) werkdagen]]</f>
        <v>3240.72</v>
      </c>
      <c r="AF322" s="60">
        <f>Ruimtestaat[[#This Row],[uren / jaar weekend]]+Ruimtestaat[[#This Row],[uren / jaar werkdagen]]</f>
        <v>0</v>
      </c>
      <c r="AG322" s="61">
        <f>Ruimtestaat[[#This Row],[kosten / jaar weekend]]+Ruimtestaat[[#This Row],[kosten / jaar werkdagen]]</f>
        <v>0</v>
      </c>
      <c r="AH322" s="92"/>
      <c r="HL322" s="59"/>
    </row>
    <row r="323" spans="1:220">
      <c r="A323" s="24">
        <v>2</v>
      </c>
      <c r="B323" s="24" t="str">
        <f>VLOOKUP(Ruimtestaat[[#This Row],[Code]],Locaties[#All],2,FALSE)</f>
        <v>Het Stormink</v>
      </c>
      <c r="C323" s="24" t="str">
        <f>VLOOKUP(Ruimtestaat[[#This Row],[Code]],Locaties[#All],4,FALSE)</f>
        <v>Storminkstraat 1</v>
      </c>
      <c r="D323" s="24" t="str">
        <f>VLOOKUP(Ruimtestaat[[#This Row],[Code]],Locaties[#All],5,FALSE)</f>
        <v>7418 GH</v>
      </c>
      <c r="E323" s="24" t="str">
        <f>VLOOKUP(Ruimtestaat[[#This Row],[Code]],Locaties[#All],6,FALSE)</f>
        <v>Deventer</v>
      </c>
      <c r="F323" s="54"/>
      <c r="G323" s="24" t="s">
        <v>512</v>
      </c>
      <c r="H323" s="24" t="s">
        <v>747</v>
      </c>
      <c r="I323" s="4" t="s">
        <v>709</v>
      </c>
      <c r="J323" s="24">
        <v>16</v>
      </c>
      <c r="K323" s="54" t="str">
        <f>VLOOKUP(J323,Ruimtegroepen[],2,FALSE)</f>
        <v>Leslokalen theorie</v>
      </c>
      <c r="L323" s="24" t="s">
        <v>300</v>
      </c>
      <c r="M323" s="24" t="s">
        <v>157</v>
      </c>
      <c r="N323" s="83">
        <v>58.8</v>
      </c>
      <c r="O323" s="83"/>
      <c r="P323" s="93" t="str">
        <f>LEFT(VLOOKUP(Ruimtestaat[[#This Row],[Ruimte code]],Ruimtegroepen[#All],4,1),2)</f>
        <v>Le</v>
      </c>
      <c r="Q323" s="93"/>
      <c r="R323" s="84">
        <v>40</v>
      </c>
      <c r="S323" s="84" t="s">
        <v>318</v>
      </c>
      <c r="T323" s="85">
        <f>IF(R323&gt;0,IF(RIGHT(Ruimtestaat[[#This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3" s="85">
        <f>IF(T323&gt;0,VLOOKUP($J323,Ruimtegroepen[],3,FALSE)*VLOOKUP($L323,Vloersoorten[],3,FALSE)*VLOOKUP($S323,Frequenties[],3,FALSE)*VLOOKUP($A323,Locaties[],3,FALSE),0)</f>
        <v>0</v>
      </c>
      <c r="V323" s="86">
        <f>Ruimtestaat[[#This Row],[Uitvoeringen werkdagen]]*Ruimtestaat[[#This Row],[Oppervlak (netto)]]</f>
        <v>11760</v>
      </c>
      <c r="W323" s="87">
        <f>IF(U323&gt;0,Ruimtestaat[[#This Row],[Prest. (m2 /jaar) werkdagen]]/Ruimtestaat[[#This Row],[Norm (m2/uur) werkdagen]],0)</f>
        <v>0</v>
      </c>
      <c r="X323" s="88">
        <f>Ruimtestaat[[#This Row],[uren / jaar werkdagen]]*Tariefsopbouw!$E$35</f>
        <v>0</v>
      </c>
      <c r="Y323" s="85"/>
      <c r="Z323" s="89">
        <f>IF(Ruimtestaat[[#This Row],[Frequentie weekend]]&gt;0,VALUE(LEFT(Y323,1))*R323,0)</f>
        <v>0</v>
      </c>
      <c r="AA323" s="85">
        <f>IF($Z323&gt;0,VLOOKUP($J323,Ruimtegroepen[],3,FALSE)*VLOOKUP($L323,Vloersoorten[],3,FALSE)*VLOOKUP($Y323,Frequenties[],3,FALSE)*VLOOKUP(#REF!,Locaties[],3,FALSE),0)</f>
        <v>0</v>
      </c>
      <c r="AB323" s="87">
        <f>Ruimtestaat[[#This Row],[Uitvoeringen weekend]]*Ruimtestaat[[#This Row],[Oppervlak (netto)]]</f>
        <v>0</v>
      </c>
      <c r="AC323" s="90">
        <f>IF(AB323&gt;0,Ruimtestaat[[#This Row],[Prest. (m2 /jaar) weekend]]/Ruimtestaat[[#This Row],[Norm (m2/uur) weekend]],0)</f>
        <v>0</v>
      </c>
      <c r="AD323" s="91">
        <f>Ruimtestaat[[#This Row],[uren / jaar weekend]]*Tariefsopbouw!$D$40</f>
        <v>0</v>
      </c>
      <c r="AE323" s="60">
        <f>Ruimtestaat[[#This Row],[Prest. (m2 /jaar) weekend]]+Ruimtestaat[[#This Row],[Prest. (m2 /jaar) werkdagen]]</f>
        <v>11760</v>
      </c>
      <c r="AF323" s="60">
        <f>Ruimtestaat[[#This Row],[uren / jaar weekend]]+Ruimtestaat[[#This Row],[uren / jaar werkdagen]]</f>
        <v>0</v>
      </c>
      <c r="AG323" s="61">
        <f>Ruimtestaat[[#This Row],[kosten / jaar weekend]]+Ruimtestaat[[#This Row],[kosten / jaar werkdagen]]</f>
        <v>0</v>
      </c>
      <c r="AH323" s="92"/>
      <c r="HL323" s="59"/>
    </row>
    <row r="324" spans="1:220">
      <c r="A324" s="24">
        <v>2</v>
      </c>
      <c r="B324" s="24" t="str">
        <f>VLOOKUP(Ruimtestaat[[#This Row],[Code]],Locaties[#All],2,FALSE)</f>
        <v>Het Stormink</v>
      </c>
      <c r="C324" s="24" t="str">
        <f>VLOOKUP(Ruimtestaat[[#This Row],[Code]],Locaties[#All],4,FALSE)</f>
        <v>Storminkstraat 1</v>
      </c>
      <c r="D324" s="24" t="str">
        <f>VLOOKUP(Ruimtestaat[[#This Row],[Code]],Locaties[#All],5,FALSE)</f>
        <v>7418 GH</v>
      </c>
      <c r="E324" s="24" t="str">
        <f>VLOOKUP(Ruimtestaat[[#This Row],[Code]],Locaties[#All],6,FALSE)</f>
        <v>Deventer</v>
      </c>
      <c r="F324" s="54"/>
      <c r="G324" s="24" t="s">
        <v>512</v>
      </c>
      <c r="H324" s="24" t="s">
        <v>748</v>
      </c>
      <c r="I324" s="4" t="s">
        <v>709</v>
      </c>
      <c r="J324" s="24">
        <v>16</v>
      </c>
      <c r="K324" s="54" t="str">
        <f>VLOOKUP(J324,Ruimtegroepen[],2,FALSE)</f>
        <v>Leslokalen theorie</v>
      </c>
      <c r="L324" s="24" t="s">
        <v>300</v>
      </c>
      <c r="M324" s="24" t="s">
        <v>157</v>
      </c>
      <c r="N324" s="83">
        <v>58.52</v>
      </c>
      <c r="O324" s="83"/>
      <c r="P324" s="93" t="str">
        <f>LEFT(VLOOKUP(Ruimtestaat[[#This Row],[Ruimte code]],Ruimtegroepen[#All],4,1),2)</f>
        <v>Le</v>
      </c>
      <c r="Q324" s="93"/>
      <c r="R324" s="84">
        <v>40</v>
      </c>
      <c r="S324" s="84" t="s">
        <v>318</v>
      </c>
      <c r="T324" s="85">
        <f>IF(R324&gt;0,IF(RIGHT(Ruimtestaat[[#This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4" s="85">
        <f>IF(T324&gt;0,VLOOKUP($J324,Ruimtegroepen[],3,FALSE)*VLOOKUP($L324,Vloersoorten[],3,FALSE)*VLOOKUP($S324,Frequenties[],3,FALSE)*VLOOKUP($A324,Locaties[],3,FALSE),0)</f>
        <v>0</v>
      </c>
      <c r="V324" s="86">
        <f>Ruimtestaat[[#This Row],[Uitvoeringen werkdagen]]*Ruimtestaat[[#This Row],[Oppervlak (netto)]]</f>
        <v>11704</v>
      </c>
      <c r="W324" s="87">
        <f>IF(U324&gt;0,Ruimtestaat[[#This Row],[Prest. (m2 /jaar) werkdagen]]/Ruimtestaat[[#This Row],[Norm (m2/uur) werkdagen]],0)</f>
        <v>0</v>
      </c>
      <c r="X324" s="88">
        <f>Ruimtestaat[[#This Row],[uren / jaar werkdagen]]*Tariefsopbouw!$E$35</f>
        <v>0</v>
      </c>
      <c r="Y324" s="85"/>
      <c r="Z324" s="89">
        <f>IF(Ruimtestaat[[#This Row],[Frequentie weekend]]&gt;0,VALUE(LEFT(Y324,1))*R324,0)</f>
        <v>0</v>
      </c>
      <c r="AA324" s="85">
        <f>IF($Z324&gt;0,VLOOKUP($J324,Ruimtegroepen[],3,FALSE)*VLOOKUP($L324,Vloersoorten[],3,FALSE)*VLOOKUP($Y324,Frequenties[],3,FALSE)*VLOOKUP(#REF!,Locaties[],3,FALSE),0)</f>
        <v>0</v>
      </c>
      <c r="AB324" s="87">
        <f>Ruimtestaat[[#This Row],[Uitvoeringen weekend]]*Ruimtestaat[[#This Row],[Oppervlak (netto)]]</f>
        <v>0</v>
      </c>
      <c r="AC324" s="90">
        <f>IF(AB324&gt;0,Ruimtestaat[[#This Row],[Prest. (m2 /jaar) weekend]]/Ruimtestaat[[#This Row],[Norm (m2/uur) weekend]],0)</f>
        <v>0</v>
      </c>
      <c r="AD324" s="91">
        <f>Ruimtestaat[[#This Row],[uren / jaar weekend]]*Tariefsopbouw!$D$40</f>
        <v>0</v>
      </c>
      <c r="AE324" s="60">
        <f>Ruimtestaat[[#This Row],[Prest. (m2 /jaar) weekend]]+Ruimtestaat[[#This Row],[Prest. (m2 /jaar) werkdagen]]</f>
        <v>11704</v>
      </c>
      <c r="AF324" s="60">
        <f>Ruimtestaat[[#This Row],[uren / jaar weekend]]+Ruimtestaat[[#This Row],[uren / jaar werkdagen]]</f>
        <v>0</v>
      </c>
      <c r="AG324" s="61">
        <f>Ruimtestaat[[#This Row],[kosten / jaar weekend]]+Ruimtestaat[[#This Row],[kosten / jaar werkdagen]]</f>
        <v>0</v>
      </c>
      <c r="AH324" s="92"/>
      <c r="HL324" s="59"/>
    </row>
    <row r="325" spans="1:220">
      <c r="A325" s="24">
        <v>2</v>
      </c>
      <c r="B325" s="24" t="str">
        <f>VLOOKUP(Ruimtestaat[[#This Row],[Code]],Locaties[#All],2,FALSE)</f>
        <v>Het Stormink</v>
      </c>
      <c r="C325" s="24" t="str">
        <f>VLOOKUP(Ruimtestaat[[#This Row],[Code]],Locaties[#All],4,FALSE)</f>
        <v>Storminkstraat 1</v>
      </c>
      <c r="D325" s="24" t="str">
        <f>VLOOKUP(Ruimtestaat[[#This Row],[Code]],Locaties[#All],5,FALSE)</f>
        <v>7418 GH</v>
      </c>
      <c r="E325" s="24" t="str">
        <f>VLOOKUP(Ruimtestaat[[#This Row],[Code]],Locaties[#All],6,FALSE)</f>
        <v>Deventer</v>
      </c>
      <c r="F325" s="54"/>
      <c r="G325" s="24" t="s">
        <v>512</v>
      </c>
      <c r="H325" s="24" t="s">
        <v>749</v>
      </c>
      <c r="I325" s="4" t="s">
        <v>709</v>
      </c>
      <c r="J325" s="24">
        <v>16</v>
      </c>
      <c r="K325" s="54" t="str">
        <f>VLOOKUP(J325,Ruimtegroepen[],2,FALSE)</f>
        <v>Leslokalen theorie</v>
      </c>
      <c r="L325" s="24" t="s">
        <v>300</v>
      </c>
      <c r="M325" s="24" t="s">
        <v>157</v>
      </c>
      <c r="N325" s="83">
        <v>57.93</v>
      </c>
      <c r="O325" s="83"/>
      <c r="P325" s="93" t="str">
        <f>LEFT(VLOOKUP(Ruimtestaat[[#This Row],[Ruimte code]],Ruimtegroepen[#All],4,1),2)</f>
        <v>Le</v>
      </c>
      <c r="Q325" s="93"/>
      <c r="R325" s="84">
        <v>40</v>
      </c>
      <c r="S325" s="84" t="s">
        <v>318</v>
      </c>
      <c r="T325" s="85">
        <f>IF(R325&gt;0,IF(RIGHT(Ruimtestaat[[#This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5" s="85">
        <f>IF(T325&gt;0,VLOOKUP($J325,Ruimtegroepen[],3,FALSE)*VLOOKUP($L325,Vloersoorten[],3,FALSE)*VLOOKUP($S325,Frequenties[],3,FALSE)*VLOOKUP($A325,Locaties[],3,FALSE),0)</f>
        <v>0</v>
      </c>
      <c r="V325" s="86">
        <f>Ruimtestaat[[#This Row],[Uitvoeringen werkdagen]]*Ruimtestaat[[#This Row],[Oppervlak (netto)]]</f>
        <v>11586</v>
      </c>
      <c r="W325" s="87">
        <f>IF(U325&gt;0,Ruimtestaat[[#This Row],[Prest. (m2 /jaar) werkdagen]]/Ruimtestaat[[#This Row],[Norm (m2/uur) werkdagen]],0)</f>
        <v>0</v>
      </c>
      <c r="X325" s="88">
        <f>Ruimtestaat[[#This Row],[uren / jaar werkdagen]]*Tariefsopbouw!$E$35</f>
        <v>0</v>
      </c>
      <c r="Y325" s="85"/>
      <c r="Z325" s="89">
        <f>IF(Ruimtestaat[[#This Row],[Frequentie weekend]]&gt;0,VALUE(LEFT(Y325,1))*R325,0)</f>
        <v>0</v>
      </c>
      <c r="AA325" s="85">
        <f>IF($Z325&gt;0,VLOOKUP($J325,Ruimtegroepen[],3,FALSE)*VLOOKUP($L325,Vloersoorten[],3,FALSE)*VLOOKUP($Y325,Frequenties[],3,FALSE)*VLOOKUP(#REF!,Locaties[],3,FALSE),0)</f>
        <v>0</v>
      </c>
      <c r="AB325" s="87">
        <f>Ruimtestaat[[#This Row],[Uitvoeringen weekend]]*Ruimtestaat[[#This Row],[Oppervlak (netto)]]</f>
        <v>0</v>
      </c>
      <c r="AC325" s="90">
        <f>IF(AB325&gt;0,Ruimtestaat[[#This Row],[Prest. (m2 /jaar) weekend]]/Ruimtestaat[[#This Row],[Norm (m2/uur) weekend]],0)</f>
        <v>0</v>
      </c>
      <c r="AD325" s="91">
        <f>Ruimtestaat[[#This Row],[uren / jaar weekend]]*Tariefsopbouw!$D$40</f>
        <v>0</v>
      </c>
      <c r="AE325" s="60">
        <f>Ruimtestaat[[#This Row],[Prest. (m2 /jaar) weekend]]+Ruimtestaat[[#This Row],[Prest. (m2 /jaar) werkdagen]]</f>
        <v>11586</v>
      </c>
      <c r="AF325" s="60">
        <f>Ruimtestaat[[#This Row],[uren / jaar weekend]]+Ruimtestaat[[#This Row],[uren / jaar werkdagen]]</f>
        <v>0</v>
      </c>
      <c r="AG325" s="61">
        <f>Ruimtestaat[[#This Row],[kosten / jaar weekend]]+Ruimtestaat[[#This Row],[kosten / jaar werkdagen]]</f>
        <v>0</v>
      </c>
      <c r="AH325" s="92"/>
      <c r="HL325" s="59"/>
    </row>
    <row r="326" spans="1:220">
      <c r="A326" s="24">
        <v>2</v>
      </c>
      <c r="B326" s="24" t="str">
        <f>VLOOKUP(Ruimtestaat[[#This Row],[Code]],Locaties[#All],2,FALSE)</f>
        <v>Het Stormink</v>
      </c>
      <c r="C326" s="24" t="str">
        <f>VLOOKUP(Ruimtestaat[[#This Row],[Code]],Locaties[#All],4,FALSE)</f>
        <v>Storminkstraat 1</v>
      </c>
      <c r="D326" s="24" t="str">
        <f>VLOOKUP(Ruimtestaat[[#This Row],[Code]],Locaties[#All],5,FALSE)</f>
        <v>7418 GH</v>
      </c>
      <c r="E326" s="24" t="str">
        <f>VLOOKUP(Ruimtestaat[[#This Row],[Code]],Locaties[#All],6,FALSE)</f>
        <v>Deventer</v>
      </c>
      <c r="F326" s="54"/>
      <c r="G326" s="24" t="s">
        <v>512</v>
      </c>
      <c r="H326" s="24" t="s">
        <v>750</v>
      </c>
      <c r="I326" s="4" t="s">
        <v>709</v>
      </c>
      <c r="J326" s="24">
        <v>16</v>
      </c>
      <c r="K326" s="54" t="str">
        <f>VLOOKUP(J326,Ruimtegroepen[],2,FALSE)</f>
        <v>Leslokalen theorie</v>
      </c>
      <c r="L326" s="24" t="s">
        <v>300</v>
      </c>
      <c r="M326" s="24" t="s">
        <v>157</v>
      </c>
      <c r="N326" s="83">
        <v>58.52</v>
      </c>
      <c r="O326" s="83"/>
      <c r="P326" s="93" t="str">
        <f>LEFT(VLOOKUP(Ruimtestaat[[#This Row],[Ruimte code]],Ruimtegroepen[#All],4,1),2)</f>
        <v>Le</v>
      </c>
      <c r="Q326" s="93"/>
      <c r="R326" s="84">
        <v>40</v>
      </c>
      <c r="S326" s="84" t="s">
        <v>318</v>
      </c>
      <c r="T326" s="85">
        <f>IF(R326&gt;0,IF(RIGHT(Ruimtestaat[[#This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6" s="85">
        <f>IF(T326&gt;0,VLOOKUP($J326,Ruimtegroepen[],3,FALSE)*VLOOKUP($L326,Vloersoorten[],3,FALSE)*VLOOKUP($S326,Frequenties[],3,FALSE)*VLOOKUP($A326,Locaties[],3,FALSE),0)</f>
        <v>0</v>
      </c>
      <c r="V326" s="86">
        <f>Ruimtestaat[[#This Row],[Uitvoeringen werkdagen]]*Ruimtestaat[[#This Row],[Oppervlak (netto)]]</f>
        <v>11704</v>
      </c>
      <c r="W326" s="87">
        <f>IF(U326&gt;0,Ruimtestaat[[#This Row],[Prest. (m2 /jaar) werkdagen]]/Ruimtestaat[[#This Row],[Norm (m2/uur) werkdagen]],0)</f>
        <v>0</v>
      </c>
      <c r="X326" s="88">
        <f>Ruimtestaat[[#This Row],[uren / jaar werkdagen]]*Tariefsopbouw!$E$35</f>
        <v>0</v>
      </c>
      <c r="Y326" s="85"/>
      <c r="Z326" s="89">
        <f>IF(Ruimtestaat[[#This Row],[Frequentie weekend]]&gt;0,VALUE(LEFT(Y326,1))*R326,0)</f>
        <v>0</v>
      </c>
      <c r="AA326" s="85">
        <f>IF($Z326&gt;0,VLOOKUP($J326,Ruimtegroepen[],3,FALSE)*VLOOKUP($L326,Vloersoorten[],3,FALSE)*VLOOKUP($Y326,Frequenties[],3,FALSE)*VLOOKUP(#REF!,Locaties[],3,FALSE),0)</f>
        <v>0</v>
      </c>
      <c r="AB326" s="87">
        <f>Ruimtestaat[[#This Row],[Uitvoeringen weekend]]*Ruimtestaat[[#This Row],[Oppervlak (netto)]]</f>
        <v>0</v>
      </c>
      <c r="AC326" s="90">
        <f>IF(AB326&gt;0,Ruimtestaat[[#This Row],[Prest. (m2 /jaar) weekend]]/Ruimtestaat[[#This Row],[Norm (m2/uur) weekend]],0)</f>
        <v>0</v>
      </c>
      <c r="AD326" s="91">
        <f>Ruimtestaat[[#This Row],[uren / jaar weekend]]*Tariefsopbouw!$D$40</f>
        <v>0</v>
      </c>
      <c r="AE326" s="60">
        <f>Ruimtestaat[[#This Row],[Prest. (m2 /jaar) weekend]]+Ruimtestaat[[#This Row],[Prest. (m2 /jaar) werkdagen]]</f>
        <v>11704</v>
      </c>
      <c r="AF326" s="60">
        <f>Ruimtestaat[[#This Row],[uren / jaar weekend]]+Ruimtestaat[[#This Row],[uren / jaar werkdagen]]</f>
        <v>0</v>
      </c>
      <c r="AG326" s="61">
        <f>Ruimtestaat[[#This Row],[kosten / jaar weekend]]+Ruimtestaat[[#This Row],[kosten / jaar werkdagen]]</f>
        <v>0</v>
      </c>
      <c r="AH326" s="92"/>
      <c r="HL326" s="59"/>
    </row>
    <row r="327" spans="1:220">
      <c r="A327" s="24">
        <v>2</v>
      </c>
      <c r="B327" s="24" t="str">
        <f>VLOOKUP(Ruimtestaat[[#This Row],[Code]],Locaties[#All],2,FALSE)</f>
        <v>Het Stormink</v>
      </c>
      <c r="C327" s="24" t="str">
        <f>VLOOKUP(Ruimtestaat[[#This Row],[Code]],Locaties[#All],4,FALSE)</f>
        <v>Storminkstraat 1</v>
      </c>
      <c r="D327" s="24" t="str">
        <f>VLOOKUP(Ruimtestaat[[#This Row],[Code]],Locaties[#All],5,FALSE)</f>
        <v>7418 GH</v>
      </c>
      <c r="E327" s="24" t="str">
        <f>VLOOKUP(Ruimtestaat[[#This Row],[Code]],Locaties[#All],6,FALSE)</f>
        <v>Deventer</v>
      </c>
      <c r="F327" s="54"/>
      <c r="G327" s="24" t="s">
        <v>512</v>
      </c>
      <c r="H327" s="24" t="s">
        <v>751</v>
      </c>
      <c r="I327" s="4" t="s">
        <v>709</v>
      </c>
      <c r="J327" s="24">
        <v>16</v>
      </c>
      <c r="K327" s="54" t="str">
        <f>VLOOKUP(J327,Ruimtegroepen[],2,FALSE)</f>
        <v>Leslokalen theorie</v>
      </c>
      <c r="L327" s="24" t="s">
        <v>300</v>
      </c>
      <c r="M327" s="24" t="s">
        <v>157</v>
      </c>
      <c r="N327" s="83">
        <v>58.85</v>
      </c>
      <c r="O327" s="83"/>
      <c r="P327" s="93" t="str">
        <f>LEFT(VLOOKUP(Ruimtestaat[[#This Row],[Ruimte code]],Ruimtegroepen[#All],4,1),2)</f>
        <v>Le</v>
      </c>
      <c r="Q327" s="93"/>
      <c r="R327" s="84">
        <v>40</v>
      </c>
      <c r="S327" s="84" t="s">
        <v>318</v>
      </c>
      <c r="T327" s="85">
        <f>IF(R327&gt;0,IF(RIGHT(Ruimtestaat[[#This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7" s="85">
        <f>IF(T327&gt;0,VLOOKUP($J327,Ruimtegroepen[],3,FALSE)*VLOOKUP($L327,Vloersoorten[],3,FALSE)*VLOOKUP($S327,Frequenties[],3,FALSE)*VLOOKUP($A327,Locaties[],3,FALSE),0)</f>
        <v>0</v>
      </c>
      <c r="V327" s="86">
        <f>Ruimtestaat[[#This Row],[Uitvoeringen werkdagen]]*Ruimtestaat[[#This Row],[Oppervlak (netto)]]</f>
        <v>11770</v>
      </c>
      <c r="W327" s="87">
        <f>IF(U327&gt;0,Ruimtestaat[[#This Row],[Prest. (m2 /jaar) werkdagen]]/Ruimtestaat[[#This Row],[Norm (m2/uur) werkdagen]],0)</f>
        <v>0</v>
      </c>
      <c r="X327" s="88">
        <f>Ruimtestaat[[#This Row],[uren / jaar werkdagen]]*Tariefsopbouw!$E$35</f>
        <v>0</v>
      </c>
      <c r="Y327" s="85"/>
      <c r="Z327" s="89">
        <f>IF(Ruimtestaat[[#This Row],[Frequentie weekend]]&gt;0,VALUE(LEFT(Y327,1))*R327,0)</f>
        <v>0</v>
      </c>
      <c r="AA327" s="85">
        <f>IF($Z327&gt;0,VLOOKUP($J327,Ruimtegroepen[],3,FALSE)*VLOOKUP($L327,Vloersoorten[],3,FALSE)*VLOOKUP($Y327,Frequenties[],3,FALSE)*VLOOKUP(#REF!,Locaties[],3,FALSE),0)</f>
        <v>0</v>
      </c>
      <c r="AB327" s="87">
        <f>Ruimtestaat[[#This Row],[Uitvoeringen weekend]]*Ruimtestaat[[#This Row],[Oppervlak (netto)]]</f>
        <v>0</v>
      </c>
      <c r="AC327" s="90">
        <f>IF(AB327&gt;0,Ruimtestaat[[#This Row],[Prest. (m2 /jaar) weekend]]/Ruimtestaat[[#This Row],[Norm (m2/uur) weekend]],0)</f>
        <v>0</v>
      </c>
      <c r="AD327" s="91">
        <f>Ruimtestaat[[#This Row],[uren / jaar weekend]]*Tariefsopbouw!$D$40</f>
        <v>0</v>
      </c>
      <c r="AE327" s="60">
        <f>Ruimtestaat[[#This Row],[Prest. (m2 /jaar) weekend]]+Ruimtestaat[[#This Row],[Prest. (m2 /jaar) werkdagen]]</f>
        <v>11770</v>
      </c>
      <c r="AF327" s="60">
        <f>Ruimtestaat[[#This Row],[uren / jaar weekend]]+Ruimtestaat[[#This Row],[uren / jaar werkdagen]]</f>
        <v>0</v>
      </c>
      <c r="AG327" s="61">
        <f>Ruimtestaat[[#This Row],[kosten / jaar weekend]]+Ruimtestaat[[#This Row],[kosten / jaar werkdagen]]</f>
        <v>0</v>
      </c>
      <c r="AH327" s="92"/>
      <c r="HL327" s="59"/>
    </row>
    <row r="328" spans="1:220">
      <c r="A328" s="24">
        <v>2</v>
      </c>
      <c r="B328" s="24" t="str">
        <f>VLOOKUP(Ruimtestaat[[#This Row],[Code]],Locaties[#All],2,FALSE)</f>
        <v>Het Stormink</v>
      </c>
      <c r="C328" s="24" t="str">
        <f>VLOOKUP(Ruimtestaat[[#This Row],[Code]],Locaties[#All],4,FALSE)</f>
        <v>Storminkstraat 1</v>
      </c>
      <c r="D328" s="24" t="str">
        <f>VLOOKUP(Ruimtestaat[[#This Row],[Code]],Locaties[#All],5,FALSE)</f>
        <v>7418 GH</v>
      </c>
      <c r="E328" s="24" t="str">
        <f>VLOOKUP(Ruimtestaat[[#This Row],[Code]],Locaties[#All],6,FALSE)</f>
        <v>Deventer</v>
      </c>
      <c r="F328" s="54"/>
      <c r="G328" s="24" t="s">
        <v>512</v>
      </c>
      <c r="H328" s="24" t="s">
        <v>752</v>
      </c>
      <c r="I328" s="4" t="s">
        <v>709</v>
      </c>
      <c r="J328" s="24">
        <v>16</v>
      </c>
      <c r="K328" s="54" t="str">
        <f>VLOOKUP(J328,Ruimtegroepen[],2,FALSE)</f>
        <v>Leslokalen theorie</v>
      </c>
      <c r="L328" s="24" t="s">
        <v>300</v>
      </c>
      <c r="M328" s="24" t="s">
        <v>157</v>
      </c>
      <c r="N328" s="83">
        <v>58.85</v>
      </c>
      <c r="O328" s="83"/>
      <c r="P328" s="93" t="str">
        <f>LEFT(VLOOKUP(Ruimtestaat[[#This Row],[Ruimte code]],Ruimtegroepen[#All],4,1),2)</f>
        <v>Le</v>
      </c>
      <c r="Q328" s="93"/>
      <c r="R328" s="84">
        <v>40</v>
      </c>
      <c r="S328" s="84" t="s">
        <v>318</v>
      </c>
      <c r="T328" s="85">
        <f>IF(R328&gt;0,IF(RIGHT(Ruimtestaat[[#This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8" s="85">
        <f>IF(T328&gt;0,VLOOKUP($J328,Ruimtegroepen[],3,FALSE)*VLOOKUP($L328,Vloersoorten[],3,FALSE)*VLOOKUP($S328,Frequenties[],3,FALSE)*VLOOKUP($A328,Locaties[],3,FALSE),0)</f>
        <v>0</v>
      </c>
      <c r="V328" s="86">
        <f>Ruimtestaat[[#This Row],[Uitvoeringen werkdagen]]*Ruimtestaat[[#This Row],[Oppervlak (netto)]]</f>
        <v>11770</v>
      </c>
      <c r="W328" s="87">
        <f>IF(U328&gt;0,Ruimtestaat[[#This Row],[Prest. (m2 /jaar) werkdagen]]/Ruimtestaat[[#This Row],[Norm (m2/uur) werkdagen]],0)</f>
        <v>0</v>
      </c>
      <c r="X328" s="88">
        <f>Ruimtestaat[[#This Row],[uren / jaar werkdagen]]*Tariefsopbouw!$E$35</f>
        <v>0</v>
      </c>
      <c r="Y328" s="85"/>
      <c r="Z328" s="89">
        <f>IF(Ruimtestaat[[#This Row],[Frequentie weekend]]&gt;0,VALUE(LEFT(Y328,1))*R328,0)</f>
        <v>0</v>
      </c>
      <c r="AA328" s="85">
        <f>IF($Z328&gt;0,VLOOKUP($J328,Ruimtegroepen[],3,FALSE)*VLOOKUP($L328,Vloersoorten[],3,FALSE)*VLOOKUP($Y328,Frequenties[],3,FALSE)*VLOOKUP(#REF!,Locaties[],3,FALSE),0)</f>
        <v>0</v>
      </c>
      <c r="AB328" s="87">
        <f>Ruimtestaat[[#This Row],[Uitvoeringen weekend]]*Ruimtestaat[[#This Row],[Oppervlak (netto)]]</f>
        <v>0</v>
      </c>
      <c r="AC328" s="90">
        <f>IF(AB328&gt;0,Ruimtestaat[[#This Row],[Prest. (m2 /jaar) weekend]]/Ruimtestaat[[#This Row],[Norm (m2/uur) weekend]],0)</f>
        <v>0</v>
      </c>
      <c r="AD328" s="91">
        <f>Ruimtestaat[[#This Row],[uren / jaar weekend]]*Tariefsopbouw!$D$40</f>
        <v>0</v>
      </c>
      <c r="AE328" s="60">
        <f>Ruimtestaat[[#This Row],[Prest. (m2 /jaar) weekend]]+Ruimtestaat[[#This Row],[Prest. (m2 /jaar) werkdagen]]</f>
        <v>11770</v>
      </c>
      <c r="AF328" s="60">
        <f>Ruimtestaat[[#This Row],[uren / jaar weekend]]+Ruimtestaat[[#This Row],[uren / jaar werkdagen]]</f>
        <v>0</v>
      </c>
      <c r="AG328" s="61">
        <f>Ruimtestaat[[#This Row],[kosten / jaar weekend]]+Ruimtestaat[[#This Row],[kosten / jaar werkdagen]]</f>
        <v>0</v>
      </c>
      <c r="AH328" s="92"/>
      <c r="HL328" s="59"/>
    </row>
    <row r="329" spans="1:220">
      <c r="A329" s="24">
        <v>2</v>
      </c>
      <c r="B329" s="24" t="str">
        <f>VLOOKUP(Ruimtestaat[[#This Row],[Code]],Locaties[#All],2,FALSE)</f>
        <v>Het Stormink</v>
      </c>
      <c r="C329" s="24" t="str">
        <f>VLOOKUP(Ruimtestaat[[#This Row],[Code]],Locaties[#All],4,FALSE)</f>
        <v>Storminkstraat 1</v>
      </c>
      <c r="D329" s="24" t="str">
        <f>VLOOKUP(Ruimtestaat[[#This Row],[Code]],Locaties[#All],5,FALSE)</f>
        <v>7418 GH</v>
      </c>
      <c r="E329" s="24" t="str">
        <f>VLOOKUP(Ruimtestaat[[#This Row],[Code]],Locaties[#All],6,FALSE)</f>
        <v>Deventer</v>
      </c>
      <c r="F329" s="54"/>
      <c r="G329" s="24" t="s">
        <v>512</v>
      </c>
      <c r="H329" s="24" t="s">
        <v>753</v>
      </c>
      <c r="I329" s="4" t="s">
        <v>709</v>
      </c>
      <c r="J329" s="24">
        <v>16</v>
      </c>
      <c r="K329" s="54" t="str">
        <f>VLOOKUP(J329,Ruimtegroepen[],2,FALSE)</f>
        <v>Leslokalen theorie</v>
      </c>
      <c r="L329" s="24" t="s">
        <v>300</v>
      </c>
      <c r="M329" s="24" t="s">
        <v>157</v>
      </c>
      <c r="N329" s="83">
        <v>58.47</v>
      </c>
      <c r="O329" s="83"/>
      <c r="P329" s="93" t="str">
        <f>LEFT(VLOOKUP(Ruimtestaat[[#This Row],[Ruimte code]],Ruimtegroepen[#All],4,1),2)</f>
        <v>Le</v>
      </c>
      <c r="Q329" s="93"/>
      <c r="R329" s="84">
        <v>40</v>
      </c>
      <c r="S329" s="84" t="s">
        <v>318</v>
      </c>
      <c r="T329" s="85">
        <f>IF(R329&gt;0,IF(RIGHT(Ruimtestaat[[#This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9" s="85">
        <f>IF(T329&gt;0,VLOOKUP($J329,Ruimtegroepen[],3,FALSE)*VLOOKUP($L329,Vloersoorten[],3,FALSE)*VLOOKUP($S329,Frequenties[],3,FALSE)*VLOOKUP($A329,Locaties[],3,FALSE),0)</f>
        <v>0</v>
      </c>
      <c r="V329" s="86">
        <f>Ruimtestaat[[#This Row],[Uitvoeringen werkdagen]]*Ruimtestaat[[#This Row],[Oppervlak (netto)]]</f>
        <v>11694</v>
      </c>
      <c r="W329" s="87">
        <f>IF(U329&gt;0,Ruimtestaat[[#This Row],[Prest. (m2 /jaar) werkdagen]]/Ruimtestaat[[#This Row],[Norm (m2/uur) werkdagen]],0)</f>
        <v>0</v>
      </c>
      <c r="X329" s="88">
        <f>Ruimtestaat[[#This Row],[uren / jaar werkdagen]]*Tariefsopbouw!$E$35</f>
        <v>0</v>
      </c>
      <c r="Y329" s="85"/>
      <c r="Z329" s="89">
        <f>IF(Ruimtestaat[[#This Row],[Frequentie weekend]]&gt;0,VALUE(LEFT(Y329,1))*R329,0)</f>
        <v>0</v>
      </c>
      <c r="AA329" s="85">
        <f>IF($Z329&gt;0,VLOOKUP($J329,Ruimtegroepen[],3,FALSE)*VLOOKUP($L329,Vloersoorten[],3,FALSE)*VLOOKUP($Y329,Frequenties[],3,FALSE)*VLOOKUP(#REF!,Locaties[],3,FALSE),0)</f>
        <v>0</v>
      </c>
      <c r="AB329" s="87">
        <f>Ruimtestaat[[#This Row],[Uitvoeringen weekend]]*Ruimtestaat[[#This Row],[Oppervlak (netto)]]</f>
        <v>0</v>
      </c>
      <c r="AC329" s="90">
        <f>IF(AB329&gt;0,Ruimtestaat[[#This Row],[Prest. (m2 /jaar) weekend]]/Ruimtestaat[[#This Row],[Norm (m2/uur) weekend]],0)</f>
        <v>0</v>
      </c>
      <c r="AD329" s="91">
        <f>Ruimtestaat[[#This Row],[uren / jaar weekend]]*Tariefsopbouw!$D$40</f>
        <v>0</v>
      </c>
      <c r="AE329" s="60">
        <f>Ruimtestaat[[#This Row],[Prest. (m2 /jaar) weekend]]+Ruimtestaat[[#This Row],[Prest. (m2 /jaar) werkdagen]]</f>
        <v>11694</v>
      </c>
      <c r="AF329" s="60">
        <f>Ruimtestaat[[#This Row],[uren / jaar weekend]]+Ruimtestaat[[#This Row],[uren / jaar werkdagen]]</f>
        <v>0</v>
      </c>
      <c r="AG329" s="61">
        <f>Ruimtestaat[[#This Row],[kosten / jaar weekend]]+Ruimtestaat[[#This Row],[kosten / jaar werkdagen]]</f>
        <v>0</v>
      </c>
      <c r="AH329" s="92"/>
      <c r="HL329" s="59"/>
    </row>
    <row r="330" spans="1:220">
      <c r="A330" s="24">
        <v>2</v>
      </c>
      <c r="B330" s="24" t="str">
        <f>VLOOKUP(Ruimtestaat[[#This Row],[Code]],Locaties[#All],2,FALSE)</f>
        <v>Het Stormink</v>
      </c>
      <c r="C330" s="24" t="str">
        <f>VLOOKUP(Ruimtestaat[[#This Row],[Code]],Locaties[#All],4,FALSE)</f>
        <v>Storminkstraat 1</v>
      </c>
      <c r="D330" s="24" t="str">
        <f>VLOOKUP(Ruimtestaat[[#This Row],[Code]],Locaties[#All],5,FALSE)</f>
        <v>7418 GH</v>
      </c>
      <c r="E330" s="24" t="str">
        <f>VLOOKUP(Ruimtestaat[[#This Row],[Code]],Locaties[#All],6,FALSE)</f>
        <v>Deventer</v>
      </c>
      <c r="F330" s="54"/>
      <c r="G330" s="24" t="s">
        <v>512</v>
      </c>
      <c r="H330" s="24" t="s">
        <v>754</v>
      </c>
      <c r="I330" s="4" t="s">
        <v>716</v>
      </c>
      <c r="J330" s="24">
        <v>10</v>
      </c>
      <c r="K330" s="54" t="str">
        <f>VLOOKUP(J330,Ruimtegroepen[],2,FALSE)</f>
        <v>Trappenhuizen/lift</v>
      </c>
      <c r="L330" s="24" t="s">
        <v>300</v>
      </c>
      <c r="M330" s="24" t="s">
        <v>157</v>
      </c>
      <c r="N330" s="83">
        <v>34.72</v>
      </c>
      <c r="O330" s="83"/>
      <c r="P330" s="93" t="str">
        <f>LEFT(VLOOKUP(Ruimtestaat[[#This Row],[Ruimte code]],Ruimtegroepen[#All],4,1),2)</f>
        <v>Ve</v>
      </c>
      <c r="Q330" s="93"/>
      <c r="R330" s="84">
        <v>40</v>
      </c>
      <c r="S330" s="84" t="s">
        <v>318</v>
      </c>
      <c r="T330" s="85">
        <f>IF(R330&gt;0,IF(RIGHT(Ruimtestaat[[#This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0" s="85">
        <f>IF(T330&gt;0,VLOOKUP($J330,Ruimtegroepen[],3,FALSE)*VLOOKUP($L330,Vloersoorten[],3,FALSE)*VLOOKUP($S330,Frequenties[],3,FALSE)*VLOOKUP($A330,Locaties[],3,FALSE),0)</f>
        <v>0</v>
      </c>
      <c r="V330" s="86">
        <f>Ruimtestaat[[#This Row],[Uitvoeringen werkdagen]]*Ruimtestaat[[#This Row],[Oppervlak (netto)]]</f>
        <v>6944</v>
      </c>
      <c r="W330" s="87">
        <f>IF(U330&gt;0,Ruimtestaat[[#This Row],[Prest. (m2 /jaar) werkdagen]]/Ruimtestaat[[#This Row],[Norm (m2/uur) werkdagen]],0)</f>
        <v>0</v>
      </c>
      <c r="X330" s="88">
        <f>Ruimtestaat[[#This Row],[uren / jaar werkdagen]]*Tariefsopbouw!$E$35</f>
        <v>0</v>
      </c>
      <c r="Y330" s="85"/>
      <c r="Z330" s="89">
        <f>IF(Ruimtestaat[[#This Row],[Frequentie weekend]]&gt;0,VALUE(LEFT(Y330,1))*R330,0)</f>
        <v>0</v>
      </c>
      <c r="AA330" s="85">
        <f>IF($Z330&gt;0,VLOOKUP($J330,Ruimtegroepen[],3,FALSE)*VLOOKUP($L330,Vloersoorten[],3,FALSE)*VLOOKUP($Y330,Frequenties[],3,FALSE)*VLOOKUP(#REF!,Locaties[],3,FALSE),0)</f>
        <v>0</v>
      </c>
      <c r="AB330" s="87">
        <f>Ruimtestaat[[#This Row],[Uitvoeringen weekend]]*Ruimtestaat[[#This Row],[Oppervlak (netto)]]</f>
        <v>0</v>
      </c>
      <c r="AC330" s="90">
        <f>IF(AB330&gt;0,Ruimtestaat[[#This Row],[Prest. (m2 /jaar) weekend]]/Ruimtestaat[[#This Row],[Norm (m2/uur) weekend]],0)</f>
        <v>0</v>
      </c>
      <c r="AD330" s="91">
        <f>Ruimtestaat[[#This Row],[uren / jaar weekend]]*Tariefsopbouw!$D$40</f>
        <v>0</v>
      </c>
      <c r="AE330" s="60">
        <f>Ruimtestaat[[#This Row],[Prest. (m2 /jaar) weekend]]+Ruimtestaat[[#This Row],[Prest. (m2 /jaar) werkdagen]]</f>
        <v>6944</v>
      </c>
      <c r="AF330" s="60">
        <f>Ruimtestaat[[#This Row],[uren / jaar weekend]]+Ruimtestaat[[#This Row],[uren / jaar werkdagen]]</f>
        <v>0</v>
      </c>
      <c r="AG330" s="61">
        <f>Ruimtestaat[[#This Row],[kosten / jaar weekend]]+Ruimtestaat[[#This Row],[kosten / jaar werkdagen]]</f>
        <v>0</v>
      </c>
      <c r="AH330" s="92"/>
      <c r="HL330" s="59"/>
    </row>
    <row r="331" spans="1:220">
      <c r="A331" s="24">
        <v>2</v>
      </c>
      <c r="B331" s="24" t="str">
        <f>VLOOKUP(Ruimtestaat[[#This Row],[Code]],Locaties[#All],2,FALSE)</f>
        <v>Het Stormink</v>
      </c>
      <c r="C331" s="24" t="str">
        <f>VLOOKUP(Ruimtestaat[[#This Row],[Code]],Locaties[#All],4,FALSE)</f>
        <v>Storminkstraat 1</v>
      </c>
      <c r="D331" s="24" t="str">
        <f>VLOOKUP(Ruimtestaat[[#This Row],[Code]],Locaties[#All],5,FALSE)</f>
        <v>7418 GH</v>
      </c>
      <c r="E331" s="24" t="str">
        <f>VLOOKUP(Ruimtestaat[[#This Row],[Code]],Locaties[#All],6,FALSE)</f>
        <v>Deventer</v>
      </c>
      <c r="F331" s="54"/>
      <c r="G331" s="24" t="s">
        <v>512</v>
      </c>
      <c r="H331" s="24" t="s">
        <v>755</v>
      </c>
      <c r="I331" s="4" t="s">
        <v>716</v>
      </c>
      <c r="J331" s="24">
        <v>10</v>
      </c>
      <c r="K331" s="54" t="str">
        <f>VLOOKUP(J331,Ruimtegroepen[],2,FALSE)</f>
        <v>Trappenhuizen/lift</v>
      </c>
      <c r="L331" s="24" t="s">
        <v>300</v>
      </c>
      <c r="M331" s="24" t="s">
        <v>157</v>
      </c>
      <c r="N331" s="83">
        <v>35.950000000000003</v>
      </c>
      <c r="O331" s="83"/>
      <c r="P331" s="93" t="str">
        <f>LEFT(VLOOKUP(Ruimtestaat[[#This Row],[Ruimte code]],Ruimtegroepen[#All],4,1),2)</f>
        <v>Ve</v>
      </c>
      <c r="Q331" s="93"/>
      <c r="R331" s="84">
        <v>40</v>
      </c>
      <c r="S331" s="84" t="s">
        <v>318</v>
      </c>
      <c r="T331" s="85">
        <f>IF(R331&gt;0,IF(RIGHT(Ruimtestaat[[#This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1" s="85">
        <f>IF(T331&gt;0,VLOOKUP($J331,Ruimtegroepen[],3,FALSE)*VLOOKUP($L331,Vloersoorten[],3,FALSE)*VLOOKUP($S331,Frequenties[],3,FALSE)*VLOOKUP($A331,Locaties[],3,FALSE),0)</f>
        <v>0</v>
      </c>
      <c r="V331" s="86">
        <f>Ruimtestaat[[#This Row],[Uitvoeringen werkdagen]]*Ruimtestaat[[#This Row],[Oppervlak (netto)]]</f>
        <v>7190.0000000000009</v>
      </c>
      <c r="W331" s="87">
        <f>IF(U331&gt;0,Ruimtestaat[[#This Row],[Prest. (m2 /jaar) werkdagen]]/Ruimtestaat[[#This Row],[Norm (m2/uur) werkdagen]],0)</f>
        <v>0</v>
      </c>
      <c r="X331" s="88">
        <f>Ruimtestaat[[#This Row],[uren / jaar werkdagen]]*Tariefsopbouw!$E$35</f>
        <v>0</v>
      </c>
      <c r="Y331" s="85"/>
      <c r="Z331" s="89">
        <f>IF(Ruimtestaat[[#This Row],[Frequentie weekend]]&gt;0,VALUE(LEFT(Y331,1))*R331,0)</f>
        <v>0</v>
      </c>
      <c r="AA331" s="85">
        <f>IF($Z331&gt;0,VLOOKUP($J331,Ruimtegroepen[],3,FALSE)*VLOOKUP($L331,Vloersoorten[],3,FALSE)*VLOOKUP($Y331,Frequenties[],3,FALSE)*VLOOKUP(#REF!,Locaties[],3,FALSE),0)</f>
        <v>0</v>
      </c>
      <c r="AB331" s="87">
        <f>Ruimtestaat[[#This Row],[Uitvoeringen weekend]]*Ruimtestaat[[#This Row],[Oppervlak (netto)]]</f>
        <v>0</v>
      </c>
      <c r="AC331" s="90">
        <f>IF(AB331&gt;0,Ruimtestaat[[#This Row],[Prest. (m2 /jaar) weekend]]/Ruimtestaat[[#This Row],[Norm (m2/uur) weekend]],0)</f>
        <v>0</v>
      </c>
      <c r="AD331" s="91">
        <f>Ruimtestaat[[#This Row],[uren / jaar weekend]]*Tariefsopbouw!$D$40</f>
        <v>0</v>
      </c>
      <c r="AE331" s="60">
        <f>Ruimtestaat[[#This Row],[Prest. (m2 /jaar) weekend]]+Ruimtestaat[[#This Row],[Prest. (m2 /jaar) werkdagen]]</f>
        <v>7190.0000000000009</v>
      </c>
      <c r="AF331" s="60">
        <f>Ruimtestaat[[#This Row],[uren / jaar weekend]]+Ruimtestaat[[#This Row],[uren / jaar werkdagen]]</f>
        <v>0</v>
      </c>
      <c r="AG331" s="61">
        <f>Ruimtestaat[[#This Row],[kosten / jaar weekend]]+Ruimtestaat[[#This Row],[kosten / jaar werkdagen]]</f>
        <v>0</v>
      </c>
      <c r="AH331" s="92"/>
      <c r="HL331" s="59"/>
    </row>
    <row r="332" spans="1:220">
      <c r="A332" s="24">
        <v>2</v>
      </c>
      <c r="B332" s="24" t="str">
        <f>VLOOKUP(Ruimtestaat[[#This Row],[Code]],Locaties[#All],2,FALSE)</f>
        <v>Het Stormink</v>
      </c>
      <c r="C332" s="24" t="str">
        <f>VLOOKUP(Ruimtestaat[[#This Row],[Code]],Locaties[#All],4,FALSE)</f>
        <v>Storminkstraat 1</v>
      </c>
      <c r="D332" s="24" t="str">
        <f>VLOOKUP(Ruimtestaat[[#This Row],[Code]],Locaties[#All],5,FALSE)</f>
        <v>7418 GH</v>
      </c>
      <c r="E332" s="24" t="str">
        <f>VLOOKUP(Ruimtestaat[[#This Row],[Code]],Locaties[#All],6,FALSE)</f>
        <v>Deventer</v>
      </c>
      <c r="F332" s="54"/>
      <c r="G332" s="24" t="s">
        <v>512</v>
      </c>
      <c r="H332" s="24" t="s">
        <v>756</v>
      </c>
      <c r="I332" s="4" t="s">
        <v>716</v>
      </c>
      <c r="J332" s="24">
        <v>10</v>
      </c>
      <c r="K332" s="54" t="str">
        <f>VLOOKUP(J332,Ruimtegroepen[],2,FALSE)</f>
        <v>Trappenhuizen/lift</v>
      </c>
      <c r="L332" s="24" t="s">
        <v>300</v>
      </c>
      <c r="M332" s="24" t="s">
        <v>157</v>
      </c>
      <c r="N332" s="83">
        <v>36.840000000000003</v>
      </c>
      <c r="O332" s="83"/>
      <c r="P332" s="93" t="str">
        <f>LEFT(VLOOKUP(Ruimtestaat[[#This Row],[Ruimte code]],Ruimtegroepen[#All],4,1),2)</f>
        <v>Ve</v>
      </c>
      <c r="Q332" s="93"/>
      <c r="R332" s="84">
        <v>40</v>
      </c>
      <c r="S332" s="84" t="s">
        <v>318</v>
      </c>
      <c r="T332" s="85">
        <f>IF(R332&gt;0,IF(RIGHT(Ruimtestaat[[#This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2" s="85">
        <f>IF(T332&gt;0,VLOOKUP($J332,Ruimtegroepen[],3,FALSE)*VLOOKUP($L332,Vloersoorten[],3,FALSE)*VLOOKUP($S332,Frequenties[],3,FALSE)*VLOOKUP($A332,Locaties[],3,FALSE),0)</f>
        <v>0</v>
      </c>
      <c r="V332" s="86">
        <f>Ruimtestaat[[#This Row],[Uitvoeringen werkdagen]]*Ruimtestaat[[#This Row],[Oppervlak (netto)]]</f>
        <v>7368.0000000000009</v>
      </c>
      <c r="W332" s="87">
        <f>IF(U332&gt;0,Ruimtestaat[[#This Row],[Prest. (m2 /jaar) werkdagen]]/Ruimtestaat[[#This Row],[Norm (m2/uur) werkdagen]],0)</f>
        <v>0</v>
      </c>
      <c r="X332" s="88">
        <f>Ruimtestaat[[#This Row],[uren / jaar werkdagen]]*Tariefsopbouw!$E$35</f>
        <v>0</v>
      </c>
      <c r="Y332" s="85"/>
      <c r="Z332" s="89">
        <f>IF(Ruimtestaat[[#This Row],[Frequentie weekend]]&gt;0,VALUE(LEFT(Y332,1))*R332,0)</f>
        <v>0</v>
      </c>
      <c r="AA332" s="85">
        <f>IF($Z332&gt;0,VLOOKUP($J332,Ruimtegroepen[],3,FALSE)*VLOOKUP($L332,Vloersoorten[],3,FALSE)*VLOOKUP($Y332,Frequenties[],3,FALSE)*VLOOKUP(#REF!,Locaties[],3,FALSE),0)</f>
        <v>0</v>
      </c>
      <c r="AB332" s="87">
        <f>Ruimtestaat[[#This Row],[Uitvoeringen weekend]]*Ruimtestaat[[#This Row],[Oppervlak (netto)]]</f>
        <v>0</v>
      </c>
      <c r="AC332" s="90">
        <f>IF(AB332&gt;0,Ruimtestaat[[#This Row],[Prest. (m2 /jaar) weekend]]/Ruimtestaat[[#This Row],[Norm (m2/uur) weekend]],0)</f>
        <v>0</v>
      </c>
      <c r="AD332" s="91">
        <f>Ruimtestaat[[#This Row],[uren / jaar weekend]]*Tariefsopbouw!$D$40</f>
        <v>0</v>
      </c>
      <c r="AE332" s="60">
        <f>Ruimtestaat[[#This Row],[Prest. (m2 /jaar) weekend]]+Ruimtestaat[[#This Row],[Prest. (m2 /jaar) werkdagen]]</f>
        <v>7368.0000000000009</v>
      </c>
      <c r="AF332" s="60">
        <f>Ruimtestaat[[#This Row],[uren / jaar weekend]]+Ruimtestaat[[#This Row],[uren / jaar werkdagen]]</f>
        <v>0</v>
      </c>
      <c r="AG332" s="61">
        <f>Ruimtestaat[[#This Row],[kosten / jaar weekend]]+Ruimtestaat[[#This Row],[kosten / jaar werkdagen]]</f>
        <v>0</v>
      </c>
      <c r="AH332" s="92"/>
      <c r="HL332" s="59"/>
    </row>
    <row r="333" spans="1:220">
      <c r="A333" s="24">
        <v>2</v>
      </c>
      <c r="B333" s="24" t="str">
        <f>VLOOKUP(Ruimtestaat[[#This Row],[Code]],Locaties[#All],2,FALSE)</f>
        <v>Het Stormink</v>
      </c>
      <c r="C333" s="24" t="str">
        <f>VLOOKUP(Ruimtestaat[[#This Row],[Code]],Locaties[#All],4,FALSE)</f>
        <v>Storminkstraat 1</v>
      </c>
      <c r="D333" s="24" t="str">
        <f>VLOOKUP(Ruimtestaat[[#This Row],[Code]],Locaties[#All],5,FALSE)</f>
        <v>7418 GH</v>
      </c>
      <c r="E333" s="24" t="str">
        <f>VLOOKUP(Ruimtestaat[[#This Row],[Code]],Locaties[#All],6,FALSE)</f>
        <v>Deventer</v>
      </c>
      <c r="F333" s="54"/>
      <c r="G333" s="24" t="s">
        <v>512</v>
      </c>
      <c r="H333" s="24" t="s">
        <v>757</v>
      </c>
      <c r="I333" s="4" t="s">
        <v>716</v>
      </c>
      <c r="J333" s="24">
        <v>10</v>
      </c>
      <c r="K333" s="54" t="str">
        <f>VLOOKUP(J333,Ruimtegroepen[],2,FALSE)</f>
        <v>Trappenhuizen/lift</v>
      </c>
      <c r="L333" s="24" t="s">
        <v>300</v>
      </c>
      <c r="M333" s="24" t="s">
        <v>157</v>
      </c>
      <c r="N333" s="83">
        <v>39.42</v>
      </c>
      <c r="O333" s="83"/>
      <c r="P333" s="93" t="str">
        <f>LEFT(VLOOKUP(Ruimtestaat[[#This Row],[Ruimte code]],Ruimtegroepen[#All],4,1),2)</f>
        <v>Ve</v>
      </c>
      <c r="Q333" s="93"/>
      <c r="R333" s="84">
        <v>40</v>
      </c>
      <c r="S333" s="84" t="s">
        <v>318</v>
      </c>
      <c r="T333" s="85">
        <f>IF(R333&gt;0,IF(RIGHT(Ruimtestaat[[#This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3" s="85">
        <f>IF(T333&gt;0,VLOOKUP($J333,Ruimtegroepen[],3,FALSE)*VLOOKUP($L333,Vloersoorten[],3,FALSE)*VLOOKUP($S333,Frequenties[],3,FALSE)*VLOOKUP($A333,Locaties[],3,FALSE),0)</f>
        <v>0</v>
      </c>
      <c r="V333" s="86">
        <f>Ruimtestaat[[#This Row],[Uitvoeringen werkdagen]]*Ruimtestaat[[#This Row],[Oppervlak (netto)]]</f>
        <v>7884</v>
      </c>
      <c r="W333" s="87">
        <f>IF(U333&gt;0,Ruimtestaat[[#This Row],[Prest. (m2 /jaar) werkdagen]]/Ruimtestaat[[#This Row],[Norm (m2/uur) werkdagen]],0)</f>
        <v>0</v>
      </c>
      <c r="X333" s="88">
        <f>Ruimtestaat[[#This Row],[uren / jaar werkdagen]]*Tariefsopbouw!$E$35</f>
        <v>0</v>
      </c>
      <c r="Y333" s="85"/>
      <c r="Z333" s="89">
        <f>IF(Ruimtestaat[[#This Row],[Frequentie weekend]]&gt;0,VALUE(LEFT(Y333,1))*R333,0)</f>
        <v>0</v>
      </c>
      <c r="AA333" s="85">
        <f>IF($Z333&gt;0,VLOOKUP($J333,Ruimtegroepen[],3,FALSE)*VLOOKUP($L333,Vloersoorten[],3,FALSE)*VLOOKUP($Y333,Frequenties[],3,FALSE)*VLOOKUP(#REF!,Locaties[],3,FALSE),0)</f>
        <v>0</v>
      </c>
      <c r="AB333" s="87">
        <f>Ruimtestaat[[#This Row],[Uitvoeringen weekend]]*Ruimtestaat[[#This Row],[Oppervlak (netto)]]</f>
        <v>0</v>
      </c>
      <c r="AC333" s="90">
        <f>IF(AB333&gt;0,Ruimtestaat[[#This Row],[Prest. (m2 /jaar) weekend]]/Ruimtestaat[[#This Row],[Norm (m2/uur) weekend]],0)</f>
        <v>0</v>
      </c>
      <c r="AD333" s="91">
        <f>Ruimtestaat[[#This Row],[uren / jaar weekend]]*Tariefsopbouw!$D$40</f>
        <v>0</v>
      </c>
      <c r="AE333" s="60">
        <f>Ruimtestaat[[#This Row],[Prest. (m2 /jaar) weekend]]+Ruimtestaat[[#This Row],[Prest. (m2 /jaar) werkdagen]]</f>
        <v>7884</v>
      </c>
      <c r="AF333" s="60">
        <f>Ruimtestaat[[#This Row],[uren / jaar weekend]]+Ruimtestaat[[#This Row],[uren / jaar werkdagen]]</f>
        <v>0</v>
      </c>
      <c r="AG333" s="61">
        <f>Ruimtestaat[[#This Row],[kosten / jaar weekend]]+Ruimtestaat[[#This Row],[kosten / jaar werkdagen]]</f>
        <v>0</v>
      </c>
      <c r="AH333" s="92"/>
      <c r="HL333" s="59"/>
    </row>
    <row r="334" spans="1:220">
      <c r="A334" s="24">
        <v>2</v>
      </c>
      <c r="B334" s="24" t="str">
        <f>VLOOKUP(Ruimtestaat[[#This Row],[Code]],Locaties[#All],2,FALSE)</f>
        <v>Het Stormink</v>
      </c>
      <c r="C334" s="24" t="str">
        <f>VLOOKUP(Ruimtestaat[[#This Row],[Code]],Locaties[#All],4,FALSE)</f>
        <v>Storminkstraat 1</v>
      </c>
      <c r="D334" s="24" t="str">
        <f>VLOOKUP(Ruimtestaat[[#This Row],[Code]],Locaties[#All],5,FALSE)</f>
        <v>7418 GH</v>
      </c>
      <c r="E334" s="24" t="str">
        <f>VLOOKUP(Ruimtestaat[[#This Row],[Code]],Locaties[#All],6,FALSE)</f>
        <v>Deventer</v>
      </c>
      <c r="F334" s="54"/>
      <c r="G334" s="24" t="s">
        <v>569</v>
      </c>
      <c r="H334" s="24" t="s">
        <v>572</v>
      </c>
      <c r="I334" s="4" t="s">
        <v>758</v>
      </c>
      <c r="J334" s="24">
        <v>2</v>
      </c>
      <c r="K334" s="54" t="str">
        <f>VLOOKUP(J334,Ruimtegroepen[],2,FALSE)</f>
        <v>Kantoren</v>
      </c>
      <c r="L334" s="24" t="s">
        <v>303</v>
      </c>
      <c r="M334" s="24" t="s">
        <v>387</v>
      </c>
      <c r="N334" s="83">
        <v>38.22</v>
      </c>
      <c r="O334" s="83"/>
      <c r="P334" s="93" t="str">
        <f>LEFT(VLOOKUP(Ruimtestaat[[#This Row],[Ruimte code]],Ruimtegroepen[#All],4,1),2)</f>
        <v>Bu</v>
      </c>
      <c r="Q334" s="93"/>
      <c r="R334" s="84">
        <v>42</v>
      </c>
      <c r="S334" s="84" t="s">
        <v>322</v>
      </c>
      <c r="T334" s="85">
        <f>IF(R334&gt;0,IF(RIGHT(Ruimtestaat[[#This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34" s="85">
        <f>IF(T334&gt;0,VLOOKUP($J334,Ruimtegroepen[],3,FALSE)*VLOOKUP($L334,Vloersoorten[],3,FALSE)*VLOOKUP($S334,Frequenties[],3,FALSE)*VLOOKUP($A334,Locaties[],3,FALSE),0)</f>
        <v>0</v>
      </c>
      <c r="V334" s="86">
        <f>Ruimtestaat[[#This Row],[Uitvoeringen werkdagen]]*Ruimtestaat[[#This Row],[Oppervlak (netto)]]</f>
        <v>4815.72</v>
      </c>
      <c r="W334" s="87">
        <f>IF(U334&gt;0,Ruimtestaat[[#This Row],[Prest. (m2 /jaar) werkdagen]]/Ruimtestaat[[#This Row],[Norm (m2/uur) werkdagen]],0)</f>
        <v>0</v>
      </c>
      <c r="X334" s="88">
        <f>Ruimtestaat[[#This Row],[uren / jaar werkdagen]]*Tariefsopbouw!$E$35</f>
        <v>0</v>
      </c>
      <c r="Y334" s="85"/>
      <c r="Z334" s="89">
        <f>IF(Ruimtestaat[[#This Row],[Frequentie weekend]]&gt;0,VALUE(LEFT(Y334,1))*R334,0)</f>
        <v>0</v>
      </c>
      <c r="AA334" s="85">
        <f>IF($Z334&gt;0,VLOOKUP($J334,Ruimtegroepen[],3,FALSE)*VLOOKUP($L334,Vloersoorten[],3,FALSE)*VLOOKUP($Y334,Frequenties[],3,FALSE)*VLOOKUP(#REF!,Locaties[],3,FALSE),0)</f>
        <v>0</v>
      </c>
      <c r="AB334" s="87">
        <f>Ruimtestaat[[#This Row],[Uitvoeringen weekend]]*Ruimtestaat[[#This Row],[Oppervlak (netto)]]</f>
        <v>0</v>
      </c>
      <c r="AC334" s="90">
        <f>IF(AB334&gt;0,Ruimtestaat[[#This Row],[Prest. (m2 /jaar) weekend]]/Ruimtestaat[[#This Row],[Norm (m2/uur) weekend]],0)</f>
        <v>0</v>
      </c>
      <c r="AD334" s="91">
        <f>Ruimtestaat[[#This Row],[uren / jaar weekend]]*Tariefsopbouw!$D$40</f>
        <v>0</v>
      </c>
      <c r="AE334" s="60">
        <f>Ruimtestaat[[#This Row],[Prest. (m2 /jaar) weekend]]+Ruimtestaat[[#This Row],[Prest. (m2 /jaar) werkdagen]]</f>
        <v>4815.72</v>
      </c>
      <c r="AF334" s="60">
        <f>Ruimtestaat[[#This Row],[uren / jaar weekend]]+Ruimtestaat[[#This Row],[uren / jaar werkdagen]]</f>
        <v>0</v>
      </c>
      <c r="AG334" s="61">
        <f>Ruimtestaat[[#This Row],[kosten / jaar weekend]]+Ruimtestaat[[#This Row],[kosten / jaar werkdagen]]</f>
        <v>0</v>
      </c>
      <c r="AH334" s="92"/>
      <c r="HL334" s="59"/>
    </row>
    <row r="335" spans="1:220">
      <c r="A335" s="24">
        <v>2</v>
      </c>
      <c r="B335" s="24" t="str">
        <f>VLOOKUP(Ruimtestaat[[#This Row],[Code]],Locaties[#All],2,FALSE)</f>
        <v>Het Stormink</v>
      </c>
      <c r="C335" s="24" t="str">
        <f>VLOOKUP(Ruimtestaat[[#This Row],[Code]],Locaties[#All],4,FALSE)</f>
        <v>Storminkstraat 1</v>
      </c>
      <c r="D335" s="24" t="str">
        <f>VLOOKUP(Ruimtestaat[[#This Row],[Code]],Locaties[#All],5,FALSE)</f>
        <v>7418 GH</v>
      </c>
      <c r="E335" s="24" t="str">
        <f>VLOOKUP(Ruimtestaat[[#This Row],[Code]],Locaties[#All],6,FALSE)</f>
        <v>Deventer</v>
      </c>
      <c r="F335" s="54"/>
      <c r="G335" s="24" t="s">
        <v>569</v>
      </c>
      <c r="H335" s="24" t="s">
        <v>573</v>
      </c>
      <c r="I335" s="4" t="s">
        <v>759</v>
      </c>
      <c r="J335" s="24">
        <v>15</v>
      </c>
      <c r="K335" s="54" t="str">
        <f>VLOOKUP(J335,Ruimtegroepen[],2,FALSE)</f>
        <v>Keuken/pantry</v>
      </c>
      <c r="L335" s="24" t="s">
        <v>300</v>
      </c>
      <c r="M335" s="24" t="s">
        <v>157</v>
      </c>
      <c r="N335" s="83">
        <v>12.32</v>
      </c>
      <c r="O335" s="83"/>
      <c r="P335" s="93" t="str">
        <f>LEFT(VLOOKUP(Ruimtestaat[[#This Row],[Ruimte code]],Ruimtegroepen[#All],4,1),2)</f>
        <v>Ve</v>
      </c>
      <c r="Q335" s="93"/>
      <c r="R335" s="84">
        <v>40</v>
      </c>
      <c r="S335" s="84" t="s">
        <v>318</v>
      </c>
      <c r="T335" s="85">
        <f>IF(R335&gt;0,IF(RIGHT(Ruimtestaat[[#This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5" s="85">
        <f>IF(T335&gt;0,VLOOKUP($J335,Ruimtegroepen[],3,FALSE)*VLOOKUP($L335,Vloersoorten[],3,FALSE)*VLOOKUP($S335,Frequenties[],3,FALSE)*VLOOKUP($A335,Locaties[],3,FALSE),0)</f>
        <v>0</v>
      </c>
      <c r="V335" s="86">
        <f>Ruimtestaat[[#This Row],[Uitvoeringen werkdagen]]*Ruimtestaat[[#This Row],[Oppervlak (netto)]]</f>
        <v>2464</v>
      </c>
      <c r="W335" s="87">
        <f>IF(U335&gt;0,Ruimtestaat[[#This Row],[Prest. (m2 /jaar) werkdagen]]/Ruimtestaat[[#This Row],[Norm (m2/uur) werkdagen]],0)</f>
        <v>0</v>
      </c>
      <c r="X335" s="88">
        <f>Ruimtestaat[[#This Row],[uren / jaar werkdagen]]*Tariefsopbouw!$E$35</f>
        <v>0</v>
      </c>
      <c r="Y335" s="85"/>
      <c r="Z335" s="89">
        <f>IF(Ruimtestaat[[#This Row],[Frequentie weekend]]&gt;0,VALUE(LEFT(Y335,1))*R335,0)</f>
        <v>0</v>
      </c>
      <c r="AA335" s="85">
        <f>IF($Z335&gt;0,VLOOKUP($J335,Ruimtegroepen[],3,FALSE)*VLOOKUP($L335,Vloersoorten[],3,FALSE)*VLOOKUP($Y335,Frequenties[],3,FALSE)*VLOOKUP(#REF!,Locaties[],3,FALSE),0)</f>
        <v>0</v>
      </c>
      <c r="AB335" s="87">
        <f>Ruimtestaat[[#This Row],[Uitvoeringen weekend]]*Ruimtestaat[[#This Row],[Oppervlak (netto)]]</f>
        <v>0</v>
      </c>
      <c r="AC335" s="90">
        <f>IF(AB335&gt;0,Ruimtestaat[[#This Row],[Prest. (m2 /jaar) weekend]]/Ruimtestaat[[#This Row],[Norm (m2/uur) weekend]],0)</f>
        <v>0</v>
      </c>
      <c r="AD335" s="91">
        <f>Ruimtestaat[[#This Row],[uren / jaar weekend]]*Tariefsopbouw!$D$40</f>
        <v>0</v>
      </c>
      <c r="AE335" s="60">
        <f>Ruimtestaat[[#This Row],[Prest. (m2 /jaar) weekend]]+Ruimtestaat[[#This Row],[Prest. (m2 /jaar) werkdagen]]</f>
        <v>2464</v>
      </c>
      <c r="AF335" s="60">
        <f>Ruimtestaat[[#This Row],[uren / jaar weekend]]+Ruimtestaat[[#This Row],[uren / jaar werkdagen]]</f>
        <v>0</v>
      </c>
      <c r="AG335" s="61">
        <f>Ruimtestaat[[#This Row],[kosten / jaar weekend]]+Ruimtestaat[[#This Row],[kosten / jaar werkdagen]]</f>
        <v>0</v>
      </c>
      <c r="AH335" s="92"/>
      <c r="HL335" s="59"/>
    </row>
    <row r="336" spans="1:220">
      <c r="A336" s="24">
        <v>2</v>
      </c>
      <c r="B336" s="24" t="str">
        <f>VLOOKUP(Ruimtestaat[[#This Row],[Code]],Locaties[#All],2,FALSE)</f>
        <v>Het Stormink</v>
      </c>
      <c r="C336" s="24" t="str">
        <f>VLOOKUP(Ruimtestaat[[#This Row],[Code]],Locaties[#All],4,FALSE)</f>
        <v>Storminkstraat 1</v>
      </c>
      <c r="D336" s="24" t="str">
        <f>VLOOKUP(Ruimtestaat[[#This Row],[Code]],Locaties[#All],5,FALSE)</f>
        <v>7418 GH</v>
      </c>
      <c r="E336" s="24" t="str">
        <f>VLOOKUP(Ruimtestaat[[#This Row],[Code]],Locaties[#All],6,FALSE)</f>
        <v>Deventer</v>
      </c>
      <c r="F336" s="54"/>
      <c r="G336" s="24" t="s">
        <v>569</v>
      </c>
      <c r="H336" s="24" t="s">
        <v>760</v>
      </c>
      <c r="I336" s="4" t="s">
        <v>280</v>
      </c>
      <c r="J336" s="24">
        <v>9</v>
      </c>
      <c r="K336" s="54" t="str">
        <f>VLOOKUP(J336,Ruimtegroepen[],2,FALSE)</f>
        <v>Garderobe</v>
      </c>
      <c r="L336" s="24" t="s">
        <v>300</v>
      </c>
      <c r="M336" s="24" t="s">
        <v>157</v>
      </c>
      <c r="N336" s="83">
        <v>6.08</v>
      </c>
      <c r="O336" s="83"/>
      <c r="P336" s="93" t="str">
        <f>LEFT(VLOOKUP(Ruimtestaat[[#This Row],[Ruimte code]],Ruimtegroepen[#All],4,1),2)</f>
        <v>Ve</v>
      </c>
      <c r="Q336" s="93"/>
      <c r="R336" s="84">
        <v>40</v>
      </c>
      <c r="S336" s="84" t="s">
        <v>318</v>
      </c>
      <c r="T336" s="85">
        <f>IF(R336&gt;0,IF(RIGHT(Ruimtestaat[[#This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6" s="85">
        <f>IF(T336&gt;0,VLOOKUP($J336,Ruimtegroepen[],3,FALSE)*VLOOKUP($L336,Vloersoorten[],3,FALSE)*VLOOKUP($S336,Frequenties[],3,FALSE)*VLOOKUP($A336,Locaties[],3,FALSE),0)</f>
        <v>0</v>
      </c>
      <c r="V336" s="86">
        <f>Ruimtestaat[[#This Row],[Uitvoeringen werkdagen]]*Ruimtestaat[[#This Row],[Oppervlak (netto)]]</f>
        <v>1216</v>
      </c>
      <c r="W336" s="87">
        <f>IF(U336&gt;0,Ruimtestaat[[#This Row],[Prest. (m2 /jaar) werkdagen]]/Ruimtestaat[[#This Row],[Norm (m2/uur) werkdagen]],0)</f>
        <v>0</v>
      </c>
      <c r="X336" s="88">
        <f>Ruimtestaat[[#This Row],[uren / jaar werkdagen]]*Tariefsopbouw!$E$35</f>
        <v>0</v>
      </c>
      <c r="Y336" s="85"/>
      <c r="Z336" s="89">
        <f>IF(Ruimtestaat[[#This Row],[Frequentie weekend]]&gt;0,VALUE(LEFT(Y336,1))*R336,0)</f>
        <v>0</v>
      </c>
      <c r="AA336" s="85">
        <f>IF($Z336&gt;0,VLOOKUP($J336,Ruimtegroepen[],3,FALSE)*VLOOKUP($L336,Vloersoorten[],3,FALSE)*VLOOKUP($Y336,Frequenties[],3,FALSE)*VLOOKUP(#REF!,Locaties[],3,FALSE),0)</f>
        <v>0</v>
      </c>
      <c r="AB336" s="87">
        <f>Ruimtestaat[[#This Row],[Uitvoeringen weekend]]*Ruimtestaat[[#This Row],[Oppervlak (netto)]]</f>
        <v>0</v>
      </c>
      <c r="AC336" s="90">
        <f>IF(AB336&gt;0,Ruimtestaat[[#This Row],[Prest. (m2 /jaar) weekend]]/Ruimtestaat[[#This Row],[Norm (m2/uur) weekend]],0)</f>
        <v>0</v>
      </c>
      <c r="AD336" s="91">
        <f>Ruimtestaat[[#This Row],[uren / jaar weekend]]*Tariefsopbouw!$D$40</f>
        <v>0</v>
      </c>
      <c r="AE336" s="60">
        <f>Ruimtestaat[[#This Row],[Prest. (m2 /jaar) weekend]]+Ruimtestaat[[#This Row],[Prest. (m2 /jaar) werkdagen]]</f>
        <v>1216</v>
      </c>
      <c r="AF336" s="60">
        <f>Ruimtestaat[[#This Row],[uren / jaar weekend]]+Ruimtestaat[[#This Row],[uren / jaar werkdagen]]</f>
        <v>0</v>
      </c>
      <c r="AG336" s="61">
        <f>Ruimtestaat[[#This Row],[kosten / jaar weekend]]+Ruimtestaat[[#This Row],[kosten / jaar werkdagen]]</f>
        <v>0</v>
      </c>
      <c r="AH336" s="92"/>
      <c r="HL336" s="59"/>
    </row>
    <row r="337" spans="1:220">
      <c r="A337" s="24">
        <v>2</v>
      </c>
      <c r="B337" s="24" t="str">
        <f>VLOOKUP(Ruimtestaat[[#This Row],[Code]],Locaties[#All],2,FALSE)</f>
        <v>Het Stormink</v>
      </c>
      <c r="C337" s="24" t="str">
        <f>VLOOKUP(Ruimtestaat[[#This Row],[Code]],Locaties[#All],4,FALSE)</f>
        <v>Storminkstraat 1</v>
      </c>
      <c r="D337" s="24" t="str">
        <f>VLOOKUP(Ruimtestaat[[#This Row],[Code]],Locaties[#All],5,FALSE)</f>
        <v>7418 GH</v>
      </c>
      <c r="E337" s="24" t="str">
        <f>VLOOKUP(Ruimtestaat[[#This Row],[Code]],Locaties[#All],6,FALSE)</f>
        <v>Deventer</v>
      </c>
      <c r="F337" s="54"/>
      <c r="G337" s="24" t="s">
        <v>569</v>
      </c>
      <c r="H337" s="24" t="s">
        <v>574</v>
      </c>
      <c r="I337" s="4" t="s">
        <v>761</v>
      </c>
      <c r="J337" s="24">
        <v>21</v>
      </c>
      <c r="K337" s="54" t="str">
        <f>VLOOKUP(J337,Ruimtegroepen[],2,FALSE)</f>
        <v>Personeelskamer</v>
      </c>
      <c r="L337" s="24" t="s">
        <v>300</v>
      </c>
      <c r="M337" s="24" t="s">
        <v>157</v>
      </c>
      <c r="N337" s="83">
        <v>97.19</v>
      </c>
      <c r="O337" s="83"/>
      <c r="P337" s="93" t="str">
        <f>LEFT(VLOOKUP(Ruimtestaat[[#This Row],[Ruimte code]],Ruimtegroepen[#All],4,1),2)</f>
        <v>Ve</v>
      </c>
      <c r="Q337" s="93"/>
      <c r="R337" s="84">
        <v>40</v>
      </c>
      <c r="S337" s="84" t="s">
        <v>318</v>
      </c>
      <c r="T337" s="85">
        <f>IF(R337&gt;0,IF(RIGHT(Ruimtestaat[[#This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7" s="85">
        <f>IF(T337&gt;0,VLOOKUP($J337,Ruimtegroepen[],3,FALSE)*VLOOKUP($L337,Vloersoorten[],3,FALSE)*VLOOKUP($S337,Frequenties[],3,FALSE)*VLOOKUP($A337,Locaties[],3,FALSE),0)</f>
        <v>0</v>
      </c>
      <c r="V337" s="86">
        <f>Ruimtestaat[[#This Row],[Uitvoeringen werkdagen]]*Ruimtestaat[[#This Row],[Oppervlak (netto)]]</f>
        <v>19438</v>
      </c>
      <c r="W337" s="87">
        <f>IF(U337&gt;0,Ruimtestaat[[#This Row],[Prest. (m2 /jaar) werkdagen]]/Ruimtestaat[[#This Row],[Norm (m2/uur) werkdagen]],0)</f>
        <v>0</v>
      </c>
      <c r="X337" s="88">
        <f>Ruimtestaat[[#This Row],[uren / jaar werkdagen]]*Tariefsopbouw!$E$35</f>
        <v>0</v>
      </c>
      <c r="Y337" s="85"/>
      <c r="Z337" s="89">
        <f>IF(Ruimtestaat[[#This Row],[Frequentie weekend]]&gt;0,VALUE(LEFT(Y337,1))*R337,0)</f>
        <v>0</v>
      </c>
      <c r="AA337" s="85">
        <f>IF($Z337&gt;0,VLOOKUP($J337,Ruimtegroepen[],3,FALSE)*VLOOKUP($L337,Vloersoorten[],3,FALSE)*VLOOKUP($Y337,Frequenties[],3,FALSE)*VLOOKUP(#REF!,Locaties[],3,FALSE),0)</f>
        <v>0</v>
      </c>
      <c r="AB337" s="87">
        <f>Ruimtestaat[[#This Row],[Uitvoeringen weekend]]*Ruimtestaat[[#This Row],[Oppervlak (netto)]]</f>
        <v>0</v>
      </c>
      <c r="AC337" s="90">
        <f>IF(AB337&gt;0,Ruimtestaat[[#This Row],[Prest. (m2 /jaar) weekend]]/Ruimtestaat[[#This Row],[Norm (m2/uur) weekend]],0)</f>
        <v>0</v>
      </c>
      <c r="AD337" s="91">
        <f>Ruimtestaat[[#This Row],[uren / jaar weekend]]*Tariefsopbouw!$D$40</f>
        <v>0</v>
      </c>
      <c r="AE337" s="60">
        <f>Ruimtestaat[[#This Row],[Prest. (m2 /jaar) weekend]]+Ruimtestaat[[#This Row],[Prest. (m2 /jaar) werkdagen]]</f>
        <v>19438</v>
      </c>
      <c r="AF337" s="60">
        <f>Ruimtestaat[[#This Row],[uren / jaar weekend]]+Ruimtestaat[[#This Row],[uren / jaar werkdagen]]</f>
        <v>0</v>
      </c>
      <c r="AG337" s="61">
        <f>Ruimtestaat[[#This Row],[kosten / jaar weekend]]+Ruimtestaat[[#This Row],[kosten / jaar werkdagen]]</f>
        <v>0</v>
      </c>
      <c r="AH337" s="92"/>
      <c r="HL337" s="59"/>
    </row>
    <row r="338" spans="1:220">
      <c r="A338" s="24">
        <v>2</v>
      </c>
      <c r="B338" s="24" t="str">
        <f>VLOOKUP(Ruimtestaat[[#This Row],[Code]],Locaties[#All],2,FALSE)</f>
        <v>Het Stormink</v>
      </c>
      <c r="C338" s="24" t="str">
        <f>VLOOKUP(Ruimtestaat[[#This Row],[Code]],Locaties[#All],4,FALSE)</f>
        <v>Storminkstraat 1</v>
      </c>
      <c r="D338" s="24" t="str">
        <f>VLOOKUP(Ruimtestaat[[#This Row],[Code]],Locaties[#All],5,FALSE)</f>
        <v>7418 GH</v>
      </c>
      <c r="E338" s="24" t="str">
        <f>VLOOKUP(Ruimtestaat[[#This Row],[Code]],Locaties[#All],6,FALSE)</f>
        <v>Deventer</v>
      </c>
      <c r="F338" s="54"/>
      <c r="G338" s="24" t="s">
        <v>569</v>
      </c>
      <c r="H338" s="24" t="s">
        <v>577</v>
      </c>
      <c r="I338" s="4" t="s">
        <v>689</v>
      </c>
      <c r="J338" s="24">
        <v>6</v>
      </c>
      <c r="K338" s="54" t="str">
        <f>VLOOKUP(J338,Ruimtegroepen[],2,FALSE)</f>
        <v>Gangen/hallen</v>
      </c>
      <c r="L338" s="24" t="s">
        <v>300</v>
      </c>
      <c r="M338" s="24" t="s">
        <v>157</v>
      </c>
      <c r="N338" s="83">
        <v>1.77</v>
      </c>
      <c r="O338" s="83"/>
      <c r="P338" s="93" t="str">
        <f>LEFT(VLOOKUP(Ruimtestaat[[#This Row],[Ruimte code]],Ruimtegroepen[#All],4,1),2)</f>
        <v>Ve</v>
      </c>
      <c r="Q338" s="93"/>
      <c r="R338" s="84">
        <v>40</v>
      </c>
      <c r="S338" s="84" t="s">
        <v>318</v>
      </c>
      <c r="T338" s="85">
        <f>IF(R338&gt;0,IF(RIGHT(Ruimtestaat[[#This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8" s="85">
        <f>IF(T338&gt;0,VLOOKUP($J338,Ruimtegroepen[],3,FALSE)*VLOOKUP($L338,Vloersoorten[],3,FALSE)*VLOOKUP($S338,Frequenties[],3,FALSE)*VLOOKUP($A338,Locaties[],3,FALSE),0)</f>
        <v>0</v>
      </c>
      <c r="V338" s="86">
        <f>Ruimtestaat[[#This Row],[Uitvoeringen werkdagen]]*Ruimtestaat[[#This Row],[Oppervlak (netto)]]</f>
        <v>354</v>
      </c>
      <c r="W338" s="87">
        <f>IF(U338&gt;0,Ruimtestaat[[#This Row],[Prest. (m2 /jaar) werkdagen]]/Ruimtestaat[[#This Row],[Norm (m2/uur) werkdagen]],0)</f>
        <v>0</v>
      </c>
      <c r="X338" s="88">
        <f>Ruimtestaat[[#This Row],[uren / jaar werkdagen]]*Tariefsopbouw!$E$35</f>
        <v>0</v>
      </c>
      <c r="Y338" s="85"/>
      <c r="Z338" s="89">
        <f>IF(Ruimtestaat[[#This Row],[Frequentie weekend]]&gt;0,VALUE(LEFT(Y338,1))*R338,0)</f>
        <v>0</v>
      </c>
      <c r="AA338" s="85">
        <f>IF($Z338&gt;0,VLOOKUP($J338,Ruimtegroepen[],3,FALSE)*VLOOKUP($L338,Vloersoorten[],3,FALSE)*VLOOKUP($Y338,Frequenties[],3,FALSE)*VLOOKUP(#REF!,Locaties[],3,FALSE),0)</f>
        <v>0</v>
      </c>
      <c r="AB338" s="87">
        <f>Ruimtestaat[[#This Row],[Uitvoeringen weekend]]*Ruimtestaat[[#This Row],[Oppervlak (netto)]]</f>
        <v>0</v>
      </c>
      <c r="AC338" s="90">
        <f>IF(AB338&gt;0,Ruimtestaat[[#This Row],[Prest. (m2 /jaar) weekend]]/Ruimtestaat[[#This Row],[Norm (m2/uur) weekend]],0)</f>
        <v>0</v>
      </c>
      <c r="AD338" s="91">
        <f>Ruimtestaat[[#This Row],[uren / jaar weekend]]*Tariefsopbouw!$D$40</f>
        <v>0</v>
      </c>
      <c r="AE338" s="60">
        <f>Ruimtestaat[[#This Row],[Prest. (m2 /jaar) weekend]]+Ruimtestaat[[#This Row],[Prest. (m2 /jaar) werkdagen]]</f>
        <v>354</v>
      </c>
      <c r="AF338" s="60">
        <f>Ruimtestaat[[#This Row],[uren / jaar weekend]]+Ruimtestaat[[#This Row],[uren / jaar werkdagen]]</f>
        <v>0</v>
      </c>
      <c r="AG338" s="61">
        <f>Ruimtestaat[[#This Row],[kosten / jaar weekend]]+Ruimtestaat[[#This Row],[kosten / jaar werkdagen]]</f>
        <v>0</v>
      </c>
      <c r="AH338" s="92"/>
      <c r="HL338" s="59"/>
    </row>
    <row r="339" spans="1:220">
      <c r="A339" s="24">
        <v>2</v>
      </c>
      <c r="B339" s="24" t="str">
        <f>VLOOKUP(Ruimtestaat[[#This Row],[Code]],Locaties[#All],2,FALSE)</f>
        <v>Het Stormink</v>
      </c>
      <c r="C339" s="24" t="str">
        <f>VLOOKUP(Ruimtestaat[[#This Row],[Code]],Locaties[#All],4,FALSE)</f>
        <v>Storminkstraat 1</v>
      </c>
      <c r="D339" s="24" t="str">
        <f>VLOOKUP(Ruimtestaat[[#This Row],[Code]],Locaties[#All],5,FALSE)</f>
        <v>7418 GH</v>
      </c>
      <c r="E339" s="24" t="str">
        <f>VLOOKUP(Ruimtestaat[[#This Row],[Code]],Locaties[#All],6,FALSE)</f>
        <v>Deventer</v>
      </c>
      <c r="F339" s="54"/>
      <c r="G339" s="24" t="s">
        <v>569</v>
      </c>
      <c r="H339" s="24" t="s">
        <v>578</v>
      </c>
      <c r="I339" s="4" t="s">
        <v>535</v>
      </c>
      <c r="J339" s="24">
        <v>22</v>
      </c>
      <c r="K339" s="54" t="str">
        <f>VLOOKUP(J339,Ruimtegroepen[],2,FALSE)</f>
        <v>Niet in onderhoud</v>
      </c>
      <c r="L339" s="24" t="s">
        <v>300</v>
      </c>
      <c r="M339" s="24" t="s">
        <v>157</v>
      </c>
      <c r="N339" s="83"/>
      <c r="O339" s="83">
        <v>3.21</v>
      </c>
      <c r="P339" s="93" t="str">
        <f>LEFT(VLOOKUP(Ruimtestaat[[#This Row],[Ruimte code]],Ruimtegroepen[#All],4,1),2)</f>
        <v/>
      </c>
      <c r="Q339" s="93"/>
      <c r="R339" s="84"/>
      <c r="S339" s="84"/>
      <c r="T339" s="85">
        <f>IF(R339&gt;0,IF(RIGHT(Ruimtestaat[[#This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39" s="85">
        <f>IF(T339&gt;0,VLOOKUP($J339,Ruimtegroepen[],3,FALSE)*VLOOKUP($L339,Vloersoorten[],3,FALSE)*VLOOKUP($S339,Frequenties[],3,FALSE)*VLOOKUP($A339,Locaties[],3,FALSE),0)</f>
        <v>0</v>
      </c>
      <c r="V339" s="86">
        <f>Ruimtestaat[[#This Row],[Uitvoeringen werkdagen]]*Ruimtestaat[[#This Row],[Oppervlak (netto)]]</f>
        <v>0</v>
      </c>
      <c r="W339" s="87">
        <f>IF(U339&gt;0,Ruimtestaat[[#This Row],[Prest. (m2 /jaar) werkdagen]]/Ruimtestaat[[#This Row],[Norm (m2/uur) werkdagen]],0)</f>
        <v>0</v>
      </c>
      <c r="X339" s="88">
        <f>Ruimtestaat[[#This Row],[uren / jaar werkdagen]]*Tariefsopbouw!$E$35</f>
        <v>0</v>
      </c>
      <c r="Y339" s="85"/>
      <c r="Z339" s="89">
        <f>IF(Ruimtestaat[[#This Row],[Frequentie weekend]]&gt;0,VALUE(LEFT(Y339,1))*R339,0)</f>
        <v>0</v>
      </c>
      <c r="AA339" s="85">
        <f>IF($Z339&gt;0,VLOOKUP($J339,Ruimtegroepen[],3,FALSE)*VLOOKUP($L339,Vloersoorten[],3,FALSE)*VLOOKUP($Y339,Frequenties[],3,FALSE)*VLOOKUP(#REF!,Locaties[],3,FALSE),0)</f>
        <v>0</v>
      </c>
      <c r="AB339" s="87">
        <f>Ruimtestaat[[#This Row],[Uitvoeringen weekend]]*Ruimtestaat[[#This Row],[Oppervlak (netto)]]</f>
        <v>0</v>
      </c>
      <c r="AC339" s="90">
        <f>IF(AB339&gt;0,Ruimtestaat[[#This Row],[Prest. (m2 /jaar) weekend]]/Ruimtestaat[[#This Row],[Norm (m2/uur) weekend]],0)</f>
        <v>0</v>
      </c>
      <c r="AD339" s="91">
        <f>Ruimtestaat[[#This Row],[uren / jaar weekend]]*Tariefsopbouw!$D$40</f>
        <v>0</v>
      </c>
      <c r="AE339" s="60">
        <f>Ruimtestaat[[#This Row],[Prest. (m2 /jaar) weekend]]+Ruimtestaat[[#This Row],[Prest. (m2 /jaar) werkdagen]]</f>
        <v>0</v>
      </c>
      <c r="AF339" s="60">
        <f>Ruimtestaat[[#This Row],[uren / jaar weekend]]+Ruimtestaat[[#This Row],[uren / jaar werkdagen]]</f>
        <v>0</v>
      </c>
      <c r="AG339" s="61">
        <f>Ruimtestaat[[#This Row],[kosten / jaar weekend]]+Ruimtestaat[[#This Row],[kosten / jaar werkdagen]]</f>
        <v>0</v>
      </c>
      <c r="AH339" s="92"/>
      <c r="HL339" s="59"/>
    </row>
    <row r="340" spans="1:220">
      <c r="A340" s="24">
        <v>2</v>
      </c>
      <c r="B340" s="24" t="str">
        <f>VLOOKUP(Ruimtestaat[[#This Row],[Code]],Locaties[#All],2,FALSE)</f>
        <v>Het Stormink</v>
      </c>
      <c r="C340" s="24" t="str">
        <f>VLOOKUP(Ruimtestaat[[#This Row],[Code]],Locaties[#All],4,FALSE)</f>
        <v>Storminkstraat 1</v>
      </c>
      <c r="D340" s="24" t="str">
        <f>VLOOKUP(Ruimtestaat[[#This Row],[Code]],Locaties[#All],5,FALSE)</f>
        <v>7418 GH</v>
      </c>
      <c r="E340" s="24" t="str">
        <f>VLOOKUP(Ruimtestaat[[#This Row],[Code]],Locaties[#All],6,FALSE)</f>
        <v>Deventer</v>
      </c>
      <c r="F340" s="54"/>
      <c r="G340" s="24" t="s">
        <v>569</v>
      </c>
      <c r="H340" s="24" t="s">
        <v>579</v>
      </c>
      <c r="I340" s="4" t="s">
        <v>674</v>
      </c>
      <c r="J340" s="24">
        <v>22</v>
      </c>
      <c r="K340" s="54" t="str">
        <f>VLOOKUP(J340,Ruimtegroepen[],2,FALSE)</f>
        <v>Niet in onderhoud</v>
      </c>
      <c r="L340" s="24" t="s">
        <v>300</v>
      </c>
      <c r="M340" s="24" t="s">
        <v>157</v>
      </c>
      <c r="N340" s="83"/>
      <c r="O340" s="83">
        <v>1.64</v>
      </c>
      <c r="P340" s="93" t="str">
        <f>LEFT(VLOOKUP(Ruimtestaat[[#This Row],[Ruimte code]],Ruimtegroepen[#All],4,1),2)</f>
        <v/>
      </c>
      <c r="Q340" s="93"/>
      <c r="R340" s="84"/>
      <c r="S340" s="84"/>
      <c r="T340" s="85">
        <f>IF(R340&gt;0,IF(RIGHT(Ruimtestaat[[#This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40" s="85">
        <f>IF(T340&gt;0,VLOOKUP($J340,Ruimtegroepen[],3,FALSE)*VLOOKUP($L340,Vloersoorten[],3,FALSE)*VLOOKUP($S340,Frequenties[],3,FALSE)*VLOOKUP($A340,Locaties[],3,FALSE),0)</f>
        <v>0</v>
      </c>
      <c r="V340" s="86">
        <f>Ruimtestaat[[#This Row],[Uitvoeringen werkdagen]]*Ruimtestaat[[#This Row],[Oppervlak (netto)]]</f>
        <v>0</v>
      </c>
      <c r="W340" s="87">
        <f>IF(U340&gt;0,Ruimtestaat[[#This Row],[Prest. (m2 /jaar) werkdagen]]/Ruimtestaat[[#This Row],[Norm (m2/uur) werkdagen]],0)</f>
        <v>0</v>
      </c>
      <c r="X340" s="88">
        <f>Ruimtestaat[[#This Row],[uren / jaar werkdagen]]*Tariefsopbouw!$E$35</f>
        <v>0</v>
      </c>
      <c r="Y340" s="85"/>
      <c r="Z340" s="89">
        <f>IF(Ruimtestaat[[#This Row],[Frequentie weekend]]&gt;0,VALUE(LEFT(Y340,1))*R340,0)</f>
        <v>0</v>
      </c>
      <c r="AA340" s="85">
        <f>IF($Z340&gt;0,VLOOKUP($J340,Ruimtegroepen[],3,FALSE)*VLOOKUP($L340,Vloersoorten[],3,FALSE)*VLOOKUP($Y340,Frequenties[],3,FALSE)*VLOOKUP(#REF!,Locaties[],3,FALSE),0)</f>
        <v>0</v>
      </c>
      <c r="AB340" s="87">
        <f>Ruimtestaat[[#This Row],[Uitvoeringen weekend]]*Ruimtestaat[[#This Row],[Oppervlak (netto)]]</f>
        <v>0</v>
      </c>
      <c r="AC340" s="90">
        <f>IF(AB340&gt;0,Ruimtestaat[[#This Row],[Prest. (m2 /jaar) weekend]]/Ruimtestaat[[#This Row],[Norm (m2/uur) weekend]],0)</f>
        <v>0</v>
      </c>
      <c r="AD340" s="91">
        <f>Ruimtestaat[[#This Row],[uren / jaar weekend]]*Tariefsopbouw!$D$40</f>
        <v>0</v>
      </c>
      <c r="AE340" s="60">
        <f>Ruimtestaat[[#This Row],[Prest. (m2 /jaar) weekend]]+Ruimtestaat[[#This Row],[Prest. (m2 /jaar) werkdagen]]</f>
        <v>0</v>
      </c>
      <c r="AF340" s="60">
        <f>Ruimtestaat[[#This Row],[uren / jaar weekend]]+Ruimtestaat[[#This Row],[uren / jaar werkdagen]]</f>
        <v>0</v>
      </c>
      <c r="AG340" s="61">
        <f>Ruimtestaat[[#This Row],[kosten / jaar weekend]]+Ruimtestaat[[#This Row],[kosten / jaar werkdagen]]</f>
        <v>0</v>
      </c>
      <c r="AH340" s="92"/>
      <c r="HL340" s="59"/>
    </row>
    <row r="341" spans="1:220">
      <c r="A341" s="24">
        <v>2</v>
      </c>
      <c r="B341" s="24" t="str">
        <f>VLOOKUP(Ruimtestaat[[#This Row],[Code]],Locaties[#All],2,FALSE)</f>
        <v>Het Stormink</v>
      </c>
      <c r="C341" s="24" t="str">
        <f>VLOOKUP(Ruimtestaat[[#This Row],[Code]],Locaties[#All],4,FALSE)</f>
        <v>Storminkstraat 1</v>
      </c>
      <c r="D341" s="24" t="str">
        <f>VLOOKUP(Ruimtestaat[[#This Row],[Code]],Locaties[#All],5,FALSE)</f>
        <v>7418 GH</v>
      </c>
      <c r="E341" s="24" t="str">
        <f>VLOOKUP(Ruimtestaat[[#This Row],[Code]],Locaties[#All],6,FALSE)</f>
        <v>Deventer</v>
      </c>
      <c r="F341" s="54"/>
      <c r="G341" s="24" t="s">
        <v>569</v>
      </c>
      <c r="H341" s="24" t="s">
        <v>580</v>
      </c>
      <c r="I341" s="4" t="s">
        <v>693</v>
      </c>
      <c r="J341" s="24">
        <v>5</v>
      </c>
      <c r="K341" s="54" t="str">
        <f>VLOOKUP(J341,Ruimtegroepen[],2,FALSE)</f>
        <v>Sanitair</v>
      </c>
      <c r="L341" s="24" t="s">
        <v>300</v>
      </c>
      <c r="M341" s="24" t="s">
        <v>157</v>
      </c>
      <c r="N341" s="83">
        <v>4</v>
      </c>
      <c r="O341" s="83"/>
      <c r="P341" s="93" t="str">
        <f>LEFT(VLOOKUP(Ruimtestaat[[#This Row],[Ruimte code]],Ruimtegroepen[#All],4,1),2)</f>
        <v>Sa</v>
      </c>
      <c r="Q341" s="93"/>
      <c r="R341" s="84">
        <v>42</v>
      </c>
      <c r="S341" s="84" t="s">
        <v>316</v>
      </c>
      <c r="T341" s="85">
        <f>IF(R341&gt;0,IF(RIGHT(Ruimtestaat[[#This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1" s="85">
        <f>IF(T341&gt;0,VLOOKUP($J341,Ruimtegroepen[],3,FALSE)*VLOOKUP($L341,Vloersoorten[],3,FALSE)*VLOOKUP($S341,Frequenties[],3,FALSE)*VLOOKUP($A341,Locaties[],3,FALSE),0)</f>
        <v>0</v>
      </c>
      <c r="V341" s="86">
        <f>Ruimtestaat[[#This Row],[Uitvoeringen werkdagen]]*Ruimtestaat[[#This Row],[Oppervlak (netto)]]</f>
        <v>1680</v>
      </c>
      <c r="W341" s="87">
        <f>IF(U341&gt;0,Ruimtestaat[[#This Row],[Prest. (m2 /jaar) werkdagen]]/Ruimtestaat[[#This Row],[Norm (m2/uur) werkdagen]],0)</f>
        <v>0</v>
      </c>
      <c r="X341" s="88">
        <f>Ruimtestaat[[#This Row],[uren / jaar werkdagen]]*Tariefsopbouw!$E$35</f>
        <v>0</v>
      </c>
      <c r="Y341" s="85"/>
      <c r="Z341" s="89">
        <f>IF(Ruimtestaat[[#This Row],[Frequentie weekend]]&gt;0,VALUE(LEFT(Y341,1))*R341,0)</f>
        <v>0</v>
      </c>
      <c r="AA341" s="85">
        <f>IF($Z341&gt;0,VLOOKUP($J341,Ruimtegroepen[],3,FALSE)*VLOOKUP($L341,Vloersoorten[],3,FALSE)*VLOOKUP($Y341,Frequenties[],3,FALSE)*VLOOKUP(#REF!,Locaties[],3,FALSE),0)</f>
        <v>0</v>
      </c>
      <c r="AB341" s="87">
        <f>Ruimtestaat[[#This Row],[Uitvoeringen weekend]]*Ruimtestaat[[#This Row],[Oppervlak (netto)]]</f>
        <v>0</v>
      </c>
      <c r="AC341" s="90">
        <f>IF(AB341&gt;0,Ruimtestaat[[#This Row],[Prest. (m2 /jaar) weekend]]/Ruimtestaat[[#This Row],[Norm (m2/uur) weekend]],0)</f>
        <v>0</v>
      </c>
      <c r="AD341" s="91">
        <f>Ruimtestaat[[#This Row],[uren / jaar weekend]]*Tariefsopbouw!$D$40</f>
        <v>0</v>
      </c>
      <c r="AE341" s="60">
        <f>Ruimtestaat[[#This Row],[Prest. (m2 /jaar) weekend]]+Ruimtestaat[[#This Row],[Prest. (m2 /jaar) werkdagen]]</f>
        <v>1680</v>
      </c>
      <c r="AF341" s="60">
        <f>Ruimtestaat[[#This Row],[uren / jaar weekend]]+Ruimtestaat[[#This Row],[uren / jaar werkdagen]]</f>
        <v>0</v>
      </c>
      <c r="AG341" s="61">
        <f>Ruimtestaat[[#This Row],[kosten / jaar weekend]]+Ruimtestaat[[#This Row],[kosten / jaar werkdagen]]</f>
        <v>0</v>
      </c>
      <c r="AH341" s="92"/>
      <c r="HL341" s="59"/>
    </row>
    <row r="342" spans="1:220">
      <c r="A342" s="24">
        <v>2</v>
      </c>
      <c r="B342" s="24" t="str">
        <f>VLOOKUP(Ruimtestaat[[#This Row],[Code]],Locaties[#All],2,FALSE)</f>
        <v>Het Stormink</v>
      </c>
      <c r="C342" s="24" t="str">
        <f>VLOOKUP(Ruimtestaat[[#This Row],[Code]],Locaties[#All],4,FALSE)</f>
        <v>Storminkstraat 1</v>
      </c>
      <c r="D342" s="24" t="str">
        <f>VLOOKUP(Ruimtestaat[[#This Row],[Code]],Locaties[#All],5,FALSE)</f>
        <v>7418 GH</v>
      </c>
      <c r="E342" s="24" t="str">
        <f>VLOOKUP(Ruimtestaat[[#This Row],[Code]],Locaties[#All],6,FALSE)</f>
        <v>Deventer</v>
      </c>
      <c r="F342" s="54"/>
      <c r="G342" s="24" t="s">
        <v>569</v>
      </c>
      <c r="H342" s="24" t="s">
        <v>762</v>
      </c>
      <c r="I342" s="4" t="s">
        <v>402</v>
      </c>
      <c r="J342" s="24">
        <v>5</v>
      </c>
      <c r="K342" s="54" t="str">
        <f>VLOOKUP(J342,Ruimtegroepen[],2,FALSE)</f>
        <v>Sanitair</v>
      </c>
      <c r="L342" s="24" t="s">
        <v>300</v>
      </c>
      <c r="M342" s="24" t="s">
        <v>157</v>
      </c>
      <c r="N342" s="83">
        <v>1.04</v>
      </c>
      <c r="O342" s="83"/>
      <c r="P342" s="93" t="str">
        <f>LEFT(VLOOKUP(Ruimtestaat[[#This Row],[Ruimte code]],Ruimtegroepen[#All],4,1),2)</f>
        <v>Sa</v>
      </c>
      <c r="Q342" s="93"/>
      <c r="R342" s="84">
        <v>42</v>
      </c>
      <c r="S342" s="84" t="s">
        <v>316</v>
      </c>
      <c r="T342" s="85">
        <f>IF(R342&gt;0,IF(RIGHT(Ruimtestaat[[#This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2" s="85">
        <f>IF(T342&gt;0,VLOOKUP($J342,Ruimtegroepen[],3,FALSE)*VLOOKUP($L342,Vloersoorten[],3,FALSE)*VLOOKUP($S342,Frequenties[],3,FALSE)*VLOOKUP($A342,Locaties[],3,FALSE),0)</f>
        <v>0</v>
      </c>
      <c r="V342" s="86">
        <f>Ruimtestaat[[#This Row],[Uitvoeringen werkdagen]]*Ruimtestaat[[#This Row],[Oppervlak (netto)]]</f>
        <v>436.8</v>
      </c>
      <c r="W342" s="87">
        <f>IF(U342&gt;0,Ruimtestaat[[#This Row],[Prest. (m2 /jaar) werkdagen]]/Ruimtestaat[[#This Row],[Norm (m2/uur) werkdagen]],0)</f>
        <v>0</v>
      </c>
      <c r="X342" s="88">
        <f>Ruimtestaat[[#This Row],[uren / jaar werkdagen]]*Tariefsopbouw!$E$35</f>
        <v>0</v>
      </c>
      <c r="Y342" s="85"/>
      <c r="Z342" s="89">
        <f>IF(Ruimtestaat[[#This Row],[Frequentie weekend]]&gt;0,VALUE(LEFT(Y342,1))*R342,0)</f>
        <v>0</v>
      </c>
      <c r="AA342" s="85">
        <f>IF($Z342&gt;0,VLOOKUP($J342,Ruimtegroepen[],3,FALSE)*VLOOKUP($L342,Vloersoorten[],3,FALSE)*VLOOKUP($Y342,Frequenties[],3,FALSE)*VLOOKUP(#REF!,Locaties[],3,FALSE),0)</f>
        <v>0</v>
      </c>
      <c r="AB342" s="87">
        <f>Ruimtestaat[[#This Row],[Uitvoeringen weekend]]*Ruimtestaat[[#This Row],[Oppervlak (netto)]]</f>
        <v>0</v>
      </c>
      <c r="AC342" s="90">
        <f>IF(AB342&gt;0,Ruimtestaat[[#This Row],[Prest. (m2 /jaar) weekend]]/Ruimtestaat[[#This Row],[Norm (m2/uur) weekend]],0)</f>
        <v>0</v>
      </c>
      <c r="AD342" s="91">
        <f>Ruimtestaat[[#This Row],[uren / jaar weekend]]*Tariefsopbouw!$D$40</f>
        <v>0</v>
      </c>
      <c r="AE342" s="60">
        <f>Ruimtestaat[[#This Row],[Prest. (m2 /jaar) weekend]]+Ruimtestaat[[#This Row],[Prest. (m2 /jaar) werkdagen]]</f>
        <v>436.8</v>
      </c>
      <c r="AF342" s="60">
        <f>Ruimtestaat[[#This Row],[uren / jaar weekend]]+Ruimtestaat[[#This Row],[uren / jaar werkdagen]]</f>
        <v>0</v>
      </c>
      <c r="AG342" s="61">
        <f>Ruimtestaat[[#This Row],[kosten / jaar weekend]]+Ruimtestaat[[#This Row],[kosten / jaar werkdagen]]</f>
        <v>0</v>
      </c>
      <c r="AH342" s="92"/>
      <c r="HL342" s="59"/>
    </row>
    <row r="343" spans="1:220">
      <c r="A343" s="24">
        <v>2</v>
      </c>
      <c r="B343" s="24" t="str">
        <f>VLOOKUP(Ruimtestaat[[#This Row],[Code]],Locaties[#All],2,FALSE)</f>
        <v>Het Stormink</v>
      </c>
      <c r="C343" s="24" t="str">
        <f>VLOOKUP(Ruimtestaat[[#This Row],[Code]],Locaties[#All],4,FALSE)</f>
        <v>Storminkstraat 1</v>
      </c>
      <c r="D343" s="24" t="str">
        <f>VLOOKUP(Ruimtestaat[[#This Row],[Code]],Locaties[#All],5,FALSE)</f>
        <v>7418 GH</v>
      </c>
      <c r="E343" s="24" t="str">
        <f>VLOOKUP(Ruimtestaat[[#This Row],[Code]],Locaties[#All],6,FALSE)</f>
        <v>Deventer</v>
      </c>
      <c r="F343" s="54"/>
      <c r="G343" s="24" t="s">
        <v>569</v>
      </c>
      <c r="H343" s="24" t="s">
        <v>763</v>
      </c>
      <c r="I343" s="4" t="s">
        <v>402</v>
      </c>
      <c r="J343" s="24">
        <v>5</v>
      </c>
      <c r="K343" s="54" t="str">
        <f>VLOOKUP(J343,Ruimtegroepen[],2,FALSE)</f>
        <v>Sanitair</v>
      </c>
      <c r="L343" s="24" t="s">
        <v>300</v>
      </c>
      <c r="M343" s="24" t="s">
        <v>157</v>
      </c>
      <c r="N343" s="83">
        <v>1.04</v>
      </c>
      <c r="O343" s="83"/>
      <c r="P343" s="93" t="str">
        <f>LEFT(VLOOKUP(Ruimtestaat[[#This Row],[Ruimte code]],Ruimtegroepen[#All],4,1),2)</f>
        <v>Sa</v>
      </c>
      <c r="Q343" s="93"/>
      <c r="R343" s="84">
        <v>42</v>
      </c>
      <c r="S343" s="84" t="s">
        <v>316</v>
      </c>
      <c r="T343" s="85">
        <f>IF(R343&gt;0,IF(RIGHT(Ruimtestaat[[#This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3" s="85">
        <f>IF(T343&gt;0,VLOOKUP($J343,Ruimtegroepen[],3,FALSE)*VLOOKUP($L343,Vloersoorten[],3,FALSE)*VLOOKUP($S343,Frequenties[],3,FALSE)*VLOOKUP($A343,Locaties[],3,FALSE),0)</f>
        <v>0</v>
      </c>
      <c r="V343" s="86">
        <f>Ruimtestaat[[#This Row],[Uitvoeringen werkdagen]]*Ruimtestaat[[#This Row],[Oppervlak (netto)]]</f>
        <v>436.8</v>
      </c>
      <c r="W343" s="87">
        <f>IF(U343&gt;0,Ruimtestaat[[#This Row],[Prest. (m2 /jaar) werkdagen]]/Ruimtestaat[[#This Row],[Norm (m2/uur) werkdagen]],0)</f>
        <v>0</v>
      </c>
      <c r="X343" s="88">
        <f>Ruimtestaat[[#This Row],[uren / jaar werkdagen]]*Tariefsopbouw!$E$35</f>
        <v>0</v>
      </c>
      <c r="Y343" s="85"/>
      <c r="Z343" s="89">
        <f>IF(Ruimtestaat[[#This Row],[Frequentie weekend]]&gt;0,VALUE(LEFT(Y343,1))*R343,0)</f>
        <v>0</v>
      </c>
      <c r="AA343" s="85">
        <f>IF($Z343&gt;0,VLOOKUP($J343,Ruimtegroepen[],3,FALSE)*VLOOKUP($L343,Vloersoorten[],3,FALSE)*VLOOKUP($Y343,Frequenties[],3,FALSE)*VLOOKUP(#REF!,Locaties[],3,FALSE),0)</f>
        <v>0</v>
      </c>
      <c r="AB343" s="87">
        <f>Ruimtestaat[[#This Row],[Uitvoeringen weekend]]*Ruimtestaat[[#This Row],[Oppervlak (netto)]]</f>
        <v>0</v>
      </c>
      <c r="AC343" s="90">
        <f>IF(AB343&gt;0,Ruimtestaat[[#This Row],[Prest. (m2 /jaar) weekend]]/Ruimtestaat[[#This Row],[Norm (m2/uur) weekend]],0)</f>
        <v>0</v>
      </c>
      <c r="AD343" s="91">
        <f>Ruimtestaat[[#This Row],[uren / jaar weekend]]*Tariefsopbouw!$D$40</f>
        <v>0</v>
      </c>
      <c r="AE343" s="60">
        <f>Ruimtestaat[[#This Row],[Prest. (m2 /jaar) weekend]]+Ruimtestaat[[#This Row],[Prest. (m2 /jaar) werkdagen]]</f>
        <v>436.8</v>
      </c>
      <c r="AF343" s="60">
        <f>Ruimtestaat[[#This Row],[uren / jaar weekend]]+Ruimtestaat[[#This Row],[uren / jaar werkdagen]]</f>
        <v>0</v>
      </c>
      <c r="AG343" s="61">
        <f>Ruimtestaat[[#This Row],[kosten / jaar weekend]]+Ruimtestaat[[#This Row],[kosten / jaar werkdagen]]</f>
        <v>0</v>
      </c>
      <c r="AH343" s="92"/>
      <c r="HL343" s="59"/>
    </row>
    <row r="344" spans="1:220">
      <c r="A344" s="24">
        <v>2</v>
      </c>
      <c r="B344" s="24" t="str">
        <f>VLOOKUP(Ruimtestaat[[#This Row],[Code]],Locaties[#All],2,FALSE)</f>
        <v>Het Stormink</v>
      </c>
      <c r="C344" s="24" t="str">
        <f>VLOOKUP(Ruimtestaat[[#This Row],[Code]],Locaties[#All],4,FALSE)</f>
        <v>Storminkstraat 1</v>
      </c>
      <c r="D344" s="24" t="str">
        <f>VLOOKUP(Ruimtestaat[[#This Row],[Code]],Locaties[#All],5,FALSE)</f>
        <v>7418 GH</v>
      </c>
      <c r="E344" s="24" t="str">
        <f>VLOOKUP(Ruimtestaat[[#This Row],[Code]],Locaties[#All],6,FALSE)</f>
        <v>Deventer</v>
      </c>
      <c r="F344" s="54"/>
      <c r="G344" s="24" t="s">
        <v>569</v>
      </c>
      <c r="H344" s="24" t="s">
        <v>581</v>
      </c>
      <c r="I344" s="4" t="s">
        <v>692</v>
      </c>
      <c r="J344" s="24">
        <v>5</v>
      </c>
      <c r="K344" s="54" t="str">
        <f>VLOOKUP(J344,Ruimtegroepen[],2,FALSE)</f>
        <v>Sanitair</v>
      </c>
      <c r="L344" s="24" t="s">
        <v>300</v>
      </c>
      <c r="M344" s="24" t="s">
        <v>157</v>
      </c>
      <c r="N344" s="83">
        <v>5.15</v>
      </c>
      <c r="O344" s="83"/>
      <c r="P344" s="93" t="str">
        <f>LEFT(VLOOKUP(Ruimtestaat[[#This Row],[Ruimte code]],Ruimtegroepen[#All],4,1),2)</f>
        <v>Sa</v>
      </c>
      <c r="Q344" s="93"/>
      <c r="R344" s="84">
        <v>42</v>
      </c>
      <c r="S344" s="84" t="s">
        <v>316</v>
      </c>
      <c r="T344" s="85">
        <f>IF(R344&gt;0,IF(RIGHT(Ruimtestaat[[#This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4" s="85">
        <f>IF(T344&gt;0,VLOOKUP($J344,Ruimtegroepen[],3,FALSE)*VLOOKUP($L344,Vloersoorten[],3,FALSE)*VLOOKUP($S344,Frequenties[],3,FALSE)*VLOOKUP($A344,Locaties[],3,FALSE),0)</f>
        <v>0</v>
      </c>
      <c r="V344" s="86">
        <f>Ruimtestaat[[#This Row],[Uitvoeringen werkdagen]]*Ruimtestaat[[#This Row],[Oppervlak (netto)]]</f>
        <v>2163</v>
      </c>
      <c r="W344" s="87">
        <f>IF(U344&gt;0,Ruimtestaat[[#This Row],[Prest. (m2 /jaar) werkdagen]]/Ruimtestaat[[#This Row],[Norm (m2/uur) werkdagen]],0)</f>
        <v>0</v>
      </c>
      <c r="X344" s="88">
        <f>Ruimtestaat[[#This Row],[uren / jaar werkdagen]]*Tariefsopbouw!$E$35</f>
        <v>0</v>
      </c>
      <c r="Y344" s="85"/>
      <c r="Z344" s="89">
        <f>IF(Ruimtestaat[[#This Row],[Frequentie weekend]]&gt;0,VALUE(LEFT(Y344,1))*R344,0)</f>
        <v>0</v>
      </c>
      <c r="AA344" s="85">
        <f>IF($Z344&gt;0,VLOOKUP($J344,Ruimtegroepen[],3,FALSE)*VLOOKUP($L344,Vloersoorten[],3,FALSE)*VLOOKUP($Y344,Frequenties[],3,FALSE)*VLOOKUP(#REF!,Locaties[],3,FALSE),0)</f>
        <v>0</v>
      </c>
      <c r="AB344" s="87">
        <f>Ruimtestaat[[#This Row],[Uitvoeringen weekend]]*Ruimtestaat[[#This Row],[Oppervlak (netto)]]</f>
        <v>0</v>
      </c>
      <c r="AC344" s="90">
        <f>IF(AB344&gt;0,Ruimtestaat[[#This Row],[Prest. (m2 /jaar) weekend]]/Ruimtestaat[[#This Row],[Norm (m2/uur) weekend]],0)</f>
        <v>0</v>
      </c>
      <c r="AD344" s="91">
        <f>Ruimtestaat[[#This Row],[uren / jaar weekend]]*Tariefsopbouw!$D$40</f>
        <v>0</v>
      </c>
      <c r="AE344" s="60">
        <f>Ruimtestaat[[#This Row],[Prest. (m2 /jaar) weekend]]+Ruimtestaat[[#This Row],[Prest. (m2 /jaar) werkdagen]]</f>
        <v>2163</v>
      </c>
      <c r="AF344" s="60">
        <f>Ruimtestaat[[#This Row],[uren / jaar weekend]]+Ruimtestaat[[#This Row],[uren / jaar werkdagen]]</f>
        <v>0</v>
      </c>
      <c r="AG344" s="61">
        <f>Ruimtestaat[[#This Row],[kosten / jaar weekend]]+Ruimtestaat[[#This Row],[kosten / jaar werkdagen]]</f>
        <v>0</v>
      </c>
      <c r="AH344" s="92"/>
      <c r="HL344" s="59"/>
    </row>
    <row r="345" spans="1:220">
      <c r="A345" s="24">
        <v>2</v>
      </c>
      <c r="B345" s="24" t="str">
        <f>VLOOKUP(Ruimtestaat[[#This Row],[Code]],Locaties[#All],2,FALSE)</f>
        <v>Het Stormink</v>
      </c>
      <c r="C345" s="24" t="str">
        <f>VLOOKUP(Ruimtestaat[[#This Row],[Code]],Locaties[#All],4,FALSE)</f>
        <v>Storminkstraat 1</v>
      </c>
      <c r="D345" s="24" t="str">
        <f>VLOOKUP(Ruimtestaat[[#This Row],[Code]],Locaties[#All],5,FALSE)</f>
        <v>7418 GH</v>
      </c>
      <c r="E345" s="24" t="str">
        <f>VLOOKUP(Ruimtestaat[[#This Row],[Code]],Locaties[#All],6,FALSE)</f>
        <v>Deventer</v>
      </c>
      <c r="F345" s="54"/>
      <c r="G345" s="24" t="s">
        <v>569</v>
      </c>
      <c r="H345" s="24" t="s">
        <v>764</v>
      </c>
      <c r="I345" s="4" t="s">
        <v>402</v>
      </c>
      <c r="J345" s="24">
        <v>5</v>
      </c>
      <c r="K345" s="54" t="str">
        <f>VLOOKUP(J345,Ruimtegroepen[],2,FALSE)</f>
        <v>Sanitair</v>
      </c>
      <c r="L345" s="24" t="s">
        <v>300</v>
      </c>
      <c r="M345" s="24" t="s">
        <v>157</v>
      </c>
      <c r="N345" s="83">
        <v>1.04</v>
      </c>
      <c r="O345" s="83"/>
      <c r="P345" s="93" t="str">
        <f>LEFT(VLOOKUP(Ruimtestaat[[#This Row],[Ruimte code]],Ruimtegroepen[#All],4,1),2)</f>
        <v>Sa</v>
      </c>
      <c r="Q345" s="93"/>
      <c r="R345" s="84">
        <v>42</v>
      </c>
      <c r="S345" s="84" t="s">
        <v>316</v>
      </c>
      <c r="T345" s="85">
        <f>IF(R345&gt;0,IF(RIGHT(Ruimtestaat[[#This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5" s="85">
        <f>IF(T345&gt;0,VLOOKUP($J345,Ruimtegroepen[],3,FALSE)*VLOOKUP($L345,Vloersoorten[],3,FALSE)*VLOOKUP($S345,Frequenties[],3,FALSE)*VLOOKUP($A345,Locaties[],3,FALSE),0)</f>
        <v>0</v>
      </c>
      <c r="V345" s="86">
        <f>Ruimtestaat[[#This Row],[Uitvoeringen werkdagen]]*Ruimtestaat[[#This Row],[Oppervlak (netto)]]</f>
        <v>436.8</v>
      </c>
      <c r="W345" s="87">
        <f>IF(U345&gt;0,Ruimtestaat[[#This Row],[Prest. (m2 /jaar) werkdagen]]/Ruimtestaat[[#This Row],[Norm (m2/uur) werkdagen]],0)</f>
        <v>0</v>
      </c>
      <c r="X345" s="88">
        <f>Ruimtestaat[[#This Row],[uren / jaar werkdagen]]*Tariefsopbouw!$E$35</f>
        <v>0</v>
      </c>
      <c r="Y345" s="85"/>
      <c r="Z345" s="89">
        <f>IF(Ruimtestaat[[#This Row],[Frequentie weekend]]&gt;0,VALUE(LEFT(Y345,1))*R345,0)</f>
        <v>0</v>
      </c>
      <c r="AA345" s="85">
        <f>IF($Z345&gt;0,VLOOKUP($J345,Ruimtegroepen[],3,FALSE)*VLOOKUP($L345,Vloersoorten[],3,FALSE)*VLOOKUP($Y345,Frequenties[],3,FALSE)*VLOOKUP(#REF!,Locaties[],3,FALSE),0)</f>
        <v>0</v>
      </c>
      <c r="AB345" s="87">
        <f>Ruimtestaat[[#This Row],[Uitvoeringen weekend]]*Ruimtestaat[[#This Row],[Oppervlak (netto)]]</f>
        <v>0</v>
      </c>
      <c r="AC345" s="90">
        <f>IF(AB345&gt;0,Ruimtestaat[[#This Row],[Prest. (m2 /jaar) weekend]]/Ruimtestaat[[#This Row],[Norm (m2/uur) weekend]],0)</f>
        <v>0</v>
      </c>
      <c r="AD345" s="91">
        <f>Ruimtestaat[[#This Row],[uren / jaar weekend]]*Tariefsopbouw!$D$40</f>
        <v>0</v>
      </c>
      <c r="AE345" s="60">
        <f>Ruimtestaat[[#This Row],[Prest. (m2 /jaar) weekend]]+Ruimtestaat[[#This Row],[Prest. (m2 /jaar) werkdagen]]</f>
        <v>436.8</v>
      </c>
      <c r="AF345" s="60">
        <f>Ruimtestaat[[#This Row],[uren / jaar weekend]]+Ruimtestaat[[#This Row],[uren / jaar werkdagen]]</f>
        <v>0</v>
      </c>
      <c r="AG345" s="61">
        <f>Ruimtestaat[[#This Row],[kosten / jaar weekend]]+Ruimtestaat[[#This Row],[kosten / jaar werkdagen]]</f>
        <v>0</v>
      </c>
      <c r="AH345" s="92"/>
      <c r="HL345" s="59"/>
    </row>
    <row r="346" spans="1:220">
      <c r="A346" s="24">
        <v>2</v>
      </c>
      <c r="B346" s="24" t="str">
        <f>VLOOKUP(Ruimtestaat[[#This Row],[Code]],Locaties[#All],2,FALSE)</f>
        <v>Het Stormink</v>
      </c>
      <c r="C346" s="24" t="str">
        <f>VLOOKUP(Ruimtestaat[[#This Row],[Code]],Locaties[#All],4,FALSE)</f>
        <v>Storminkstraat 1</v>
      </c>
      <c r="D346" s="24" t="str">
        <f>VLOOKUP(Ruimtestaat[[#This Row],[Code]],Locaties[#All],5,FALSE)</f>
        <v>7418 GH</v>
      </c>
      <c r="E346" s="24" t="str">
        <f>VLOOKUP(Ruimtestaat[[#This Row],[Code]],Locaties[#All],6,FALSE)</f>
        <v>Deventer</v>
      </c>
      <c r="F346" s="54"/>
      <c r="G346" s="24" t="s">
        <v>569</v>
      </c>
      <c r="H346" s="24" t="s">
        <v>765</v>
      </c>
      <c r="I346" s="4" t="s">
        <v>402</v>
      </c>
      <c r="J346" s="24">
        <v>5</v>
      </c>
      <c r="K346" s="54" t="str">
        <f>VLOOKUP(J346,Ruimtegroepen[],2,FALSE)</f>
        <v>Sanitair</v>
      </c>
      <c r="L346" s="24" t="s">
        <v>300</v>
      </c>
      <c r="M346" s="24" t="s">
        <v>157</v>
      </c>
      <c r="N346" s="83">
        <v>1.04</v>
      </c>
      <c r="O346" s="83"/>
      <c r="P346" s="93" t="str">
        <f>LEFT(VLOOKUP(Ruimtestaat[[#This Row],[Ruimte code]],Ruimtegroepen[#All],4,1),2)</f>
        <v>Sa</v>
      </c>
      <c r="Q346" s="93"/>
      <c r="R346" s="84">
        <v>42</v>
      </c>
      <c r="S346" s="84" t="s">
        <v>316</v>
      </c>
      <c r="T346" s="85">
        <f>IF(R346&gt;0,IF(RIGHT(Ruimtestaat[[#This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6" s="85">
        <f>IF(T346&gt;0,VLOOKUP($J346,Ruimtegroepen[],3,FALSE)*VLOOKUP($L346,Vloersoorten[],3,FALSE)*VLOOKUP($S346,Frequenties[],3,FALSE)*VLOOKUP($A346,Locaties[],3,FALSE),0)</f>
        <v>0</v>
      </c>
      <c r="V346" s="86">
        <f>Ruimtestaat[[#This Row],[Uitvoeringen werkdagen]]*Ruimtestaat[[#This Row],[Oppervlak (netto)]]</f>
        <v>436.8</v>
      </c>
      <c r="W346" s="87">
        <f>IF(U346&gt;0,Ruimtestaat[[#This Row],[Prest. (m2 /jaar) werkdagen]]/Ruimtestaat[[#This Row],[Norm (m2/uur) werkdagen]],0)</f>
        <v>0</v>
      </c>
      <c r="X346" s="88">
        <f>Ruimtestaat[[#This Row],[uren / jaar werkdagen]]*Tariefsopbouw!$E$35</f>
        <v>0</v>
      </c>
      <c r="Y346" s="85"/>
      <c r="Z346" s="89">
        <f>IF(Ruimtestaat[[#This Row],[Frequentie weekend]]&gt;0,VALUE(LEFT(Y346,1))*R346,0)</f>
        <v>0</v>
      </c>
      <c r="AA346" s="85">
        <f>IF($Z346&gt;0,VLOOKUP($J346,Ruimtegroepen[],3,FALSE)*VLOOKUP($L346,Vloersoorten[],3,FALSE)*VLOOKUP($Y346,Frequenties[],3,FALSE)*VLOOKUP(#REF!,Locaties[],3,FALSE),0)</f>
        <v>0</v>
      </c>
      <c r="AB346" s="87">
        <f>Ruimtestaat[[#This Row],[Uitvoeringen weekend]]*Ruimtestaat[[#This Row],[Oppervlak (netto)]]</f>
        <v>0</v>
      </c>
      <c r="AC346" s="90">
        <f>IF(AB346&gt;0,Ruimtestaat[[#This Row],[Prest. (m2 /jaar) weekend]]/Ruimtestaat[[#This Row],[Norm (m2/uur) weekend]],0)</f>
        <v>0</v>
      </c>
      <c r="AD346" s="91">
        <f>Ruimtestaat[[#This Row],[uren / jaar weekend]]*Tariefsopbouw!$D$40</f>
        <v>0</v>
      </c>
      <c r="AE346" s="60">
        <f>Ruimtestaat[[#This Row],[Prest. (m2 /jaar) weekend]]+Ruimtestaat[[#This Row],[Prest. (m2 /jaar) werkdagen]]</f>
        <v>436.8</v>
      </c>
      <c r="AF346" s="60">
        <f>Ruimtestaat[[#This Row],[uren / jaar weekend]]+Ruimtestaat[[#This Row],[uren / jaar werkdagen]]</f>
        <v>0</v>
      </c>
      <c r="AG346" s="61">
        <f>Ruimtestaat[[#This Row],[kosten / jaar weekend]]+Ruimtestaat[[#This Row],[kosten / jaar werkdagen]]</f>
        <v>0</v>
      </c>
      <c r="AH346" s="92"/>
      <c r="HL346" s="59"/>
    </row>
    <row r="347" spans="1:220">
      <c r="A347" s="24">
        <v>2</v>
      </c>
      <c r="B347" s="24" t="str">
        <f>VLOOKUP(Ruimtestaat[[#This Row],[Code]],Locaties[#All],2,FALSE)</f>
        <v>Het Stormink</v>
      </c>
      <c r="C347" s="24" t="str">
        <f>VLOOKUP(Ruimtestaat[[#This Row],[Code]],Locaties[#All],4,FALSE)</f>
        <v>Storminkstraat 1</v>
      </c>
      <c r="D347" s="24" t="str">
        <f>VLOOKUP(Ruimtestaat[[#This Row],[Code]],Locaties[#All],5,FALSE)</f>
        <v>7418 GH</v>
      </c>
      <c r="E347" s="24" t="str">
        <f>VLOOKUP(Ruimtestaat[[#This Row],[Code]],Locaties[#All],6,FALSE)</f>
        <v>Deventer</v>
      </c>
      <c r="F347" s="54"/>
      <c r="G347" s="24" t="s">
        <v>569</v>
      </c>
      <c r="H347" s="24" t="s">
        <v>582</v>
      </c>
      <c r="I347" s="4" t="s">
        <v>691</v>
      </c>
      <c r="J347" s="24">
        <v>22</v>
      </c>
      <c r="K347" s="54" t="str">
        <f>VLOOKUP(J347,Ruimtegroepen[],2,FALSE)</f>
        <v>Niet in onderhoud</v>
      </c>
      <c r="L347" s="24" t="s">
        <v>300</v>
      </c>
      <c r="M347" s="24" t="s">
        <v>157</v>
      </c>
      <c r="N347" s="83"/>
      <c r="O347" s="83">
        <v>2.0499999999999998</v>
      </c>
      <c r="P347" s="93" t="str">
        <f>LEFT(VLOOKUP(Ruimtestaat[[#This Row],[Ruimte code]],Ruimtegroepen[#All],4,1),2)</f>
        <v/>
      </c>
      <c r="Q347" s="93"/>
      <c r="R347" s="84"/>
      <c r="S347" s="84"/>
      <c r="T347" s="85">
        <f>IF(R347&gt;0,IF(RIGHT(Ruimtestaat[[#This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47" s="85">
        <f>IF(T347&gt;0,VLOOKUP($J347,Ruimtegroepen[],3,FALSE)*VLOOKUP($L347,Vloersoorten[],3,FALSE)*VLOOKUP($S347,Frequenties[],3,FALSE)*VLOOKUP($A347,Locaties[],3,FALSE),0)</f>
        <v>0</v>
      </c>
      <c r="V347" s="86">
        <f>Ruimtestaat[[#This Row],[Uitvoeringen werkdagen]]*Ruimtestaat[[#This Row],[Oppervlak (netto)]]</f>
        <v>0</v>
      </c>
      <c r="W347" s="87">
        <f>IF(U347&gt;0,Ruimtestaat[[#This Row],[Prest. (m2 /jaar) werkdagen]]/Ruimtestaat[[#This Row],[Norm (m2/uur) werkdagen]],0)</f>
        <v>0</v>
      </c>
      <c r="X347" s="88">
        <f>Ruimtestaat[[#This Row],[uren / jaar werkdagen]]*Tariefsopbouw!$E$35</f>
        <v>0</v>
      </c>
      <c r="Y347" s="85"/>
      <c r="Z347" s="89">
        <f>IF(Ruimtestaat[[#This Row],[Frequentie weekend]]&gt;0,VALUE(LEFT(Y347,1))*R347,0)</f>
        <v>0</v>
      </c>
      <c r="AA347" s="85">
        <f>IF($Z347&gt;0,VLOOKUP($J347,Ruimtegroepen[],3,FALSE)*VLOOKUP($L347,Vloersoorten[],3,FALSE)*VLOOKUP($Y347,Frequenties[],3,FALSE)*VLOOKUP(#REF!,Locaties[],3,FALSE),0)</f>
        <v>0</v>
      </c>
      <c r="AB347" s="87">
        <f>Ruimtestaat[[#This Row],[Uitvoeringen weekend]]*Ruimtestaat[[#This Row],[Oppervlak (netto)]]</f>
        <v>0</v>
      </c>
      <c r="AC347" s="90">
        <f>IF(AB347&gt;0,Ruimtestaat[[#This Row],[Prest. (m2 /jaar) weekend]]/Ruimtestaat[[#This Row],[Norm (m2/uur) weekend]],0)</f>
        <v>0</v>
      </c>
      <c r="AD347" s="91">
        <f>Ruimtestaat[[#This Row],[uren / jaar weekend]]*Tariefsopbouw!$D$40</f>
        <v>0</v>
      </c>
      <c r="AE347" s="60">
        <f>Ruimtestaat[[#This Row],[Prest. (m2 /jaar) weekend]]+Ruimtestaat[[#This Row],[Prest. (m2 /jaar) werkdagen]]</f>
        <v>0</v>
      </c>
      <c r="AF347" s="60">
        <f>Ruimtestaat[[#This Row],[uren / jaar weekend]]+Ruimtestaat[[#This Row],[uren / jaar werkdagen]]</f>
        <v>0</v>
      </c>
      <c r="AG347" s="61">
        <f>Ruimtestaat[[#This Row],[kosten / jaar weekend]]+Ruimtestaat[[#This Row],[kosten / jaar werkdagen]]</f>
        <v>0</v>
      </c>
      <c r="AH347" s="92"/>
      <c r="HL347" s="59"/>
    </row>
    <row r="348" spans="1:220">
      <c r="A348" s="24">
        <v>2</v>
      </c>
      <c r="B348" s="24" t="str">
        <f>VLOOKUP(Ruimtestaat[[#This Row],[Code]],Locaties[#All],2,FALSE)</f>
        <v>Het Stormink</v>
      </c>
      <c r="C348" s="24" t="str">
        <f>VLOOKUP(Ruimtestaat[[#This Row],[Code]],Locaties[#All],4,FALSE)</f>
        <v>Storminkstraat 1</v>
      </c>
      <c r="D348" s="24" t="str">
        <f>VLOOKUP(Ruimtestaat[[#This Row],[Code]],Locaties[#All],5,FALSE)</f>
        <v>7418 GH</v>
      </c>
      <c r="E348" s="24" t="str">
        <f>VLOOKUP(Ruimtestaat[[#This Row],[Code]],Locaties[#All],6,FALSE)</f>
        <v>Deventer</v>
      </c>
      <c r="F348" s="54"/>
      <c r="G348" s="24" t="s">
        <v>569</v>
      </c>
      <c r="H348" s="24" t="s">
        <v>585</v>
      </c>
      <c r="I348" s="4" t="s">
        <v>473</v>
      </c>
      <c r="J348" s="24">
        <v>5</v>
      </c>
      <c r="K348" s="54" t="str">
        <f>VLOOKUP(J348,Ruimtegroepen[],2,FALSE)</f>
        <v>Sanitair</v>
      </c>
      <c r="L348" s="24" t="s">
        <v>300</v>
      </c>
      <c r="M348" s="24" t="s">
        <v>157</v>
      </c>
      <c r="N348" s="83">
        <v>5.51</v>
      </c>
      <c r="O348" s="83"/>
      <c r="P348" s="93" t="str">
        <f>LEFT(VLOOKUP(Ruimtestaat[[#This Row],[Ruimte code]],Ruimtegroepen[#All],4,1),2)</f>
        <v>Sa</v>
      </c>
      <c r="Q348" s="93"/>
      <c r="R348" s="84">
        <v>42</v>
      </c>
      <c r="S348" s="84" t="s">
        <v>316</v>
      </c>
      <c r="T348" s="85">
        <f>IF(R348&gt;0,IF(RIGHT(Ruimtestaat[[#This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8" s="85">
        <f>IF(T348&gt;0,VLOOKUP($J348,Ruimtegroepen[],3,FALSE)*VLOOKUP($L348,Vloersoorten[],3,FALSE)*VLOOKUP($S348,Frequenties[],3,FALSE)*VLOOKUP($A348,Locaties[],3,FALSE),0)</f>
        <v>0</v>
      </c>
      <c r="V348" s="86">
        <f>Ruimtestaat[[#This Row],[Uitvoeringen werkdagen]]*Ruimtestaat[[#This Row],[Oppervlak (netto)]]</f>
        <v>2314.1999999999998</v>
      </c>
      <c r="W348" s="87">
        <f>IF(U348&gt;0,Ruimtestaat[[#This Row],[Prest. (m2 /jaar) werkdagen]]/Ruimtestaat[[#This Row],[Norm (m2/uur) werkdagen]],0)</f>
        <v>0</v>
      </c>
      <c r="X348" s="88">
        <f>Ruimtestaat[[#This Row],[uren / jaar werkdagen]]*Tariefsopbouw!$E$35</f>
        <v>0</v>
      </c>
      <c r="Y348" s="85"/>
      <c r="Z348" s="89">
        <f>IF(Ruimtestaat[[#This Row],[Frequentie weekend]]&gt;0,VALUE(LEFT(Y348,1))*R348,0)</f>
        <v>0</v>
      </c>
      <c r="AA348" s="85">
        <f>IF($Z348&gt;0,VLOOKUP($J348,Ruimtegroepen[],3,FALSE)*VLOOKUP($L348,Vloersoorten[],3,FALSE)*VLOOKUP($Y348,Frequenties[],3,FALSE)*VLOOKUP(#REF!,Locaties[],3,FALSE),0)</f>
        <v>0</v>
      </c>
      <c r="AB348" s="87">
        <f>Ruimtestaat[[#This Row],[Uitvoeringen weekend]]*Ruimtestaat[[#This Row],[Oppervlak (netto)]]</f>
        <v>0</v>
      </c>
      <c r="AC348" s="90">
        <f>IF(AB348&gt;0,Ruimtestaat[[#This Row],[Prest. (m2 /jaar) weekend]]/Ruimtestaat[[#This Row],[Norm (m2/uur) weekend]],0)</f>
        <v>0</v>
      </c>
      <c r="AD348" s="91">
        <f>Ruimtestaat[[#This Row],[uren / jaar weekend]]*Tariefsopbouw!$D$40</f>
        <v>0</v>
      </c>
      <c r="AE348" s="60">
        <f>Ruimtestaat[[#This Row],[Prest. (m2 /jaar) weekend]]+Ruimtestaat[[#This Row],[Prest. (m2 /jaar) werkdagen]]</f>
        <v>2314.1999999999998</v>
      </c>
      <c r="AF348" s="60">
        <f>Ruimtestaat[[#This Row],[uren / jaar weekend]]+Ruimtestaat[[#This Row],[uren / jaar werkdagen]]</f>
        <v>0</v>
      </c>
      <c r="AG348" s="61">
        <f>Ruimtestaat[[#This Row],[kosten / jaar weekend]]+Ruimtestaat[[#This Row],[kosten / jaar werkdagen]]</f>
        <v>0</v>
      </c>
      <c r="AH348" s="92"/>
      <c r="HL348" s="59"/>
    </row>
    <row r="349" spans="1:220">
      <c r="A349" s="24">
        <v>2</v>
      </c>
      <c r="B349" s="24" t="str">
        <f>VLOOKUP(Ruimtestaat[[#This Row],[Code]],Locaties[#All],2,FALSE)</f>
        <v>Het Stormink</v>
      </c>
      <c r="C349" s="24" t="str">
        <f>VLOOKUP(Ruimtestaat[[#This Row],[Code]],Locaties[#All],4,FALSE)</f>
        <v>Storminkstraat 1</v>
      </c>
      <c r="D349" s="24" t="str">
        <f>VLOOKUP(Ruimtestaat[[#This Row],[Code]],Locaties[#All],5,FALSE)</f>
        <v>7418 GH</v>
      </c>
      <c r="E349" s="24" t="str">
        <f>VLOOKUP(Ruimtestaat[[#This Row],[Code]],Locaties[#All],6,FALSE)</f>
        <v>Deventer</v>
      </c>
      <c r="F349" s="54"/>
      <c r="G349" s="24" t="s">
        <v>569</v>
      </c>
      <c r="H349" s="24" t="s">
        <v>586</v>
      </c>
      <c r="I349" s="4" t="s">
        <v>675</v>
      </c>
      <c r="J349" s="24">
        <v>5</v>
      </c>
      <c r="K349" s="54" t="str">
        <f>VLOOKUP(J349,Ruimtegroepen[],2,FALSE)</f>
        <v>Sanitair</v>
      </c>
      <c r="L349" s="24" t="s">
        <v>300</v>
      </c>
      <c r="M349" s="24" t="s">
        <v>157</v>
      </c>
      <c r="N349" s="83">
        <v>5.51</v>
      </c>
      <c r="O349" s="83"/>
      <c r="P349" s="93" t="str">
        <f>LEFT(VLOOKUP(Ruimtestaat[[#This Row],[Ruimte code]],Ruimtegroepen[#All],4,1),2)</f>
        <v>Sa</v>
      </c>
      <c r="Q349" s="93"/>
      <c r="R349" s="84">
        <v>42</v>
      </c>
      <c r="S349" s="84" t="s">
        <v>316</v>
      </c>
      <c r="T349" s="85">
        <f>IF(R349&gt;0,IF(RIGHT(Ruimtestaat[[#This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9" s="85">
        <f>IF(T349&gt;0,VLOOKUP($J349,Ruimtegroepen[],3,FALSE)*VLOOKUP($L349,Vloersoorten[],3,FALSE)*VLOOKUP($S349,Frequenties[],3,FALSE)*VLOOKUP($A349,Locaties[],3,FALSE),0)</f>
        <v>0</v>
      </c>
      <c r="V349" s="86">
        <f>Ruimtestaat[[#This Row],[Uitvoeringen werkdagen]]*Ruimtestaat[[#This Row],[Oppervlak (netto)]]</f>
        <v>2314.1999999999998</v>
      </c>
      <c r="W349" s="87">
        <f>IF(U349&gt;0,Ruimtestaat[[#This Row],[Prest. (m2 /jaar) werkdagen]]/Ruimtestaat[[#This Row],[Norm (m2/uur) werkdagen]],0)</f>
        <v>0</v>
      </c>
      <c r="X349" s="88">
        <f>Ruimtestaat[[#This Row],[uren / jaar werkdagen]]*Tariefsopbouw!$E$35</f>
        <v>0</v>
      </c>
      <c r="Y349" s="85"/>
      <c r="Z349" s="89">
        <f>IF(Ruimtestaat[[#This Row],[Frequentie weekend]]&gt;0,VALUE(LEFT(Y349,1))*R349,0)</f>
        <v>0</v>
      </c>
      <c r="AA349" s="85">
        <f>IF($Z349&gt;0,VLOOKUP($J349,Ruimtegroepen[],3,FALSE)*VLOOKUP($L349,Vloersoorten[],3,FALSE)*VLOOKUP($Y349,Frequenties[],3,FALSE)*VLOOKUP(#REF!,Locaties[],3,FALSE),0)</f>
        <v>0</v>
      </c>
      <c r="AB349" s="87">
        <f>Ruimtestaat[[#This Row],[Uitvoeringen weekend]]*Ruimtestaat[[#This Row],[Oppervlak (netto)]]</f>
        <v>0</v>
      </c>
      <c r="AC349" s="90">
        <f>IF(AB349&gt;0,Ruimtestaat[[#This Row],[Prest. (m2 /jaar) weekend]]/Ruimtestaat[[#This Row],[Norm (m2/uur) weekend]],0)</f>
        <v>0</v>
      </c>
      <c r="AD349" s="91">
        <f>Ruimtestaat[[#This Row],[uren / jaar weekend]]*Tariefsopbouw!$D$40</f>
        <v>0</v>
      </c>
      <c r="AE349" s="60">
        <f>Ruimtestaat[[#This Row],[Prest. (m2 /jaar) weekend]]+Ruimtestaat[[#This Row],[Prest. (m2 /jaar) werkdagen]]</f>
        <v>2314.1999999999998</v>
      </c>
      <c r="AF349" s="60">
        <f>Ruimtestaat[[#This Row],[uren / jaar weekend]]+Ruimtestaat[[#This Row],[uren / jaar werkdagen]]</f>
        <v>0</v>
      </c>
      <c r="AG349" s="61">
        <f>Ruimtestaat[[#This Row],[kosten / jaar weekend]]+Ruimtestaat[[#This Row],[kosten / jaar werkdagen]]</f>
        <v>0</v>
      </c>
      <c r="AH349" s="92"/>
      <c r="HL349" s="59"/>
    </row>
    <row r="350" spans="1:220">
      <c r="A350" s="24">
        <v>2</v>
      </c>
      <c r="B350" s="24" t="str">
        <f>VLOOKUP(Ruimtestaat[[#This Row],[Code]],Locaties[#All],2,FALSE)</f>
        <v>Het Stormink</v>
      </c>
      <c r="C350" s="24" t="str">
        <f>VLOOKUP(Ruimtestaat[[#This Row],[Code]],Locaties[#All],4,FALSE)</f>
        <v>Storminkstraat 1</v>
      </c>
      <c r="D350" s="24" t="str">
        <f>VLOOKUP(Ruimtestaat[[#This Row],[Code]],Locaties[#All],5,FALSE)</f>
        <v>7418 GH</v>
      </c>
      <c r="E350" s="24" t="str">
        <f>VLOOKUP(Ruimtestaat[[#This Row],[Code]],Locaties[#All],6,FALSE)</f>
        <v>Deventer</v>
      </c>
      <c r="F350" s="54"/>
      <c r="G350" s="24" t="s">
        <v>569</v>
      </c>
      <c r="H350" s="24" t="s">
        <v>587</v>
      </c>
      <c r="I350" s="4" t="s">
        <v>766</v>
      </c>
      <c r="J350" s="24">
        <v>2</v>
      </c>
      <c r="K350" s="54" t="str">
        <f>VLOOKUP(J350,Ruimtegroepen[],2,FALSE)</f>
        <v>Kantoren</v>
      </c>
      <c r="L350" s="24" t="s">
        <v>303</v>
      </c>
      <c r="M350" s="24" t="s">
        <v>767</v>
      </c>
      <c r="N350" s="83">
        <v>16.54</v>
      </c>
      <c r="O350" s="83"/>
      <c r="P350" s="93" t="str">
        <f>LEFT(VLOOKUP(Ruimtestaat[[#This Row],[Ruimte code]],Ruimtegroepen[#All],4,1),2)</f>
        <v>Bu</v>
      </c>
      <c r="Q350" s="93"/>
      <c r="R350" s="84">
        <v>42</v>
      </c>
      <c r="S350" s="84" t="s">
        <v>322</v>
      </c>
      <c r="T350" s="85">
        <f>IF(R350&gt;0,IF(RIGHT(Ruimtestaat[[#This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0" s="85">
        <f>IF(T350&gt;0,VLOOKUP($J350,Ruimtegroepen[],3,FALSE)*VLOOKUP($L350,Vloersoorten[],3,FALSE)*VLOOKUP($S350,Frequenties[],3,FALSE)*VLOOKUP($A350,Locaties[],3,FALSE),0)</f>
        <v>0</v>
      </c>
      <c r="V350" s="86">
        <f>Ruimtestaat[[#This Row],[Uitvoeringen werkdagen]]*Ruimtestaat[[#This Row],[Oppervlak (netto)]]</f>
        <v>2084.04</v>
      </c>
      <c r="W350" s="87">
        <f>IF(U350&gt;0,Ruimtestaat[[#This Row],[Prest. (m2 /jaar) werkdagen]]/Ruimtestaat[[#This Row],[Norm (m2/uur) werkdagen]],0)</f>
        <v>0</v>
      </c>
      <c r="X350" s="88">
        <f>Ruimtestaat[[#This Row],[uren / jaar werkdagen]]*Tariefsopbouw!$E$35</f>
        <v>0</v>
      </c>
      <c r="Y350" s="85"/>
      <c r="Z350" s="89">
        <f>IF(Ruimtestaat[[#This Row],[Frequentie weekend]]&gt;0,VALUE(LEFT(Y350,1))*R350,0)</f>
        <v>0</v>
      </c>
      <c r="AA350" s="85">
        <f>IF($Z350&gt;0,VLOOKUP($J350,Ruimtegroepen[],3,FALSE)*VLOOKUP($L350,Vloersoorten[],3,FALSE)*VLOOKUP($Y350,Frequenties[],3,FALSE)*VLOOKUP(#REF!,Locaties[],3,FALSE),0)</f>
        <v>0</v>
      </c>
      <c r="AB350" s="87">
        <f>Ruimtestaat[[#This Row],[Uitvoeringen weekend]]*Ruimtestaat[[#This Row],[Oppervlak (netto)]]</f>
        <v>0</v>
      </c>
      <c r="AC350" s="90">
        <f>IF(AB350&gt;0,Ruimtestaat[[#This Row],[Prest. (m2 /jaar) weekend]]/Ruimtestaat[[#This Row],[Norm (m2/uur) weekend]],0)</f>
        <v>0</v>
      </c>
      <c r="AD350" s="91">
        <f>Ruimtestaat[[#This Row],[uren / jaar weekend]]*Tariefsopbouw!$D$40</f>
        <v>0</v>
      </c>
      <c r="AE350" s="60">
        <f>Ruimtestaat[[#This Row],[Prest. (m2 /jaar) weekend]]+Ruimtestaat[[#This Row],[Prest. (m2 /jaar) werkdagen]]</f>
        <v>2084.04</v>
      </c>
      <c r="AF350" s="60">
        <f>Ruimtestaat[[#This Row],[uren / jaar weekend]]+Ruimtestaat[[#This Row],[uren / jaar werkdagen]]</f>
        <v>0</v>
      </c>
      <c r="AG350" s="61">
        <f>Ruimtestaat[[#This Row],[kosten / jaar weekend]]+Ruimtestaat[[#This Row],[kosten / jaar werkdagen]]</f>
        <v>0</v>
      </c>
      <c r="AH350" s="92"/>
      <c r="HL350" s="59"/>
    </row>
    <row r="351" spans="1:220">
      <c r="A351" s="24">
        <v>2</v>
      </c>
      <c r="B351" s="24" t="str">
        <f>VLOOKUP(Ruimtestaat[[#This Row],[Code]],Locaties[#All],2,FALSE)</f>
        <v>Het Stormink</v>
      </c>
      <c r="C351" s="24" t="str">
        <f>VLOOKUP(Ruimtestaat[[#This Row],[Code]],Locaties[#All],4,FALSE)</f>
        <v>Storminkstraat 1</v>
      </c>
      <c r="D351" s="24" t="str">
        <f>VLOOKUP(Ruimtestaat[[#This Row],[Code]],Locaties[#All],5,FALSE)</f>
        <v>7418 GH</v>
      </c>
      <c r="E351" s="24" t="str">
        <f>VLOOKUP(Ruimtestaat[[#This Row],[Code]],Locaties[#All],6,FALSE)</f>
        <v>Deventer</v>
      </c>
      <c r="F351" s="54"/>
      <c r="G351" s="24" t="s">
        <v>569</v>
      </c>
      <c r="H351" s="24" t="s">
        <v>768</v>
      </c>
      <c r="I351" s="4" t="s">
        <v>769</v>
      </c>
      <c r="J351" s="24">
        <v>2</v>
      </c>
      <c r="K351" s="54" t="str">
        <f>VLOOKUP(J351,Ruimtegroepen[],2,FALSE)</f>
        <v>Kantoren</v>
      </c>
      <c r="L351" s="24" t="s">
        <v>303</v>
      </c>
      <c r="M351" s="24" t="s">
        <v>767</v>
      </c>
      <c r="N351" s="83">
        <v>38.67</v>
      </c>
      <c r="O351" s="83"/>
      <c r="P351" s="93" t="str">
        <f>LEFT(VLOOKUP(Ruimtestaat[[#This Row],[Ruimte code]],Ruimtegroepen[#All],4,1),2)</f>
        <v>Bu</v>
      </c>
      <c r="Q351" s="93"/>
      <c r="R351" s="84">
        <v>42</v>
      </c>
      <c r="S351" s="84" t="s">
        <v>322</v>
      </c>
      <c r="T351" s="85">
        <f>IF(R351&gt;0,IF(RIGHT(Ruimtestaat[[#This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1" s="85">
        <f>IF(T351&gt;0,VLOOKUP($J351,Ruimtegroepen[],3,FALSE)*VLOOKUP($L351,Vloersoorten[],3,FALSE)*VLOOKUP($S351,Frequenties[],3,FALSE)*VLOOKUP($A351,Locaties[],3,FALSE),0)</f>
        <v>0</v>
      </c>
      <c r="V351" s="86">
        <f>Ruimtestaat[[#This Row],[Uitvoeringen werkdagen]]*Ruimtestaat[[#This Row],[Oppervlak (netto)]]</f>
        <v>4872.42</v>
      </c>
      <c r="W351" s="87">
        <f>IF(U351&gt;0,Ruimtestaat[[#This Row],[Prest. (m2 /jaar) werkdagen]]/Ruimtestaat[[#This Row],[Norm (m2/uur) werkdagen]],0)</f>
        <v>0</v>
      </c>
      <c r="X351" s="88">
        <f>Ruimtestaat[[#This Row],[uren / jaar werkdagen]]*Tariefsopbouw!$E$35</f>
        <v>0</v>
      </c>
      <c r="Y351" s="85"/>
      <c r="Z351" s="89">
        <f>IF(Ruimtestaat[[#This Row],[Frequentie weekend]]&gt;0,VALUE(LEFT(Y351,1))*R351,0)</f>
        <v>0</v>
      </c>
      <c r="AA351" s="85">
        <f>IF($Z351&gt;0,VLOOKUP($J351,Ruimtegroepen[],3,FALSE)*VLOOKUP($L351,Vloersoorten[],3,FALSE)*VLOOKUP($Y351,Frequenties[],3,FALSE)*VLOOKUP(#REF!,Locaties[],3,FALSE),0)</f>
        <v>0</v>
      </c>
      <c r="AB351" s="87">
        <f>Ruimtestaat[[#This Row],[Uitvoeringen weekend]]*Ruimtestaat[[#This Row],[Oppervlak (netto)]]</f>
        <v>0</v>
      </c>
      <c r="AC351" s="90">
        <f>IF(AB351&gt;0,Ruimtestaat[[#This Row],[Prest. (m2 /jaar) weekend]]/Ruimtestaat[[#This Row],[Norm (m2/uur) weekend]],0)</f>
        <v>0</v>
      </c>
      <c r="AD351" s="91">
        <f>Ruimtestaat[[#This Row],[uren / jaar weekend]]*Tariefsopbouw!$D$40</f>
        <v>0</v>
      </c>
      <c r="AE351" s="60">
        <f>Ruimtestaat[[#This Row],[Prest. (m2 /jaar) weekend]]+Ruimtestaat[[#This Row],[Prest. (m2 /jaar) werkdagen]]</f>
        <v>4872.42</v>
      </c>
      <c r="AF351" s="60">
        <f>Ruimtestaat[[#This Row],[uren / jaar weekend]]+Ruimtestaat[[#This Row],[uren / jaar werkdagen]]</f>
        <v>0</v>
      </c>
      <c r="AG351" s="61">
        <f>Ruimtestaat[[#This Row],[kosten / jaar weekend]]+Ruimtestaat[[#This Row],[kosten / jaar werkdagen]]</f>
        <v>0</v>
      </c>
      <c r="AH351" s="92"/>
      <c r="HL351" s="59"/>
    </row>
    <row r="352" spans="1:220">
      <c r="A352" s="24">
        <v>2</v>
      </c>
      <c r="B352" s="24" t="str">
        <f>VLOOKUP(Ruimtestaat[[#This Row],[Code]],Locaties[#All],2,FALSE)</f>
        <v>Het Stormink</v>
      </c>
      <c r="C352" s="24" t="str">
        <f>VLOOKUP(Ruimtestaat[[#This Row],[Code]],Locaties[#All],4,FALSE)</f>
        <v>Storminkstraat 1</v>
      </c>
      <c r="D352" s="24" t="str">
        <f>VLOOKUP(Ruimtestaat[[#This Row],[Code]],Locaties[#All],5,FALSE)</f>
        <v>7418 GH</v>
      </c>
      <c r="E352" s="24" t="str">
        <f>VLOOKUP(Ruimtestaat[[#This Row],[Code]],Locaties[#All],6,FALSE)</f>
        <v>Deventer</v>
      </c>
      <c r="F352" s="54"/>
      <c r="G352" s="24" t="s">
        <v>569</v>
      </c>
      <c r="H352" s="24" t="s">
        <v>770</v>
      </c>
      <c r="I352" s="4" t="s">
        <v>375</v>
      </c>
      <c r="J352" s="24">
        <v>22</v>
      </c>
      <c r="K352" s="54" t="str">
        <f>VLOOKUP(J352,Ruimtegroepen[],2,FALSE)</f>
        <v>Niet in onderhoud</v>
      </c>
      <c r="L352" s="24" t="s">
        <v>300</v>
      </c>
      <c r="M352" s="24" t="s">
        <v>157</v>
      </c>
      <c r="N352" s="83"/>
      <c r="O352" s="83">
        <v>1.82</v>
      </c>
      <c r="P352" s="93" t="str">
        <f>LEFT(VLOOKUP(Ruimtestaat[[#This Row],[Ruimte code]],Ruimtegroepen[#All],4,1),2)</f>
        <v/>
      </c>
      <c r="Q352" s="93"/>
      <c r="R352" s="84"/>
      <c r="S352" s="84"/>
      <c r="T352" s="85">
        <f>IF(R352&gt;0,IF(RIGHT(Ruimtestaat[[#This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52" s="85">
        <f>IF(T352&gt;0,VLOOKUP($J352,Ruimtegroepen[],3,FALSE)*VLOOKUP($L352,Vloersoorten[],3,FALSE)*VLOOKUP($S352,Frequenties[],3,FALSE)*VLOOKUP($A352,Locaties[],3,FALSE),0)</f>
        <v>0</v>
      </c>
      <c r="V352" s="86">
        <f>Ruimtestaat[[#This Row],[Uitvoeringen werkdagen]]*Ruimtestaat[[#This Row],[Oppervlak (netto)]]</f>
        <v>0</v>
      </c>
      <c r="W352" s="87">
        <f>IF(U352&gt;0,Ruimtestaat[[#This Row],[Prest. (m2 /jaar) werkdagen]]/Ruimtestaat[[#This Row],[Norm (m2/uur) werkdagen]],0)</f>
        <v>0</v>
      </c>
      <c r="X352" s="88">
        <f>Ruimtestaat[[#This Row],[uren / jaar werkdagen]]*Tariefsopbouw!$E$35</f>
        <v>0</v>
      </c>
      <c r="Y352" s="85"/>
      <c r="Z352" s="89">
        <f>IF(Ruimtestaat[[#This Row],[Frequentie weekend]]&gt;0,VALUE(LEFT(Y352,1))*R352,0)</f>
        <v>0</v>
      </c>
      <c r="AA352" s="85">
        <f>IF($Z352&gt;0,VLOOKUP($J352,Ruimtegroepen[],3,FALSE)*VLOOKUP($L352,Vloersoorten[],3,FALSE)*VLOOKUP($Y352,Frequenties[],3,FALSE)*VLOOKUP(#REF!,Locaties[],3,FALSE),0)</f>
        <v>0</v>
      </c>
      <c r="AB352" s="87">
        <f>Ruimtestaat[[#This Row],[Uitvoeringen weekend]]*Ruimtestaat[[#This Row],[Oppervlak (netto)]]</f>
        <v>0</v>
      </c>
      <c r="AC352" s="90">
        <f>IF(AB352&gt;0,Ruimtestaat[[#This Row],[Prest. (m2 /jaar) weekend]]/Ruimtestaat[[#This Row],[Norm (m2/uur) weekend]],0)</f>
        <v>0</v>
      </c>
      <c r="AD352" s="91">
        <f>Ruimtestaat[[#This Row],[uren / jaar weekend]]*Tariefsopbouw!$D$40</f>
        <v>0</v>
      </c>
      <c r="AE352" s="60">
        <f>Ruimtestaat[[#This Row],[Prest. (m2 /jaar) weekend]]+Ruimtestaat[[#This Row],[Prest. (m2 /jaar) werkdagen]]</f>
        <v>0</v>
      </c>
      <c r="AF352" s="60">
        <f>Ruimtestaat[[#This Row],[uren / jaar weekend]]+Ruimtestaat[[#This Row],[uren / jaar werkdagen]]</f>
        <v>0</v>
      </c>
      <c r="AG352" s="61">
        <f>Ruimtestaat[[#This Row],[kosten / jaar weekend]]+Ruimtestaat[[#This Row],[kosten / jaar werkdagen]]</f>
        <v>0</v>
      </c>
      <c r="AH352" s="92"/>
      <c r="HL352" s="59"/>
    </row>
    <row r="353" spans="1:220">
      <c r="A353" s="24">
        <v>2</v>
      </c>
      <c r="B353" s="24" t="str">
        <f>VLOOKUP(Ruimtestaat[[#This Row],[Code]],Locaties[#All],2,FALSE)</f>
        <v>Het Stormink</v>
      </c>
      <c r="C353" s="24" t="str">
        <f>VLOOKUP(Ruimtestaat[[#This Row],[Code]],Locaties[#All],4,FALSE)</f>
        <v>Storminkstraat 1</v>
      </c>
      <c r="D353" s="24" t="str">
        <f>VLOOKUP(Ruimtestaat[[#This Row],[Code]],Locaties[#All],5,FALSE)</f>
        <v>7418 GH</v>
      </c>
      <c r="E353" s="24" t="str">
        <f>VLOOKUP(Ruimtestaat[[#This Row],[Code]],Locaties[#All],6,FALSE)</f>
        <v>Deventer</v>
      </c>
      <c r="F353" s="54"/>
      <c r="G353" s="24" t="s">
        <v>569</v>
      </c>
      <c r="H353" s="24" t="s">
        <v>771</v>
      </c>
      <c r="I353" s="4" t="s">
        <v>375</v>
      </c>
      <c r="J353" s="24">
        <v>22</v>
      </c>
      <c r="K353" s="54" t="str">
        <f>VLOOKUP(J353,Ruimtegroepen[],2,FALSE)</f>
        <v>Niet in onderhoud</v>
      </c>
      <c r="L353" s="24" t="s">
        <v>300</v>
      </c>
      <c r="M353" s="24" t="s">
        <v>157</v>
      </c>
      <c r="N353" s="83"/>
      <c r="O353" s="83">
        <v>1.82</v>
      </c>
      <c r="P353" s="93" t="str">
        <f>LEFT(VLOOKUP(Ruimtestaat[[#This Row],[Ruimte code]],Ruimtegroepen[#All],4,1),2)</f>
        <v/>
      </c>
      <c r="Q353" s="93"/>
      <c r="R353" s="84"/>
      <c r="S353" s="84"/>
      <c r="T353" s="85">
        <f>IF(R353&gt;0,IF(RIGHT(Ruimtestaat[[#This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53" s="85">
        <f>IF(T353&gt;0,VLOOKUP($J353,Ruimtegroepen[],3,FALSE)*VLOOKUP($L353,Vloersoorten[],3,FALSE)*VLOOKUP($S353,Frequenties[],3,FALSE)*VLOOKUP($A353,Locaties[],3,FALSE),0)</f>
        <v>0</v>
      </c>
      <c r="V353" s="86">
        <f>Ruimtestaat[[#This Row],[Uitvoeringen werkdagen]]*Ruimtestaat[[#This Row],[Oppervlak (netto)]]</f>
        <v>0</v>
      </c>
      <c r="W353" s="87">
        <f>IF(U353&gt;0,Ruimtestaat[[#This Row],[Prest. (m2 /jaar) werkdagen]]/Ruimtestaat[[#This Row],[Norm (m2/uur) werkdagen]],0)</f>
        <v>0</v>
      </c>
      <c r="X353" s="88">
        <f>Ruimtestaat[[#This Row],[uren / jaar werkdagen]]*Tariefsopbouw!$E$35</f>
        <v>0</v>
      </c>
      <c r="Y353" s="85"/>
      <c r="Z353" s="89">
        <f>IF(Ruimtestaat[[#This Row],[Frequentie weekend]]&gt;0,VALUE(LEFT(Y353,1))*R353,0)</f>
        <v>0</v>
      </c>
      <c r="AA353" s="85">
        <f>IF($Z353&gt;0,VLOOKUP($J353,Ruimtegroepen[],3,FALSE)*VLOOKUP($L353,Vloersoorten[],3,FALSE)*VLOOKUP($Y353,Frequenties[],3,FALSE)*VLOOKUP(#REF!,Locaties[],3,FALSE),0)</f>
        <v>0</v>
      </c>
      <c r="AB353" s="87">
        <f>Ruimtestaat[[#This Row],[Uitvoeringen weekend]]*Ruimtestaat[[#This Row],[Oppervlak (netto)]]</f>
        <v>0</v>
      </c>
      <c r="AC353" s="90">
        <f>IF(AB353&gt;0,Ruimtestaat[[#This Row],[Prest. (m2 /jaar) weekend]]/Ruimtestaat[[#This Row],[Norm (m2/uur) weekend]],0)</f>
        <v>0</v>
      </c>
      <c r="AD353" s="91">
        <f>Ruimtestaat[[#This Row],[uren / jaar weekend]]*Tariefsopbouw!$D$40</f>
        <v>0</v>
      </c>
      <c r="AE353" s="60">
        <f>Ruimtestaat[[#This Row],[Prest. (m2 /jaar) weekend]]+Ruimtestaat[[#This Row],[Prest. (m2 /jaar) werkdagen]]</f>
        <v>0</v>
      </c>
      <c r="AF353" s="60">
        <f>Ruimtestaat[[#This Row],[uren / jaar weekend]]+Ruimtestaat[[#This Row],[uren / jaar werkdagen]]</f>
        <v>0</v>
      </c>
      <c r="AG353" s="61">
        <f>Ruimtestaat[[#This Row],[kosten / jaar weekend]]+Ruimtestaat[[#This Row],[kosten / jaar werkdagen]]</f>
        <v>0</v>
      </c>
      <c r="AH353" s="92"/>
      <c r="HL353" s="59"/>
    </row>
    <row r="354" spans="1:220">
      <c r="A354" s="24">
        <v>2</v>
      </c>
      <c r="B354" s="24" t="str">
        <f>VLOOKUP(Ruimtestaat[[#This Row],[Code]],Locaties[#All],2,FALSE)</f>
        <v>Het Stormink</v>
      </c>
      <c r="C354" s="24" t="str">
        <f>VLOOKUP(Ruimtestaat[[#This Row],[Code]],Locaties[#All],4,FALSE)</f>
        <v>Storminkstraat 1</v>
      </c>
      <c r="D354" s="24" t="str">
        <f>VLOOKUP(Ruimtestaat[[#This Row],[Code]],Locaties[#All],5,FALSE)</f>
        <v>7418 GH</v>
      </c>
      <c r="E354" s="24" t="str">
        <f>VLOOKUP(Ruimtestaat[[#This Row],[Code]],Locaties[#All],6,FALSE)</f>
        <v>Deventer</v>
      </c>
      <c r="F354" s="54"/>
      <c r="G354" s="24" t="s">
        <v>569</v>
      </c>
      <c r="H354" s="24" t="s">
        <v>772</v>
      </c>
      <c r="I354" s="4" t="s">
        <v>684</v>
      </c>
      <c r="J354" s="24">
        <v>2</v>
      </c>
      <c r="K354" s="54" t="str">
        <f>VLOOKUP(J354,Ruimtegroepen[],2,FALSE)</f>
        <v>Kantoren</v>
      </c>
      <c r="L354" s="24" t="s">
        <v>300</v>
      </c>
      <c r="M354" s="24" t="s">
        <v>157</v>
      </c>
      <c r="N354" s="83">
        <v>24.95</v>
      </c>
      <c r="O354" s="83"/>
      <c r="P354" s="93" t="str">
        <f>LEFT(VLOOKUP(Ruimtestaat[[#This Row],[Ruimte code]],Ruimtegroepen[#All],4,1),2)</f>
        <v>Bu</v>
      </c>
      <c r="Q354" s="93"/>
      <c r="R354" s="84">
        <v>42</v>
      </c>
      <c r="S354" s="84" t="s">
        <v>322</v>
      </c>
      <c r="T354" s="85">
        <f>IF(R354&gt;0,IF(RIGHT(Ruimtestaat[[#This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4" s="85">
        <f>IF(T354&gt;0,VLOOKUP($J354,Ruimtegroepen[],3,FALSE)*VLOOKUP($L354,Vloersoorten[],3,FALSE)*VLOOKUP($S354,Frequenties[],3,FALSE)*VLOOKUP($A354,Locaties[],3,FALSE),0)</f>
        <v>0</v>
      </c>
      <c r="V354" s="86">
        <f>Ruimtestaat[[#This Row],[Uitvoeringen werkdagen]]*Ruimtestaat[[#This Row],[Oppervlak (netto)]]</f>
        <v>3143.7</v>
      </c>
      <c r="W354" s="87">
        <f>IF(U354&gt;0,Ruimtestaat[[#This Row],[Prest. (m2 /jaar) werkdagen]]/Ruimtestaat[[#This Row],[Norm (m2/uur) werkdagen]],0)</f>
        <v>0</v>
      </c>
      <c r="X354" s="88">
        <f>Ruimtestaat[[#This Row],[uren / jaar werkdagen]]*Tariefsopbouw!$E$35</f>
        <v>0</v>
      </c>
      <c r="Y354" s="85"/>
      <c r="Z354" s="89">
        <f>IF(Ruimtestaat[[#This Row],[Frequentie weekend]]&gt;0,VALUE(LEFT(Y354,1))*R354,0)</f>
        <v>0</v>
      </c>
      <c r="AA354" s="85">
        <f>IF($Z354&gt;0,VLOOKUP($J354,Ruimtegroepen[],3,FALSE)*VLOOKUP($L354,Vloersoorten[],3,FALSE)*VLOOKUP($Y354,Frequenties[],3,FALSE)*VLOOKUP(#REF!,Locaties[],3,FALSE),0)</f>
        <v>0</v>
      </c>
      <c r="AB354" s="87">
        <f>Ruimtestaat[[#This Row],[Uitvoeringen weekend]]*Ruimtestaat[[#This Row],[Oppervlak (netto)]]</f>
        <v>0</v>
      </c>
      <c r="AC354" s="90">
        <f>IF(AB354&gt;0,Ruimtestaat[[#This Row],[Prest. (m2 /jaar) weekend]]/Ruimtestaat[[#This Row],[Norm (m2/uur) weekend]],0)</f>
        <v>0</v>
      </c>
      <c r="AD354" s="91">
        <f>Ruimtestaat[[#This Row],[uren / jaar weekend]]*Tariefsopbouw!$D$40</f>
        <v>0</v>
      </c>
      <c r="AE354" s="60">
        <f>Ruimtestaat[[#This Row],[Prest. (m2 /jaar) weekend]]+Ruimtestaat[[#This Row],[Prest. (m2 /jaar) werkdagen]]</f>
        <v>3143.7</v>
      </c>
      <c r="AF354" s="60">
        <f>Ruimtestaat[[#This Row],[uren / jaar weekend]]+Ruimtestaat[[#This Row],[uren / jaar werkdagen]]</f>
        <v>0</v>
      </c>
      <c r="AG354" s="61">
        <f>Ruimtestaat[[#This Row],[kosten / jaar weekend]]+Ruimtestaat[[#This Row],[kosten / jaar werkdagen]]</f>
        <v>0</v>
      </c>
      <c r="AH354" s="92"/>
      <c r="HL354" s="59"/>
    </row>
    <row r="355" spans="1:220">
      <c r="A355" s="24">
        <v>2</v>
      </c>
      <c r="B355" s="24" t="str">
        <f>VLOOKUP(Ruimtestaat[[#This Row],[Code]],Locaties[#All],2,FALSE)</f>
        <v>Het Stormink</v>
      </c>
      <c r="C355" s="24" t="str">
        <f>VLOOKUP(Ruimtestaat[[#This Row],[Code]],Locaties[#All],4,FALSE)</f>
        <v>Storminkstraat 1</v>
      </c>
      <c r="D355" s="24" t="str">
        <f>VLOOKUP(Ruimtestaat[[#This Row],[Code]],Locaties[#All],5,FALSE)</f>
        <v>7418 GH</v>
      </c>
      <c r="E355" s="24" t="str">
        <f>VLOOKUP(Ruimtestaat[[#This Row],[Code]],Locaties[#All],6,FALSE)</f>
        <v>Deventer</v>
      </c>
      <c r="F355" s="54"/>
      <c r="G355" s="24" t="s">
        <v>569</v>
      </c>
      <c r="H355" s="24" t="s">
        <v>773</v>
      </c>
      <c r="I355" s="4" t="s">
        <v>384</v>
      </c>
      <c r="J355" s="24">
        <v>4</v>
      </c>
      <c r="K355" s="54" t="str">
        <f>VLOOKUP(J355,Ruimtegroepen[],2,FALSE)</f>
        <v>Vergader/spreekkamers</v>
      </c>
      <c r="L355" s="24" t="s">
        <v>300</v>
      </c>
      <c r="M355" s="24" t="s">
        <v>157</v>
      </c>
      <c r="N355" s="83">
        <v>12.46</v>
      </c>
      <c r="O355" s="83"/>
      <c r="P355" s="93" t="str">
        <f>LEFT(VLOOKUP(Ruimtestaat[[#This Row],[Ruimte code]],Ruimtegroepen[#All],4,1),2)</f>
        <v>Bu</v>
      </c>
      <c r="Q355" s="93"/>
      <c r="R355" s="84">
        <v>40</v>
      </c>
      <c r="S355" s="84" t="s">
        <v>322</v>
      </c>
      <c r="T355" s="85">
        <f>IF(R355&gt;0,IF(RIGHT(Ruimtestaat[[#This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55" s="85">
        <f>IF(T355&gt;0,VLOOKUP($J355,Ruimtegroepen[],3,FALSE)*VLOOKUP($L355,Vloersoorten[],3,FALSE)*VLOOKUP($S355,Frequenties[],3,FALSE)*VLOOKUP($A355,Locaties[],3,FALSE),0)</f>
        <v>0</v>
      </c>
      <c r="V355" s="86">
        <f>Ruimtestaat[[#This Row],[Uitvoeringen werkdagen]]*Ruimtestaat[[#This Row],[Oppervlak (netto)]]</f>
        <v>1495.2</v>
      </c>
      <c r="W355" s="87">
        <f>IF(U355&gt;0,Ruimtestaat[[#This Row],[Prest. (m2 /jaar) werkdagen]]/Ruimtestaat[[#This Row],[Norm (m2/uur) werkdagen]],0)</f>
        <v>0</v>
      </c>
      <c r="X355" s="88">
        <f>Ruimtestaat[[#This Row],[uren / jaar werkdagen]]*Tariefsopbouw!$E$35</f>
        <v>0</v>
      </c>
      <c r="Y355" s="85"/>
      <c r="Z355" s="89">
        <f>IF(Ruimtestaat[[#This Row],[Frequentie weekend]]&gt;0,VALUE(LEFT(Y355,1))*R355,0)</f>
        <v>0</v>
      </c>
      <c r="AA355" s="85">
        <f>IF($Z355&gt;0,VLOOKUP($J355,Ruimtegroepen[],3,FALSE)*VLOOKUP($L355,Vloersoorten[],3,FALSE)*VLOOKUP($Y355,Frequenties[],3,FALSE)*VLOOKUP(#REF!,Locaties[],3,FALSE),0)</f>
        <v>0</v>
      </c>
      <c r="AB355" s="87">
        <f>Ruimtestaat[[#This Row],[Uitvoeringen weekend]]*Ruimtestaat[[#This Row],[Oppervlak (netto)]]</f>
        <v>0</v>
      </c>
      <c r="AC355" s="90">
        <f>IF(AB355&gt;0,Ruimtestaat[[#This Row],[Prest. (m2 /jaar) weekend]]/Ruimtestaat[[#This Row],[Norm (m2/uur) weekend]],0)</f>
        <v>0</v>
      </c>
      <c r="AD355" s="91">
        <f>Ruimtestaat[[#This Row],[uren / jaar weekend]]*Tariefsopbouw!$D$40</f>
        <v>0</v>
      </c>
      <c r="AE355" s="60">
        <f>Ruimtestaat[[#This Row],[Prest. (m2 /jaar) weekend]]+Ruimtestaat[[#This Row],[Prest. (m2 /jaar) werkdagen]]</f>
        <v>1495.2</v>
      </c>
      <c r="AF355" s="60">
        <f>Ruimtestaat[[#This Row],[uren / jaar weekend]]+Ruimtestaat[[#This Row],[uren / jaar werkdagen]]</f>
        <v>0</v>
      </c>
      <c r="AG355" s="61">
        <f>Ruimtestaat[[#This Row],[kosten / jaar weekend]]+Ruimtestaat[[#This Row],[kosten / jaar werkdagen]]</f>
        <v>0</v>
      </c>
      <c r="AH355" s="92"/>
      <c r="HL355" s="59"/>
    </row>
    <row r="356" spans="1:220">
      <c r="A356" s="24">
        <v>2</v>
      </c>
      <c r="B356" s="24" t="str">
        <f>VLOOKUP(Ruimtestaat[[#This Row],[Code]],Locaties[#All],2,FALSE)</f>
        <v>Het Stormink</v>
      </c>
      <c r="C356" s="24" t="str">
        <f>VLOOKUP(Ruimtestaat[[#This Row],[Code]],Locaties[#All],4,FALSE)</f>
        <v>Storminkstraat 1</v>
      </c>
      <c r="D356" s="24" t="str">
        <f>VLOOKUP(Ruimtestaat[[#This Row],[Code]],Locaties[#All],5,FALSE)</f>
        <v>7418 GH</v>
      </c>
      <c r="E356" s="24" t="str">
        <f>VLOOKUP(Ruimtestaat[[#This Row],[Code]],Locaties[#All],6,FALSE)</f>
        <v>Deventer</v>
      </c>
      <c r="F356" s="54"/>
      <c r="G356" s="24" t="s">
        <v>569</v>
      </c>
      <c r="H356" s="24" t="s">
        <v>774</v>
      </c>
      <c r="I356" s="4" t="s">
        <v>685</v>
      </c>
      <c r="J356" s="24">
        <v>2</v>
      </c>
      <c r="K356" s="54" t="str">
        <f>VLOOKUP(J356,Ruimtegroepen[],2,FALSE)</f>
        <v>Kantoren</v>
      </c>
      <c r="L356" s="24" t="s">
        <v>300</v>
      </c>
      <c r="M356" s="24" t="s">
        <v>157</v>
      </c>
      <c r="N356" s="83">
        <v>12.46</v>
      </c>
      <c r="O356" s="83"/>
      <c r="P356" s="93" t="str">
        <f>LEFT(VLOOKUP(Ruimtestaat[[#This Row],[Ruimte code]],Ruimtegroepen[#All],4,1),2)</f>
        <v>Bu</v>
      </c>
      <c r="Q356" s="93"/>
      <c r="R356" s="84">
        <v>42</v>
      </c>
      <c r="S356" s="84" t="s">
        <v>322</v>
      </c>
      <c r="T356" s="85">
        <f>IF(R356&gt;0,IF(RIGHT(Ruimtestaat[[#This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6" s="85">
        <f>IF(T356&gt;0,VLOOKUP($J356,Ruimtegroepen[],3,FALSE)*VLOOKUP($L356,Vloersoorten[],3,FALSE)*VLOOKUP($S356,Frequenties[],3,FALSE)*VLOOKUP($A356,Locaties[],3,FALSE),0)</f>
        <v>0</v>
      </c>
      <c r="V356" s="86">
        <f>Ruimtestaat[[#This Row],[Uitvoeringen werkdagen]]*Ruimtestaat[[#This Row],[Oppervlak (netto)]]</f>
        <v>1569.96</v>
      </c>
      <c r="W356" s="87">
        <f>IF(U356&gt;0,Ruimtestaat[[#This Row],[Prest. (m2 /jaar) werkdagen]]/Ruimtestaat[[#This Row],[Norm (m2/uur) werkdagen]],0)</f>
        <v>0</v>
      </c>
      <c r="X356" s="88">
        <f>Ruimtestaat[[#This Row],[uren / jaar werkdagen]]*Tariefsopbouw!$E$35</f>
        <v>0</v>
      </c>
      <c r="Y356" s="85"/>
      <c r="Z356" s="89">
        <f>IF(Ruimtestaat[[#This Row],[Frequentie weekend]]&gt;0,VALUE(LEFT(Y356,1))*R356,0)</f>
        <v>0</v>
      </c>
      <c r="AA356" s="85">
        <f>IF($Z356&gt;0,VLOOKUP($J356,Ruimtegroepen[],3,FALSE)*VLOOKUP($L356,Vloersoorten[],3,FALSE)*VLOOKUP($Y356,Frequenties[],3,FALSE)*VLOOKUP(#REF!,Locaties[],3,FALSE),0)</f>
        <v>0</v>
      </c>
      <c r="AB356" s="87">
        <f>Ruimtestaat[[#This Row],[Uitvoeringen weekend]]*Ruimtestaat[[#This Row],[Oppervlak (netto)]]</f>
        <v>0</v>
      </c>
      <c r="AC356" s="90">
        <f>IF(AB356&gt;0,Ruimtestaat[[#This Row],[Prest. (m2 /jaar) weekend]]/Ruimtestaat[[#This Row],[Norm (m2/uur) weekend]],0)</f>
        <v>0</v>
      </c>
      <c r="AD356" s="91">
        <f>Ruimtestaat[[#This Row],[uren / jaar weekend]]*Tariefsopbouw!$D$40</f>
        <v>0</v>
      </c>
      <c r="AE356" s="60">
        <f>Ruimtestaat[[#This Row],[Prest. (m2 /jaar) weekend]]+Ruimtestaat[[#This Row],[Prest. (m2 /jaar) werkdagen]]</f>
        <v>1569.96</v>
      </c>
      <c r="AF356" s="60">
        <f>Ruimtestaat[[#This Row],[uren / jaar weekend]]+Ruimtestaat[[#This Row],[uren / jaar werkdagen]]</f>
        <v>0</v>
      </c>
      <c r="AG356" s="61">
        <f>Ruimtestaat[[#This Row],[kosten / jaar weekend]]+Ruimtestaat[[#This Row],[kosten / jaar werkdagen]]</f>
        <v>0</v>
      </c>
      <c r="AH356" s="92"/>
      <c r="HL356" s="59"/>
    </row>
    <row r="357" spans="1:220">
      <c r="A357" s="24">
        <v>2</v>
      </c>
      <c r="B357" s="24" t="str">
        <f>VLOOKUP(Ruimtestaat[[#This Row],[Code]],Locaties[#All],2,FALSE)</f>
        <v>Het Stormink</v>
      </c>
      <c r="C357" s="24" t="str">
        <f>VLOOKUP(Ruimtestaat[[#This Row],[Code]],Locaties[#All],4,FALSE)</f>
        <v>Storminkstraat 1</v>
      </c>
      <c r="D357" s="24" t="str">
        <f>VLOOKUP(Ruimtestaat[[#This Row],[Code]],Locaties[#All],5,FALSE)</f>
        <v>7418 GH</v>
      </c>
      <c r="E357" s="24" t="str">
        <f>VLOOKUP(Ruimtestaat[[#This Row],[Code]],Locaties[#All],6,FALSE)</f>
        <v>Deventer</v>
      </c>
      <c r="F357" s="54"/>
      <c r="G357" s="24" t="s">
        <v>569</v>
      </c>
      <c r="H357" s="24" t="s">
        <v>775</v>
      </c>
      <c r="I357" s="4" t="s">
        <v>776</v>
      </c>
      <c r="J357" s="24">
        <v>2</v>
      </c>
      <c r="K357" s="54" t="str">
        <f>VLOOKUP(J357,Ruimtegroepen[],2,FALSE)</f>
        <v>Kantoren</v>
      </c>
      <c r="L357" s="24" t="s">
        <v>300</v>
      </c>
      <c r="M357" s="24" t="s">
        <v>157</v>
      </c>
      <c r="N357" s="83">
        <v>25.41</v>
      </c>
      <c r="O357" s="83"/>
      <c r="P357" s="93" t="str">
        <f>LEFT(VLOOKUP(Ruimtestaat[[#This Row],[Ruimte code]],Ruimtegroepen[#All],4,1),2)</f>
        <v>Bu</v>
      </c>
      <c r="Q357" s="93"/>
      <c r="R357" s="84">
        <v>42</v>
      </c>
      <c r="S357" s="84" t="s">
        <v>322</v>
      </c>
      <c r="T357" s="85">
        <f>IF(R357&gt;0,IF(RIGHT(Ruimtestaat[[#This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7" s="85">
        <f>IF(T357&gt;0,VLOOKUP($J357,Ruimtegroepen[],3,FALSE)*VLOOKUP($L357,Vloersoorten[],3,FALSE)*VLOOKUP($S357,Frequenties[],3,FALSE)*VLOOKUP($A357,Locaties[],3,FALSE),0)</f>
        <v>0</v>
      </c>
      <c r="V357" s="86">
        <f>Ruimtestaat[[#This Row],[Uitvoeringen werkdagen]]*Ruimtestaat[[#This Row],[Oppervlak (netto)]]</f>
        <v>3201.66</v>
      </c>
      <c r="W357" s="87">
        <f>IF(U357&gt;0,Ruimtestaat[[#This Row],[Prest. (m2 /jaar) werkdagen]]/Ruimtestaat[[#This Row],[Norm (m2/uur) werkdagen]],0)</f>
        <v>0</v>
      </c>
      <c r="X357" s="88">
        <f>Ruimtestaat[[#This Row],[uren / jaar werkdagen]]*Tariefsopbouw!$E$35</f>
        <v>0</v>
      </c>
      <c r="Y357" s="85"/>
      <c r="Z357" s="89">
        <f>IF(Ruimtestaat[[#This Row],[Frequentie weekend]]&gt;0,VALUE(LEFT(Y357,1))*R357,0)</f>
        <v>0</v>
      </c>
      <c r="AA357" s="85">
        <f>IF($Z357&gt;0,VLOOKUP($J357,Ruimtegroepen[],3,FALSE)*VLOOKUP($L357,Vloersoorten[],3,FALSE)*VLOOKUP($Y357,Frequenties[],3,FALSE)*VLOOKUP(#REF!,Locaties[],3,FALSE),0)</f>
        <v>0</v>
      </c>
      <c r="AB357" s="87">
        <f>Ruimtestaat[[#This Row],[Uitvoeringen weekend]]*Ruimtestaat[[#This Row],[Oppervlak (netto)]]</f>
        <v>0</v>
      </c>
      <c r="AC357" s="90">
        <f>IF(AB357&gt;0,Ruimtestaat[[#This Row],[Prest. (m2 /jaar) weekend]]/Ruimtestaat[[#This Row],[Norm (m2/uur) weekend]],0)</f>
        <v>0</v>
      </c>
      <c r="AD357" s="91">
        <f>Ruimtestaat[[#This Row],[uren / jaar weekend]]*Tariefsopbouw!$D$40</f>
        <v>0</v>
      </c>
      <c r="AE357" s="60">
        <f>Ruimtestaat[[#This Row],[Prest. (m2 /jaar) weekend]]+Ruimtestaat[[#This Row],[Prest. (m2 /jaar) werkdagen]]</f>
        <v>3201.66</v>
      </c>
      <c r="AF357" s="60">
        <f>Ruimtestaat[[#This Row],[uren / jaar weekend]]+Ruimtestaat[[#This Row],[uren / jaar werkdagen]]</f>
        <v>0</v>
      </c>
      <c r="AG357" s="61">
        <f>Ruimtestaat[[#This Row],[kosten / jaar weekend]]+Ruimtestaat[[#This Row],[kosten / jaar werkdagen]]</f>
        <v>0</v>
      </c>
      <c r="AH357" s="92"/>
      <c r="HL357" s="59"/>
    </row>
    <row r="358" spans="1:220">
      <c r="A358" s="24">
        <v>2</v>
      </c>
      <c r="B358" s="24" t="str">
        <f>VLOOKUP(Ruimtestaat[[#This Row],[Code]],Locaties[#All],2,FALSE)</f>
        <v>Het Stormink</v>
      </c>
      <c r="C358" s="24" t="str">
        <f>VLOOKUP(Ruimtestaat[[#This Row],[Code]],Locaties[#All],4,FALSE)</f>
        <v>Storminkstraat 1</v>
      </c>
      <c r="D358" s="24" t="str">
        <f>VLOOKUP(Ruimtestaat[[#This Row],[Code]],Locaties[#All],5,FALSE)</f>
        <v>7418 GH</v>
      </c>
      <c r="E358" s="24" t="str">
        <f>VLOOKUP(Ruimtestaat[[#This Row],[Code]],Locaties[#All],6,FALSE)</f>
        <v>Deventer</v>
      </c>
      <c r="F358" s="54"/>
      <c r="G358" s="24" t="s">
        <v>569</v>
      </c>
      <c r="H358" s="24" t="s">
        <v>777</v>
      </c>
      <c r="I358" s="4" t="s">
        <v>693</v>
      </c>
      <c r="J358" s="24">
        <v>5</v>
      </c>
      <c r="K358" s="54" t="str">
        <f>VLOOKUP(J358,Ruimtegroepen[],2,FALSE)</f>
        <v>Sanitair</v>
      </c>
      <c r="L358" s="24" t="s">
        <v>300</v>
      </c>
      <c r="M358" s="24" t="s">
        <v>157</v>
      </c>
      <c r="N358" s="83">
        <v>2.7</v>
      </c>
      <c r="O358" s="83"/>
      <c r="P358" s="93" t="str">
        <f>LEFT(VLOOKUP(Ruimtestaat[[#This Row],[Ruimte code]],Ruimtegroepen[#All],4,1),2)</f>
        <v>Sa</v>
      </c>
      <c r="Q358" s="93"/>
      <c r="R358" s="84">
        <v>42</v>
      </c>
      <c r="S358" s="84" t="s">
        <v>316</v>
      </c>
      <c r="T358" s="85">
        <f>IF(R358&gt;0,IF(RIGHT(Ruimtestaat[[#This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58" s="85">
        <f>IF(T358&gt;0,VLOOKUP($J358,Ruimtegroepen[],3,FALSE)*VLOOKUP($L358,Vloersoorten[],3,FALSE)*VLOOKUP($S358,Frequenties[],3,FALSE)*VLOOKUP($A358,Locaties[],3,FALSE),0)</f>
        <v>0</v>
      </c>
      <c r="V358" s="86">
        <f>Ruimtestaat[[#This Row],[Uitvoeringen werkdagen]]*Ruimtestaat[[#This Row],[Oppervlak (netto)]]</f>
        <v>1134</v>
      </c>
      <c r="W358" s="87">
        <f>IF(U358&gt;0,Ruimtestaat[[#This Row],[Prest. (m2 /jaar) werkdagen]]/Ruimtestaat[[#This Row],[Norm (m2/uur) werkdagen]],0)</f>
        <v>0</v>
      </c>
      <c r="X358" s="88">
        <f>Ruimtestaat[[#This Row],[uren / jaar werkdagen]]*Tariefsopbouw!$E$35</f>
        <v>0</v>
      </c>
      <c r="Y358" s="85"/>
      <c r="Z358" s="89">
        <f>IF(Ruimtestaat[[#This Row],[Frequentie weekend]]&gt;0,VALUE(LEFT(Y358,1))*R358,0)</f>
        <v>0</v>
      </c>
      <c r="AA358" s="85">
        <f>IF($Z358&gt;0,VLOOKUP($J358,Ruimtegroepen[],3,FALSE)*VLOOKUP($L358,Vloersoorten[],3,FALSE)*VLOOKUP($Y358,Frequenties[],3,FALSE)*VLOOKUP(#REF!,Locaties[],3,FALSE),0)</f>
        <v>0</v>
      </c>
      <c r="AB358" s="87">
        <f>Ruimtestaat[[#This Row],[Uitvoeringen weekend]]*Ruimtestaat[[#This Row],[Oppervlak (netto)]]</f>
        <v>0</v>
      </c>
      <c r="AC358" s="90">
        <f>IF(AB358&gt;0,Ruimtestaat[[#This Row],[Prest. (m2 /jaar) weekend]]/Ruimtestaat[[#This Row],[Norm (m2/uur) weekend]],0)</f>
        <v>0</v>
      </c>
      <c r="AD358" s="91">
        <f>Ruimtestaat[[#This Row],[uren / jaar weekend]]*Tariefsopbouw!$D$40</f>
        <v>0</v>
      </c>
      <c r="AE358" s="60">
        <f>Ruimtestaat[[#This Row],[Prest. (m2 /jaar) weekend]]+Ruimtestaat[[#This Row],[Prest. (m2 /jaar) werkdagen]]</f>
        <v>1134</v>
      </c>
      <c r="AF358" s="60">
        <f>Ruimtestaat[[#This Row],[uren / jaar weekend]]+Ruimtestaat[[#This Row],[uren / jaar werkdagen]]</f>
        <v>0</v>
      </c>
      <c r="AG358" s="61">
        <f>Ruimtestaat[[#This Row],[kosten / jaar weekend]]+Ruimtestaat[[#This Row],[kosten / jaar werkdagen]]</f>
        <v>0</v>
      </c>
      <c r="AH358" s="92"/>
      <c r="HL358" s="59"/>
    </row>
    <row r="359" spans="1:220">
      <c r="A359" s="24">
        <v>2</v>
      </c>
      <c r="B359" s="24" t="str">
        <f>VLOOKUP(Ruimtestaat[[#This Row],[Code]],Locaties[#All],2,FALSE)</f>
        <v>Het Stormink</v>
      </c>
      <c r="C359" s="24" t="str">
        <f>VLOOKUP(Ruimtestaat[[#This Row],[Code]],Locaties[#All],4,FALSE)</f>
        <v>Storminkstraat 1</v>
      </c>
      <c r="D359" s="24" t="str">
        <f>VLOOKUP(Ruimtestaat[[#This Row],[Code]],Locaties[#All],5,FALSE)</f>
        <v>7418 GH</v>
      </c>
      <c r="E359" s="24" t="str">
        <f>VLOOKUP(Ruimtestaat[[#This Row],[Code]],Locaties[#All],6,FALSE)</f>
        <v>Deventer</v>
      </c>
      <c r="F359" s="54"/>
      <c r="G359" s="24" t="s">
        <v>569</v>
      </c>
      <c r="H359" s="24" t="s">
        <v>778</v>
      </c>
      <c r="I359" s="4" t="s">
        <v>692</v>
      </c>
      <c r="J359" s="24">
        <v>5</v>
      </c>
      <c r="K359" s="54" t="str">
        <f>VLOOKUP(J359,Ruimtegroepen[],2,FALSE)</f>
        <v>Sanitair</v>
      </c>
      <c r="L359" s="24" t="s">
        <v>300</v>
      </c>
      <c r="M359" s="24" t="s">
        <v>157</v>
      </c>
      <c r="N359" s="83">
        <v>2.7</v>
      </c>
      <c r="O359" s="83"/>
      <c r="P359" s="93" t="str">
        <f>LEFT(VLOOKUP(Ruimtestaat[[#This Row],[Ruimte code]],Ruimtegroepen[#All],4,1),2)</f>
        <v>Sa</v>
      </c>
      <c r="Q359" s="93"/>
      <c r="R359" s="84">
        <v>42</v>
      </c>
      <c r="S359" s="84" t="s">
        <v>316</v>
      </c>
      <c r="T359" s="85">
        <f>IF(R359&gt;0,IF(RIGHT(Ruimtestaat[[#This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59" s="85">
        <f>IF(T359&gt;0,VLOOKUP($J359,Ruimtegroepen[],3,FALSE)*VLOOKUP($L359,Vloersoorten[],3,FALSE)*VLOOKUP($S359,Frequenties[],3,FALSE)*VLOOKUP($A359,Locaties[],3,FALSE),0)</f>
        <v>0</v>
      </c>
      <c r="V359" s="86">
        <f>Ruimtestaat[[#This Row],[Uitvoeringen werkdagen]]*Ruimtestaat[[#This Row],[Oppervlak (netto)]]</f>
        <v>1134</v>
      </c>
      <c r="W359" s="87">
        <f>IF(U359&gt;0,Ruimtestaat[[#This Row],[Prest. (m2 /jaar) werkdagen]]/Ruimtestaat[[#This Row],[Norm (m2/uur) werkdagen]],0)</f>
        <v>0</v>
      </c>
      <c r="X359" s="88">
        <f>Ruimtestaat[[#This Row],[uren / jaar werkdagen]]*Tariefsopbouw!$E$35</f>
        <v>0</v>
      </c>
      <c r="Y359" s="85"/>
      <c r="Z359" s="89">
        <f>IF(Ruimtestaat[[#This Row],[Frequentie weekend]]&gt;0,VALUE(LEFT(Y359,1))*R359,0)</f>
        <v>0</v>
      </c>
      <c r="AA359" s="85">
        <f>IF($Z359&gt;0,VLOOKUP($J359,Ruimtegroepen[],3,FALSE)*VLOOKUP($L359,Vloersoorten[],3,FALSE)*VLOOKUP($Y359,Frequenties[],3,FALSE)*VLOOKUP(#REF!,Locaties[],3,FALSE),0)</f>
        <v>0</v>
      </c>
      <c r="AB359" s="87">
        <f>Ruimtestaat[[#This Row],[Uitvoeringen weekend]]*Ruimtestaat[[#This Row],[Oppervlak (netto)]]</f>
        <v>0</v>
      </c>
      <c r="AC359" s="90">
        <f>IF(AB359&gt;0,Ruimtestaat[[#This Row],[Prest. (m2 /jaar) weekend]]/Ruimtestaat[[#This Row],[Norm (m2/uur) weekend]],0)</f>
        <v>0</v>
      </c>
      <c r="AD359" s="91">
        <f>Ruimtestaat[[#This Row],[uren / jaar weekend]]*Tariefsopbouw!$D$40</f>
        <v>0</v>
      </c>
      <c r="AE359" s="60">
        <f>Ruimtestaat[[#This Row],[Prest. (m2 /jaar) weekend]]+Ruimtestaat[[#This Row],[Prest. (m2 /jaar) werkdagen]]</f>
        <v>1134</v>
      </c>
      <c r="AF359" s="60">
        <f>Ruimtestaat[[#This Row],[uren / jaar weekend]]+Ruimtestaat[[#This Row],[uren / jaar werkdagen]]</f>
        <v>0</v>
      </c>
      <c r="AG359" s="61">
        <f>Ruimtestaat[[#This Row],[kosten / jaar weekend]]+Ruimtestaat[[#This Row],[kosten / jaar werkdagen]]</f>
        <v>0</v>
      </c>
      <c r="AH359" s="92"/>
      <c r="HL359" s="59"/>
    </row>
    <row r="360" spans="1:220">
      <c r="A360" s="24">
        <v>2</v>
      </c>
      <c r="B360" s="24" t="str">
        <f>VLOOKUP(Ruimtestaat[[#This Row],[Code]],Locaties[#All],2,FALSE)</f>
        <v>Het Stormink</v>
      </c>
      <c r="C360" s="24" t="str">
        <f>VLOOKUP(Ruimtestaat[[#This Row],[Code]],Locaties[#All],4,FALSE)</f>
        <v>Storminkstraat 1</v>
      </c>
      <c r="D360" s="24" t="str">
        <f>VLOOKUP(Ruimtestaat[[#This Row],[Code]],Locaties[#All],5,FALSE)</f>
        <v>7418 GH</v>
      </c>
      <c r="E360" s="24" t="str">
        <f>VLOOKUP(Ruimtestaat[[#This Row],[Code]],Locaties[#All],6,FALSE)</f>
        <v>Deventer</v>
      </c>
      <c r="F360" s="54"/>
      <c r="G360" s="24" t="s">
        <v>569</v>
      </c>
      <c r="H360" s="24" t="s">
        <v>779</v>
      </c>
      <c r="I360" s="4" t="s">
        <v>688</v>
      </c>
      <c r="J360" s="24">
        <v>16</v>
      </c>
      <c r="K360" s="54" t="str">
        <f>VLOOKUP(J360,Ruimtegroepen[],2,FALSE)</f>
        <v>Leslokalen theorie</v>
      </c>
      <c r="L360" s="24" t="s">
        <v>300</v>
      </c>
      <c r="M360" s="24" t="s">
        <v>157</v>
      </c>
      <c r="N360" s="83">
        <v>76.94</v>
      </c>
      <c r="O360" s="83"/>
      <c r="P360" s="93" t="str">
        <f>LEFT(VLOOKUP(Ruimtestaat[[#This Row],[Ruimte code]],Ruimtegroepen[#All],4,1),2)</f>
        <v>Le</v>
      </c>
      <c r="Q360" s="93"/>
      <c r="R360" s="84">
        <v>40</v>
      </c>
      <c r="S360" s="84" t="s">
        <v>318</v>
      </c>
      <c r="T360" s="85">
        <f>IF(R360&gt;0,IF(RIGHT(Ruimtestaat[[#This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0" s="85">
        <f>IF(T360&gt;0,VLOOKUP($J360,Ruimtegroepen[],3,FALSE)*VLOOKUP($L360,Vloersoorten[],3,FALSE)*VLOOKUP($S360,Frequenties[],3,FALSE)*VLOOKUP($A360,Locaties[],3,FALSE),0)</f>
        <v>0</v>
      </c>
      <c r="V360" s="86">
        <f>Ruimtestaat[[#This Row],[Uitvoeringen werkdagen]]*Ruimtestaat[[#This Row],[Oppervlak (netto)]]</f>
        <v>15388</v>
      </c>
      <c r="W360" s="87">
        <f>IF(U360&gt;0,Ruimtestaat[[#This Row],[Prest. (m2 /jaar) werkdagen]]/Ruimtestaat[[#This Row],[Norm (m2/uur) werkdagen]],0)</f>
        <v>0</v>
      </c>
      <c r="X360" s="88">
        <f>Ruimtestaat[[#This Row],[uren / jaar werkdagen]]*Tariefsopbouw!$E$35</f>
        <v>0</v>
      </c>
      <c r="Y360" s="85"/>
      <c r="Z360" s="89">
        <f>IF(Ruimtestaat[[#This Row],[Frequentie weekend]]&gt;0,VALUE(LEFT(Y360,1))*R360,0)</f>
        <v>0</v>
      </c>
      <c r="AA360" s="85">
        <f>IF($Z360&gt;0,VLOOKUP($J360,Ruimtegroepen[],3,FALSE)*VLOOKUP($L360,Vloersoorten[],3,FALSE)*VLOOKUP($Y360,Frequenties[],3,FALSE)*VLOOKUP(#REF!,Locaties[],3,FALSE),0)</f>
        <v>0</v>
      </c>
      <c r="AB360" s="87">
        <f>Ruimtestaat[[#This Row],[Uitvoeringen weekend]]*Ruimtestaat[[#This Row],[Oppervlak (netto)]]</f>
        <v>0</v>
      </c>
      <c r="AC360" s="90">
        <f>IF(AB360&gt;0,Ruimtestaat[[#This Row],[Prest. (m2 /jaar) weekend]]/Ruimtestaat[[#This Row],[Norm (m2/uur) weekend]],0)</f>
        <v>0</v>
      </c>
      <c r="AD360" s="91">
        <f>Ruimtestaat[[#This Row],[uren / jaar weekend]]*Tariefsopbouw!$D$40</f>
        <v>0</v>
      </c>
      <c r="AE360" s="60">
        <f>Ruimtestaat[[#This Row],[Prest. (m2 /jaar) weekend]]+Ruimtestaat[[#This Row],[Prest. (m2 /jaar) werkdagen]]</f>
        <v>15388</v>
      </c>
      <c r="AF360" s="60">
        <f>Ruimtestaat[[#This Row],[uren / jaar weekend]]+Ruimtestaat[[#This Row],[uren / jaar werkdagen]]</f>
        <v>0</v>
      </c>
      <c r="AG360" s="61">
        <f>Ruimtestaat[[#This Row],[kosten / jaar weekend]]+Ruimtestaat[[#This Row],[kosten / jaar werkdagen]]</f>
        <v>0</v>
      </c>
      <c r="AH360" s="92"/>
      <c r="HL360" s="59"/>
    </row>
    <row r="361" spans="1:220">
      <c r="A361" s="24">
        <v>2</v>
      </c>
      <c r="B361" s="24" t="str">
        <f>VLOOKUP(Ruimtestaat[[#This Row],[Code]],Locaties[#All],2,FALSE)</f>
        <v>Het Stormink</v>
      </c>
      <c r="C361" s="24" t="str">
        <f>VLOOKUP(Ruimtestaat[[#This Row],[Code]],Locaties[#All],4,FALSE)</f>
        <v>Storminkstraat 1</v>
      </c>
      <c r="D361" s="24" t="str">
        <f>VLOOKUP(Ruimtestaat[[#This Row],[Code]],Locaties[#All],5,FALSE)</f>
        <v>7418 GH</v>
      </c>
      <c r="E361" s="24" t="str">
        <f>VLOOKUP(Ruimtestaat[[#This Row],[Code]],Locaties[#All],6,FALSE)</f>
        <v>Deventer</v>
      </c>
      <c r="F361" s="54"/>
      <c r="G361" s="24" t="s">
        <v>569</v>
      </c>
      <c r="H361" s="24" t="s">
        <v>780</v>
      </c>
      <c r="I361" s="4" t="s">
        <v>689</v>
      </c>
      <c r="J361" s="24">
        <v>6</v>
      </c>
      <c r="K361" s="54" t="str">
        <f>VLOOKUP(J361,Ruimtegroepen[],2,FALSE)</f>
        <v>Gangen/hallen</v>
      </c>
      <c r="L361" s="24" t="s">
        <v>300</v>
      </c>
      <c r="M361" s="24" t="s">
        <v>157</v>
      </c>
      <c r="N361" s="83">
        <v>2.59</v>
      </c>
      <c r="O361" s="83"/>
      <c r="P361" s="93" t="str">
        <f>LEFT(VLOOKUP(Ruimtestaat[[#This Row],[Ruimte code]],Ruimtegroepen[#All],4,1),2)</f>
        <v>Ve</v>
      </c>
      <c r="Q361" s="93"/>
      <c r="R361" s="84">
        <v>40</v>
      </c>
      <c r="S361" s="84" t="s">
        <v>318</v>
      </c>
      <c r="T361" s="85">
        <f>IF(R361&gt;0,IF(RIGHT(Ruimtestaat[[#This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1" s="85">
        <f>IF(T361&gt;0,VLOOKUP($J361,Ruimtegroepen[],3,FALSE)*VLOOKUP($L361,Vloersoorten[],3,FALSE)*VLOOKUP($S361,Frequenties[],3,FALSE)*VLOOKUP($A361,Locaties[],3,FALSE),0)</f>
        <v>0</v>
      </c>
      <c r="V361" s="86">
        <f>Ruimtestaat[[#This Row],[Uitvoeringen werkdagen]]*Ruimtestaat[[#This Row],[Oppervlak (netto)]]</f>
        <v>518</v>
      </c>
      <c r="W361" s="87">
        <f>IF(U361&gt;0,Ruimtestaat[[#This Row],[Prest. (m2 /jaar) werkdagen]]/Ruimtestaat[[#This Row],[Norm (m2/uur) werkdagen]],0)</f>
        <v>0</v>
      </c>
      <c r="X361" s="88">
        <f>Ruimtestaat[[#This Row],[uren / jaar werkdagen]]*Tariefsopbouw!$E$35</f>
        <v>0</v>
      </c>
      <c r="Y361" s="85"/>
      <c r="Z361" s="89">
        <f>IF(Ruimtestaat[[#This Row],[Frequentie weekend]]&gt;0,VALUE(LEFT(Y361,1))*R361,0)</f>
        <v>0</v>
      </c>
      <c r="AA361" s="85">
        <f>IF($Z361&gt;0,VLOOKUP($J361,Ruimtegroepen[],3,FALSE)*VLOOKUP($L361,Vloersoorten[],3,FALSE)*VLOOKUP($Y361,Frequenties[],3,FALSE)*VLOOKUP(#REF!,Locaties[],3,FALSE),0)</f>
        <v>0</v>
      </c>
      <c r="AB361" s="87">
        <f>Ruimtestaat[[#This Row],[Uitvoeringen weekend]]*Ruimtestaat[[#This Row],[Oppervlak (netto)]]</f>
        <v>0</v>
      </c>
      <c r="AC361" s="90">
        <f>IF(AB361&gt;0,Ruimtestaat[[#This Row],[Prest. (m2 /jaar) weekend]]/Ruimtestaat[[#This Row],[Norm (m2/uur) weekend]],0)</f>
        <v>0</v>
      </c>
      <c r="AD361" s="91">
        <f>Ruimtestaat[[#This Row],[uren / jaar weekend]]*Tariefsopbouw!$D$40</f>
        <v>0</v>
      </c>
      <c r="AE361" s="60">
        <f>Ruimtestaat[[#This Row],[Prest. (m2 /jaar) weekend]]+Ruimtestaat[[#This Row],[Prest. (m2 /jaar) werkdagen]]</f>
        <v>518</v>
      </c>
      <c r="AF361" s="60">
        <f>Ruimtestaat[[#This Row],[uren / jaar weekend]]+Ruimtestaat[[#This Row],[uren / jaar werkdagen]]</f>
        <v>0</v>
      </c>
      <c r="AG361" s="61">
        <f>Ruimtestaat[[#This Row],[kosten / jaar weekend]]+Ruimtestaat[[#This Row],[kosten / jaar werkdagen]]</f>
        <v>0</v>
      </c>
      <c r="AH361" s="92"/>
      <c r="HL361" s="59"/>
    </row>
    <row r="362" spans="1:220">
      <c r="A362" s="24">
        <v>2</v>
      </c>
      <c r="B362" s="24" t="str">
        <f>VLOOKUP(Ruimtestaat[[#This Row],[Code]],Locaties[#All],2,FALSE)</f>
        <v>Het Stormink</v>
      </c>
      <c r="C362" s="24" t="str">
        <f>VLOOKUP(Ruimtestaat[[#This Row],[Code]],Locaties[#All],4,FALSE)</f>
        <v>Storminkstraat 1</v>
      </c>
      <c r="D362" s="24" t="str">
        <f>VLOOKUP(Ruimtestaat[[#This Row],[Code]],Locaties[#All],5,FALSE)</f>
        <v>7418 GH</v>
      </c>
      <c r="E362" s="24" t="str">
        <f>VLOOKUP(Ruimtestaat[[#This Row],[Code]],Locaties[#All],6,FALSE)</f>
        <v>Deventer</v>
      </c>
      <c r="F362" s="54"/>
      <c r="G362" s="24" t="s">
        <v>569</v>
      </c>
      <c r="H362" s="24" t="s">
        <v>781</v>
      </c>
      <c r="I362" s="4" t="s">
        <v>691</v>
      </c>
      <c r="J362" s="24">
        <v>22</v>
      </c>
      <c r="K362" s="54" t="str">
        <f>VLOOKUP(J362,Ruimtegroepen[],2,FALSE)</f>
        <v>Niet in onderhoud</v>
      </c>
      <c r="L362" s="24" t="s">
        <v>300</v>
      </c>
      <c r="M362" s="24" t="s">
        <v>157</v>
      </c>
      <c r="N362" s="83"/>
      <c r="O362" s="83">
        <v>1.62</v>
      </c>
      <c r="P362" s="93" t="str">
        <f>LEFT(VLOOKUP(Ruimtestaat[[#This Row],[Ruimte code]],Ruimtegroepen[#All],4,1),2)</f>
        <v/>
      </c>
      <c r="Q362" s="93"/>
      <c r="R362" s="84"/>
      <c r="S362" s="84"/>
      <c r="T362" s="85">
        <f>IF(R362&gt;0,IF(RIGHT(Ruimtestaat[[#This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2" s="85">
        <f>IF(T362&gt;0,VLOOKUP($J362,Ruimtegroepen[],3,FALSE)*VLOOKUP($L362,Vloersoorten[],3,FALSE)*VLOOKUP($S362,Frequenties[],3,FALSE)*VLOOKUP($A362,Locaties[],3,FALSE),0)</f>
        <v>0</v>
      </c>
      <c r="V362" s="86">
        <f>Ruimtestaat[[#This Row],[Uitvoeringen werkdagen]]*Ruimtestaat[[#This Row],[Oppervlak (netto)]]</f>
        <v>0</v>
      </c>
      <c r="W362" s="87">
        <f>IF(U362&gt;0,Ruimtestaat[[#This Row],[Prest. (m2 /jaar) werkdagen]]/Ruimtestaat[[#This Row],[Norm (m2/uur) werkdagen]],0)</f>
        <v>0</v>
      </c>
      <c r="X362" s="88">
        <f>Ruimtestaat[[#This Row],[uren / jaar werkdagen]]*Tariefsopbouw!$E$35</f>
        <v>0</v>
      </c>
      <c r="Y362" s="85"/>
      <c r="Z362" s="89">
        <f>IF(Ruimtestaat[[#This Row],[Frequentie weekend]]&gt;0,VALUE(LEFT(Y362,1))*R362,0)</f>
        <v>0</v>
      </c>
      <c r="AA362" s="85">
        <f>IF($Z362&gt;0,VLOOKUP($J362,Ruimtegroepen[],3,FALSE)*VLOOKUP($L362,Vloersoorten[],3,FALSE)*VLOOKUP($Y362,Frequenties[],3,FALSE)*VLOOKUP(#REF!,Locaties[],3,FALSE),0)</f>
        <v>0</v>
      </c>
      <c r="AB362" s="87">
        <f>Ruimtestaat[[#This Row],[Uitvoeringen weekend]]*Ruimtestaat[[#This Row],[Oppervlak (netto)]]</f>
        <v>0</v>
      </c>
      <c r="AC362" s="90">
        <f>IF(AB362&gt;0,Ruimtestaat[[#This Row],[Prest. (m2 /jaar) weekend]]/Ruimtestaat[[#This Row],[Norm (m2/uur) weekend]],0)</f>
        <v>0</v>
      </c>
      <c r="AD362" s="91">
        <f>Ruimtestaat[[#This Row],[uren / jaar weekend]]*Tariefsopbouw!$D$40</f>
        <v>0</v>
      </c>
      <c r="AE362" s="60">
        <f>Ruimtestaat[[#This Row],[Prest. (m2 /jaar) weekend]]+Ruimtestaat[[#This Row],[Prest. (m2 /jaar) werkdagen]]</f>
        <v>0</v>
      </c>
      <c r="AF362" s="60">
        <f>Ruimtestaat[[#This Row],[uren / jaar weekend]]+Ruimtestaat[[#This Row],[uren / jaar werkdagen]]</f>
        <v>0</v>
      </c>
      <c r="AG362" s="61">
        <f>Ruimtestaat[[#This Row],[kosten / jaar weekend]]+Ruimtestaat[[#This Row],[kosten / jaar werkdagen]]</f>
        <v>0</v>
      </c>
      <c r="AH362" s="92"/>
      <c r="HL362" s="59"/>
    </row>
    <row r="363" spans="1:220">
      <c r="A363" s="24">
        <v>2</v>
      </c>
      <c r="B363" s="24" t="str">
        <f>VLOOKUP(Ruimtestaat[[#This Row],[Code]],Locaties[#All],2,FALSE)</f>
        <v>Het Stormink</v>
      </c>
      <c r="C363" s="24" t="str">
        <f>VLOOKUP(Ruimtestaat[[#This Row],[Code]],Locaties[#All],4,FALSE)</f>
        <v>Storminkstraat 1</v>
      </c>
      <c r="D363" s="24" t="str">
        <f>VLOOKUP(Ruimtestaat[[#This Row],[Code]],Locaties[#All],5,FALSE)</f>
        <v>7418 GH</v>
      </c>
      <c r="E363" s="24" t="str">
        <f>VLOOKUP(Ruimtestaat[[#This Row],[Code]],Locaties[#All],6,FALSE)</f>
        <v>Deventer</v>
      </c>
      <c r="F363" s="54"/>
      <c r="G363" s="24" t="s">
        <v>569</v>
      </c>
      <c r="H363" s="24" t="s">
        <v>782</v>
      </c>
      <c r="I363" s="4" t="s">
        <v>473</v>
      </c>
      <c r="J363" s="24">
        <v>5</v>
      </c>
      <c r="K363" s="54" t="str">
        <f>VLOOKUP(J363,Ruimtegroepen[],2,FALSE)</f>
        <v>Sanitair</v>
      </c>
      <c r="L363" s="24" t="s">
        <v>300</v>
      </c>
      <c r="M363" s="24" t="s">
        <v>157</v>
      </c>
      <c r="N363" s="83">
        <v>11.6</v>
      </c>
      <c r="O363" s="83"/>
      <c r="P363" s="93" t="str">
        <f>LEFT(VLOOKUP(Ruimtestaat[[#This Row],[Ruimte code]],Ruimtegroepen[#All],4,1),2)</f>
        <v>Sa</v>
      </c>
      <c r="Q363" s="93"/>
      <c r="R363" s="84">
        <v>42</v>
      </c>
      <c r="S363" s="84" t="s">
        <v>316</v>
      </c>
      <c r="T363" s="85">
        <f>IF(R363&gt;0,IF(RIGHT(Ruimtestaat[[#This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63" s="85">
        <f>IF(T363&gt;0,VLOOKUP($J363,Ruimtegroepen[],3,FALSE)*VLOOKUP($L363,Vloersoorten[],3,FALSE)*VLOOKUP($S363,Frequenties[],3,FALSE)*VLOOKUP($A363,Locaties[],3,FALSE),0)</f>
        <v>0</v>
      </c>
      <c r="V363" s="86">
        <f>Ruimtestaat[[#This Row],[Uitvoeringen werkdagen]]*Ruimtestaat[[#This Row],[Oppervlak (netto)]]</f>
        <v>4872</v>
      </c>
      <c r="W363" s="87">
        <f>IF(U363&gt;0,Ruimtestaat[[#This Row],[Prest. (m2 /jaar) werkdagen]]/Ruimtestaat[[#This Row],[Norm (m2/uur) werkdagen]],0)</f>
        <v>0</v>
      </c>
      <c r="X363" s="88">
        <f>Ruimtestaat[[#This Row],[uren / jaar werkdagen]]*Tariefsopbouw!$E$35</f>
        <v>0</v>
      </c>
      <c r="Y363" s="85"/>
      <c r="Z363" s="89">
        <f>IF(Ruimtestaat[[#This Row],[Frequentie weekend]]&gt;0,VALUE(LEFT(Y363,1))*R363,0)</f>
        <v>0</v>
      </c>
      <c r="AA363" s="85">
        <f>IF($Z363&gt;0,VLOOKUP($J363,Ruimtegroepen[],3,FALSE)*VLOOKUP($L363,Vloersoorten[],3,FALSE)*VLOOKUP($Y363,Frequenties[],3,FALSE)*VLOOKUP(#REF!,Locaties[],3,FALSE),0)</f>
        <v>0</v>
      </c>
      <c r="AB363" s="87">
        <f>Ruimtestaat[[#This Row],[Uitvoeringen weekend]]*Ruimtestaat[[#This Row],[Oppervlak (netto)]]</f>
        <v>0</v>
      </c>
      <c r="AC363" s="90">
        <f>IF(AB363&gt;0,Ruimtestaat[[#This Row],[Prest. (m2 /jaar) weekend]]/Ruimtestaat[[#This Row],[Norm (m2/uur) weekend]],0)</f>
        <v>0</v>
      </c>
      <c r="AD363" s="91">
        <f>Ruimtestaat[[#This Row],[uren / jaar weekend]]*Tariefsopbouw!$D$40</f>
        <v>0</v>
      </c>
      <c r="AE363" s="60">
        <f>Ruimtestaat[[#This Row],[Prest. (m2 /jaar) weekend]]+Ruimtestaat[[#This Row],[Prest. (m2 /jaar) werkdagen]]</f>
        <v>4872</v>
      </c>
      <c r="AF363" s="60">
        <f>Ruimtestaat[[#This Row],[uren / jaar weekend]]+Ruimtestaat[[#This Row],[uren / jaar werkdagen]]</f>
        <v>0</v>
      </c>
      <c r="AG363" s="61">
        <f>Ruimtestaat[[#This Row],[kosten / jaar weekend]]+Ruimtestaat[[#This Row],[kosten / jaar werkdagen]]</f>
        <v>0</v>
      </c>
      <c r="AH363" s="92"/>
      <c r="HL363" s="59"/>
    </row>
    <row r="364" spans="1:220">
      <c r="A364" s="24">
        <v>2</v>
      </c>
      <c r="B364" s="24" t="str">
        <f>VLOOKUP(Ruimtestaat[[#This Row],[Code]],Locaties[#All],2,FALSE)</f>
        <v>Het Stormink</v>
      </c>
      <c r="C364" s="24" t="str">
        <f>VLOOKUP(Ruimtestaat[[#This Row],[Code]],Locaties[#All],4,FALSE)</f>
        <v>Storminkstraat 1</v>
      </c>
      <c r="D364" s="24" t="str">
        <f>VLOOKUP(Ruimtestaat[[#This Row],[Code]],Locaties[#All],5,FALSE)</f>
        <v>7418 GH</v>
      </c>
      <c r="E364" s="24" t="str">
        <f>VLOOKUP(Ruimtestaat[[#This Row],[Code]],Locaties[#All],6,FALSE)</f>
        <v>Deventer</v>
      </c>
      <c r="F364" s="54"/>
      <c r="G364" s="24" t="s">
        <v>569</v>
      </c>
      <c r="H364" s="24" t="s">
        <v>783</v>
      </c>
      <c r="I364" s="4" t="s">
        <v>675</v>
      </c>
      <c r="J364" s="24">
        <v>5</v>
      </c>
      <c r="K364" s="54" t="str">
        <f>VLOOKUP(J364,Ruimtegroepen[],2,FALSE)</f>
        <v>Sanitair</v>
      </c>
      <c r="L364" s="24" t="s">
        <v>300</v>
      </c>
      <c r="M364" s="24" t="s">
        <v>157</v>
      </c>
      <c r="N364" s="83">
        <v>11.6</v>
      </c>
      <c r="O364" s="83"/>
      <c r="P364" s="93" t="str">
        <f>LEFT(VLOOKUP(Ruimtestaat[[#This Row],[Ruimte code]],Ruimtegroepen[#All],4,1),2)</f>
        <v>Sa</v>
      </c>
      <c r="Q364" s="93"/>
      <c r="R364" s="84">
        <v>42</v>
      </c>
      <c r="S364" s="84" t="s">
        <v>316</v>
      </c>
      <c r="T364" s="85">
        <f>IF(R364&gt;0,IF(RIGHT(Ruimtestaat[[#This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64" s="85">
        <f>IF(T364&gt;0,VLOOKUP($J364,Ruimtegroepen[],3,FALSE)*VLOOKUP($L364,Vloersoorten[],3,FALSE)*VLOOKUP($S364,Frequenties[],3,FALSE)*VLOOKUP($A364,Locaties[],3,FALSE),0)</f>
        <v>0</v>
      </c>
      <c r="V364" s="86">
        <f>Ruimtestaat[[#This Row],[Uitvoeringen werkdagen]]*Ruimtestaat[[#This Row],[Oppervlak (netto)]]</f>
        <v>4872</v>
      </c>
      <c r="W364" s="87">
        <f>IF(U364&gt;0,Ruimtestaat[[#This Row],[Prest. (m2 /jaar) werkdagen]]/Ruimtestaat[[#This Row],[Norm (m2/uur) werkdagen]],0)</f>
        <v>0</v>
      </c>
      <c r="X364" s="88">
        <f>Ruimtestaat[[#This Row],[uren / jaar werkdagen]]*Tariefsopbouw!$E$35</f>
        <v>0</v>
      </c>
      <c r="Y364" s="85"/>
      <c r="Z364" s="89">
        <f>IF(Ruimtestaat[[#This Row],[Frequentie weekend]]&gt;0,VALUE(LEFT(Y364,1))*R364,0)</f>
        <v>0</v>
      </c>
      <c r="AA364" s="85">
        <f>IF($Z364&gt;0,VLOOKUP($J364,Ruimtegroepen[],3,FALSE)*VLOOKUP($L364,Vloersoorten[],3,FALSE)*VLOOKUP($Y364,Frequenties[],3,FALSE)*VLOOKUP(#REF!,Locaties[],3,FALSE),0)</f>
        <v>0</v>
      </c>
      <c r="AB364" s="87">
        <f>Ruimtestaat[[#This Row],[Uitvoeringen weekend]]*Ruimtestaat[[#This Row],[Oppervlak (netto)]]</f>
        <v>0</v>
      </c>
      <c r="AC364" s="90">
        <f>IF(AB364&gt;0,Ruimtestaat[[#This Row],[Prest. (m2 /jaar) weekend]]/Ruimtestaat[[#This Row],[Norm (m2/uur) weekend]],0)</f>
        <v>0</v>
      </c>
      <c r="AD364" s="91">
        <f>Ruimtestaat[[#This Row],[uren / jaar weekend]]*Tariefsopbouw!$D$40</f>
        <v>0</v>
      </c>
      <c r="AE364" s="60">
        <f>Ruimtestaat[[#This Row],[Prest. (m2 /jaar) weekend]]+Ruimtestaat[[#This Row],[Prest. (m2 /jaar) werkdagen]]</f>
        <v>4872</v>
      </c>
      <c r="AF364" s="60">
        <f>Ruimtestaat[[#This Row],[uren / jaar weekend]]+Ruimtestaat[[#This Row],[uren / jaar werkdagen]]</f>
        <v>0</v>
      </c>
      <c r="AG364" s="61">
        <f>Ruimtestaat[[#This Row],[kosten / jaar weekend]]+Ruimtestaat[[#This Row],[kosten / jaar werkdagen]]</f>
        <v>0</v>
      </c>
      <c r="AH364" s="92"/>
      <c r="HL364" s="59"/>
    </row>
    <row r="365" spans="1:220">
      <c r="A365" s="24">
        <v>2</v>
      </c>
      <c r="B365" s="24" t="str">
        <f>VLOOKUP(Ruimtestaat[[#This Row],[Code]],Locaties[#All],2,FALSE)</f>
        <v>Het Stormink</v>
      </c>
      <c r="C365" s="24" t="str">
        <f>VLOOKUP(Ruimtestaat[[#This Row],[Code]],Locaties[#All],4,FALSE)</f>
        <v>Storminkstraat 1</v>
      </c>
      <c r="D365" s="24" t="str">
        <f>VLOOKUP(Ruimtestaat[[#This Row],[Code]],Locaties[#All],5,FALSE)</f>
        <v>7418 GH</v>
      </c>
      <c r="E365" s="24" t="str">
        <f>VLOOKUP(Ruimtestaat[[#This Row],[Code]],Locaties[#All],6,FALSE)</f>
        <v>Deventer</v>
      </c>
      <c r="F365" s="54"/>
      <c r="G365" s="24" t="s">
        <v>569</v>
      </c>
      <c r="H365" s="24" t="s">
        <v>784</v>
      </c>
      <c r="I365" s="4" t="s">
        <v>375</v>
      </c>
      <c r="J365" s="24">
        <v>22</v>
      </c>
      <c r="K365" s="54" t="str">
        <f>VLOOKUP(J365,Ruimtegroepen[],2,FALSE)</f>
        <v>Niet in onderhoud</v>
      </c>
      <c r="L365" s="24" t="s">
        <v>300</v>
      </c>
      <c r="M365" s="24" t="s">
        <v>157</v>
      </c>
      <c r="N365" s="83"/>
      <c r="O365" s="83">
        <v>1.63</v>
      </c>
      <c r="P365" s="93" t="str">
        <f>LEFT(VLOOKUP(Ruimtestaat[[#This Row],[Ruimte code]],Ruimtegroepen[#All],4,1),2)</f>
        <v/>
      </c>
      <c r="Q365" s="93"/>
      <c r="R365" s="84"/>
      <c r="S365" s="84"/>
      <c r="T365" s="85">
        <f>IF(R365&gt;0,IF(RIGHT(Ruimtestaat[[#This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5" s="85">
        <f>IF(T365&gt;0,VLOOKUP($J365,Ruimtegroepen[],3,FALSE)*VLOOKUP($L365,Vloersoorten[],3,FALSE)*VLOOKUP($S365,Frequenties[],3,FALSE)*VLOOKUP($A365,Locaties[],3,FALSE),0)</f>
        <v>0</v>
      </c>
      <c r="V365" s="86">
        <f>Ruimtestaat[[#This Row],[Uitvoeringen werkdagen]]*Ruimtestaat[[#This Row],[Oppervlak (netto)]]</f>
        <v>0</v>
      </c>
      <c r="W365" s="87">
        <f>IF(U365&gt;0,Ruimtestaat[[#This Row],[Prest. (m2 /jaar) werkdagen]]/Ruimtestaat[[#This Row],[Norm (m2/uur) werkdagen]],0)</f>
        <v>0</v>
      </c>
      <c r="X365" s="88">
        <f>Ruimtestaat[[#This Row],[uren / jaar werkdagen]]*Tariefsopbouw!$E$35</f>
        <v>0</v>
      </c>
      <c r="Y365" s="85"/>
      <c r="Z365" s="89">
        <f>IF(Ruimtestaat[[#This Row],[Frequentie weekend]]&gt;0,VALUE(LEFT(Y365,1))*R365,0)</f>
        <v>0</v>
      </c>
      <c r="AA365" s="85">
        <f>IF($Z365&gt;0,VLOOKUP($J365,Ruimtegroepen[],3,FALSE)*VLOOKUP($L365,Vloersoorten[],3,FALSE)*VLOOKUP($Y365,Frequenties[],3,FALSE)*VLOOKUP(#REF!,Locaties[],3,FALSE),0)</f>
        <v>0</v>
      </c>
      <c r="AB365" s="87">
        <f>Ruimtestaat[[#This Row],[Uitvoeringen weekend]]*Ruimtestaat[[#This Row],[Oppervlak (netto)]]</f>
        <v>0</v>
      </c>
      <c r="AC365" s="90">
        <f>IF(AB365&gt;0,Ruimtestaat[[#This Row],[Prest. (m2 /jaar) weekend]]/Ruimtestaat[[#This Row],[Norm (m2/uur) weekend]],0)</f>
        <v>0</v>
      </c>
      <c r="AD365" s="91">
        <f>Ruimtestaat[[#This Row],[uren / jaar weekend]]*Tariefsopbouw!$D$40</f>
        <v>0</v>
      </c>
      <c r="AE365" s="60">
        <f>Ruimtestaat[[#This Row],[Prest. (m2 /jaar) weekend]]+Ruimtestaat[[#This Row],[Prest. (m2 /jaar) werkdagen]]</f>
        <v>0</v>
      </c>
      <c r="AF365" s="60">
        <f>Ruimtestaat[[#This Row],[uren / jaar weekend]]+Ruimtestaat[[#This Row],[uren / jaar werkdagen]]</f>
        <v>0</v>
      </c>
      <c r="AG365" s="61">
        <f>Ruimtestaat[[#This Row],[kosten / jaar weekend]]+Ruimtestaat[[#This Row],[kosten / jaar werkdagen]]</f>
        <v>0</v>
      </c>
      <c r="AH365" s="92"/>
      <c r="HL365" s="59"/>
    </row>
    <row r="366" spans="1:220">
      <c r="A366" s="24">
        <v>2</v>
      </c>
      <c r="B366" s="24" t="str">
        <f>VLOOKUP(Ruimtestaat[[#This Row],[Code]],Locaties[#All],2,FALSE)</f>
        <v>Het Stormink</v>
      </c>
      <c r="C366" s="24" t="str">
        <f>VLOOKUP(Ruimtestaat[[#This Row],[Code]],Locaties[#All],4,FALSE)</f>
        <v>Storminkstraat 1</v>
      </c>
      <c r="D366" s="24" t="str">
        <f>VLOOKUP(Ruimtestaat[[#This Row],[Code]],Locaties[#All],5,FALSE)</f>
        <v>7418 GH</v>
      </c>
      <c r="E366" s="24" t="str">
        <f>VLOOKUP(Ruimtestaat[[#This Row],[Code]],Locaties[#All],6,FALSE)</f>
        <v>Deventer</v>
      </c>
      <c r="F366" s="54"/>
      <c r="G366" s="24" t="s">
        <v>569</v>
      </c>
      <c r="H366" s="24" t="s">
        <v>785</v>
      </c>
      <c r="I366" s="4" t="s">
        <v>535</v>
      </c>
      <c r="J366" s="24">
        <v>22</v>
      </c>
      <c r="K366" s="54" t="str">
        <f>VLOOKUP(J366,Ruimtegroepen[],2,FALSE)</f>
        <v>Niet in onderhoud</v>
      </c>
      <c r="L366" s="24" t="s">
        <v>300</v>
      </c>
      <c r="M366" s="24" t="s">
        <v>157</v>
      </c>
      <c r="N366" s="83"/>
      <c r="O366" s="83">
        <v>3.16</v>
      </c>
      <c r="P366" s="93" t="str">
        <f>LEFT(VLOOKUP(Ruimtestaat[[#This Row],[Ruimte code]],Ruimtegroepen[#All],4,1),2)</f>
        <v/>
      </c>
      <c r="Q366" s="93"/>
      <c r="R366" s="84"/>
      <c r="S366" s="84"/>
      <c r="T366" s="85">
        <f>IF(R366&gt;0,IF(RIGHT(Ruimtestaat[[#This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6" s="85">
        <f>IF(T366&gt;0,VLOOKUP($J366,Ruimtegroepen[],3,FALSE)*VLOOKUP($L366,Vloersoorten[],3,FALSE)*VLOOKUP($S366,Frequenties[],3,FALSE)*VLOOKUP($A366,Locaties[],3,FALSE),0)</f>
        <v>0</v>
      </c>
      <c r="V366" s="86">
        <f>Ruimtestaat[[#This Row],[Uitvoeringen werkdagen]]*Ruimtestaat[[#This Row],[Oppervlak (netto)]]</f>
        <v>0</v>
      </c>
      <c r="W366" s="87">
        <f>IF(U366&gt;0,Ruimtestaat[[#This Row],[Prest. (m2 /jaar) werkdagen]]/Ruimtestaat[[#This Row],[Norm (m2/uur) werkdagen]],0)</f>
        <v>0</v>
      </c>
      <c r="X366" s="88">
        <f>Ruimtestaat[[#This Row],[uren / jaar werkdagen]]*Tariefsopbouw!$E$35</f>
        <v>0</v>
      </c>
      <c r="Y366" s="85"/>
      <c r="Z366" s="89">
        <f>IF(Ruimtestaat[[#This Row],[Frequentie weekend]]&gt;0,VALUE(LEFT(Y366,1))*R366,0)</f>
        <v>0</v>
      </c>
      <c r="AA366" s="85">
        <f>IF($Z366&gt;0,VLOOKUP($J366,Ruimtegroepen[],3,FALSE)*VLOOKUP($L366,Vloersoorten[],3,FALSE)*VLOOKUP($Y366,Frequenties[],3,FALSE)*VLOOKUP(#REF!,Locaties[],3,FALSE),0)</f>
        <v>0</v>
      </c>
      <c r="AB366" s="87">
        <f>Ruimtestaat[[#This Row],[Uitvoeringen weekend]]*Ruimtestaat[[#This Row],[Oppervlak (netto)]]</f>
        <v>0</v>
      </c>
      <c r="AC366" s="90">
        <f>IF(AB366&gt;0,Ruimtestaat[[#This Row],[Prest. (m2 /jaar) weekend]]/Ruimtestaat[[#This Row],[Norm (m2/uur) weekend]],0)</f>
        <v>0</v>
      </c>
      <c r="AD366" s="91">
        <f>Ruimtestaat[[#This Row],[uren / jaar weekend]]*Tariefsopbouw!$D$40</f>
        <v>0</v>
      </c>
      <c r="AE366" s="60">
        <f>Ruimtestaat[[#This Row],[Prest. (m2 /jaar) weekend]]+Ruimtestaat[[#This Row],[Prest. (m2 /jaar) werkdagen]]</f>
        <v>0</v>
      </c>
      <c r="AF366" s="60">
        <f>Ruimtestaat[[#This Row],[uren / jaar weekend]]+Ruimtestaat[[#This Row],[uren / jaar werkdagen]]</f>
        <v>0</v>
      </c>
      <c r="AG366" s="61">
        <f>Ruimtestaat[[#This Row],[kosten / jaar weekend]]+Ruimtestaat[[#This Row],[kosten / jaar werkdagen]]</f>
        <v>0</v>
      </c>
      <c r="AH366" s="92"/>
      <c r="HL366" s="59"/>
    </row>
    <row r="367" spans="1:220">
      <c r="A367" s="24">
        <v>2</v>
      </c>
      <c r="B367" s="24" t="str">
        <f>VLOOKUP(Ruimtestaat[[#This Row],[Code]],Locaties[#All],2,FALSE)</f>
        <v>Het Stormink</v>
      </c>
      <c r="C367" s="24" t="str">
        <f>VLOOKUP(Ruimtestaat[[#This Row],[Code]],Locaties[#All],4,FALSE)</f>
        <v>Storminkstraat 1</v>
      </c>
      <c r="D367" s="24" t="str">
        <f>VLOOKUP(Ruimtestaat[[#This Row],[Code]],Locaties[#All],5,FALSE)</f>
        <v>7418 GH</v>
      </c>
      <c r="E367" s="24" t="str">
        <f>VLOOKUP(Ruimtestaat[[#This Row],[Code]],Locaties[#All],6,FALSE)</f>
        <v>Deventer</v>
      </c>
      <c r="F367" s="54"/>
      <c r="G367" s="24" t="s">
        <v>569</v>
      </c>
      <c r="H367" s="24" t="s">
        <v>786</v>
      </c>
      <c r="I367" s="4" t="s">
        <v>674</v>
      </c>
      <c r="J367" s="24">
        <v>22</v>
      </c>
      <c r="K367" s="54" t="str">
        <f>VLOOKUP(J367,Ruimtegroepen[],2,FALSE)</f>
        <v>Niet in onderhoud</v>
      </c>
      <c r="L367" s="24" t="s">
        <v>300</v>
      </c>
      <c r="M367" s="24" t="s">
        <v>157</v>
      </c>
      <c r="N367" s="83"/>
      <c r="O367" s="83">
        <v>1.64</v>
      </c>
      <c r="P367" s="93" t="str">
        <f>LEFT(VLOOKUP(Ruimtestaat[[#This Row],[Ruimte code]],Ruimtegroepen[#All],4,1),2)</f>
        <v/>
      </c>
      <c r="Q367" s="93"/>
      <c r="R367" s="84"/>
      <c r="S367" s="84"/>
      <c r="T367" s="85">
        <f>IF(R367&gt;0,IF(RIGHT(Ruimtestaat[[#This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7" s="85">
        <f>IF(T367&gt;0,VLOOKUP($J367,Ruimtegroepen[],3,FALSE)*VLOOKUP($L367,Vloersoorten[],3,FALSE)*VLOOKUP($S367,Frequenties[],3,FALSE)*VLOOKUP($A367,Locaties[],3,FALSE),0)</f>
        <v>0</v>
      </c>
      <c r="V367" s="86">
        <f>Ruimtestaat[[#This Row],[Uitvoeringen werkdagen]]*Ruimtestaat[[#This Row],[Oppervlak (netto)]]</f>
        <v>0</v>
      </c>
      <c r="W367" s="87">
        <f>IF(U367&gt;0,Ruimtestaat[[#This Row],[Prest. (m2 /jaar) werkdagen]]/Ruimtestaat[[#This Row],[Norm (m2/uur) werkdagen]],0)</f>
        <v>0</v>
      </c>
      <c r="X367" s="88">
        <f>Ruimtestaat[[#This Row],[uren / jaar werkdagen]]*Tariefsopbouw!$E$35</f>
        <v>0</v>
      </c>
      <c r="Y367" s="85"/>
      <c r="Z367" s="89">
        <f>IF(Ruimtestaat[[#This Row],[Frequentie weekend]]&gt;0,VALUE(LEFT(Y367,1))*R367,0)</f>
        <v>0</v>
      </c>
      <c r="AA367" s="85">
        <f>IF($Z367&gt;0,VLOOKUP($J367,Ruimtegroepen[],3,FALSE)*VLOOKUP($L367,Vloersoorten[],3,FALSE)*VLOOKUP($Y367,Frequenties[],3,FALSE)*VLOOKUP(#REF!,Locaties[],3,FALSE),0)</f>
        <v>0</v>
      </c>
      <c r="AB367" s="87">
        <f>Ruimtestaat[[#This Row],[Uitvoeringen weekend]]*Ruimtestaat[[#This Row],[Oppervlak (netto)]]</f>
        <v>0</v>
      </c>
      <c r="AC367" s="90">
        <f>IF(AB367&gt;0,Ruimtestaat[[#This Row],[Prest. (m2 /jaar) weekend]]/Ruimtestaat[[#This Row],[Norm (m2/uur) weekend]],0)</f>
        <v>0</v>
      </c>
      <c r="AD367" s="91">
        <f>Ruimtestaat[[#This Row],[uren / jaar weekend]]*Tariefsopbouw!$D$40</f>
        <v>0</v>
      </c>
      <c r="AE367" s="60">
        <f>Ruimtestaat[[#This Row],[Prest. (m2 /jaar) weekend]]+Ruimtestaat[[#This Row],[Prest. (m2 /jaar) werkdagen]]</f>
        <v>0</v>
      </c>
      <c r="AF367" s="60">
        <f>Ruimtestaat[[#This Row],[uren / jaar weekend]]+Ruimtestaat[[#This Row],[uren / jaar werkdagen]]</f>
        <v>0</v>
      </c>
      <c r="AG367" s="61">
        <f>Ruimtestaat[[#This Row],[kosten / jaar weekend]]+Ruimtestaat[[#This Row],[kosten / jaar werkdagen]]</f>
        <v>0</v>
      </c>
      <c r="AH367" s="92"/>
      <c r="HL367" s="59"/>
    </row>
    <row r="368" spans="1:220">
      <c r="A368" s="24">
        <v>2</v>
      </c>
      <c r="B368" s="24" t="str">
        <f>VLOOKUP(Ruimtestaat[[#This Row],[Code]],Locaties[#All],2,FALSE)</f>
        <v>Het Stormink</v>
      </c>
      <c r="C368" s="24" t="str">
        <f>VLOOKUP(Ruimtestaat[[#This Row],[Code]],Locaties[#All],4,FALSE)</f>
        <v>Storminkstraat 1</v>
      </c>
      <c r="D368" s="24" t="str">
        <f>VLOOKUP(Ruimtestaat[[#This Row],[Code]],Locaties[#All],5,FALSE)</f>
        <v>7418 GH</v>
      </c>
      <c r="E368" s="24" t="str">
        <f>VLOOKUP(Ruimtestaat[[#This Row],[Code]],Locaties[#All],6,FALSE)</f>
        <v>Deventer</v>
      </c>
      <c r="F368" s="54"/>
      <c r="G368" s="24" t="s">
        <v>569</v>
      </c>
      <c r="H368" s="24" t="s">
        <v>787</v>
      </c>
      <c r="I368" s="4" t="s">
        <v>394</v>
      </c>
      <c r="J368" s="24">
        <v>22</v>
      </c>
      <c r="K368" s="54" t="str">
        <f>VLOOKUP(J368,Ruimtegroepen[],2,FALSE)</f>
        <v>Niet in onderhoud</v>
      </c>
      <c r="L368" s="24" t="s">
        <v>300</v>
      </c>
      <c r="M368" s="24" t="s">
        <v>157</v>
      </c>
      <c r="N368" s="83"/>
      <c r="O368" s="83">
        <v>12.3</v>
      </c>
      <c r="P368" s="93" t="str">
        <f>LEFT(VLOOKUP(Ruimtestaat[[#This Row],[Ruimte code]],Ruimtegroepen[#All],4,1),2)</f>
        <v/>
      </c>
      <c r="Q368" s="93"/>
      <c r="R368" s="84"/>
      <c r="S368" s="84"/>
      <c r="T368" s="85">
        <f>IF(R368&gt;0,IF(RIGHT(Ruimtestaat[[#This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8" s="85">
        <f>IF(T368&gt;0,VLOOKUP($J368,Ruimtegroepen[],3,FALSE)*VLOOKUP($L368,Vloersoorten[],3,FALSE)*VLOOKUP($S368,Frequenties[],3,FALSE)*VLOOKUP($A368,Locaties[],3,FALSE),0)</f>
        <v>0</v>
      </c>
      <c r="V368" s="86">
        <f>Ruimtestaat[[#This Row],[Uitvoeringen werkdagen]]*Ruimtestaat[[#This Row],[Oppervlak (netto)]]</f>
        <v>0</v>
      </c>
      <c r="W368" s="87">
        <f>IF(U368&gt;0,Ruimtestaat[[#This Row],[Prest. (m2 /jaar) werkdagen]]/Ruimtestaat[[#This Row],[Norm (m2/uur) werkdagen]],0)</f>
        <v>0</v>
      </c>
      <c r="X368" s="88">
        <f>Ruimtestaat[[#This Row],[uren / jaar werkdagen]]*Tariefsopbouw!$E$35</f>
        <v>0</v>
      </c>
      <c r="Y368" s="85"/>
      <c r="Z368" s="89">
        <f>IF(Ruimtestaat[[#This Row],[Frequentie weekend]]&gt;0,VALUE(LEFT(Y368,1))*R368,0)</f>
        <v>0</v>
      </c>
      <c r="AA368" s="85">
        <f>IF($Z368&gt;0,VLOOKUP($J368,Ruimtegroepen[],3,FALSE)*VLOOKUP($L368,Vloersoorten[],3,FALSE)*VLOOKUP($Y368,Frequenties[],3,FALSE)*VLOOKUP(#REF!,Locaties[],3,FALSE),0)</f>
        <v>0</v>
      </c>
      <c r="AB368" s="87">
        <f>Ruimtestaat[[#This Row],[Uitvoeringen weekend]]*Ruimtestaat[[#This Row],[Oppervlak (netto)]]</f>
        <v>0</v>
      </c>
      <c r="AC368" s="90">
        <f>IF(AB368&gt;0,Ruimtestaat[[#This Row],[Prest. (m2 /jaar) weekend]]/Ruimtestaat[[#This Row],[Norm (m2/uur) weekend]],0)</f>
        <v>0</v>
      </c>
      <c r="AD368" s="91">
        <f>Ruimtestaat[[#This Row],[uren / jaar weekend]]*Tariefsopbouw!$D$40</f>
        <v>0</v>
      </c>
      <c r="AE368" s="60">
        <f>Ruimtestaat[[#This Row],[Prest. (m2 /jaar) weekend]]+Ruimtestaat[[#This Row],[Prest. (m2 /jaar) werkdagen]]</f>
        <v>0</v>
      </c>
      <c r="AF368" s="60">
        <f>Ruimtestaat[[#This Row],[uren / jaar weekend]]+Ruimtestaat[[#This Row],[uren / jaar werkdagen]]</f>
        <v>0</v>
      </c>
      <c r="AG368" s="61">
        <f>Ruimtestaat[[#This Row],[kosten / jaar weekend]]+Ruimtestaat[[#This Row],[kosten / jaar werkdagen]]</f>
        <v>0</v>
      </c>
      <c r="AH368" s="92"/>
      <c r="HL368" s="59"/>
    </row>
    <row r="369" spans="1:220">
      <c r="A369" s="24">
        <v>2</v>
      </c>
      <c r="B369" s="24" t="str">
        <f>VLOOKUP(Ruimtestaat[[#This Row],[Code]],Locaties[#All],2,FALSE)</f>
        <v>Het Stormink</v>
      </c>
      <c r="C369" s="24" t="str">
        <f>VLOOKUP(Ruimtestaat[[#This Row],[Code]],Locaties[#All],4,FALSE)</f>
        <v>Storminkstraat 1</v>
      </c>
      <c r="D369" s="24" t="str">
        <f>VLOOKUP(Ruimtestaat[[#This Row],[Code]],Locaties[#All],5,FALSE)</f>
        <v>7418 GH</v>
      </c>
      <c r="E369" s="24" t="str">
        <f>VLOOKUP(Ruimtestaat[[#This Row],[Code]],Locaties[#All],6,FALSE)</f>
        <v>Deventer</v>
      </c>
      <c r="F369" s="54"/>
      <c r="G369" s="24" t="s">
        <v>569</v>
      </c>
      <c r="H369" s="24" t="s">
        <v>788</v>
      </c>
      <c r="I369" s="4" t="s">
        <v>394</v>
      </c>
      <c r="J369" s="24">
        <v>22</v>
      </c>
      <c r="K369" s="54" t="str">
        <f>VLOOKUP(J369,Ruimtegroepen[],2,FALSE)</f>
        <v>Niet in onderhoud</v>
      </c>
      <c r="L369" s="24" t="s">
        <v>300</v>
      </c>
      <c r="M369" s="24" t="s">
        <v>157</v>
      </c>
      <c r="N369" s="83"/>
      <c r="O369" s="83">
        <v>12.3</v>
      </c>
      <c r="P369" s="93" t="str">
        <f>LEFT(VLOOKUP(Ruimtestaat[[#This Row],[Ruimte code]],Ruimtegroepen[#All],4,1),2)</f>
        <v/>
      </c>
      <c r="Q369" s="93"/>
      <c r="R369" s="84"/>
      <c r="S369" s="84"/>
      <c r="T369" s="85">
        <f>IF(R369&gt;0,IF(RIGHT(Ruimtestaat[[#This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9" s="85">
        <f>IF(T369&gt;0,VLOOKUP($J369,Ruimtegroepen[],3,FALSE)*VLOOKUP($L369,Vloersoorten[],3,FALSE)*VLOOKUP($S369,Frequenties[],3,FALSE)*VLOOKUP($A369,Locaties[],3,FALSE),0)</f>
        <v>0</v>
      </c>
      <c r="V369" s="86">
        <f>Ruimtestaat[[#This Row],[Uitvoeringen werkdagen]]*Ruimtestaat[[#This Row],[Oppervlak (netto)]]</f>
        <v>0</v>
      </c>
      <c r="W369" s="87">
        <f>IF(U369&gt;0,Ruimtestaat[[#This Row],[Prest. (m2 /jaar) werkdagen]]/Ruimtestaat[[#This Row],[Norm (m2/uur) werkdagen]],0)</f>
        <v>0</v>
      </c>
      <c r="X369" s="88">
        <f>Ruimtestaat[[#This Row],[uren / jaar werkdagen]]*Tariefsopbouw!$E$35</f>
        <v>0</v>
      </c>
      <c r="Y369" s="85"/>
      <c r="Z369" s="89">
        <f>IF(Ruimtestaat[[#This Row],[Frequentie weekend]]&gt;0,VALUE(LEFT(Y369,1))*R369,0)</f>
        <v>0</v>
      </c>
      <c r="AA369" s="85">
        <f>IF($Z369&gt;0,VLOOKUP($J369,Ruimtegroepen[],3,FALSE)*VLOOKUP($L369,Vloersoorten[],3,FALSE)*VLOOKUP($Y369,Frequenties[],3,FALSE)*VLOOKUP(#REF!,Locaties[],3,FALSE),0)</f>
        <v>0</v>
      </c>
      <c r="AB369" s="87">
        <f>Ruimtestaat[[#This Row],[Uitvoeringen weekend]]*Ruimtestaat[[#This Row],[Oppervlak (netto)]]</f>
        <v>0</v>
      </c>
      <c r="AC369" s="90">
        <f>IF(AB369&gt;0,Ruimtestaat[[#This Row],[Prest. (m2 /jaar) weekend]]/Ruimtestaat[[#This Row],[Norm (m2/uur) weekend]],0)</f>
        <v>0</v>
      </c>
      <c r="AD369" s="91">
        <f>Ruimtestaat[[#This Row],[uren / jaar weekend]]*Tariefsopbouw!$D$40</f>
        <v>0</v>
      </c>
      <c r="AE369" s="60">
        <f>Ruimtestaat[[#This Row],[Prest. (m2 /jaar) weekend]]+Ruimtestaat[[#This Row],[Prest. (m2 /jaar) werkdagen]]</f>
        <v>0</v>
      </c>
      <c r="AF369" s="60">
        <f>Ruimtestaat[[#This Row],[uren / jaar weekend]]+Ruimtestaat[[#This Row],[uren / jaar werkdagen]]</f>
        <v>0</v>
      </c>
      <c r="AG369" s="61">
        <f>Ruimtestaat[[#This Row],[kosten / jaar weekend]]+Ruimtestaat[[#This Row],[kosten / jaar werkdagen]]</f>
        <v>0</v>
      </c>
      <c r="AH369" s="92"/>
      <c r="HL369" s="59"/>
    </row>
    <row r="370" spans="1:220">
      <c r="A370" s="24">
        <v>2</v>
      </c>
      <c r="B370" s="24" t="str">
        <f>VLOOKUP(Ruimtestaat[[#This Row],[Code]],Locaties[#All],2,FALSE)</f>
        <v>Het Stormink</v>
      </c>
      <c r="C370" s="24" t="str">
        <f>VLOOKUP(Ruimtestaat[[#This Row],[Code]],Locaties[#All],4,FALSE)</f>
        <v>Storminkstraat 1</v>
      </c>
      <c r="D370" s="24" t="str">
        <f>VLOOKUP(Ruimtestaat[[#This Row],[Code]],Locaties[#All],5,FALSE)</f>
        <v>7418 GH</v>
      </c>
      <c r="E370" s="24" t="str">
        <f>VLOOKUP(Ruimtestaat[[#This Row],[Code]],Locaties[#All],6,FALSE)</f>
        <v>Deventer</v>
      </c>
      <c r="F370" s="54"/>
      <c r="G370" s="24" t="s">
        <v>569</v>
      </c>
      <c r="H370" s="24" t="s">
        <v>789</v>
      </c>
      <c r="I370" s="4" t="s">
        <v>790</v>
      </c>
      <c r="J370" s="24">
        <v>16</v>
      </c>
      <c r="K370" s="54" t="str">
        <f>VLOOKUP(J370,Ruimtegroepen[],2,FALSE)</f>
        <v>Leslokalen theorie</v>
      </c>
      <c r="L370" s="24" t="s">
        <v>300</v>
      </c>
      <c r="M370" s="24" t="s">
        <v>157</v>
      </c>
      <c r="N370" s="83">
        <v>57.98</v>
      </c>
      <c r="O370" s="83"/>
      <c r="P370" s="93" t="str">
        <f>LEFT(VLOOKUP(Ruimtestaat[[#This Row],[Ruimte code]],Ruimtegroepen[#All],4,1),2)</f>
        <v>Le</v>
      </c>
      <c r="Q370" s="93"/>
      <c r="R370" s="84">
        <v>40</v>
      </c>
      <c r="S370" s="84" t="s">
        <v>318</v>
      </c>
      <c r="T370" s="85">
        <f>IF(R370&gt;0,IF(RIGHT(Ruimtestaat[[#This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0" s="85">
        <f>IF(T370&gt;0,VLOOKUP($J370,Ruimtegroepen[],3,FALSE)*VLOOKUP($L370,Vloersoorten[],3,FALSE)*VLOOKUP($S370,Frequenties[],3,FALSE)*VLOOKUP($A370,Locaties[],3,FALSE),0)</f>
        <v>0</v>
      </c>
      <c r="V370" s="86">
        <f>Ruimtestaat[[#This Row],[Uitvoeringen werkdagen]]*Ruimtestaat[[#This Row],[Oppervlak (netto)]]</f>
        <v>11596</v>
      </c>
      <c r="W370" s="87">
        <f>IF(U370&gt;0,Ruimtestaat[[#This Row],[Prest. (m2 /jaar) werkdagen]]/Ruimtestaat[[#This Row],[Norm (m2/uur) werkdagen]],0)</f>
        <v>0</v>
      </c>
      <c r="X370" s="88">
        <f>Ruimtestaat[[#This Row],[uren / jaar werkdagen]]*Tariefsopbouw!$E$35</f>
        <v>0</v>
      </c>
      <c r="Y370" s="85"/>
      <c r="Z370" s="89">
        <f>IF(Ruimtestaat[[#This Row],[Frequentie weekend]]&gt;0,VALUE(LEFT(Y370,1))*R370,0)</f>
        <v>0</v>
      </c>
      <c r="AA370" s="85">
        <f>IF($Z370&gt;0,VLOOKUP($J370,Ruimtegroepen[],3,FALSE)*VLOOKUP($L370,Vloersoorten[],3,FALSE)*VLOOKUP($Y370,Frequenties[],3,FALSE)*VLOOKUP(#REF!,Locaties[],3,FALSE),0)</f>
        <v>0</v>
      </c>
      <c r="AB370" s="87">
        <f>Ruimtestaat[[#This Row],[Uitvoeringen weekend]]*Ruimtestaat[[#This Row],[Oppervlak (netto)]]</f>
        <v>0</v>
      </c>
      <c r="AC370" s="90">
        <f>IF(AB370&gt;0,Ruimtestaat[[#This Row],[Prest. (m2 /jaar) weekend]]/Ruimtestaat[[#This Row],[Norm (m2/uur) weekend]],0)</f>
        <v>0</v>
      </c>
      <c r="AD370" s="91">
        <f>Ruimtestaat[[#This Row],[uren / jaar weekend]]*Tariefsopbouw!$D$40</f>
        <v>0</v>
      </c>
      <c r="AE370" s="60">
        <f>Ruimtestaat[[#This Row],[Prest. (m2 /jaar) weekend]]+Ruimtestaat[[#This Row],[Prest. (m2 /jaar) werkdagen]]</f>
        <v>11596</v>
      </c>
      <c r="AF370" s="60">
        <f>Ruimtestaat[[#This Row],[uren / jaar weekend]]+Ruimtestaat[[#This Row],[uren / jaar werkdagen]]</f>
        <v>0</v>
      </c>
      <c r="AG370" s="61">
        <f>Ruimtestaat[[#This Row],[kosten / jaar weekend]]+Ruimtestaat[[#This Row],[kosten / jaar werkdagen]]</f>
        <v>0</v>
      </c>
      <c r="AH370" s="92"/>
      <c r="HL370" s="59"/>
    </row>
    <row r="371" spans="1:220">
      <c r="A371" s="24">
        <v>2</v>
      </c>
      <c r="B371" s="24" t="str">
        <f>VLOOKUP(Ruimtestaat[[#This Row],[Code]],Locaties[#All],2,FALSE)</f>
        <v>Het Stormink</v>
      </c>
      <c r="C371" s="24" t="str">
        <f>VLOOKUP(Ruimtestaat[[#This Row],[Code]],Locaties[#All],4,FALSE)</f>
        <v>Storminkstraat 1</v>
      </c>
      <c r="D371" s="24" t="str">
        <f>VLOOKUP(Ruimtestaat[[#This Row],[Code]],Locaties[#All],5,FALSE)</f>
        <v>7418 GH</v>
      </c>
      <c r="E371" s="24" t="str">
        <f>VLOOKUP(Ruimtestaat[[#This Row],[Code]],Locaties[#All],6,FALSE)</f>
        <v>Deventer</v>
      </c>
      <c r="F371" s="54"/>
      <c r="G371" s="24" t="s">
        <v>569</v>
      </c>
      <c r="H371" s="24" t="s">
        <v>791</v>
      </c>
      <c r="I371" s="4" t="s">
        <v>386</v>
      </c>
      <c r="J371" s="24">
        <v>22</v>
      </c>
      <c r="K371" s="54" t="str">
        <f>VLOOKUP(J371,Ruimtegroepen[],2,FALSE)</f>
        <v>Niet in onderhoud</v>
      </c>
      <c r="M371" s="24"/>
      <c r="N371" s="83"/>
      <c r="O371" s="83">
        <v>36.43</v>
      </c>
      <c r="P371" s="93" t="str">
        <f>LEFT(VLOOKUP(Ruimtestaat[[#This Row],[Ruimte code]],Ruimtegroepen[#All],4,1),2)</f>
        <v/>
      </c>
      <c r="Q371" s="93"/>
      <c r="R371" s="84"/>
      <c r="S371" s="84"/>
      <c r="T371" s="85">
        <f>IF(R371&gt;0,IF(RIGHT(Ruimtestaat[[#This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71" s="85">
        <f>IF(T371&gt;0,VLOOKUP($J371,Ruimtegroepen[],3,FALSE)*VLOOKUP($L371,Vloersoorten[],3,FALSE)*VLOOKUP($S371,Frequenties[],3,FALSE)*VLOOKUP($A371,Locaties[],3,FALSE),0)</f>
        <v>0</v>
      </c>
      <c r="V371" s="86">
        <f>Ruimtestaat[[#This Row],[Uitvoeringen werkdagen]]*Ruimtestaat[[#This Row],[Oppervlak (netto)]]</f>
        <v>0</v>
      </c>
      <c r="W371" s="87">
        <f>IF(U371&gt;0,Ruimtestaat[[#This Row],[Prest. (m2 /jaar) werkdagen]]/Ruimtestaat[[#This Row],[Norm (m2/uur) werkdagen]],0)</f>
        <v>0</v>
      </c>
      <c r="X371" s="88">
        <f>Ruimtestaat[[#This Row],[uren / jaar werkdagen]]*Tariefsopbouw!$E$35</f>
        <v>0</v>
      </c>
      <c r="Y371" s="85"/>
      <c r="Z371" s="89">
        <f>IF(Ruimtestaat[[#This Row],[Frequentie weekend]]&gt;0,VALUE(LEFT(Y371,1))*R371,0)</f>
        <v>0</v>
      </c>
      <c r="AA371" s="85">
        <f>IF($Z371&gt;0,VLOOKUP($J371,Ruimtegroepen[],3,FALSE)*VLOOKUP($L371,Vloersoorten[],3,FALSE)*VLOOKUP($Y371,Frequenties[],3,FALSE)*VLOOKUP(#REF!,Locaties[],3,FALSE),0)</f>
        <v>0</v>
      </c>
      <c r="AB371" s="87">
        <f>Ruimtestaat[[#This Row],[Uitvoeringen weekend]]*Ruimtestaat[[#This Row],[Oppervlak (netto)]]</f>
        <v>0</v>
      </c>
      <c r="AC371" s="90">
        <f>IF(AB371&gt;0,Ruimtestaat[[#This Row],[Prest. (m2 /jaar) weekend]]/Ruimtestaat[[#This Row],[Norm (m2/uur) weekend]],0)</f>
        <v>0</v>
      </c>
      <c r="AD371" s="91">
        <f>Ruimtestaat[[#This Row],[uren / jaar weekend]]*Tariefsopbouw!$D$40</f>
        <v>0</v>
      </c>
      <c r="AE371" s="60">
        <f>Ruimtestaat[[#This Row],[Prest. (m2 /jaar) weekend]]+Ruimtestaat[[#This Row],[Prest. (m2 /jaar) werkdagen]]</f>
        <v>0</v>
      </c>
      <c r="AF371" s="60">
        <f>Ruimtestaat[[#This Row],[uren / jaar weekend]]+Ruimtestaat[[#This Row],[uren / jaar werkdagen]]</f>
        <v>0</v>
      </c>
      <c r="AG371" s="61">
        <f>Ruimtestaat[[#This Row],[kosten / jaar weekend]]+Ruimtestaat[[#This Row],[kosten / jaar werkdagen]]</f>
        <v>0</v>
      </c>
      <c r="AH371" s="92"/>
      <c r="HL371" s="59"/>
    </row>
    <row r="372" spans="1:220">
      <c r="A372" s="24">
        <v>2</v>
      </c>
      <c r="B372" s="24" t="str">
        <f>VLOOKUP(Ruimtestaat[[#This Row],[Code]],Locaties[#All],2,FALSE)</f>
        <v>Het Stormink</v>
      </c>
      <c r="C372" s="24" t="str">
        <f>VLOOKUP(Ruimtestaat[[#This Row],[Code]],Locaties[#All],4,FALSE)</f>
        <v>Storminkstraat 1</v>
      </c>
      <c r="D372" s="24" t="str">
        <f>VLOOKUP(Ruimtestaat[[#This Row],[Code]],Locaties[#All],5,FALSE)</f>
        <v>7418 GH</v>
      </c>
      <c r="E372" s="24" t="str">
        <f>VLOOKUP(Ruimtestaat[[#This Row],[Code]],Locaties[#All],6,FALSE)</f>
        <v>Deventer</v>
      </c>
      <c r="F372" s="54"/>
      <c r="G372" s="24" t="s">
        <v>569</v>
      </c>
      <c r="H372" s="24" t="s">
        <v>792</v>
      </c>
      <c r="I372" s="4" t="s">
        <v>736</v>
      </c>
      <c r="J372" s="24">
        <v>16</v>
      </c>
      <c r="K372" s="54" t="str">
        <f>VLOOKUP(J372,Ruimtegroepen[],2,FALSE)</f>
        <v>Leslokalen theorie</v>
      </c>
      <c r="L372" s="24" t="s">
        <v>300</v>
      </c>
      <c r="M372" s="24" t="s">
        <v>157</v>
      </c>
      <c r="N372" s="83">
        <v>81.739999999999995</v>
      </c>
      <c r="O372" s="83"/>
      <c r="P372" s="93" t="str">
        <f>LEFT(VLOOKUP(Ruimtestaat[[#This Row],[Ruimte code]],Ruimtegroepen[#All],4,1),2)</f>
        <v>Le</v>
      </c>
      <c r="Q372" s="93"/>
      <c r="R372" s="84">
        <v>40</v>
      </c>
      <c r="S372" s="84" t="s">
        <v>318</v>
      </c>
      <c r="T372" s="85">
        <f>IF(R372&gt;0,IF(RIGHT(Ruimtestaat[[#This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2" s="85">
        <f>IF(T372&gt;0,VLOOKUP($J372,Ruimtegroepen[],3,FALSE)*VLOOKUP($L372,Vloersoorten[],3,FALSE)*VLOOKUP($S372,Frequenties[],3,FALSE)*VLOOKUP($A372,Locaties[],3,FALSE),0)</f>
        <v>0</v>
      </c>
      <c r="V372" s="86">
        <f>Ruimtestaat[[#This Row],[Uitvoeringen werkdagen]]*Ruimtestaat[[#This Row],[Oppervlak (netto)]]</f>
        <v>16347.999999999998</v>
      </c>
      <c r="W372" s="87">
        <f>IF(U372&gt;0,Ruimtestaat[[#This Row],[Prest. (m2 /jaar) werkdagen]]/Ruimtestaat[[#This Row],[Norm (m2/uur) werkdagen]],0)</f>
        <v>0</v>
      </c>
      <c r="X372" s="88">
        <f>Ruimtestaat[[#This Row],[uren / jaar werkdagen]]*Tariefsopbouw!$E$35</f>
        <v>0</v>
      </c>
      <c r="Y372" s="85"/>
      <c r="Z372" s="89">
        <f>IF(Ruimtestaat[[#This Row],[Frequentie weekend]]&gt;0,VALUE(LEFT(Y372,1))*R372,0)</f>
        <v>0</v>
      </c>
      <c r="AA372" s="85">
        <f>IF($Z372&gt;0,VLOOKUP($J372,Ruimtegroepen[],3,FALSE)*VLOOKUP($L372,Vloersoorten[],3,FALSE)*VLOOKUP($Y372,Frequenties[],3,FALSE)*VLOOKUP(#REF!,Locaties[],3,FALSE),0)</f>
        <v>0</v>
      </c>
      <c r="AB372" s="87">
        <f>Ruimtestaat[[#This Row],[Uitvoeringen weekend]]*Ruimtestaat[[#This Row],[Oppervlak (netto)]]</f>
        <v>0</v>
      </c>
      <c r="AC372" s="90">
        <f>IF(AB372&gt;0,Ruimtestaat[[#This Row],[Prest. (m2 /jaar) weekend]]/Ruimtestaat[[#This Row],[Norm (m2/uur) weekend]],0)</f>
        <v>0</v>
      </c>
      <c r="AD372" s="91">
        <f>Ruimtestaat[[#This Row],[uren / jaar weekend]]*Tariefsopbouw!$D$40</f>
        <v>0</v>
      </c>
      <c r="AE372" s="60">
        <f>Ruimtestaat[[#This Row],[Prest. (m2 /jaar) weekend]]+Ruimtestaat[[#This Row],[Prest. (m2 /jaar) werkdagen]]</f>
        <v>16347.999999999998</v>
      </c>
      <c r="AF372" s="60">
        <f>Ruimtestaat[[#This Row],[uren / jaar weekend]]+Ruimtestaat[[#This Row],[uren / jaar werkdagen]]</f>
        <v>0</v>
      </c>
      <c r="AG372" s="61">
        <f>Ruimtestaat[[#This Row],[kosten / jaar weekend]]+Ruimtestaat[[#This Row],[kosten / jaar werkdagen]]</f>
        <v>0</v>
      </c>
      <c r="AH372" s="92"/>
      <c r="HL372" s="59"/>
    </row>
    <row r="373" spans="1:220">
      <c r="A373" s="24">
        <v>2</v>
      </c>
      <c r="B373" s="24" t="str">
        <f>VLOOKUP(Ruimtestaat[[#This Row],[Code]],Locaties[#All],2,FALSE)</f>
        <v>Het Stormink</v>
      </c>
      <c r="C373" s="24" t="str">
        <f>VLOOKUP(Ruimtestaat[[#This Row],[Code]],Locaties[#All],4,FALSE)</f>
        <v>Storminkstraat 1</v>
      </c>
      <c r="D373" s="24" t="str">
        <f>VLOOKUP(Ruimtestaat[[#This Row],[Code]],Locaties[#All],5,FALSE)</f>
        <v>7418 GH</v>
      </c>
      <c r="E373" s="24" t="str">
        <f>VLOOKUP(Ruimtestaat[[#This Row],[Code]],Locaties[#All],6,FALSE)</f>
        <v>Deventer</v>
      </c>
      <c r="F373" s="54"/>
      <c r="G373" s="24" t="s">
        <v>569</v>
      </c>
      <c r="H373" s="24" t="s">
        <v>793</v>
      </c>
      <c r="I373" s="4" t="s">
        <v>487</v>
      </c>
      <c r="J373" s="24">
        <v>6</v>
      </c>
      <c r="K373" s="54" t="str">
        <f>VLOOKUP(J373,Ruimtegroepen[],2,FALSE)</f>
        <v>Gangen/hallen</v>
      </c>
      <c r="L373" s="24" t="s">
        <v>300</v>
      </c>
      <c r="M373" s="24" t="s">
        <v>157</v>
      </c>
      <c r="N373" s="83">
        <v>62.13</v>
      </c>
      <c r="O373" s="83"/>
      <c r="P373" s="93" t="str">
        <f>LEFT(VLOOKUP(Ruimtestaat[[#This Row],[Ruimte code]],Ruimtegroepen[#All],4,1),2)</f>
        <v>Ve</v>
      </c>
      <c r="Q373" s="93"/>
      <c r="R373" s="84">
        <v>40</v>
      </c>
      <c r="S373" s="84" t="s">
        <v>318</v>
      </c>
      <c r="T373" s="85">
        <f>IF(R373&gt;0,IF(RIGHT(Ruimtestaat[[#This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3" s="85">
        <f>IF(T373&gt;0,VLOOKUP($J373,Ruimtegroepen[],3,FALSE)*VLOOKUP($L373,Vloersoorten[],3,FALSE)*VLOOKUP($S373,Frequenties[],3,FALSE)*VLOOKUP($A373,Locaties[],3,FALSE),0)</f>
        <v>0</v>
      </c>
      <c r="V373" s="86">
        <f>Ruimtestaat[[#This Row],[Uitvoeringen werkdagen]]*Ruimtestaat[[#This Row],[Oppervlak (netto)]]</f>
        <v>12426</v>
      </c>
      <c r="W373" s="87">
        <f>IF(U373&gt;0,Ruimtestaat[[#This Row],[Prest. (m2 /jaar) werkdagen]]/Ruimtestaat[[#This Row],[Norm (m2/uur) werkdagen]],0)</f>
        <v>0</v>
      </c>
      <c r="X373" s="88">
        <f>Ruimtestaat[[#This Row],[uren / jaar werkdagen]]*Tariefsopbouw!$E$35</f>
        <v>0</v>
      </c>
      <c r="Y373" s="85"/>
      <c r="Z373" s="89">
        <f>IF(Ruimtestaat[[#This Row],[Frequentie weekend]]&gt;0,VALUE(LEFT(Y373,1))*R373,0)</f>
        <v>0</v>
      </c>
      <c r="AA373" s="85">
        <f>IF($Z373&gt;0,VLOOKUP($J373,Ruimtegroepen[],3,FALSE)*VLOOKUP($L373,Vloersoorten[],3,FALSE)*VLOOKUP($Y373,Frequenties[],3,FALSE)*VLOOKUP(#REF!,Locaties[],3,FALSE),0)</f>
        <v>0</v>
      </c>
      <c r="AB373" s="87">
        <f>Ruimtestaat[[#This Row],[Uitvoeringen weekend]]*Ruimtestaat[[#This Row],[Oppervlak (netto)]]</f>
        <v>0</v>
      </c>
      <c r="AC373" s="90">
        <f>IF(AB373&gt;0,Ruimtestaat[[#This Row],[Prest. (m2 /jaar) weekend]]/Ruimtestaat[[#This Row],[Norm (m2/uur) weekend]],0)</f>
        <v>0</v>
      </c>
      <c r="AD373" s="91">
        <f>Ruimtestaat[[#This Row],[uren / jaar weekend]]*Tariefsopbouw!$D$40</f>
        <v>0</v>
      </c>
      <c r="AE373" s="60">
        <f>Ruimtestaat[[#This Row],[Prest. (m2 /jaar) weekend]]+Ruimtestaat[[#This Row],[Prest. (m2 /jaar) werkdagen]]</f>
        <v>12426</v>
      </c>
      <c r="AF373" s="60">
        <f>Ruimtestaat[[#This Row],[uren / jaar weekend]]+Ruimtestaat[[#This Row],[uren / jaar werkdagen]]</f>
        <v>0</v>
      </c>
      <c r="AG373" s="61">
        <f>Ruimtestaat[[#This Row],[kosten / jaar weekend]]+Ruimtestaat[[#This Row],[kosten / jaar werkdagen]]</f>
        <v>0</v>
      </c>
      <c r="AH373" s="92"/>
      <c r="HL373" s="59"/>
    </row>
    <row r="374" spans="1:220">
      <c r="A374" s="24">
        <v>2</v>
      </c>
      <c r="B374" s="24" t="str">
        <f>VLOOKUP(Ruimtestaat[[#This Row],[Code]],Locaties[#All],2,FALSE)</f>
        <v>Het Stormink</v>
      </c>
      <c r="C374" s="24" t="str">
        <f>VLOOKUP(Ruimtestaat[[#This Row],[Code]],Locaties[#All],4,FALSE)</f>
        <v>Storminkstraat 1</v>
      </c>
      <c r="D374" s="24" t="str">
        <f>VLOOKUP(Ruimtestaat[[#This Row],[Code]],Locaties[#All],5,FALSE)</f>
        <v>7418 GH</v>
      </c>
      <c r="E374" s="24" t="str">
        <f>VLOOKUP(Ruimtestaat[[#This Row],[Code]],Locaties[#All],6,FALSE)</f>
        <v>Deventer</v>
      </c>
      <c r="F374" s="54"/>
      <c r="G374" s="24" t="s">
        <v>569</v>
      </c>
      <c r="H374" s="24" t="s">
        <v>794</v>
      </c>
      <c r="I374" s="4" t="s">
        <v>487</v>
      </c>
      <c r="J374" s="24">
        <v>6</v>
      </c>
      <c r="K374" s="54" t="str">
        <f>VLOOKUP(J374,Ruimtegroepen[],2,FALSE)</f>
        <v>Gangen/hallen</v>
      </c>
      <c r="L374" s="24" t="s">
        <v>300</v>
      </c>
      <c r="M374" s="24" t="s">
        <v>157</v>
      </c>
      <c r="N374" s="83">
        <v>53.66</v>
      </c>
      <c r="O374" s="83"/>
      <c r="P374" s="93" t="str">
        <f>LEFT(VLOOKUP(Ruimtestaat[[#This Row],[Ruimte code]],Ruimtegroepen[#All],4,1),2)</f>
        <v>Ve</v>
      </c>
      <c r="Q374" s="93"/>
      <c r="R374" s="84">
        <v>40</v>
      </c>
      <c r="S374" s="84" t="s">
        <v>318</v>
      </c>
      <c r="T374" s="85">
        <f>IF(R374&gt;0,IF(RIGHT(Ruimtestaat[[#This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4" s="85">
        <f>IF(T374&gt;0,VLOOKUP($J374,Ruimtegroepen[],3,FALSE)*VLOOKUP($L374,Vloersoorten[],3,FALSE)*VLOOKUP($S374,Frequenties[],3,FALSE)*VLOOKUP($A374,Locaties[],3,FALSE),0)</f>
        <v>0</v>
      </c>
      <c r="V374" s="86">
        <f>Ruimtestaat[[#This Row],[Uitvoeringen werkdagen]]*Ruimtestaat[[#This Row],[Oppervlak (netto)]]</f>
        <v>10732</v>
      </c>
      <c r="W374" s="87">
        <f>IF(U374&gt;0,Ruimtestaat[[#This Row],[Prest. (m2 /jaar) werkdagen]]/Ruimtestaat[[#This Row],[Norm (m2/uur) werkdagen]],0)</f>
        <v>0</v>
      </c>
      <c r="X374" s="88">
        <f>Ruimtestaat[[#This Row],[uren / jaar werkdagen]]*Tariefsopbouw!$E$35</f>
        <v>0</v>
      </c>
      <c r="Y374" s="85"/>
      <c r="Z374" s="89">
        <f>IF(Ruimtestaat[[#This Row],[Frequentie weekend]]&gt;0,VALUE(LEFT(Y374,1))*R374,0)</f>
        <v>0</v>
      </c>
      <c r="AA374" s="85">
        <f>IF($Z374&gt;0,VLOOKUP($J374,Ruimtegroepen[],3,FALSE)*VLOOKUP($L374,Vloersoorten[],3,FALSE)*VLOOKUP($Y374,Frequenties[],3,FALSE)*VLOOKUP(#REF!,Locaties[],3,FALSE),0)</f>
        <v>0</v>
      </c>
      <c r="AB374" s="87">
        <f>Ruimtestaat[[#This Row],[Uitvoeringen weekend]]*Ruimtestaat[[#This Row],[Oppervlak (netto)]]</f>
        <v>0</v>
      </c>
      <c r="AC374" s="90">
        <f>IF(AB374&gt;0,Ruimtestaat[[#This Row],[Prest. (m2 /jaar) weekend]]/Ruimtestaat[[#This Row],[Norm (m2/uur) weekend]],0)</f>
        <v>0</v>
      </c>
      <c r="AD374" s="91">
        <f>Ruimtestaat[[#This Row],[uren / jaar weekend]]*Tariefsopbouw!$D$40</f>
        <v>0</v>
      </c>
      <c r="AE374" s="60">
        <f>Ruimtestaat[[#This Row],[Prest. (m2 /jaar) weekend]]+Ruimtestaat[[#This Row],[Prest. (m2 /jaar) werkdagen]]</f>
        <v>10732</v>
      </c>
      <c r="AF374" s="60">
        <f>Ruimtestaat[[#This Row],[uren / jaar weekend]]+Ruimtestaat[[#This Row],[uren / jaar werkdagen]]</f>
        <v>0</v>
      </c>
      <c r="AG374" s="61">
        <f>Ruimtestaat[[#This Row],[kosten / jaar weekend]]+Ruimtestaat[[#This Row],[kosten / jaar werkdagen]]</f>
        <v>0</v>
      </c>
      <c r="AH374" s="92"/>
      <c r="HL374" s="59"/>
    </row>
    <row r="375" spans="1:220">
      <c r="A375" s="24">
        <v>2</v>
      </c>
      <c r="B375" s="24" t="str">
        <f>VLOOKUP(Ruimtestaat[[#This Row],[Code]],Locaties[#All],2,FALSE)</f>
        <v>Het Stormink</v>
      </c>
      <c r="C375" s="24" t="str">
        <f>VLOOKUP(Ruimtestaat[[#This Row],[Code]],Locaties[#All],4,FALSE)</f>
        <v>Storminkstraat 1</v>
      </c>
      <c r="D375" s="24" t="str">
        <f>VLOOKUP(Ruimtestaat[[#This Row],[Code]],Locaties[#All],5,FALSE)</f>
        <v>7418 GH</v>
      </c>
      <c r="E375" s="24" t="str">
        <f>VLOOKUP(Ruimtestaat[[#This Row],[Code]],Locaties[#All],6,FALSE)</f>
        <v>Deventer</v>
      </c>
      <c r="F375" s="54"/>
      <c r="G375" s="24" t="s">
        <v>569</v>
      </c>
      <c r="H375" s="24" t="s">
        <v>795</v>
      </c>
      <c r="I375" s="4" t="s">
        <v>487</v>
      </c>
      <c r="J375" s="24">
        <v>6</v>
      </c>
      <c r="K375" s="54" t="str">
        <f>VLOOKUP(J375,Ruimtegroepen[],2,FALSE)</f>
        <v>Gangen/hallen</v>
      </c>
      <c r="L375" s="24" t="s">
        <v>300</v>
      </c>
      <c r="M375" s="24" t="s">
        <v>157</v>
      </c>
      <c r="N375" s="83">
        <v>84.67</v>
      </c>
      <c r="O375" s="83"/>
      <c r="P375" s="93" t="str">
        <f>LEFT(VLOOKUP(Ruimtestaat[[#This Row],[Ruimte code]],Ruimtegroepen[#All],4,1),2)</f>
        <v>Ve</v>
      </c>
      <c r="Q375" s="93"/>
      <c r="R375" s="84">
        <v>40</v>
      </c>
      <c r="S375" s="84" t="s">
        <v>318</v>
      </c>
      <c r="T375" s="85">
        <f>IF(R375&gt;0,IF(RIGHT(Ruimtestaat[[#This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5" s="85">
        <f>IF(T375&gt;0,VLOOKUP($J375,Ruimtegroepen[],3,FALSE)*VLOOKUP($L375,Vloersoorten[],3,FALSE)*VLOOKUP($S375,Frequenties[],3,FALSE)*VLOOKUP($A375,Locaties[],3,FALSE),0)</f>
        <v>0</v>
      </c>
      <c r="V375" s="86">
        <f>Ruimtestaat[[#This Row],[Uitvoeringen werkdagen]]*Ruimtestaat[[#This Row],[Oppervlak (netto)]]</f>
        <v>16934</v>
      </c>
      <c r="W375" s="87">
        <f>IF(U375&gt;0,Ruimtestaat[[#This Row],[Prest. (m2 /jaar) werkdagen]]/Ruimtestaat[[#This Row],[Norm (m2/uur) werkdagen]],0)</f>
        <v>0</v>
      </c>
      <c r="X375" s="88">
        <f>Ruimtestaat[[#This Row],[uren / jaar werkdagen]]*Tariefsopbouw!$E$35</f>
        <v>0</v>
      </c>
      <c r="Y375" s="85"/>
      <c r="Z375" s="89">
        <f>IF(Ruimtestaat[[#This Row],[Frequentie weekend]]&gt;0,VALUE(LEFT(Y375,1))*R375,0)</f>
        <v>0</v>
      </c>
      <c r="AA375" s="85">
        <f>IF($Z375&gt;0,VLOOKUP($J375,Ruimtegroepen[],3,FALSE)*VLOOKUP($L375,Vloersoorten[],3,FALSE)*VLOOKUP($Y375,Frequenties[],3,FALSE)*VLOOKUP(#REF!,Locaties[],3,FALSE),0)</f>
        <v>0</v>
      </c>
      <c r="AB375" s="87">
        <f>Ruimtestaat[[#This Row],[Uitvoeringen weekend]]*Ruimtestaat[[#This Row],[Oppervlak (netto)]]</f>
        <v>0</v>
      </c>
      <c r="AC375" s="90">
        <f>IF(AB375&gt;0,Ruimtestaat[[#This Row],[Prest. (m2 /jaar) weekend]]/Ruimtestaat[[#This Row],[Norm (m2/uur) weekend]],0)</f>
        <v>0</v>
      </c>
      <c r="AD375" s="91">
        <f>Ruimtestaat[[#This Row],[uren / jaar weekend]]*Tariefsopbouw!$D$40</f>
        <v>0</v>
      </c>
      <c r="AE375" s="60">
        <f>Ruimtestaat[[#This Row],[Prest. (m2 /jaar) weekend]]+Ruimtestaat[[#This Row],[Prest. (m2 /jaar) werkdagen]]</f>
        <v>16934</v>
      </c>
      <c r="AF375" s="60">
        <f>Ruimtestaat[[#This Row],[uren / jaar weekend]]+Ruimtestaat[[#This Row],[uren / jaar werkdagen]]</f>
        <v>0</v>
      </c>
      <c r="AG375" s="61">
        <f>Ruimtestaat[[#This Row],[kosten / jaar weekend]]+Ruimtestaat[[#This Row],[kosten / jaar werkdagen]]</f>
        <v>0</v>
      </c>
      <c r="AH375" s="92"/>
      <c r="HL375" s="59"/>
    </row>
    <row r="376" spans="1:220">
      <c r="A376" s="24">
        <v>2</v>
      </c>
      <c r="B376" s="24" t="str">
        <f>VLOOKUP(Ruimtestaat[[#This Row],[Code]],Locaties[#All],2,FALSE)</f>
        <v>Het Stormink</v>
      </c>
      <c r="C376" s="24" t="str">
        <f>VLOOKUP(Ruimtestaat[[#This Row],[Code]],Locaties[#All],4,FALSE)</f>
        <v>Storminkstraat 1</v>
      </c>
      <c r="D376" s="24" t="str">
        <f>VLOOKUP(Ruimtestaat[[#This Row],[Code]],Locaties[#All],5,FALSE)</f>
        <v>7418 GH</v>
      </c>
      <c r="E376" s="24" t="str">
        <f>VLOOKUP(Ruimtestaat[[#This Row],[Code]],Locaties[#All],6,FALSE)</f>
        <v>Deventer</v>
      </c>
      <c r="F376" s="54"/>
      <c r="G376" s="24" t="s">
        <v>569</v>
      </c>
      <c r="H376" s="24" t="s">
        <v>796</v>
      </c>
      <c r="I376" s="4" t="s">
        <v>487</v>
      </c>
      <c r="J376" s="24">
        <v>6</v>
      </c>
      <c r="K376" s="54" t="str">
        <f>VLOOKUP(J376,Ruimtegroepen[],2,FALSE)</f>
        <v>Gangen/hallen</v>
      </c>
      <c r="L376" s="24" t="s">
        <v>300</v>
      </c>
      <c r="M376" s="24" t="s">
        <v>157</v>
      </c>
      <c r="N376" s="83">
        <v>168.54</v>
      </c>
      <c r="O376" s="83"/>
      <c r="P376" s="93" t="str">
        <f>LEFT(VLOOKUP(Ruimtestaat[[#This Row],[Ruimte code]],Ruimtegroepen[#All],4,1),2)</f>
        <v>Ve</v>
      </c>
      <c r="Q376" s="93"/>
      <c r="R376" s="84">
        <v>40</v>
      </c>
      <c r="S376" s="84" t="s">
        <v>318</v>
      </c>
      <c r="T376" s="85">
        <f>IF(R376&gt;0,IF(RIGHT(Ruimtestaat[[#This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6" s="85">
        <f>IF(T376&gt;0,VLOOKUP($J376,Ruimtegroepen[],3,FALSE)*VLOOKUP($L376,Vloersoorten[],3,FALSE)*VLOOKUP($S376,Frequenties[],3,FALSE)*VLOOKUP($A376,Locaties[],3,FALSE),0)</f>
        <v>0</v>
      </c>
      <c r="V376" s="86">
        <f>Ruimtestaat[[#This Row],[Uitvoeringen werkdagen]]*Ruimtestaat[[#This Row],[Oppervlak (netto)]]</f>
        <v>33708</v>
      </c>
      <c r="W376" s="87">
        <f>IF(U376&gt;0,Ruimtestaat[[#This Row],[Prest. (m2 /jaar) werkdagen]]/Ruimtestaat[[#This Row],[Norm (m2/uur) werkdagen]],0)</f>
        <v>0</v>
      </c>
      <c r="X376" s="88">
        <f>Ruimtestaat[[#This Row],[uren / jaar werkdagen]]*Tariefsopbouw!$E$35</f>
        <v>0</v>
      </c>
      <c r="Y376" s="85"/>
      <c r="Z376" s="89">
        <f>IF(Ruimtestaat[[#This Row],[Frequentie weekend]]&gt;0,VALUE(LEFT(Y376,1))*R376,0)</f>
        <v>0</v>
      </c>
      <c r="AA376" s="85">
        <f>IF($Z376&gt;0,VLOOKUP($J376,Ruimtegroepen[],3,FALSE)*VLOOKUP($L376,Vloersoorten[],3,FALSE)*VLOOKUP($Y376,Frequenties[],3,FALSE)*VLOOKUP(#REF!,Locaties[],3,FALSE),0)</f>
        <v>0</v>
      </c>
      <c r="AB376" s="87">
        <f>Ruimtestaat[[#This Row],[Uitvoeringen weekend]]*Ruimtestaat[[#This Row],[Oppervlak (netto)]]</f>
        <v>0</v>
      </c>
      <c r="AC376" s="90">
        <f>IF(AB376&gt;0,Ruimtestaat[[#This Row],[Prest. (m2 /jaar) weekend]]/Ruimtestaat[[#This Row],[Norm (m2/uur) weekend]],0)</f>
        <v>0</v>
      </c>
      <c r="AD376" s="91">
        <f>Ruimtestaat[[#This Row],[uren / jaar weekend]]*Tariefsopbouw!$D$40</f>
        <v>0</v>
      </c>
      <c r="AE376" s="60">
        <f>Ruimtestaat[[#This Row],[Prest. (m2 /jaar) weekend]]+Ruimtestaat[[#This Row],[Prest. (m2 /jaar) werkdagen]]</f>
        <v>33708</v>
      </c>
      <c r="AF376" s="60">
        <f>Ruimtestaat[[#This Row],[uren / jaar weekend]]+Ruimtestaat[[#This Row],[uren / jaar werkdagen]]</f>
        <v>0</v>
      </c>
      <c r="AG376" s="61">
        <f>Ruimtestaat[[#This Row],[kosten / jaar weekend]]+Ruimtestaat[[#This Row],[kosten / jaar werkdagen]]</f>
        <v>0</v>
      </c>
      <c r="AH376" s="92"/>
      <c r="HL376" s="59"/>
    </row>
    <row r="377" spans="1:220">
      <c r="A377" s="24">
        <v>2</v>
      </c>
      <c r="B377" s="24" t="str">
        <f>VLOOKUP(Ruimtestaat[[#This Row],[Code]],Locaties[#All],2,FALSE)</f>
        <v>Het Stormink</v>
      </c>
      <c r="C377" s="24" t="str">
        <f>VLOOKUP(Ruimtestaat[[#This Row],[Code]],Locaties[#All],4,FALSE)</f>
        <v>Storminkstraat 1</v>
      </c>
      <c r="D377" s="24" t="str">
        <f>VLOOKUP(Ruimtestaat[[#This Row],[Code]],Locaties[#All],5,FALSE)</f>
        <v>7418 GH</v>
      </c>
      <c r="E377" s="24" t="str">
        <f>VLOOKUP(Ruimtestaat[[#This Row],[Code]],Locaties[#All],6,FALSE)</f>
        <v>Deventer</v>
      </c>
      <c r="F377" s="54"/>
      <c r="G377" s="24" t="s">
        <v>569</v>
      </c>
      <c r="H377" s="24" t="s">
        <v>797</v>
      </c>
      <c r="I377" s="4" t="s">
        <v>103</v>
      </c>
      <c r="J377" s="24">
        <v>10</v>
      </c>
      <c r="K377" s="54" t="str">
        <f>VLOOKUP(J377,Ruimtegroepen[],2,FALSE)</f>
        <v>Trappenhuizen/lift</v>
      </c>
      <c r="L377" s="24" t="s">
        <v>300</v>
      </c>
      <c r="M377" s="24" t="s">
        <v>157</v>
      </c>
      <c r="N377" s="83">
        <v>6.72</v>
      </c>
      <c r="O377" s="83"/>
      <c r="P377" s="93" t="str">
        <f>LEFT(VLOOKUP(Ruimtestaat[[#This Row],[Ruimte code]],Ruimtegroepen[#All],4,1),2)</f>
        <v>Ve</v>
      </c>
      <c r="Q377" s="93"/>
      <c r="R377" s="84">
        <v>40</v>
      </c>
      <c r="S377" s="84" t="s">
        <v>318</v>
      </c>
      <c r="T377" s="85">
        <f>IF(R377&gt;0,IF(RIGHT(Ruimtestaat[[#This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7" s="85">
        <f>IF(T377&gt;0,VLOOKUP($J377,Ruimtegroepen[],3,FALSE)*VLOOKUP($L377,Vloersoorten[],3,FALSE)*VLOOKUP($S377,Frequenties[],3,FALSE)*VLOOKUP($A377,Locaties[],3,FALSE),0)</f>
        <v>0</v>
      </c>
      <c r="V377" s="86">
        <f>Ruimtestaat[[#This Row],[Uitvoeringen werkdagen]]*Ruimtestaat[[#This Row],[Oppervlak (netto)]]</f>
        <v>1344</v>
      </c>
      <c r="W377" s="87">
        <f>IF(U377&gt;0,Ruimtestaat[[#This Row],[Prest. (m2 /jaar) werkdagen]]/Ruimtestaat[[#This Row],[Norm (m2/uur) werkdagen]],0)</f>
        <v>0</v>
      </c>
      <c r="X377" s="88">
        <f>Ruimtestaat[[#This Row],[uren / jaar werkdagen]]*Tariefsopbouw!$E$35</f>
        <v>0</v>
      </c>
      <c r="Y377" s="85"/>
      <c r="Z377" s="89">
        <f>IF(Ruimtestaat[[#This Row],[Frequentie weekend]]&gt;0,VALUE(LEFT(Y377,1))*R377,0)</f>
        <v>0</v>
      </c>
      <c r="AA377" s="85">
        <f>IF($Z377&gt;0,VLOOKUP($J377,Ruimtegroepen[],3,FALSE)*VLOOKUP($L377,Vloersoorten[],3,FALSE)*VLOOKUP($Y377,Frequenties[],3,FALSE)*VLOOKUP(#REF!,Locaties[],3,FALSE),0)</f>
        <v>0</v>
      </c>
      <c r="AB377" s="87">
        <f>Ruimtestaat[[#This Row],[Uitvoeringen weekend]]*Ruimtestaat[[#This Row],[Oppervlak (netto)]]</f>
        <v>0</v>
      </c>
      <c r="AC377" s="90">
        <f>IF(AB377&gt;0,Ruimtestaat[[#This Row],[Prest. (m2 /jaar) weekend]]/Ruimtestaat[[#This Row],[Norm (m2/uur) weekend]],0)</f>
        <v>0</v>
      </c>
      <c r="AD377" s="91">
        <f>Ruimtestaat[[#This Row],[uren / jaar weekend]]*Tariefsopbouw!$D$40</f>
        <v>0</v>
      </c>
      <c r="AE377" s="60">
        <f>Ruimtestaat[[#This Row],[Prest. (m2 /jaar) weekend]]+Ruimtestaat[[#This Row],[Prest. (m2 /jaar) werkdagen]]</f>
        <v>1344</v>
      </c>
      <c r="AF377" s="60">
        <f>Ruimtestaat[[#This Row],[uren / jaar weekend]]+Ruimtestaat[[#This Row],[uren / jaar werkdagen]]</f>
        <v>0</v>
      </c>
      <c r="AG377" s="61">
        <f>Ruimtestaat[[#This Row],[kosten / jaar weekend]]+Ruimtestaat[[#This Row],[kosten / jaar werkdagen]]</f>
        <v>0</v>
      </c>
      <c r="AH377" s="92"/>
      <c r="HL377" s="59"/>
    </row>
    <row r="378" spans="1:220">
      <c r="A378" s="24">
        <v>2</v>
      </c>
      <c r="B378" s="24" t="str">
        <f>VLOOKUP(Ruimtestaat[[#This Row],[Code]],Locaties[#All],2,FALSE)</f>
        <v>Het Stormink</v>
      </c>
      <c r="C378" s="24" t="str">
        <f>VLOOKUP(Ruimtestaat[[#This Row],[Code]],Locaties[#All],4,FALSE)</f>
        <v>Storminkstraat 1</v>
      </c>
      <c r="D378" s="24" t="str">
        <f>VLOOKUP(Ruimtestaat[[#This Row],[Code]],Locaties[#All],5,FALSE)</f>
        <v>7418 GH</v>
      </c>
      <c r="E378" s="24" t="str">
        <f>VLOOKUP(Ruimtestaat[[#This Row],[Code]],Locaties[#All],6,FALSE)</f>
        <v>Deventer</v>
      </c>
      <c r="F378" s="54"/>
      <c r="G378" s="24" t="s">
        <v>569</v>
      </c>
      <c r="H378" s="24" t="s">
        <v>798</v>
      </c>
      <c r="I378" s="4" t="s">
        <v>709</v>
      </c>
      <c r="J378" s="24">
        <v>16</v>
      </c>
      <c r="K378" s="54" t="str">
        <f>VLOOKUP(J378,Ruimtegroepen[],2,FALSE)</f>
        <v>Leslokalen theorie</v>
      </c>
      <c r="L378" s="24" t="s">
        <v>300</v>
      </c>
      <c r="M378" s="24" t="s">
        <v>157</v>
      </c>
      <c r="N378" s="83">
        <v>58.85</v>
      </c>
      <c r="O378" s="83"/>
      <c r="P378" s="93" t="str">
        <f>LEFT(VLOOKUP(Ruimtestaat[[#This Row],[Ruimte code]],Ruimtegroepen[#All],4,1),2)</f>
        <v>Le</v>
      </c>
      <c r="Q378" s="93"/>
      <c r="R378" s="84">
        <v>40</v>
      </c>
      <c r="S378" s="84" t="s">
        <v>318</v>
      </c>
      <c r="T378" s="85">
        <f>IF(R378&gt;0,IF(RIGHT(Ruimtestaat[[#This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8" s="85">
        <f>IF(T378&gt;0,VLOOKUP($J378,Ruimtegroepen[],3,FALSE)*VLOOKUP($L378,Vloersoorten[],3,FALSE)*VLOOKUP($S378,Frequenties[],3,FALSE)*VLOOKUP($A378,Locaties[],3,FALSE),0)</f>
        <v>0</v>
      </c>
      <c r="V378" s="86">
        <f>Ruimtestaat[[#This Row],[Uitvoeringen werkdagen]]*Ruimtestaat[[#This Row],[Oppervlak (netto)]]</f>
        <v>11770</v>
      </c>
      <c r="W378" s="87">
        <f>IF(U378&gt;0,Ruimtestaat[[#This Row],[Prest. (m2 /jaar) werkdagen]]/Ruimtestaat[[#This Row],[Norm (m2/uur) werkdagen]],0)</f>
        <v>0</v>
      </c>
      <c r="X378" s="88">
        <f>Ruimtestaat[[#This Row],[uren / jaar werkdagen]]*Tariefsopbouw!$E$35</f>
        <v>0</v>
      </c>
      <c r="Y378" s="85"/>
      <c r="Z378" s="89">
        <f>IF(Ruimtestaat[[#This Row],[Frequentie weekend]]&gt;0,VALUE(LEFT(Y378,1))*R378,0)</f>
        <v>0</v>
      </c>
      <c r="AA378" s="85">
        <f>IF($Z378&gt;0,VLOOKUP($J378,Ruimtegroepen[],3,FALSE)*VLOOKUP($L378,Vloersoorten[],3,FALSE)*VLOOKUP($Y378,Frequenties[],3,FALSE)*VLOOKUP(#REF!,Locaties[],3,FALSE),0)</f>
        <v>0</v>
      </c>
      <c r="AB378" s="87">
        <f>Ruimtestaat[[#This Row],[Uitvoeringen weekend]]*Ruimtestaat[[#This Row],[Oppervlak (netto)]]</f>
        <v>0</v>
      </c>
      <c r="AC378" s="90">
        <f>IF(AB378&gt;0,Ruimtestaat[[#This Row],[Prest. (m2 /jaar) weekend]]/Ruimtestaat[[#This Row],[Norm (m2/uur) weekend]],0)</f>
        <v>0</v>
      </c>
      <c r="AD378" s="91">
        <f>Ruimtestaat[[#This Row],[uren / jaar weekend]]*Tariefsopbouw!$D$40</f>
        <v>0</v>
      </c>
      <c r="AE378" s="60">
        <f>Ruimtestaat[[#This Row],[Prest. (m2 /jaar) weekend]]+Ruimtestaat[[#This Row],[Prest. (m2 /jaar) werkdagen]]</f>
        <v>11770</v>
      </c>
      <c r="AF378" s="60">
        <f>Ruimtestaat[[#This Row],[uren / jaar weekend]]+Ruimtestaat[[#This Row],[uren / jaar werkdagen]]</f>
        <v>0</v>
      </c>
      <c r="AG378" s="61">
        <f>Ruimtestaat[[#This Row],[kosten / jaar weekend]]+Ruimtestaat[[#This Row],[kosten / jaar werkdagen]]</f>
        <v>0</v>
      </c>
      <c r="AH378" s="92"/>
      <c r="HL378" s="59"/>
    </row>
    <row r="379" spans="1:220">
      <c r="A379" s="24">
        <v>2</v>
      </c>
      <c r="B379" s="24" t="str">
        <f>VLOOKUP(Ruimtestaat[[#This Row],[Code]],Locaties[#All],2,FALSE)</f>
        <v>Het Stormink</v>
      </c>
      <c r="C379" s="24" t="str">
        <f>VLOOKUP(Ruimtestaat[[#This Row],[Code]],Locaties[#All],4,FALSE)</f>
        <v>Storminkstraat 1</v>
      </c>
      <c r="D379" s="24" t="str">
        <f>VLOOKUP(Ruimtestaat[[#This Row],[Code]],Locaties[#All],5,FALSE)</f>
        <v>7418 GH</v>
      </c>
      <c r="E379" s="24" t="str">
        <f>VLOOKUP(Ruimtestaat[[#This Row],[Code]],Locaties[#All],6,FALSE)</f>
        <v>Deventer</v>
      </c>
      <c r="F379" s="54"/>
      <c r="G379" s="24" t="s">
        <v>569</v>
      </c>
      <c r="H379" s="24" t="s">
        <v>799</v>
      </c>
      <c r="I379" s="4" t="s">
        <v>709</v>
      </c>
      <c r="J379" s="24">
        <v>16</v>
      </c>
      <c r="K379" s="54" t="str">
        <f>VLOOKUP(J379,Ruimtegroepen[],2,FALSE)</f>
        <v>Leslokalen theorie</v>
      </c>
      <c r="L379" s="24" t="s">
        <v>300</v>
      </c>
      <c r="M379" s="24" t="s">
        <v>157</v>
      </c>
      <c r="N379" s="83">
        <v>58.47</v>
      </c>
      <c r="O379" s="83"/>
      <c r="P379" s="93" t="str">
        <f>LEFT(VLOOKUP(Ruimtestaat[[#This Row],[Ruimte code]],Ruimtegroepen[#All],4,1),2)</f>
        <v>Le</v>
      </c>
      <c r="Q379" s="93"/>
      <c r="R379" s="84">
        <v>40</v>
      </c>
      <c r="S379" s="84" t="s">
        <v>318</v>
      </c>
      <c r="T379" s="85">
        <f>IF(R379&gt;0,IF(RIGHT(Ruimtestaat[[#This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9" s="85">
        <f>IF(T379&gt;0,VLOOKUP($J379,Ruimtegroepen[],3,FALSE)*VLOOKUP($L379,Vloersoorten[],3,FALSE)*VLOOKUP($S379,Frequenties[],3,FALSE)*VLOOKUP($A379,Locaties[],3,FALSE),0)</f>
        <v>0</v>
      </c>
      <c r="V379" s="86">
        <f>Ruimtestaat[[#This Row],[Uitvoeringen werkdagen]]*Ruimtestaat[[#This Row],[Oppervlak (netto)]]</f>
        <v>11694</v>
      </c>
      <c r="W379" s="87">
        <f>IF(U379&gt;0,Ruimtestaat[[#This Row],[Prest. (m2 /jaar) werkdagen]]/Ruimtestaat[[#This Row],[Norm (m2/uur) werkdagen]],0)</f>
        <v>0</v>
      </c>
      <c r="X379" s="88">
        <f>Ruimtestaat[[#This Row],[uren / jaar werkdagen]]*Tariefsopbouw!$E$35</f>
        <v>0</v>
      </c>
      <c r="Y379" s="85"/>
      <c r="Z379" s="89">
        <f>IF(Ruimtestaat[[#This Row],[Frequentie weekend]]&gt;0,VALUE(LEFT(Y379,1))*R379,0)</f>
        <v>0</v>
      </c>
      <c r="AA379" s="85">
        <f>IF($Z379&gt;0,VLOOKUP($J379,Ruimtegroepen[],3,FALSE)*VLOOKUP($L379,Vloersoorten[],3,FALSE)*VLOOKUP($Y379,Frequenties[],3,FALSE)*VLOOKUP(#REF!,Locaties[],3,FALSE),0)</f>
        <v>0</v>
      </c>
      <c r="AB379" s="87">
        <f>Ruimtestaat[[#This Row],[Uitvoeringen weekend]]*Ruimtestaat[[#This Row],[Oppervlak (netto)]]</f>
        <v>0</v>
      </c>
      <c r="AC379" s="90">
        <f>IF(AB379&gt;0,Ruimtestaat[[#This Row],[Prest. (m2 /jaar) weekend]]/Ruimtestaat[[#This Row],[Norm (m2/uur) weekend]],0)</f>
        <v>0</v>
      </c>
      <c r="AD379" s="91">
        <f>Ruimtestaat[[#This Row],[uren / jaar weekend]]*Tariefsopbouw!$D$40</f>
        <v>0</v>
      </c>
      <c r="AE379" s="60">
        <f>Ruimtestaat[[#This Row],[Prest. (m2 /jaar) weekend]]+Ruimtestaat[[#This Row],[Prest. (m2 /jaar) werkdagen]]</f>
        <v>11694</v>
      </c>
      <c r="AF379" s="60">
        <f>Ruimtestaat[[#This Row],[uren / jaar weekend]]+Ruimtestaat[[#This Row],[uren / jaar werkdagen]]</f>
        <v>0</v>
      </c>
      <c r="AG379" s="61">
        <f>Ruimtestaat[[#This Row],[kosten / jaar weekend]]+Ruimtestaat[[#This Row],[kosten / jaar werkdagen]]</f>
        <v>0</v>
      </c>
      <c r="AH379" s="92"/>
      <c r="HL379" s="59"/>
    </row>
    <row r="380" spans="1:220">
      <c r="A380" s="24">
        <v>2</v>
      </c>
      <c r="B380" s="24" t="str">
        <f>VLOOKUP(Ruimtestaat[[#This Row],[Code]],Locaties[#All],2,FALSE)</f>
        <v>Het Stormink</v>
      </c>
      <c r="C380" s="24" t="str">
        <f>VLOOKUP(Ruimtestaat[[#This Row],[Code]],Locaties[#All],4,FALSE)</f>
        <v>Storminkstraat 1</v>
      </c>
      <c r="D380" s="24" t="str">
        <f>VLOOKUP(Ruimtestaat[[#This Row],[Code]],Locaties[#All],5,FALSE)</f>
        <v>7418 GH</v>
      </c>
      <c r="E380" s="24" t="str">
        <f>VLOOKUP(Ruimtestaat[[#This Row],[Code]],Locaties[#All],6,FALSE)</f>
        <v>Deventer</v>
      </c>
      <c r="F380" s="54"/>
      <c r="G380" s="24" t="s">
        <v>569</v>
      </c>
      <c r="H380" s="24" t="s">
        <v>800</v>
      </c>
      <c r="I380" s="4" t="s">
        <v>709</v>
      </c>
      <c r="J380" s="24">
        <v>16</v>
      </c>
      <c r="K380" s="54" t="str">
        <f>VLOOKUP(J380,Ruimtegroepen[],2,FALSE)</f>
        <v>Leslokalen theorie</v>
      </c>
      <c r="L380" s="24" t="s">
        <v>300</v>
      </c>
      <c r="M380" s="24" t="s">
        <v>157</v>
      </c>
      <c r="N380" s="83">
        <v>57.93</v>
      </c>
      <c r="O380" s="83"/>
      <c r="P380" s="93" t="str">
        <f>LEFT(VLOOKUP(Ruimtestaat[[#This Row],[Ruimte code]],Ruimtegroepen[#All],4,1),2)</f>
        <v>Le</v>
      </c>
      <c r="Q380" s="93"/>
      <c r="R380" s="84">
        <v>40</v>
      </c>
      <c r="S380" s="84" t="s">
        <v>318</v>
      </c>
      <c r="T380" s="85">
        <f>IF(R380&gt;0,IF(RIGHT(Ruimtestaat[[#This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0" s="85">
        <f>IF(T380&gt;0,VLOOKUP($J380,Ruimtegroepen[],3,FALSE)*VLOOKUP($L380,Vloersoorten[],3,FALSE)*VLOOKUP($S380,Frequenties[],3,FALSE)*VLOOKUP($A380,Locaties[],3,FALSE),0)</f>
        <v>0</v>
      </c>
      <c r="V380" s="86">
        <f>Ruimtestaat[[#This Row],[Uitvoeringen werkdagen]]*Ruimtestaat[[#This Row],[Oppervlak (netto)]]</f>
        <v>11586</v>
      </c>
      <c r="W380" s="87">
        <f>IF(U380&gt;0,Ruimtestaat[[#This Row],[Prest. (m2 /jaar) werkdagen]]/Ruimtestaat[[#This Row],[Norm (m2/uur) werkdagen]],0)</f>
        <v>0</v>
      </c>
      <c r="X380" s="88">
        <f>Ruimtestaat[[#This Row],[uren / jaar werkdagen]]*Tariefsopbouw!$E$35</f>
        <v>0</v>
      </c>
      <c r="Y380" s="85"/>
      <c r="Z380" s="89">
        <f>IF(Ruimtestaat[[#This Row],[Frequentie weekend]]&gt;0,VALUE(LEFT(Y380,1))*R380,0)</f>
        <v>0</v>
      </c>
      <c r="AA380" s="85">
        <f>IF($Z380&gt;0,VLOOKUP($J380,Ruimtegroepen[],3,FALSE)*VLOOKUP($L380,Vloersoorten[],3,FALSE)*VLOOKUP($Y380,Frequenties[],3,FALSE)*VLOOKUP(#REF!,Locaties[],3,FALSE),0)</f>
        <v>0</v>
      </c>
      <c r="AB380" s="87">
        <f>Ruimtestaat[[#This Row],[Uitvoeringen weekend]]*Ruimtestaat[[#This Row],[Oppervlak (netto)]]</f>
        <v>0</v>
      </c>
      <c r="AC380" s="90">
        <f>IF(AB380&gt;0,Ruimtestaat[[#This Row],[Prest. (m2 /jaar) weekend]]/Ruimtestaat[[#This Row],[Norm (m2/uur) weekend]],0)</f>
        <v>0</v>
      </c>
      <c r="AD380" s="91">
        <f>Ruimtestaat[[#This Row],[uren / jaar weekend]]*Tariefsopbouw!$D$40</f>
        <v>0</v>
      </c>
      <c r="AE380" s="60">
        <f>Ruimtestaat[[#This Row],[Prest. (m2 /jaar) weekend]]+Ruimtestaat[[#This Row],[Prest. (m2 /jaar) werkdagen]]</f>
        <v>11586</v>
      </c>
      <c r="AF380" s="60">
        <f>Ruimtestaat[[#This Row],[uren / jaar weekend]]+Ruimtestaat[[#This Row],[uren / jaar werkdagen]]</f>
        <v>0</v>
      </c>
      <c r="AG380" s="61">
        <f>Ruimtestaat[[#This Row],[kosten / jaar weekend]]+Ruimtestaat[[#This Row],[kosten / jaar werkdagen]]</f>
        <v>0</v>
      </c>
      <c r="AH380" s="92"/>
      <c r="HL380" s="59"/>
    </row>
    <row r="381" spans="1:220">
      <c r="A381" s="24">
        <v>2</v>
      </c>
      <c r="B381" s="24" t="str">
        <f>VLOOKUP(Ruimtestaat[[#This Row],[Code]],Locaties[#All],2,FALSE)</f>
        <v>Het Stormink</v>
      </c>
      <c r="C381" s="24" t="str">
        <f>VLOOKUP(Ruimtestaat[[#This Row],[Code]],Locaties[#All],4,FALSE)</f>
        <v>Storminkstraat 1</v>
      </c>
      <c r="D381" s="24" t="str">
        <f>VLOOKUP(Ruimtestaat[[#This Row],[Code]],Locaties[#All],5,FALSE)</f>
        <v>7418 GH</v>
      </c>
      <c r="E381" s="24" t="str">
        <f>VLOOKUP(Ruimtestaat[[#This Row],[Code]],Locaties[#All],6,FALSE)</f>
        <v>Deventer</v>
      </c>
      <c r="F381" s="54"/>
      <c r="G381" s="24" t="s">
        <v>569</v>
      </c>
      <c r="H381" s="24" t="s">
        <v>801</v>
      </c>
      <c r="I381" s="4" t="s">
        <v>709</v>
      </c>
      <c r="J381" s="24">
        <v>16</v>
      </c>
      <c r="K381" s="54" t="str">
        <f>VLOOKUP(J381,Ruimtegroepen[],2,FALSE)</f>
        <v>Leslokalen theorie</v>
      </c>
      <c r="L381" s="24" t="s">
        <v>300</v>
      </c>
      <c r="M381" s="24" t="s">
        <v>157</v>
      </c>
      <c r="N381" s="83">
        <v>58.52</v>
      </c>
      <c r="O381" s="83"/>
      <c r="P381" s="93" t="str">
        <f>LEFT(VLOOKUP(Ruimtestaat[[#This Row],[Ruimte code]],Ruimtegroepen[#All],4,1),2)</f>
        <v>Le</v>
      </c>
      <c r="Q381" s="93"/>
      <c r="R381" s="84">
        <v>40</v>
      </c>
      <c r="S381" s="84" t="s">
        <v>318</v>
      </c>
      <c r="T381" s="85">
        <f>IF(R381&gt;0,IF(RIGHT(Ruimtestaat[[#This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1" s="85">
        <f>IF(T381&gt;0,VLOOKUP($J381,Ruimtegroepen[],3,FALSE)*VLOOKUP($L381,Vloersoorten[],3,FALSE)*VLOOKUP($S381,Frequenties[],3,FALSE)*VLOOKUP($A381,Locaties[],3,FALSE),0)</f>
        <v>0</v>
      </c>
      <c r="V381" s="86">
        <f>Ruimtestaat[[#This Row],[Uitvoeringen werkdagen]]*Ruimtestaat[[#This Row],[Oppervlak (netto)]]</f>
        <v>11704</v>
      </c>
      <c r="W381" s="87">
        <f>IF(U381&gt;0,Ruimtestaat[[#This Row],[Prest. (m2 /jaar) werkdagen]]/Ruimtestaat[[#This Row],[Norm (m2/uur) werkdagen]],0)</f>
        <v>0</v>
      </c>
      <c r="X381" s="88">
        <f>Ruimtestaat[[#This Row],[uren / jaar werkdagen]]*Tariefsopbouw!$E$35</f>
        <v>0</v>
      </c>
      <c r="Y381" s="85"/>
      <c r="Z381" s="89">
        <f>IF(Ruimtestaat[[#This Row],[Frequentie weekend]]&gt;0,VALUE(LEFT(Y381,1))*R381,0)</f>
        <v>0</v>
      </c>
      <c r="AA381" s="85">
        <f>IF($Z381&gt;0,VLOOKUP($J381,Ruimtegroepen[],3,FALSE)*VLOOKUP($L381,Vloersoorten[],3,FALSE)*VLOOKUP($Y381,Frequenties[],3,FALSE)*VLOOKUP(#REF!,Locaties[],3,FALSE),0)</f>
        <v>0</v>
      </c>
      <c r="AB381" s="87">
        <f>Ruimtestaat[[#This Row],[Uitvoeringen weekend]]*Ruimtestaat[[#This Row],[Oppervlak (netto)]]</f>
        <v>0</v>
      </c>
      <c r="AC381" s="90">
        <f>IF(AB381&gt;0,Ruimtestaat[[#This Row],[Prest. (m2 /jaar) weekend]]/Ruimtestaat[[#This Row],[Norm (m2/uur) weekend]],0)</f>
        <v>0</v>
      </c>
      <c r="AD381" s="91">
        <f>Ruimtestaat[[#This Row],[uren / jaar weekend]]*Tariefsopbouw!$D$40</f>
        <v>0</v>
      </c>
      <c r="AE381" s="60">
        <f>Ruimtestaat[[#This Row],[Prest. (m2 /jaar) weekend]]+Ruimtestaat[[#This Row],[Prest. (m2 /jaar) werkdagen]]</f>
        <v>11704</v>
      </c>
      <c r="AF381" s="60">
        <f>Ruimtestaat[[#This Row],[uren / jaar weekend]]+Ruimtestaat[[#This Row],[uren / jaar werkdagen]]</f>
        <v>0</v>
      </c>
      <c r="AG381" s="61">
        <f>Ruimtestaat[[#This Row],[kosten / jaar weekend]]+Ruimtestaat[[#This Row],[kosten / jaar werkdagen]]</f>
        <v>0</v>
      </c>
      <c r="AH381" s="92"/>
      <c r="HL381" s="59"/>
    </row>
    <row r="382" spans="1:220">
      <c r="A382" s="24">
        <v>2</v>
      </c>
      <c r="B382" s="24" t="str">
        <f>VLOOKUP(Ruimtestaat[[#This Row],[Code]],Locaties[#All],2,FALSE)</f>
        <v>Het Stormink</v>
      </c>
      <c r="C382" s="24" t="str">
        <f>VLOOKUP(Ruimtestaat[[#This Row],[Code]],Locaties[#All],4,FALSE)</f>
        <v>Storminkstraat 1</v>
      </c>
      <c r="D382" s="24" t="str">
        <f>VLOOKUP(Ruimtestaat[[#This Row],[Code]],Locaties[#All],5,FALSE)</f>
        <v>7418 GH</v>
      </c>
      <c r="E382" s="24" t="str">
        <f>VLOOKUP(Ruimtestaat[[#This Row],[Code]],Locaties[#All],6,FALSE)</f>
        <v>Deventer</v>
      </c>
      <c r="F382" s="54"/>
      <c r="G382" s="24" t="s">
        <v>569</v>
      </c>
      <c r="H382" s="24" t="s">
        <v>802</v>
      </c>
      <c r="I382" s="4" t="s">
        <v>709</v>
      </c>
      <c r="J382" s="24">
        <v>16</v>
      </c>
      <c r="K382" s="54" t="str">
        <f>VLOOKUP(J382,Ruimtegroepen[],2,FALSE)</f>
        <v>Leslokalen theorie</v>
      </c>
      <c r="L382" s="24" t="s">
        <v>300</v>
      </c>
      <c r="M382" s="24" t="s">
        <v>157</v>
      </c>
      <c r="N382" s="83">
        <v>58.85</v>
      </c>
      <c r="O382" s="83"/>
      <c r="P382" s="93" t="str">
        <f>LEFT(VLOOKUP(Ruimtestaat[[#This Row],[Ruimte code]],Ruimtegroepen[#All],4,1),2)</f>
        <v>Le</v>
      </c>
      <c r="Q382" s="93"/>
      <c r="R382" s="84">
        <v>40</v>
      </c>
      <c r="S382" s="84" t="s">
        <v>318</v>
      </c>
      <c r="T382" s="85">
        <f>IF(R382&gt;0,IF(RIGHT(Ruimtestaat[[#This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2" s="85">
        <f>IF(T382&gt;0,VLOOKUP($J382,Ruimtegroepen[],3,FALSE)*VLOOKUP($L382,Vloersoorten[],3,FALSE)*VLOOKUP($S382,Frequenties[],3,FALSE)*VLOOKUP($A382,Locaties[],3,FALSE),0)</f>
        <v>0</v>
      </c>
      <c r="V382" s="86">
        <f>Ruimtestaat[[#This Row],[Uitvoeringen werkdagen]]*Ruimtestaat[[#This Row],[Oppervlak (netto)]]</f>
        <v>11770</v>
      </c>
      <c r="W382" s="87">
        <f>IF(U382&gt;0,Ruimtestaat[[#This Row],[Prest. (m2 /jaar) werkdagen]]/Ruimtestaat[[#This Row],[Norm (m2/uur) werkdagen]],0)</f>
        <v>0</v>
      </c>
      <c r="X382" s="88">
        <f>Ruimtestaat[[#This Row],[uren / jaar werkdagen]]*Tariefsopbouw!$E$35</f>
        <v>0</v>
      </c>
      <c r="Y382" s="85"/>
      <c r="Z382" s="89">
        <f>IF(Ruimtestaat[[#This Row],[Frequentie weekend]]&gt;0,VALUE(LEFT(Y382,1))*R382,0)</f>
        <v>0</v>
      </c>
      <c r="AA382" s="85">
        <f>IF($Z382&gt;0,VLOOKUP($J382,Ruimtegroepen[],3,FALSE)*VLOOKUP($L382,Vloersoorten[],3,FALSE)*VLOOKUP($Y382,Frequenties[],3,FALSE)*VLOOKUP(#REF!,Locaties[],3,FALSE),0)</f>
        <v>0</v>
      </c>
      <c r="AB382" s="87">
        <f>Ruimtestaat[[#This Row],[Uitvoeringen weekend]]*Ruimtestaat[[#This Row],[Oppervlak (netto)]]</f>
        <v>0</v>
      </c>
      <c r="AC382" s="90">
        <f>IF(AB382&gt;0,Ruimtestaat[[#This Row],[Prest. (m2 /jaar) weekend]]/Ruimtestaat[[#This Row],[Norm (m2/uur) weekend]],0)</f>
        <v>0</v>
      </c>
      <c r="AD382" s="91">
        <f>Ruimtestaat[[#This Row],[uren / jaar weekend]]*Tariefsopbouw!$D$40</f>
        <v>0</v>
      </c>
      <c r="AE382" s="60">
        <f>Ruimtestaat[[#This Row],[Prest. (m2 /jaar) weekend]]+Ruimtestaat[[#This Row],[Prest. (m2 /jaar) werkdagen]]</f>
        <v>11770</v>
      </c>
      <c r="AF382" s="60">
        <f>Ruimtestaat[[#This Row],[uren / jaar weekend]]+Ruimtestaat[[#This Row],[uren / jaar werkdagen]]</f>
        <v>0</v>
      </c>
      <c r="AG382" s="61">
        <f>Ruimtestaat[[#This Row],[kosten / jaar weekend]]+Ruimtestaat[[#This Row],[kosten / jaar werkdagen]]</f>
        <v>0</v>
      </c>
      <c r="AH382" s="92"/>
      <c r="HL382" s="59"/>
    </row>
    <row r="383" spans="1:220">
      <c r="A383" s="24">
        <v>2</v>
      </c>
      <c r="B383" s="24" t="str">
        <f>VLOOKUP(Ruimtestaat[[#This Row],[Code]],Locaties[#All],2,FALSE)</f>
        <v>Het Stormink</v>
      </c>
      <c r="C383" s="24" t="str">
        <f>VLOOKUP(Ruimtestaat[[#This Row],[Code]],Locaties[#All],4,FALSE)</f>
        <v>Storminkstraat 1</v>
      </c>
      <c r="D383" s="24" t="str">
        <f>VLOOKUP(Ruimtestaat[[#This Row],[Code]],Locaties[#All],5,FALSE)</f>
        <v>7418 GH</v>
      </c>
      <c r="E383" s="24" t="str">
        <f>VLOOKUP(Ruimtestaat[[#This Row],[Code]],Locaties[#All],6,FALSE)</f>
        <v>Deventer</v>
      </c>
      <c r="F383" s="54"/>
      <c r="G383" s="24" t="s">
        <v>569</v>
      </c>
      <c r="H383" s="24" t="s">
        <v>803</v>
      </c>
      <c r="I383" s="4" t="s">
        <v>709</v>
      </c>
      <c r="J383" s="24">
        <v>16</v>
      </c>
      <c r="K383" s="54" t="str">
        <f>VLOOKUP(J383,Ruimtegroepen[],2,FALSE)</f>
        <v>Leslokalen theorie</v>
      </c>
      <c r="L383" s="24" t="s">
        <v>300</v>
      </c>
      <c r="M383" s="24" t="s">
        <v>157</v>
      </c>
      <c r="N383" s="83">
        <v>58.85</v>
      </c>
      <c r="O383" s="83"/>
      <c r="P383" s="93" t="str">
        <f>LEFT(VLOOKUP(Ruimtestaat[[#This Row],[Ruimte code]],Ruimtegroepen[#All],4,1),2)</f>
        <v>Le</v>
      </c>
      <c r="Q383" s="93"/>
      <c r="R383" s="84">
        <v>40</v>
      </c>
      <c r="S383" s="84" t="s">
        <v>318</v>
      </c>
      <c r="T383" s="85">
        <f>IF(R383&gt;0,IF(RIGHT(Ruimtestaat[[#This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3" s="85">
        <f>IF(T383&gt;0,VLOOKUP($J383,Ruimtegroepen[],3,FALSE)*VLOOKUP($L383,Vloersoorten[],3,FALSE)*VLOOKUP($S383,Frequenties[],3,FALSE)*VLOOKUP($A383,Locaties[],3,FALSE),0)</f>
        <v>0</v>
      </c>
      <c r="V383" s="86">
        <f>Ruimtestaat[[#This Row],[Uitvoeringen werkdagen]]*Ruimtestaat[[#This Row],[Oppervlak (netto)]]</f>
        <v>11770</v>
      </c>
      <c r="W383" s="87">
        <f>IF(U383&gt;0,Ruimtestaat[[#This Row],[Prest. (m2 /jaar) werkdagen]]/Ruimtestaat[[#This Row],[Norm (m2/uur) werkdagen]],0)</f>
        <v>0</v>
      </c>
      <c r="X383" s="88">
        <f>Ruimtestaat[[#This Row],[uren / jaar werkdagen]]*Tariefsopbouw!$E$35</f>
        <v>0</v>
      </c>
      <c r="Y383" s="85"/>
      <c r="Z383" s="89">
        <f>IF(Ruimtestaat[[#This Row],[Frequentie weekend]]&gt;0,VALUE(LEFT(Y383,1))*R383,0)</f>
        <v>0</v>
      </c>
      <c r="AA383" s="85">
        <f>IF($Z383&gt;0,VLOOKUP($J383,Ruimtegroepen[],3,FALSE)*VLOOKUP($L383,Vloersoorten[],3,FALSE)*VLOOKUP($Y383,Frequenties[],3,FALSE)*VLOOKUP(#REF!,Locaties[],3,FALSE),0)</f>
        <v>0</v>
      </c>
      <c r="AB383" s="87">
        <f>Ruimtestaat[[#This Row],[Uitvoeringen weekend]]*Ruimtestaat[[#This Row],[Oppervlak (netto)]]</f>
        <v>0</v>
      </c>
      <c r="AC383" s="90">
        <f>IF(AB383&gt;0,Ruimtestaat[[#This Row],[Prest. (m2 /jaar) weekend]]/Ruimtestaat[[#This Row],[Norm (m2/uur) weekend]],0)</f>
        <v>0</v>
      </c>
      <c r="AD383" s="91">
        <f>Ruimtestaat[[#This Row],[uren / jaar weekend]]*Tariefsopbouw!$D$40</f>
        <v>0</v>
      </c>
      <c r="AE383" s="60">
        <f>Ruimtestaat[[#This Row],[Prest. (m2 /jaar) weekend]]+Ruimtestaat[[#This Row],[Prest. (m2 /jaar) werkdagen]]</f>
        <v>11770</v>
      </c>
      <c r="AF383" s="60">
        <f>Ruimtestaat[[#This Row],[uren / jaar weekend]]+Ruimtestaat[[#This Row],[uren / jaar werkdagen]]</f>
        <v>0</v>
      </c>
      <c r="AG383" s="61">
        <f>Ruimtestaat[[#This Row],[kosten / jaar weekend]]+Ruimtestaat[[#This Row],[kosten / jaar werkdagen]]</f>
        <v>0</v>
      </c>
      <c r="AH383" s="92"/>
      <c r="HL383" s="59"/>
    </row>
    <row r="384" spans="1:220">
      <c r="A384" s="24">
        <v>2</v>
      </c>
      <c r="B384" s="24" t="str">
        <f>VLOOKUP(Ruimtestaat[[#This Row],[Code]],Locaties[#All],2,FALSE)</f>
        <v>Het Stormink</v>
      </c>
      <c r="C384" s="24" t="str">
        <f>VLOOKUP(Ruimtestaat[[#This Row],[Code]],Locaties[#All],4,FALSE)</f>
        <v>Storminkstraat 1</v>
      </c>
      <c r="D384" s="24" t="str">
        <f>VLOOKUP(Ruimtestaat[[#This Row],[Code]],Locaties[#All],5,FALSE)</f>
        <v>7418 GH</v>
      </c>
      <c r="E384" s="24" t="str">
        <f>VLOOKUP(Ruimtestaat[[#This Row],[Code]],Locaties[#All],6,FALSE)</f>
        <v>Deventer</v>
      </c>
      <c r="F384" s="54"/>
      <c r="G384" s="24" t="s">
        <v>569</v>
      </c>
      <c r="H384" s="24" t="s">
        <v>804</v>
      </c>
      <c r="I384" s="4" t="s">
        <v>709</v>
      </c>
      <c r="J384" s="24">
        <v>16</v>
      </c>
      <c r="K384" s="54" t="str">
        <f>VLOOKUP(J384,Ruimtegroepen[],2,FALSE)</f>
        <v>Leslokalen theorie</v>
      </c>
      <c r="L384" s="24" t="s">
        <v>300</v>
      </c>
      <c r="M384" s="24" t="s">
        <v>157</v>
      </c>
      <c r="N384" s="83">
        <v>58.47</v>
      </c>
      <c r="O384" s="83"/>
      <c r="P384" s="93" t="str">
        <f>LEFT(VLOOKUP(Ruimtestaat[[#This Row],[Ruimte code]],Ruimtegroepen[#All],4,1),2)</f>
        <v>Le</v>
      </c>
      <c r="Q384" s="93"/>
      <c r="R384" s="84">
        <v>40</v>
      </c>
      <c r="S384" s="84" t="s">
        <v>318</v>
      </c>
      <c r="T384" s="85">
        <f>IF(R384&gt;0,IF(RIGHT(Ruimtestaat[[#This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4" s="85">
        <f>IF(T384&gt;0,VLOOKUP($J384,Ruimtegroepen[],3,FALSE)*VLOOKUP($L384,Vloersoorten[],3,FALSE)*VLOOKUP($S384,Frequenties[],3,FALSE)*VLOOKUP($A384,Locaties[],3,FALSE),0)</f>
        <v>0</v>
      </c>
      <c r="V384" s="86">
        <f>Ruimtestaat[[#This Row],[Uitvoeringen werkdagen]]*Ruimtestaat[[#This Row],[Oppervlak (netto)]]</f>
        <v>11694</v>
      </c>
      <c r="W384" s="87">
        <f>IF(U384&gt;0,Ruimtestaat[[#This Row],[Prest. (m2 /jaar) werkdagen]]/Ruimtestaat[[#This Row],[Norm (m2/uur) werkdagen]],0)</f>
        <v>0</v>
      </c>
      <c r="X384" s="88">
        <f>Ruimtestaat[[#This Row],[uren / jaar werkdagen]]*Tariefsopbouw!$E$35</f>
        <v>0</v>
      </c>
      <c r="Y384" s="85"/>
      <c r="Z384" s="89">
        <f>IF(Ruimtestaat[[#This Row],[Frequentie weekend]]&gt;0,VALUE(LEFT(Y384,1))*R384,0)</f>
        <v>0</v>
      </c>
      <c r="AA384" s="85">
        <f>IF($Z384&gt;0,VLOOKUP($J384,Ruimtegroepen[],3,FALSE)*VLOOKUP($L384,Vloersoorten[],3,FALSE)*VLOOKUP($Y384,Frequenties[],3,FALSE)*VLOOKUP(#REF!,Locaties[],3,FALSE),0)</f>
        <v>0</v>
      </c>
      <c r="AB384" s="87">
        <f>Ruimtestaat[[#This Row],[Uitvoeringen weekend]]*Ruimtestaat[[#This Row],[Oppervlak (netto)]]</f>
        <v>0</v>
      </c>
      <c r="AC384" s="90">
        <f>IF(AB384&gt;0,Ruimtestaat[[#This Row],[Prest. (m2 /jaar) weekend]]/Ruimtestaat[[#This Row],[Norm (m2/uur) weekend]],0)</f>
        <v>0</v>
      </c>
      <c r="AD384" s="91">
        <f>Ruimtestaat[[#This Row],[uren / jaar weekend]]*Tariefsopbouw!$D$40</f>
        <v>0</v>
      </c>
      <c r="AE384" s="60">
        <f>Ruimtestaat[[#This Row],[Prest. (m2 /jaar) weekend]]+Ruimtestaat[[#This Row],[Prest. (m2 /jaar) werkdagen]]</f>
        <v>11694</v>
      </c>
      <c r="AF384" s="60">
        <f>Ruimtestaat[[#This Row],[uren / jaar weekend]]+Ruimtestaat[[#This Row],[uren / jaar werkdagen]]</f>
        <v>0</v>
      </c>
      <c r="AG384" s="61">
        <f>Ruimtestaat[[#This Row],[kosten / jaar weekend]]+Ruimtestaat[[#This Row],[kosten / jaar werkdagen]]</f>
        <v>0</v>
      </c>
      <c r="AH384" s="92"/>
      <c r="HL384" s="59"/>
    </row>
    <row r="385" spans="1:220">
      <c r="A385" s="24">
        <v>2</v>
      </c>
      <c r="B385" s="24" t="str">
        <f>VLOOKUP(Ruimtestaat[[#This Row],[Code]],Locaties[#All],2,FALSE)</f>
        <v>Het Stormink</v>
      </c>
      <c r="C385" s="24" t="str">
        <f>VLOOKUP(Ruimtestaat[[#This Row],[Code]],Locaties[#All],4,FALSE)</f>
        <v>Storminkstraat 1</v>
      </c>
      <c r="D385" s="24" t="str">
        <f>VLOOKUP(Ruimtestaat[[#This Row],[Code]],Locaties[#All],5,FALSE)</f>
        <v>7418 GH</v>
      </c>
      <c r="E385" s="24" t="str">
        <f>VLOOKUP(Ruimtestaat[[#This Row],[Code]],Locaties[#All],6,FALSE)</f>
        <v>Deventer</v>
      </c>
      <c r="F385" s="54"/>
      <c r="G385" s="24" t="s">
        <v>569</v>
      </c>
      <c r="H385" s="24" t="s">
        <v>805</v>
      </c>
      <c r="I385" s="4" t="s">
        <v>716</v>
      </c>
      <c r="J385" s="24">
        <v>10</v>
      </c>
      <c r="K385" s="54" t="str">
        <f>VLOOKUP(J385,Ruimtegroepen[],2,FALSE)</f>
        <v>Trappenhuizen/lift</v>
      </c>
      <c r="L385" s="24" t="s">
        <v>300</v>
      </c>
      <c r="M385" s="24" t="s">
        <v>157</v>
      </c>
      <c r="N385" s="83">
        <v>36</v>
      </c>
      <c r="O385" s="83"/>
      <c r="P385" s="93" t="str">
        <f>LEFT(VLOOKUP(Ruimtestaat[[#This Row],[Ruimte code]],Ruimtegroepen[#All],4,1),2)</f>
        <v>Ve</v>
      </c>
      <c r="Q385" s="93"/>
      <c r="R385" s="84">
        <v>40</v>
      </c>
      <c r="S385" s="84" t="s">
        <v>318</v>
      </c>
      <c r="T385" s="85">
        <f>IF(R385&gt;0,IF(RIGHT(Ruimtestaat[[#This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5" s="85">
        <f>IF(T385&gt;0,VLOOKUP($J385,Ruimtegroepen[],3,FALSE)*VLOOKUP($L385,Vloersoorten[],3,FALSE)*VLOOKUP($S385,Frequenties[],3,FALSE)*VLOOKUP($A385,Locaties[],3,FALSE),0)</f>
        <v>0</v>
      </c>
      <c r="V385" s="86">
        <f>Ruimtestaat[[#This Row],[Uitvoeringen werkdagen]]*Ruimtestaat[[#This Row],[Oppervlak (netto)]]</f>
        <v>7200</v>
      </c>
      <c r="W385" s="87">
        <f>IF(U385&gt;0,Ruimtestaat[[#This Row],[Prest. (m2 /jaar) werkdagen]]/Ruimtestaat[[#This Row],[Norm (m2/uur) werkdagen]],0)</f>
        <v>0</v>
      </c>
      <c r="X385" s="88">
        <f>Ruimtestaat[[#This Row],[uren / jaar werkdagen]]*Tariefsopbouw!$E$35</f>
        <v>0</v>
      </c>
      <c r="Y385" s="85"/>
      <c r="Z385" s="89">
        <f>IF(Ruimtestaat[[#This Row],[Frequentie weekend]]&gt;0,VALUE(LEFT(Y385,1))*R385,0)</f>
        <v>0</v>
      </c>
      <c r="AA385" s="85">
        <f>IF($Z385&gt;0,VLOOKUP($J385,Ruimtegroepen[],3,FALSE)*VLOOKUP($L385,Vloersoorten[],3,FALSE)*VLOOKUP($Y385,Frequenties[],3,FALSE)*VLOOKUP(#REF!,Locaties[],3,FALSE),0)</f>
        <v>0</v>
      </c>
      <c r="AB385" s="87">
        <f>Ruimtestaat[[#This Row],[Uitvoeringen weekend]]*Ruimtestaat[[#This Row],[Oppervlak (netto)]]</f>
        <v>0</v>
      </c>
      <c r="AC385" s="90">
        <f>IF(AB385&gt;0,Ruimtestaat[[#This Row],[Prest. (m2 /jaar) weekend]]/Ruimtestaat[[#This Row],[Norm (m2/uur) weekend]],0)</f>
        <v>0</v>
      </c>
      <c r="AD385" s="91">
        <f>Ruimtestaat[[#This Row],[uren / jaar weekend]]*Tariefsopbouw!$D$40</f>
        <v>0</v>
      </c>
      <c r="AE385" s="60">
        <f>Ruimtestaat[[#This Row],[Prest. (m2 /jaar) weekend]]+Ruimtestaat[[#This Row],[Prest. (m2 /jaar) werkdagen]]</f>
        <v>7200</v>
      </c>
      <c r="AF385" s="60">
        <f>Ruimtestaat[[#This Row],[uren / jaar weekend]]+Ruimtestaat[[#This Row],[uren / jaar werkdagen]]</f>
        <v>0</v>
      </c>
      <c r="AG385" s="61">
        <f>Ruimtestaat[[#This Row],[kosten / jaar weekend]]+Ruimtestaat[[#This Row],[kosten / jaar werkdagen]]</f>
        <v>0</v>
      </c>
      <c r="AH385" s="92"/>
      <c r="HL385" s="59"/>
    </row>
    <row r="386" spans="1:220">
      <c r="A386" s="24">
        <v>2</v>
      </c>
      <c r="B386" s="24" t="str">
        <f>VLOOKUP(Ruimtestaat[[#This Row],[Code]],Locaties[#All],2,FALSE)</f>
        <v>Het Stormink</v>
      </c>
      <c r="C386" s="24" t="str">
        <f>VLOOKUP(Ruimtestaat[[#This Row],[Code]],Locaties[#All],4,FALSE)</f>
        <v>Storminkstraat 1</v>
      </c>
      <c r="D386" s="24" t="str">
        <f>VLOOKUP(Ruimtestaat[[#This Row],[Code]],Locaties[#All],5,FALSE)</f>
        <v>7418 GH</v>
      </c>
      <c r="E386" s="24" t="str">
        <f>VLOOKUP(Ruimtestaat[[#This Row],[Code]],Locaties[#All],6,FALSE)</f>
        <v>Deventer</v>
      </c>
      <c r="F386" s="54"/>
      <c r="G386" s="24" t="s">
        <v>569</v>
      </c>
      <c r="H386" s="24" t="s">
        <v>806</v>
      </c>
      <c r="I386" s="4" t="s">
        <v>716</v>
      </c>
      <c r="J386" s="24">
        <v>10</v>
      </c>
      <c r="K386" s="54" t="str">
        <f>VLOOKUP(J386,Ruimtegroepen[],2,FALSE)</f>
        <v>Trappenhuizen/lift</v>
      </c>
      <c r="L386" s="24" t="s">
        <v>300</v>
      </c>
      <c r="M386" s="24" t="s">
        <v>157</v>
      </c>
      <c r="N386" s="83">
        <v>36.08</v>
      </c>
      <c r="O386" s="83"/>
      <c r="P386" s="93" t="str">
        <f>LEFT(VLOOKUP(Ruimtestaat[[#This Row],[Ruimte code]],Ruimtegroepen[#All],4,1),2)</f>
        <v>Ve</v>
      </c>
      <c r="Q386" s="93"/>
      <c r="R386" s="84">
        <v>40</v>
      </c>
      <c r="S386" s="84" t="s">
        <v>318</v>
      </c>
      <c r="T386" s="85">
        <f>IF(R386&gt;0,IF(RIGHT(Ruimtestaat[[#This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6" s="85">
        <f>IF(T386&gt;0,VLOOKUP($J386,Ruimtegroepen[],3,FALSE)*VLOOKUP($L386,Vloersoorten[],3,FALSE)*VLOOKUP($S386,Frequenties[],3,FALSE)*VLOOKUP($A386,Locaties[],3,FALSE),0)</f>
        <v>0</v>
      </c>
      <c r="V386" s="86">
        <f>Ruimtestaat[[#This Row],[Uitvoeringen werkdagen]]*Ruimtestaat[[#This Row],[Oppervlak (netto)]]</f>
        <v>7216</v>
      </c>
      <c r="W386" s="87">
        <f>IF(U386&gt;0,Ruimtestaat[[#This Row],[Prest. (m2 /jaar) werkdagen]]/Ruimtestaat[[#This Row],[Norm (m2/uur) werkdagen]],0)</f>
        <v>0</v>
      </c>
      <c r="X386" s="88">
        <f>Ruimtestaat[[#This Row],[uren / jaar werkdagen]]*Tariefsopbouw!$E$35</f>
        <v>0</v>
      </c>
      <c r="Y386" s="85"/>
      <c r="Z386" s="89">
        <f>IF(Ruimtestaat[[#This Row],[Frequentie weekend]]&gt;0,VALUE(LEFT(Y386,1))*R386,0)</f>
        <v>0</v>
      </c>
      <c r="AA386" s="85">
        <f>IF($Z386&gt;0,VLOOKUP($J386,Ruimtegroepen[],3,FALSE)*VLOOKUP($L386,Vloersoorten[],3,FALSE)*VLOOKUP($Y386,Frequenties[],3,FALSE)*VLOOKUP(#REF!,Locaties[],3,FALSE),0)</f>
        <v>0</v>
      </c>
      <c r="AB386" s="87">
        <f>Ruimtestaat[[#This Row],[Uitvoeringen weekend]]*Ruimtestaat[[#This Row],[Oppervlak (netto)]]</f>
        <v>0</v>
      </c>
      <c r="AC386" s="90">
        <f>IF(AB386&gt;0,Ruimtestaat[[#This Row],[Prest. (m2 /jaar) weekend]]/Ruimtestaat[[#This Row],[Norm (m2/uur) weekend]],0)</f>
        <v>0</v>
      </c>
      <c r="AD386" s="91">
        <f>Ruimtestaat[[#This Row],[uren / jaar weekend]]*Tariefsopbouw!$D$40</f>
        <v>0</v>
      </c>
      <c r="AE386" s="60">
        <f>Ruimtestaat[[#This Row],[Prest. (m2 /jaar) weekend]]+Ruimtestaat[[#This Row],[Prest. (m2 /jaar) werkdagen]]</f>
        <v>7216</v>
      </c>
      <c r="AF386" s="60">
        <f>Ruimtestaat[[#This Row],[uren / jaar weekend]]+Ruimtestaat[[#This Row],[uren / jaar werkdagen]]</f>
        <v>0</v>
      </c>
      <c r="AG386" s="61">
        <f>Ruimtestaat[[#This Row],[kosten / jaar weekend]]+Ruimtestaat[[#This Row],[kosten / jaar werkdagen]]</f>
        <v>0</v>
      </c>
      <c r="AH386" s="92"/>
      <c r="HL386" s="59"/>
    </row>
    <row r="387" spans="1:220">
      <c r="A387" s="24">
        <v>2</v>
      </c>
      <c r="B387" s="24" t="str">
        <f>VLOOKUP(Ruimtestaat[[#This Row],[Code]],Locaties[#All],2,FALSE)</f>
        <v>Het Stormink</v>
      </c>
      <c r="C387" s="24" t="str">
        <f>VLOOKUP(Ruimtestaat[[#This Row],[Code]],Locaties[#All],4,FALSE)</f>
        <v>Storminkstraat 1</v>
      </c>
      <c r="D387" s="24" t="str">
        <f>VLOOKUP(Ruimtestaat[[#This Row],[Code]],Locaties[#All],5,FALSE)</f>
        <v>7418 GH</v>
      </c>
      <c r="E387" s="24" t="str">
        <f>VLOOKUP(Ruimtestaat[[#This Row],[Code]],Locaties[#All],6,FALSE)</f>
        <v>Deventer</v>
      </c>
      <c r="F387" s="54"/>
      <c r="G387" s="24" t="s">
        <v>569</v>
      </c>
      <c r="H387" s="24" t="s">
        <v>807</v>
      </c>
      <c r="I387" s="4" t="s">
        <v>716</v>
      </c>
      <c r="J387" s="24">
        <v>10</v>
      </c>
      <c r="K387" s="54" t="str">
        <f>VLOOKUP(J387,Ruimtegroepen[],2,FALSE)</f>
        <v>Trappenhuizen/lift</v>
      </c>
      <c r="L387" s="24" t="s">
        <v>300</v>
      </c>
      <c r="M387" s="24" t="s">
        <v>157</v>
      </c>
      <c r="N387" s="83">
        <v>33.07</v>
      </c>
      <c r="O387" s="83"/>
      <c r="P387" s="93" t="str">
        <f>LEFT(VLOOKUP(Ruimtestaat[[#This Row],[Ruimte code]],Ruimtegroepen[#All],4,1),2)</f>
        <v>Ve</v>
      </c>
      <c r="Q387" s="93"/>
      <c r="R387" s="84">
        <v>40</v>
      </c>
      <c r="S387" s="84" t="s">
        <v>318</v>
      </c>
      <c r="T387" s="85">
        <f>IF(R387&gt;0,IF(RIGHT(Ruimtestaat[[#This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7" s="85">
        <f>IF(T387&gt;0,VLOOKUP($J387,Ruimtegroepen[],3,FALSE)*VLOOKUP($L387,Vloersoorten[],3,FALSE)*VLOOKUP($S387,Frequenties[],3,FALSE)*VLOOKUP($A387,Locaties[],3,FALSE),0)</f>
        <v>0</v>
      </c>
      <c r="V387" s="86">
        <f>Ruimtestaat[[#This Row],[Uitvoeringen werkdagen]]*Ruimtestaat[[#This Row],[Oppervlak (netto)]]</f>
        <v>6614</v>
      </c>
      <c r="W387" s="87">
        <f>IF(U387&gt;0,Ruimtestaat[[#This Row],[Prest. (m2 /jaar) werkdagen]]/Ruimtestaat[[#This Row],[Norm (m2/uur) werkdagen]],0)</f>
        <v>0</v>
      </c>
      <c r="X387" s="88">
        <f>Ruimtestaat[[#This Row],[uren / jaar werkdagen]]*Tariefsopbouw!$E$35</f>
        <v>0</v>
      </c>
      <c r="Y387" s="85"/>
      <c r="Z387" s="89">
        <f>IF(Ruimtestaat[[#This Row],[Frequentie weekend]]&gt;0,VALUE(LEFT(Y387,1))*R387,0)</f>
        <v>0</v>
      </c>
      <c r="AA387" s="85">
        <f>IF($Z387&gt;0,VLOOKUP($J387,Ruimtegroepen[],3,FALSE)*VLOOKUP($L387,Vloersoorten[],3,FALSE)*VLOOKUP($Y387,Frequenties[],3,FALSE)*VLOOKUP(#REF!,Locaties[],3,FALSE),0)</f>
        <v>0</v>
      </c>
      <c r="AB387" s="87">
        <f>Ruimtestaat[[#This Row],[Uitvoeringen weekend]]*Ruimtestaat[[#This Row],[Oppervlak (netto)]]</f>
        <v>0</v>
      </c>
      <c r="AC387" s="90">
        <f>IF(AB387&gt;0,Ruimtestaat[[#This Row],[Prest. (m2 /jaar) weekend]]/Ruimtestaat[[#This Row],[Norm (m2/uur) weekend]],0)</f>
        <v>0</v>
      </c>
      <c r="AD387" s="91">
        <f>Ruimtestaat[[#This Row],[uren / jaar weekend]]*Tariefsopbouw!$D$40</f>
        <v>0</v>
      </c>
      <c r="AE387" s="60">
        <f>Ruimtestaat[[#This Row],[Prest. (m2 /jaar) weekend]]+Ruimtestaat[[#This Row],[Prest. (m2 /jaar) werkdagen]]</f>
        <v>6614</v>
      </c>
      <c r="AF387" s="60">
        <f>Ruimtestaat[[#This Row],[uren / jaar weekend]]+Ruimtestaat[[#This Row],[uren / jaar werkdagen]]</f>
        <v>0</v>
      </c>
      <c r="AG387" s="61">
        <f>Ruimtestaat[[#This Row],[kosten / jaar weekend]]+Ruimtestaat[[#This Row],[kosten / jaar werkdagen]]</f>
        <v>0</v>
      </c>
      <c r="AH387" s="92"/>
      <c r="HL387" s="59"/>
    </row>
    <row r="388" spans="1:220">
      <c r="A388" s="24">
        <v>2</v>
      </c>
      <c r="B388" s="24" t="str">
        <f>VLOOKUP(Ruimtestaat[[#This Row],[Code]],Locaties[#All],2,FALSE)</f>
        <v>Het Stormink</v>
      </c>
      <c r="C388" s="24" t="str">
        <f>VLOOKUP(Ruimtestaat[[#This Row],[Code]],Locaties[#All],4,FALSE)</f>
        <v>Storminkstraat 1</v>
      </c>
      <c r="D388" s="24" t="str">
        <f>VLOOKUP(Ruimtestaat[[#This Row],[Code]],Locaties[#All],5,FALSE)</f>
        <v>7418 GH</v>
      </c>
      <c r="E388" s="24" t="str">
        <f>VLOOKUP(Ruimtestaat[[#This Row],[Code]],Locaties[#All],6,FALSE)</f>
        <v>Deventer</v>
      </c>
      <c r="F388" s="54"/>
      <c r="G388" s="24" t="s">
        <v>599</v>
      </c>
      <c r="H388" s="24" t="s">
        <v>601</v>
      </c>
      <c r="I388" s="4" t="s">
        <v>808</v>
      </c>
      <c r="J388" s="24">
        <v>13</v>
      </c>
      <c r="K388" s="54" t="str">
        <f>VLOOKUP(J388,Ruimtegroepen[],2,FALSE)</f>
        <v>HV/Technieklokaal</v>
      </c>
      <c r="L388" s="24" t="s">
        <v>300</v>
      </c>
      <c r="M388" s="24" t="s">
        <v>157</v>
      </c>
      <c r="N388" s="83">
        <v>12.72</v>
      </c>
      <c r="O388" s="83"/>
      <c r="P388" s="93" t="str">
        <f>LEFT(VLOOKUP(Ruimtestaat[[#This Row],[Ruimte code]],Ruimtegroepen[#All],4,1),2)</f>
        <v>Le</v>
      </c>
      <c r="Q388" s="93"/>
      <c r="R388" s="84">
        <v>40</v>
      </c>
      <c r="S388" s="84" t="s">
        <v>318</v>
      </c>
      <c r="T388" s="85">
        <f>IF(R388&gt;0,IF(RIGHT(Ruimtestaat[[#This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8" s="85">
        <f>IF(T388&gt;0,VLOOKUP($J388,Ruimtegroepen[],3,FALSE)*VLOOKUP($L388,Vloersoorten[],3,FALSE)*VLOOKUP($S388,Frequenties[],3,FALSE)*VLOOKUP($A388,Locaties[],3,FALSE),0)</f>
        <v>0</v>
      </c>
      <c r="V388" s="86">
        <f>Ruimtestaat[[#This Row],[Uitvoeringen werkdagen]]*Ruimtestaat[[#This Row],[Oppervlak (netto)]]</f>
        <v>2544</v>
      </c>
      <c r="W388" s="87">
        <f>IF(U388&gt;0,Ruimtestaat[[#This Row],[Prest. (m2 /jaar) werkdagen]]/Ruimtestaat[[#This Row],[Norm (m2/uur) werkdagen]],0)</f>
        <v>0</v>
      </c>
      <c r="X388" s="88">
        <f>Ruimtestaat[[#This Row],[uren / jaar werkdagen]]*Tariefsopbouw!$E$35</f>
        <v>0</v>
      </c>
      <c r="Y388" s="85"/>
      <c r="Z388" s="89">
        <f>IF(Ruimtestaat[[#This Row],[Frequentie weekend]]&gt;0,VALUE(LEFT(Y388,1))*R388,0)</f>
        <v>0</v>
      </c>
      <c r="AA388" s="85">
        <f>IF($Z388&gt;0,VLOOKUP($J388,Ruimtegroepen[],3,FALSE)*VLOOKUP($L388,Vloersoorten[],3,FALSE)*VLOOKUP($Y388,Frequenties[],3,FALSE)*VLOOKUP(#REF!,Locaties[],3,FALSE),0)</f>
        <v>0</v>
      </c>
      <c r="AB388" s="87">
        <f>Ruimtestaat[[#This Row],[Uitvoeringen weekend]]*Ruimtestaat[[#This Row],[Oppervlak (netto)]]</f>
        <v>0</v>
      </c>
      <c r="AC388" s="90">
        <f>IF(AB388&gt;0,Ruimtestaat[[#This Row],[Prest. (m2 /jaar) weekend]]/Ruimtestaat[[#This Row],[Norm (m2/uur) weekend]],0)</f>
        <v>0</v>
      </c>
      <c r="AD388" s="91">
        <f>Ruimtestaat[[#This Row],[uren / jaar weekend]]*Tariefsopbouw!$D$40</f>
        <v>0</v>
      </c>
      <c r="AE388" s="60">
        <f>Ruimtestaat[[#This Row],[Prest. (m2 /jaar) weekend]]+Ruimtestaat[[#This Row],[Prest. (m2 /jaar) werkdagen]]</f>
        <v>2544</v>
      </c>
      <c r="AF388" s="60">
        <f>Ruimtestaat[[#This Row],[uren / jaar weekend]]+Ruimtestaat[[#This Row],[uren / jaar werkdagen]]</f>
        <v>0</v>
      </c>
      <c r="AG388" s="61">
        <f>Ruimtestaat[[#This Row],[kosten / jaar weekend]]+Ruimtestaat[[#This Row],[kosten / jaar werkdagen]]</f>
        <v>0</v>
      </c>
      <c r="AH388" s="92"/>
      <c r="HL388" s="59"/>
    </row>
    <row r="389" spans="1:220">
      <c r="A389" s="24">
        <v>2</v>
      </c>
      <c r="B389" s="24" t="str">
        <f>VLOOKUP(Ruimtestaat[[#This Row],[Code]],Locaties[#All],2,FALSE)</f>
        <v>Het Stormink</v>
      </c>
      <c r="C389" s="24" t="str">
        <f>VLOOKUP(Ruimtestaat[[#This Row],[Code]],Locaties[#All],4,FALSE)</f>
        <v>Storminkstraat 1</v>
      </c>
      <c r="D389" s="24" t="str">
        <f>VLOOKUP(Ruimtestaat[[#This Row],[Code]],Locaties[#All],5,FALSE)</f>
        <v>7418 GH</v>
      </c>
      <c r="E389" s="24" t="str">
        <f>VLOOKUP(Ruimtestaat[[#This Row],[Code]],Locaties[#All],6,FALSE)</f>
        <v>Deventer</v>
      </c>
      <c r="F389" s="54"/>
      <c r="G389" s="24" t="s">
        <v>599</v>
      </c>
      <c r="H389" s="24" t="s">
        <v>602</v>
      </c>
      <c r="I389" s="4" t="s">
        <v>809</v>
      </c>
      <c r="J389" s="24">
        <v>22</v>
      </c>
      <c r="K389" s="54" t="str">
        <f>VLOOKUP(J389,Ruimtegroepen[],2,FALSE)</f>
        <v>Niet in onderhoud</v>
      </c>
      <c r="L389" s="24" t="s">
        <v>300</v>
      </c>
      <c r="M389" s="24" t="s">
        <v>157</v>
      </c>
      <c r="N389" s="83"/>
      <c r="O389" s="83">
        <v>6.11</v>
      </c>
      <c r="P389" s="93" t="str">
        <f>LEFT(VLOOKUP(Ruimtestaat[[#This Row],[Ruimte code]],Ruimtegroepen[#All],4,1),2)</f>
        <v/>
      </c>
      <c r="Q389" s="93"/>
      <c r="R389" s="84"/>
      <c r="S389" s="84"/>
      <c r="T389" s="85">
        <f>IF(R389&gt;0,IF(RIGHT(Ruimtestaat[[#This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89" s="85">
        <f>IF(T389&gt;0,VLOOKUP($J389,Ruimtegroepen[],3,FALSE)*VLOOKUP($L389,Vloersoorten[],3,FALSE)*VLOOKUP($S389,Frequenties[],3,FALSE)*VLOOKUP($A389,Locaties[],3,FALSE),0)</f>
        <v>0</v>
      </c>
      <c r="V389" s="86">
        <f>Ruimtestaat[[#This Row],[Uitvoeringen werkdagen]]*Ruimtestaat[[#This Row],[Oppervlak (netto)]]</f>
        <v>0</v>
      </c>
      <c r="W389" s="87">
        <f>IF(U389&gt;0,Ruimtestaat[[#This Row],[Prest. (m2 /jaar) werkdagen]]/Ruimtestaat[[#This Row],[Norm (m2/uur) werkdagen]],0)</f>
        <v>0</v>
      </c>
      <c r="X389" s="88">
        <f>Ruimtestaat[[#This Row],[uren / jaar werkdagen]]*Tariefsopbouw!$E$35</f>
        <v>0</v>
      </c>
      <c r="Y389" s="85"/>
      <c r="Z389" s="89">
        <f>IF(Ruimtestaat[[#This Row],[Frequentie weekend]]&gt;0,VALUE(LEFT(Y389,1))*R389,0)</f>
        <v>0</v>
      </c>
      <c r="AA389" s="85">
        <f>IF($Z389&gt;0,VLOOKUP($J389,Ruimtegroepen[],3,FALSE)*VLOOKUP($L389,Vloersoorten[],3,FALSE)*VLOOKUP($Y389,Frequenties[],3,FALSE)*VLOOKUP(#REF!,Locaties[],3,FALSE),0)</f>
        <v>0</v>
      </c>
      <c r="AB389" s="87">
        <f>Ruimtestaat[[#This Row],[Uitvoeringen weekend]]*Ruimtestaat[[#This Row],[Oppervlak (netto)]]</f>
        <v>0</v>
      </c>
      <c r="AC389" s="90">
        <f>IF(AB389&gt;0,Ruimtestaat[[#This Row],[Prest. (m2 /jaar) weekend]]/Ruimtestaat[[#This Row],[Norm (m2/uur) weekend]],0)</f>
        <v>0</v>
      </c>
      <c r="AD389" s="91">
        <f>Ruimtestaat[[#This Row],[uren / jaar weekend]]*Tariefsopbouw!$D$40</f>
        <v>0</v>
      </c>
      <c r="AE389" s="60">
        <f>Ruimtestaat[[#This Row],[Prest. (m2 /jaar) weekend]]+Ruimtestaat[[#This Row],[Prest. (m2 /jaar) werkdagen]]</f>
        <v>0</v>
      </c>
      <c r="AF389" s="60">
        <f>Ruimtestaat[[#This Row],[uren / jaar weekend]]+Ruimtestaat[[#This Row],[uren / jaar werkdagen]]</f>
        <v>0</v>
      </c>
      <c r="AG389" s="61">
        <f>Ruimtestaat[[#This Row],[kosten / jaar weekend]]+Ruimtestaat[[#This Row],[kosten / jaar werkdagen]]</f>
        <v>0</v>
      </c>
      <c r="AH389" s="92"/>
      <c r="HL389" s="59"/>
    </row>
    <row r="390" spans="1:220">
      <c r="A390" s="24">
        <v>2</v>
      </c>
      <c r="B390" s="24" t="str">
        <f>VLOOKUP(Ruimtestaat[[#This Row],[Code]],Locaties[#All],2,FALSE)</f>
        <v>Het Stormink</v>
      </c>
      <c r="C390" s="24" t="str">
        <f>VLOOKUP(Ruimtestaat[[#This Row],[Code]],Locaties[#All],4,FALSE)</f>
        <v>Storminkstraat 1</v>
      </c>
      <c r="D390" s="24" t="str">
        <f>VLOOKUP(Ruimtestaat[[#This Row],[Code]],Locaties[#All],5,FALSE)</f>
        <v>7418 GH</v>
      </c>
      <c r="E390" s="24" t="str">
        <f>VLOOKUP(Ruimtestaat[[#This Row],[Code]],Locaties[#All],6,FALSE)</f>
        <v>Deventer</v>
      </c>
      <c r="F390" s="54"/>
      <c r="G390" s="24" t="s">
        <v>599</v>
      </c>
      <c r="H390" s="24" t="s">
        <v>603</v>
      </c>
      <c r="I390" s="4" t="s">
        <v>394</v>
      </c>
      <c r="J390" s="24">
        <v>22</v>
      </c>
      <c r="K390" s="54" t="str">
        <f>VLOOKUP(J390,Ruimtegroepen[],2,FALSE)</f>
        <v>Niet in onderhoud</v>
      </c>
      <c r="L390" s="24" t="s">
        <v>300</v>
      </c>
      <c r="M390" s="24" t="s">
        <v>157</v>
      </c>
      <c r="N390" s="83"/>
      <c r="O390" s="83">
        <v>18.649999999999999</v>
      </c>
      <c r="P390" s="93" t="str">
        <f>LEFT(VLOOKUP(Ruimtestaat[[#This Row],[Ruimte code]],Ruimtegroepen[#All],4,1),2)</f>
        <v/>
      </c>
      <c r="Q390" s="93"/>
      <c r="R390" s="84"/>
      <c r="S390" s="84"/>
      <c r="T390" s="85">
        <f>IF(R390&gt;0,IF(RIGHT(Ruimtestaat[[#This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0" s="85">
        <f>IF(T390&gt;0,VLOOKUP($J390,Ruimtegroepen[],3,FALSE)*VLOOKUP($L390,Vloersoorten[],3,FALSE)*VLOOKUP($S390,Frequenties[],3,FALSE)*VLOOKUP($A390,Locaties[],3,FALSE),0)</f>
        <v>0</v>
      </c>
      <c r="V390" s="86">
        <f>Ruimtestaat[[#This Row],[Uitvoeringen werkdagen]]*Ruimtestaat[[#This Row],[Oppervlak (netto)]]</f>
        <v>0</v>
      </c>
      <c r="W390" s="87">
        <f>IF(U390&gt;0,Ruimtestaat[[#This Row],[Prest. (m2 /jaar) werkdagen]]/Ruimtestaat[[#This Row],[Norm (m2/uur) werkdagen]],0)</f>
        <v>0</v>
      </c>
      <c r="X390" s="88">
        <f>Ruimtestaat[[#This Row],[uren / jaar werkdagen]]*Tariefsopbouw!$E$35</f>
        <v>0</v>
      </c>
      <c r="Y390" s="85"/>
      <c r="Z390" s="89">
        <f>IF(Ruimtestaat[[#This Row],[Frequentie weekend]]&gt;0,VALUE(LEFT(Y390,1))*R390,0)</f>
        <v>0</v>
      </c>
      <c r="AA390" s="85">
        <f>IF($Z390&gt;0,VLOOKUP($J390,Ruimtegroepen[],3,FALSE)*VLOOKUP($L390,Vloersoorten[],3,FALSE)*VLOOKUP($Y390,Frequenties[],3,FALSE)*VLOOKUP(#REF!,Locaties[],3,FALSE),0)</f>
        <v>0</v>
      </c>
      <c r="AB390" s="87">
        <f>Ruimtestaat[[#This Row],[Uitvoeringen weekend]]*Ruimtestaat[[#This Row],[Oppervlak (netto)]]</f>
        <v>0</v>
      </c>
      <c r="AC390" s="90">
        <f>IF(AB390&gt;0,Ruimtestaat[[#This Row],[Prest. (m2 /jaar) weekend]]/Ruimtestaat[[#This Row],[Norm (m2/uur) weekend]],0)</f>
        <v>0</v>
      </c>
      <c r="AD390" s="91">
        <f>Ruimtestaat[[#This Row],[uren / jaar weekend]]*Tariefsopbouw!$D$40</f>
        <v>0</v>
      </c>
      <c r="AE390" s="60">
        <f>Ruimtestaat[[#This Row],[Prest. (m2 /jaar) weekend]]+Ruimtestaat[[#This Row],[Prest. (m2 /jaar) werkdagen]]</f>
        <v>0</v>
      </c>
      <c r="AF390" s="60">
        <f>Ruimtestaat[[#This Row],[uren / jaar weekend]]+Ruimtestaat[[#This Row],[uren / jaar werkdagen]]</f>
        <v>0</v>
      </c>
      <c r="AG390" s="61">
        <f>Ruimtestaat[[#This Row],[kosten / jaar weekend]]+Ruimtestaat[[#This Row],[kosten / jaar werkdagen]]</f>
        <v>0</v>
      </c>
      <c r="AH390" s="92"/>
      <c r="HL390" s="59"/>
    </row>
    <row r="391" spans="1:220">
      <c r="A391" s="24">
        <v>2</v>
      </c>
      <c r="B391" s="24" t="str">
        <f>VLOOKUP(Ruimtestaat[[#This Row],[Code]],Locaties[#All],2,FALSE)</f>
        <v>Het Stormink</v>
      </c>
      <c r="C391" s="24" t="str">
        <f>VLOOKUP(Ruimtestaat[[#This Row],[Code]],Locaties[#All],4,FALSE)</f>
        <v>Storminkstraat 1</v>
      </c>
      <c r="D391" s="24" t="str">
        <f>VLOOKUP(Ruimtestaat[[#This Row],[Code]],Locaties[#All],5,FALSE)</f>
        <v>7418 GH</v>
      </c>
      <c r="E391" s="24" t="str">
        <f>VLOOKUP(Ruimtestaat[[#This Row],[Code]],Locaties[#All],6,FALSE)</f>
        <v>Deventer</v>
      </c>
      <c r="F391" s="54"/>
      <c r="G391" s="24" t="s">
        <v>599</v>
      </c>
      <c r="H391" s="24" t="s">
        <v>810</v>
      </c>
      <c r="I391" s="4" t="s">
        <v>394</v>
      </c>
      <c r="J391" s="24">
        <v>22</v>
      </c>
      <c r="K391" s="54" t="str">
        <f>VLOOKUP(J391,Ruimtegroepen[],2,FALSE)</f>
        <v>Niet in onderhoud</v>
      </c>
      <c r="L391" s="24" t="s">
        <v>300</v>
      </c>
      <c r="M391" s="24" t="s">
        <v>157</v>
      </c>
      <c r="N391" s="83"/>
      <c r="O391" s="83">
        <v>18.649999999999999</v>
      </c>
      <c r="P391" s="93" t="str">
        <f>LEFT(VLOOKUP(Ruimtestaat[[#This Row],[Ruimte code]],Ruimtegroepen[#All],4,1),2)</f>
        <v/>
      </c>
      <c r="Q391" s="93"/>
      <c r="R391" s="84"/>
      <c r="S391" s="84"/>
      <c r="T391" s="85">
        <f>IF(R391&gt;0,IF(RIGHT(Ruimtestaat[[#This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1" s="85">
        <f>IF(T391&gt;0,VLOOKUP($J391,Ruimtegroepen[],3,FALSE)*VLOOKUP($L391,Vloersoorten[],3,FALSE)*VLOOKUP($S391,Frequenties[],3,FALSE)*VLOOKUP($A391,Locaties[],3,FALSE),0)</f>
        <v>0</v>
      </c>
      <c r="V391" s="86">
        <f>Ruimtestaat[[#This Row],[Uitvoeringen werkdagen]]*Ruimtestaat[[#This Row],[Oppervlak (netto)]]</f>
        <v>0</v>
      </c>
      <c r="W391" s="87">
        <f>IF(U391&gt;0,Ruimtestaat[[#This Row],[Prest. (m2 /jaar) werkdagen]]/Ruimtestaat[[#This Row],[Norm (m2/uur) werkdagen]],0)</f>
        <v>0</v>
      </c>
      <c r="X391" s="88">
        <f>Ruimtestaat[[#This Row],[uren / jaar werkdagen]]*Tariefsopbouw!$E$35</f>
        <v>0</v>
      </c>
      <c r="Y391" s="85"/>
      <c r="Z391" s="89">
        <f>IF(Ruimtestaat[[#This Row],[Frequentie weekend]]&gt;0,VALUE(LEFT(Y391,1))*R391,0)</f>
        <v>0</v>
      </c>
      <c r="AA391" s="85">
        <f>IF($Z391&gt;0,VLOOKUP($J391,Ruimtegroepen[],3,FALSE)*VLOOKUP($L391,Vloersoorten[],3,FALSE)*VLOOKUP($Y391,Frequenties[],3,FALSE)*VLOOKUP(#REF!,Locaties[],3,FALSE),0)</f>
        <v>0</v>
      </c>
      <c r="AB391" s="87">
        <f>Ruimtestaat[[#This Row],[Uitvoeringen weekend]]*Ruimtestaat[[#This Row],[Oppervlak (netto)]]</f>
        <v>0</v>
      </c>
      <c r="AC391" s="90">
        <f>IF(AB391&gt;0,Ruimtestaat[[#This Row],[Prest. (m2 /jaar) weekend]]/Ruimtestaat[[#This Row],[Norm (m2/uur) weekend]],0)</f>
        <v>0</v>
      </c>
      <c r="AD391" s="91">
        <f>Ruimtestaat[[#This Row],[uren / jaar weekend]]*Tariefsopbouw!$D$40</f>
        <v>0</v>
      </c>
      <c r="AE391" s="60">
        <f>Ruimtestaat[[#This Row],[Prest. (m2 /jaar) weekend]]+Ruimtestaat[[#This Row],[Prest. (m2 /jaar) werkdagen]]</f>
        <v>0</v>
      </c>
      <c r="AF391" s="60">
        <f>Ruimtestaat[[#This Row],[uren / jaar weekend]]+Ruimtestaat[[#This Row],[uren / jaar werkdagen]]</f>
        <v>0</v>
      </c>
      <c r="AG391" s="61">
        <f>Ruimtestaat[[#This Row],[kosten / jaar weekend]]+Ruimtestaat[[#This Row],[kosten / jaar werkdagen]]</f>
        <v>0</v>
      </c>
      <c r="AH391" s="92"/>
      <c r="HL391" s="59"/>
    </row>
    <row r="392" spans="1:220">
      <c r="A392" s="24">
        <v>2</v>
      </c>
      <c r="B392" s="24" t="str">
        <f>VLOOKUP(Ruimtestaat[[#This Row],[Code]],Locaties[#All],2,FALSE)</f>
        <v>Het Stormink</v>
      </c>
      <c r="C392" s="24" t="str">
        <f>VLOOKUP(Ruimtestaat[[#This Row],[Code]],Locaties[#All],4,FALSE)</f>
        <v>Storminkstraat 1</v>
      </c>
      <c r="D392" s="24" t="str">
        <f>VLOOKUP(Ruimtestaat[[#This Row],[Code]],Locaties[#All],5,FALSE)</f>
        <v>7418 GH</v>
      </c>
      <c r="E392" s="24" t="str">
        <f>VLOOKUP(Ruimtestaat[[#This Row],[Code]],Locaties[#All],6,FALSE)</f>
        <v>Deventer</v>
      </c>
      <c r="F392" s="54"/>
      <c r="G392" s="24" t="s">
        <v>599</v>
      </c>
      <c r="H392" s="24" t="s">
        <v>605</v>
      </c>
      <c r="I392" s="4" t="s">
        <v>811</v>
      </c>
      <c r="J392" s="24">
        <v>8</v>
      </c>
      <c r="K392" s="54" t="str">
        <f>VLOOKUP(J392,Ruimtegroepen[],2,FALSE)</f>
        <v>Mediatheek / OLC</v>
      </c>
      <c r="L392" s="24" t="s">
        <v>300</v>
      </c>
      <c r="M392" s="24" t="s">
        <v>157</v>
      </c>
      <c r="N392" s="83">
        <v>38.979999999999997</v>
      </c>
      <c r="O392" s="83"/>
      <c r="P392" s="93" t="str">
        <f>LEFT(VLOOKUP(Ruimtestaat[[#This Row],[Ruimte code]],Ruimtegroepen[#All],4,1),2)</f>
        <v>Le</v>
      </c>
      <c r="Q392" s="93"/>
      <c r="R392" s="84">
        <v>40</v>
      </c>
      <c r="S392" s="84" t="s">
        <v>318</v>
      </c>
      <c r="T392" s="85">
        <f>IF(R392&gt;0,IF(RIGHT(Ruimtestaat[[#This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2" s="85">
        <f>IF(T392&gt;0,VLOOKUP($J392,Ruimtegroepen[],3,FALSE)*VLOOKUP($L392,Vloersoorten[],3,FALSE)*VLOOKUP($S392,Frequenties[],3,FALSE)*VLOOKUP($A392,Locaties[],3,FALSE),0)</f>
        <v>0</v>
      </c>
      <c r="V392" s="86">
        <f>Ruimtestaat[[#This Row],[Uitvoeringen werkdagen]]*Ruimtestaat[[#This Row],[Oppervlak (netto)]]</f>
        <v>7795.9999999999991</v>
      </c>
      <c r="W392" s="87">
        <f>IF(U392&gt;0,Ruimtestaat[[#This Row],[Prest. (m2 /jaar) werkdagen]]/Ruimtestaat[[#This Row],[Norm (m2/uur) werkdagen]],0)</f>
        <v>0</v>
      </c>
      <c r="X392" s="88">
        <f>Ruimtestaat[[#This Row],[uren / jaar werkdagen]]*Tariefsopbouw!$E$35</f>
        <v>0</v>
      </c>
      <c r="Y392" s="85"/>
      <c r="Z392" s="89">
        <f>IF(Ruimtestaat[[#This Row],[Frequentie weekend]]&gt;0,VALUE(LEFT(Y392,1))*R392,0)</f>
        <v>0</v>
      </c>
      <c r="AA392" s="85">
        <f>IF($Z392&gt;0,VLOOKUP($J392,Ruimtegroepen[],3,FALSE)*VLOOKUP($L392,Vloersoorten[],3,FALSE)*VLOOKUP($Y392,Frequenties[],3,FALSE)*VLOOKUP(#REF!,Locaties[],3,FALSE),0)</f>
        <v>0</v>
      </c>
      <c r="AB392" s="87">
        <f>Ruimtestaat[[#This Row],[Uitvoeringen weekend]]*Ruimtestaat[[#This Row],[Oppervlak (netto)]]</f>
        <v>0</v>
      </c>
      <c r="AC392" s="90">
        <f>IF(AB392&gt;0,Ruimtestaat[[#This Row],[Prest. (m2 /jaar) weekend]]/Ruimtestaat[[#This Row],[Norm (m2/uur) weekend]],0)</f>
        <v>0</v>
      </c>
      <c r="AD392" s="91">
        <f>Ruimtestaat[[#This Row],[uren / jaar weekend]]*Tariefsopbouw!$D$40</f>
        <v>0</v>
      </c>
      <c r="AE392" s="60">
        <f>Ruimtestaat[[#This Row],[Prest. (m2 /jaar) weekend]]+Ruimtestaat[[#This Row],[Prest. (m2 /jaar) werkdagen]]</f>
        <v>7795.9999999999991</v>
      </c>
      <c r="AF392" s="60">
        <f>Ruimtestaat[[#This Row],[uren / jaar weekend]]+Ruimtestaat[[#This Row],[uren / jaar werkdagen]]</f>
        <v>0</v>
      </c>
      <c r="AG392" s="61">
        <f>Ruimtestaat[[#This Row],[kosten / jaar weekend]]+Ruimtestaat[[#This Row],[kosten / jaar werkdagen]]</f>
        <v>0</v>
      </c>
      <c r="AH392" s="92"/>
      <c r="HL392" s="59"/>
    </row>
    <row r="393" spans="1:220">
      <c r="A393" s="24">
        <v>2</v>
      </c>
      <c r="B393" s="24" t="str">
        <f>VLOOKUP(Ruimtestaat[[#This Row],[Code]],Locaties[#All],2,FALSE)</f>
        <v>Het Stormink</v>
      </c>
      <c r="C393" s="24" t="str">
        <f>VLOOKUP(Ruimtestaat[[#This Row],[Code]],Locaties[#All],4,FALSE)</f>
        <v>Storminkstraat 1</v>
      </c>
      <c r="D393" s="24" t="str">
        <f>VLOOKUP(Ruimtestaat[[#This Row],[Code]],Locaties[#All],5,FALSE)</f>
        <v>7418 GH</v>
      </c>
      <c r="E393" s="24" t="str">
        <f>VLOOKUP(Ruimtestaat[[#This Row],[Code]],Locaties[#All],6,FALSE)</f>
        <v>Deventer</v>
      </c>
      <c r="F393" s="54"/>
      <c r="G393" s="24" t="s">
        <v>599</v>
      </c>
      <c r="H393" s="24" t="s">
        <v>607</v>
      </c>
      <c r="I393" s="4" t="s">
        <v>375</v>
      </c>
      <c r="J393" s="24">
        <v>22</v>
      </c>
      <c r="K393" s="54" t="str">
        <f>VLOOKUP(J393,Ruimtegroepen[],2,FALSE)</f>
        <v>Niet in onderhoud</v>
      </c>
      <c r="L393" s="24" t="s">
        <v>300</v>
      </c>
      <c r="M393" s="24" t="s">
        <v>157</v>
      </c>
      <c r="N393" s="83"/>
      <c r="O393" s="83">
        <v>1.63</v>
      </c>
      <c r="P393" s="93" t="str">
        <f>LEFT(VLOOKUP(Ruimtestaat[[#This Row],[Ruimte code]],Ruimtegroepen[#All],4,1),2)</f>
        <v/>
      </c>
      <c r="Q393" s="93"/>
      <c r="R393" s="84"/>
      <c r="S393" s="84"/>
      <c r="T393" s="85">
        <f>IF(R393&gt;0,IF(RIGHT(Ruimtestaat[[#This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3" s="85">
        <f>IF(T393&gt;0,VLOOKUP($J393,Ruimtegroepen[],3,FALSE)*VLOOKUP($L393,Vloersoorten[],3,FALSE)*VLOOKUP($S393,Frequenties[],3,FALSE)*VLOOKUP($A393,Locaties[],3,FALSE),0)</f>
        <v>0</v>
      </c>
      <c r="V393" s="86">
        <f>Ruimtestaat[[#This Row],[Uitvoeringen werkdagen]]*Ruimtestaat[[#This Row],[Oppervlak (netto)]]</f>
        <v>0</v>
      </c>
      <c r="W393" s="87">
        <f>IF(U393&gt;0,Ruimtestaat[[#This Row],[Prest. (m2 /jaar) werkdagen]]/Ruimtestaat[[#This Row],[Norm (m2/uur) werkdagen]],0)</f>
        <v>0</v>
      </c>
      <c r="X393" s="88">
        <f>Ruimtestaat[[#This Row],[uren / jaar werkdagen]]*Tariefsopbouw!$E$35</f>
        <v>0</v>
      </c>
      <c r="Y393" s="85"/>
      <c r="Z393" s="89">
        <f>IF(Ruimtestaat[[#This Row],[Frequentie weekend]]&gt;0,VALUE(LEFT(Y393,1))*R393,0)</f>
        <v>0</v>
      </c>
      <c r="AA393" s="85">
        <f>IF($Z393&gt;0,VLOOKUP($J393,Ruimtegroepen[],3,FALSE)*VLOOKUP($L393,Vloersoorten[],3,FALSE)*VLOOKUP($Y393,Frequenties[],3,FALSE)*VLOOKUP(#REF!,Locaties[],3,FALSE),0)</f>
        <v>0</v>
      </c>
      <c r="AB393" s="87">
        <f>Ruimtestaat[[#This Row],[Uitvoeringen weekend]]*Ruimtestaat[[#This Row],[Oppervlak (netto)]]</f>
        <v>0</v>
      </c>
      <c r="AC393" s="90">
        <f>IF(AB393&gt;0,Ruimtestaat[[#This Row],[Prest. (m2 /jaar) weekend]]/Ruimtestaat[[#This Row],[Norm (m2/uur) weekend]],0)</f>
        <v>0</v>
      </c>
      <c r="AD393" s="91">
        <f>Ruimtestaat[[#This Row],[uren / jaar weekend]]*Tariefsopbouw!$D$40</f>
        <v>0</v>
      </c>
      <c r="AE393" s="60">
        <f>Ruimtestaat[[#This Row],[Prest. (m2 /jaar) weekend]]+Ruimtestaat[[#This Row],[Prest. (m2 /jaar) werkdagen]]</f>
        <v>0</v>
      </c>
      <c r="AF393" s="60">
        <f>Ruimtestaat[[#This Row],[uren / jaar weekend]]+Ruimtestaat[[#This Row],[uren / jaar werkdagen]]</f>
        <v>0</v>
      </c>
      <c r="AG393" s="61">
        <f>Ruimtestaat[[#This Row],[kosten / jaar weekend]]+Ruimtestaat[[#This Row],[kosten / jaar werkdagen]]</f>
        <v>0</v>
      </c>
      <c r="AH393" s="92"/>
      <c r="HL393" s="59"/>
    </row>
    <row r="394" spans="1:220">
      <c r="A394" s="24">
        <v>2</v>
      </c>
      <c r="B394" s="24" t="str">
        <f>VLOOKUP(Ruimtestaat[[#This Row],[Code]],Locaties[#All],2,FALSE)</f>
        <v>Het Stormink</v>
      </c>
      <c r="C394" s="24" t="str">
        <f>VLOOKUP(Ruimtestaat[[#This Row],[Code]],Locaties[#All],4,FALSE)</f>
        <v>Storminkstraat 1</v>
      </c>
      <c r="D394" s="24" t="str">
        <f>VLOOKUP(Ruimtestaat[[#This Row],[Code]],Locaties[#All],5,FALSE)</f>
        <v>7418 GH</v>
      </c>
      <c r="E394" s="24" t="str">
        <f>VLOOKUP(Ruimtestaat[[#This Row],[Code]],Locaties[#All],6,FALSE)</f>
        <v>Deventer</v>
      </c>
      <c r="F394" s="54"/>
      <c r="G394" s="24" t="s">
        <v>599</v>
      </c>
      <c r="H394" s="24" t="s">
        <v>608</v>
      </c>
      <c r="I394" s="4" t="s">
        <v>535</v>
      </c>
      <c r="J394" s="24">
        <v>22</v>
      </c>
      <c r="K394" s="54" t="str">
        <f>VLOOKUP(J394,Ruimtegroepen[],2,FALSE)</f>
        <v>Niet in onderhoud</v>
      </c>
      <c r="L394" s="24" t="s">
        <v>300</v>
      </c>
      <c r="M394" s="24" t="s">
        <v>157</v>
      </c>
      <c r="N394" s="83"/>
      <c r="O394" s="83">
        <v>3.16</v>
      </c>
      <c r="P394" s="93" t="str">
        <f>LEFT(VLOOKUP(Ruimtestaat[[#This Row],[Ruimte code]],Ruimtegroepen[#All],4,1),2)</f>
        <v/>
      </c>
      <c r="Q394" s="93"/>
      <c r="R394" s="84"/>
      <c r="S394" s="84"/>
      <c r="T394" s="85">
        <f>IF(R394&gt;0,IF(RIGHT(Ruimtestaat[[#This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4" s="85">
        <f>IF(T394&gt;0,VLOOKUP($J394,Ruimtegroepen[],3,FALSE)*VLOOKUP($L394,Vloersoorten[],3,FALSE)*VLOOKUP($S394,Frequenties[],3,FALSE)*VLOOKUP($A394,Locaties[],3,FALSE),0)</f>
        <v>0</v>
      </c>
      <c r="V394" s="86">
        <f>Ruimtestaat[[#This Row],[Uitvoeringen werkdagen]]*Ruimtestaat[[#This Row],[Oppervlak (netto)]]</f>
        <v>0</v>
      </c>
      <c r="W394" s="87">
        <f>IF(U394&gt;0,Ruimtestaat[[#This Row],[Prest. (m2 /jaar) werkdagen]]/Ruimtestaat[[#This Row],[Norm (m2/uur) werkdagen]],0)</f>
        <v>0</v>
      </c>
      <c r="X394" s="88">
        <f>Ruimtestaat[[#This Row],[uren / jaar werkdagen]]*Tariefsopbouw!$E$35</f>
        <v>0</v>
      </c>
      <c r="Y394" s="85"/>
      <c r="Z394" s="89">
        <f>IF(Ruimtestaat[[#This Row],[Frequentie weekend]]&gt;0,VALUE(LEFT(Y394,1))*R394,0)</f>
        <v>0</v>
      </c>
      <c r="AA394" s="85">
        <f>IF($Z394&gt;0,VLOOKUP($J394,Ruimtegroepen[],3,FALSE)*VLOOKUP($L394,Vloersoorten[],3,FALSE)*VLOOKUP($Y394,Frequenties[],3,FALSE)*VLOOKUP(#REF!,Locaties[],3,FALSE),0)</f>
        <v>0</v>
      </c>
      <c r="AB394" s="87">
        <f>Ruimtestaat[[#This Row],[Uitvoeringen weekend]]*Ruimtestaat[[#This Row],[Oppervlak (netto)]]</f>
        <v>0</v>
      </c>
      <c r="AC394" s="90">
        <f>IF(AB394&gt;0,Ruimtestaat[[#This Row],[Prest. (m2 /jaar) weekend]]/Ruimtestaat[[#This Row],[Norm (m2/uur) weekend]],0)</f>
        <v>0</v>
      </c>
      <c r="AD394" s="91">
        <f>Ruimtestaat[[#This Row],[uren / jaar weekend]]*Tariefsopbouw!$D$40</f>
        <v>0</v>
      </c>
      <c r="AE394" s="60">
        <f>Ruimtestaat[[#This Row],[Prest. (m2 /jaar) weekend]]+Ruimtestaat[[#This Row],[Prest. (m2 /jaar) werkdagen]]</f>
        <v>0</v>
      </c>
      <c r="AF394" s="60">
        <f>Ruimtestaat[[#This Row],[uren / jaar weekend]]+Ruimtestaat[[#This Row],[uren / jaar werkdagen]]</f>
        <v>0</v>
      </c>
      <c r="AG394" s="61">
        <f>Ruimtestaat[[#This Row],[kosten / jaar weekend]]+Ruimtestaat[[#This Row],[kosten / jaar werkdagen]]</f>
        <v>0</v>
      </c>
      <c r="AH394" s="92"/>
      <c r="HL394" s="59"/>
    </row>
    <row r="395" spans="1:220">
      <c r="A395" s="24">
        <v>2</v>
      </c>
      <c r="B395" s="24" t="str">
        <f>VLOOKUP(Ruimtestaat[[#This Row],[Code]],Locaties[#All],2,FALSE)</f>
        <v>Het Stormink</v>
      </c>
      <c r="C395" s="24" t="str">
        <f>VLOOKUP(Ruimtestaat[[#This Row],[Code]],Locaties[#All],4,FALSE)</f>
        <v>Storminkstraat 1</v>
      </c>
      <c r="D395" s="24" t="str">
        <f>VLOOKUP(Ruimtestaat[[#This Row],[Code]],Locaties[#All],5,FALSE)</f>
        <v>7418 GH</v>
      </c>
      <c r="E395" s="24" t="str">
        <f>VLOOKUP(Ruimtestaat[[#This Row],[Code]],Locaties[#All],6,FALSE)</f>
        <v>Deventer</v>
      </c>
      <c r="F395" s="54"/>
      <c r="G395" s="24" t="s">
        <v>599</v>
      </c>
      <c r="H395" s="24" t="s">
        <v>609</v>
      </c>
      <c r="I395" s="4" t="s">
        <v>674</v>
      </c>
      <c r="J395" s="24">
        <v>22</v>
      </c>
      <c r="K395" s="54" t="str">
        <f>VLOOKUP(J395,Ruimtegroepen[],2,FALSE)</f>
        <v>Niet in onderhoud</v>
      </c>
      <c r="L395" s="24" t="s">
        <v>300</v>
      </c>
      <c r="M395" s="24" t="s">
        <v>157</v>
      </c>
      <c r="N395" s="83"/>
      <c r="O395" s="83">
        <v>1.63</v>
      </c>
      <c r="P395" s="93" t="str">
        <f>LEFT(VLOOKUP(Ruimtestaat[[#This Row],[Ruimte code]],Ruimtegroepen[#All],4,1),2)</f>
        <v/>
      </c>
      <c r="Q395" s="93"/>
      <c r="R395" s="84"/>
      <c r="S395" s="84"/>
      <c r="T395" s="85">
        <f>IF(R395&gt;0,IF(RIGHT(Ruimtestaat[[#This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5" s="85">
        <f>IF(T395&gt;0,VLOOKUP($J395,Ruimtegroepen[],3,FALSE)*VLOOKUP($L395,Vloersoorten[],3,FALSE)*VLOOKUP($S395,Frequenties[],3,FALSE)*VLOOKUP($A395,Locaties[],3,FALSE),0)</f>
        <v>0</v>
      </c>
      <c r="V395" s="86">
        <f>Ruimtestaat[[#This Row],[Uitvoeringen werkdagen]]*Ruimtestaat[[#This Row],[Oppervlak (netto)]]</f>
        <v>0</v>
      </c>
      <c r="W395" s="87">
        <f>IF(U395&gt;0,Ruimtestaat[[#This Row],[Prest. (m2 /jaar) werkdagen]]/Ruimtestaat[[#This Row],[Norm (m2/uur) werkdagen]],0)</f>
        <v>0</v>
      </c>
      <c r="X395" s="88">
        <f>Ruimtestaat[[#This Row],[uren / jaar werkdagen]]*Tariefsopbouw!$E$35</f>
        <v>0</v>
      </c>
      <c r="Y395" s="85"/>
      <c r="Z395" s="89">
        <f>IF(Ruimtestaat[[#This Row],[Frequentie weekend]]&gt;0,VALUE(LEFT(Y395,1))*R395,0)</f>
        <v>0</v>
      </c>
      <c r="AA395" s="85">
        <f>IF($Z395&gt;0,VLOOKUP($J395,Ruimtegroepen[],3,FALSE)*VLOOKUP($L395,Vloersoorten[],3,FALSE)*VLOOKUP($Y395,Frequenties[],3,FALSE)*VLOOKUP(#REF!,Locaties[],3,FALSE),0)</f>
        <v>0</v>
      </c>
      <c r="AB395" s="87">
        <f>Ruimtestaat[[#This Row],[Uitvoeringen weekend]]*Ruimtestaat[[#This Row],[Oppervlak (netto)]]</f>
        <v>0</v>
      </c>
      <c r="AC395" s="90">
        <f>IF(AB395&gt;0,Ruimtestaat[[#This Row],[Prest. (m2 /jaar) weekend]]/Ruimtestaat[[#This Row],[Norm (m2/uur) weekend]],0)</f>
        <v>0</v>
      </c>
      <c r="AD395" s="91">
        <f>Ruimtestaat[[#This Row],[uren / jaar weekend]]*Tariefsopbouw!$D$40</f>
        <v>0</v>
      </c>
      <c r="AE395" s="60">
        <f>Ruimtestaat[[#This Row],[Prest. (m2 /jaar) weekend]]+Ruimtestaat[[#This Row],[Prest. (m2 /jaar) werkdagen]]</f>
        <v>0</v>
      </c>
      <c r="AF395" s="60">
        <f>Ruimtestaat[[#This Row],[uren / jaar weekend]]+Ruimtestaat[[#This Row],[uren / jaar werkdagen]]</f>
        <v>0</v>
      </c>
      <c r="AG395" s="61">
        <f>Ruimtestaat[[#This Row],[kosten / jaar weekend]]+Ruimtestaat[[#This Row],[kosten / jaar werkdagen]]</f>
        <v>0</v>
      </c>
      <c r="AH395" s="92"/>
      <c r="HL395" s="59"/>
    </row>
    <row r="396" spans="1:220">
      <c r="A396" s="24">
        <v>2</v>
      </c>
      <c r="B396" s="24" t="str">
        <f>VLOOKUP(Ruimtestaat[[#This Row],[Code]],Locaties[#All],2,FALSE)</f>
        <v>Het Stormink</v>
      </c>
      <c r="C396" s="24" t="str">
        <f>VLOOKUP(Ruimtestaat[[#This Row],[Code]],Locaties[#All],4,FALSE)</f>
        <v>Storminkstraat 1</v>
      </c>
      <c r="D396" s="24" t="str">
        <f>VLOOKUP(Ruimtestaat[[#This Row],[Code]],Locaties[#All],5,FALSE)</f>
        <v>7418 GH</v>
      </c>
      <c r="E396" s="24" t="str">
        <f>VLOOKUP(Ruimtestaat[[#This Row],[Code]],Locaties[#All],6,FALSE)</f>
        <v>Deventer</v>
      </c>
      <c r="F396" s="54"/>
      <c r="G396" s="24" t="s">
        <v>599</v>
      </c>
      <c r="H396" s="24" t="s">
        <v>610</v>
      </c>
      <c r="I396" s="4" t="s">
        <v>691</v>
      </c>
      <c r="J396" s="24">
        <v>22</v>
      </c>
      <c r="K396" s="54" t="str">
        <f>VLOOKUP(J396,Ruimtegroepen[],2,FALSE)</f>
        <v>Niet in onderhoud</v>
      </c>
      <c r="L396" s="24" t="s">
        <v>300</v>
      </c>
      <c r="M396" s="24" t="s">
        <v>157</v>
      </c>
      <c r="N396" s="83"/>
      <c r="O396" s="83">
        <v>1.62</v>
      </c>
      <c r="P396" s="93" t="str">
        <f>LEFT(VLOOKUP(Ruimtestaat[[#This Row],[Ruimte code]],Ruimtegroepen[#All],4,1),2)</f>
        <v/>
      </c>
      <c r="Q396" s="93"/>
      <c r="R396" s="84"/>
      <c r="S396" s="84"/>
      <c r="T396" s="85">
        <f>IF(R396&gt;0,IF(RIGHT(Ruimtestaat[[#This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6" s="85">
        <f>IF(T396&gt;0,VLOOKUP($J396,Ruimtegroepen[],3,FALSE)*VLOOKUP($L396,Vloersoorten[],3,FALSE)*VLOOKUP($S396,Frequenties[],3,FALSE)*VLOOKUP($A396,Locaties[],3,FALSE),0)</f>
        <v>0</v>
      </c>
      <c r="V396" s="86">
        <f>Ruimtestaat[[#This Row],[Uitvoeringen werkdagen]]*Ruimtestaat[[#This Row],[Oppervlak (netto)]]</f>
        <v>0</v>
      </c>
      <c r="W396" s="87">
        <f>IF(U396&gt;0,Ruimtestaat[[#This Row],[Prest. (m2 /jaar) werkdagen]]/Ruimtestaat[[#This Row],[Norm (m2/uur) werkdagen]],0)</f>
        <v>0</v>
      </c>
      <c r="X396" s="88">
        <f>Ruimtestaat[[#This Row],[uren / jaar werkdagen]]*Tariefsopbouw!$E$35</f>
        <v>0</v>
      </c>
      <c r="Y396" s="85"/>
      <c r="Z396" s="89">
        <f>IF(Ruimtestaat[[#This Row],[Frequentie weekend]]&gt;0,VALUE(LEFT(Y396,1))*R396,0)</f>
        <v>0</v>
      </c>
      <c r="AA396" s="85">
        <f>IF($Z396&gt;0,VLOOKUP($J396,Ruimtegroepen[],3,FALSE)*VLOOKUP($L396,Vloersoorten[],3,FALSE)*VLOOKUP($Y396,Frequenties[],3,FALSE)*VLOOKUP(#REF!,Locaties[],3,FALSE),0)</f>
        <v>0</v>
      </c>
      <c r="AB396" s="87">
        <f>Ruimtestaat[[#This Row],[Uitvoeringen weekend]]*Ruimtestaat[[#This Row],[Oppervlak (netto)]]</f>
        <v>0</v>
      </c>
      <c r="AC396" s="90">
        <f>IF(AB396&gt;0,Ruimtestaat[[#This Row],[Prest. (m2 /jaar) weekend]]/Ruimtestaat[[#This Row],[Norm (m2/uur) weekend]],0)</f>
        <v>0</v>
      </c>
      <c r="AD396" s="91">
        <f>Ruimtestaat[[#This Row],[uren / jaar weekend]]*Tariefsopbouw!$D$40</f>
        <v>0</v>
      </c>
      <c r="AE396" s="60">
        <f>Ruimtestaat[[#This Row],[Prest. (m2 /jaar) weekend]]+Ruimtestaat[[#This Row],[Prest. (m2 /jaar) werkdagen]]</f>
        <v>0</v>
      </c>
      <c r="AF396" s="60">
        <f>Ruimtestaat[[#This Row],[uren / jaar weekend]]+Ruimtestaat[[#This Row],[uren / jaar werkdagen]]</f>
        <v>0</v>
      </c>
      <c r="AG396" s="61">
        <f>Ruimtestaat[[#This Row],[kosten / jaar weekend]]+Ruimtestaat[[#This Row],[kosten / jaar werkdagen]]</f>
        <v>0</v>
      </c>
      <c r="AH396" s="92"/>
      <c r="HL396" s="59"/>
    </row>
    <row r="397" spans="1:220">
      <c r="A397" s="24">
        <v>2</v>
      </c>
      <c r="B397" s="24" t="str">
        <f>VLOOKUP(Ruimtestaat[[#This Row],[Code]],Locaties[#All],2,FALSE)</f>
        <v>Het Stormink</v>
      </c>
      <c r="C397" s="24" t="str">
        <f>VLOOKUP(Ruimtestaat[[#This Row],[Code]],Locaties[#All],4,FALSE)</f>
        <v>Storminkstraat 1</v>
      </c>
      <c r="D397" s="24" t="str">
        <f>VLOOKUP(Ruimtestaat[[#This Row],[Code]],Locaties[#All],5,FALSE)</f>
        <v>7418 GH</v>
      </c>
      <c r="E397" s="24" t="str">
        <f>VLOOKUP(Ruimtestaat[[#This Row],[Code]],Locaties[#All],6,FALSE)</f>
        <v>Deventer</v>
      </c>
      <c r="F397" s="54"/>
      <c r="G397" s="24" t="s">
        <v>599</v>
      </c>
      <c r="H397" s="24" t="s">
        <v>611</v>
      </c>
      <c r="I397" s="4" t="s">
        <v>689</v>
      </c>
      <c r="J397" s="24">
        <v>6</v>
      </c>
      <c r="K397" s="54" t="str">
        <f>VLOOKUP(J397,Ruimtegroepen[],2,FALSE)</f>
        <v>Gangen/hallen</v>
      </c>
      <c r="L397" s="24" t="s">
        <v>300</v>
      </c>
      <c r="M397" s="24" t="s">
        <v>157</v>
      </c>
      <c r="N397" s="83">
        <v>2.59</v>
      </c>
      <c r="O397" s="83"/>
      <c r="P397" s="93" t="str">
        <f>LEFT(VLOOKUP(Ruimtestaat[[#This Row],[Ruimte code]],Ruimtegroepen[#All],4,1),2)</f>
        <v>Ve</v>
      </c>
      <c r="Q397" s="93"/>
      <c r="R397" s="84">
        <v>40</v>
      </c>
      <c r="S397" s="84" t="s">
        <v>318</v>
      </c>
      <c r="T397" s="85">
        <f>IF(R397&gt;0,IF(RIGHT(Ruimtestaat[[#This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7" s="85">
        <f>IF(T397&gt;0,VLOOKUP($J397,Ruimtegroepen[],3,FALSE)*VLOOKUP($L397,Vloersoorten[],3,FALSE)*VLOOKUP($S397,Frequenties[],3,FALSE)*VLOOKUP($A397,Locaties[],3,FALSE),0)</f>
        <v>0</v>
      </c>
      <c r="V397" s="86">
        <f>Ruimtestaat[[#This Row],[Uitvoeringen werkdagen]]*Ruimtestaat[[#This Row],[Oppervlak (netto)]]</f>
        <v>518</v>
      </c>
      <c r="W397" s="87">
        <f>IF(U397&gt;0,Ruimtestaat[[#This Row],[Prest. (m2 /jaar) werkdagen]]/Ruimtestaat[[#This Row],[Norm (m2/uur) werkdagen]],0)</f>
        <v>0</v>
      </c>
      <c r="X397" s="88">
        <f>Ruimtestaat[[#This Row],[uren / jaar werkdagen]]*Tariefsopbouw!$E$35</f>
        <v>0</v>
      </c>
      <c r="Y397" s="85"/>
      <c r="Z397" s="89">
        <f>IF(Ruimtestaat[[#This Row],[Frequentie weekend]]&gt;0,VALUE(LEFT(Y397,1))*R397,0)</f>
        <v>0</v>
      </c>
      <c r="AA397" s="85">
        <f>IF($Z397&gt;0,VLOOKUP($J397,Ruimtegroepen[],3,FALSE)*VLOOKUP($L397,Vloersoorten[],3,FALSE)*VLOOKUP($Y397,Frequenties[],3,FALSE)*VLOOKUP(#REF!,Locaties[],3,FALSE),0)</f>
        <v>0</v>
      </c>
      <c r="AB397" s="87">
        <f>Ruimtestaat[[#This Row],[Uitvoeringen weekend]]*Ruimtestaat[[#This Row],[Oppervlak (netto)]]</f>
        <v>0</v>
      </c>
      <c r="AC397" s="90">
        <f>IF(AB397&gt;0,Ruimtestaat[[#This Row],[Prest. (m2 /jaar) weekend]]/Ruimtestaat[[#This Row],[Norm (m2/uur) weekend]],0)</f>
        <v>0</v>
      </c>
      <c r="AD397" s="91">
        <f>Ruimtestaat[[#This Row],[uren / jaar weekend]]*Tariefsopbouw!$D$40</f>
        <v>0</v>
      </c>
      <c r="AE397" s="60">
        <f>Ruimtestaat[[#This Row],[Prest. (m2 /jaar) weekend]]+Ruimtestaat[[#This Row],[Prest. (m2 /jaar) werkdagen]]</f>
        <v>518</v>
      </c>
      <c r="AF397" s="60">
        <f>Ruimtestaat[[#This Row],[uren / jaar weekend]]+Ruimtestaat[[#This Row],[uren / jaar werkdagen]]</f>
        <v>0</v>
      </c>
      <c r="AG397" s="61">
        <f>Ruimtestaat[[#This Row],[kosten / jaar weekend]]+Ruimtestaat[[#This Row],[kosten / jaar werkdagen]]</f>
        <v>0</v>
      </c>
      <c r="AH397" s="92"/>
      <c r="HL397" s="59"/>
    </row>
    <row r="398" spans="1:220">
      <c r="A398" s="24">
        <v>2</v>
      </c>
      <c r="B398" s="24" t="str">
        <f>VLOOKUP(Ruimtestaat[[#This Row],[Code]],Locaties[#All],2,FALSE)</f>
        <v>Het Stormink</v>
      </c>
      <c r="C398" s="24" t="str">
        <f>VLOOKUP(Ruimtestaat[[#This Row],[Code]],Locaties[#All],4,FALSE)</f>
        <v>Storminkstraat 1</v>
      </c>
      <c r="D398" s="24" t="str">
        <f>VLOOKUP(Ruimtestaat[[#This Row],[Code]],Locaties[#All],5,FALSE)</f>
        <v>7418 GH</v>
      </c>
      <c r="E398" s="24" t="str">
        <f>VLOOKUP(Ruimtestaat[[#This Row],[Code]],Locaties[#All],6,FALSE)</f>
        <v>Deventer</v>
      </c>
      <c r="F398" s="54"/>
      <c r="G398" s="24" t="s">
        <v>599</v>
      </c>
      <c r="H398" s="24" t="s">
        <v>812</v>
      </c>
      <c r="I398" s="4" t="s">
        <v>473</v>
      </c>
      <c r="J398" s="24">
        <v>5</v>
      </c>
      <c r="K398" s="54" t="str">
        <f>VLOOKUP(J398,Ruimtegroepen[],2,FALSE)</f>
        <v>Sanitair</v>
      </c>
      <c r="L398" s="24" t="s">
        <v>300</v>
      </c>
      <c r="M398" s="24" t="s">
        <v>157</v>
      </c>
      <c r="N398" s="83">
        <v>11.6</v>
      </c>
      <c r="O398" s="83"/>
      <c r="P398" s="93" t="str">
        <f>LEFT(VLOOKUP(Ruimtestaat[[#This Row],[Ruimte code]],Ruimtegroepen[#All],4,1),2)</f>
        <v>Sa</v>
      </c>
      <c r="Q398" s="93"/>
      <c r="R398" s="84">
        <v>42</v>
      </c>
      <c r="S398" s="84" t="s">
        <v>316</v>
      </c>
      <c r="T398" s="85">
        <f>IF(R398&gt;0,IF(RIGHT(Ruimtestaat[[#This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98" s="85">
        <f>IF(T398&gt;0,VLOOKUP($J398,Ruimtegroepen[],3,FALSE)*VLOOKUP($L398,Vloersoorten[],3,FALSE)*VLOOKUP($S398,Frequenties[],3,FALSE)*VLOOKUP($A398,Locaties[],3,FALSE),0)</f>
        <v>0</v>
      </c>
      <c r="V398" s="86">
        <f>Ruimtestaat[[#This Row],[Uitvoeringen werkdagen]]*Ruimtestaat[[#This Row],[Oppervlak (netto)]]</f>
        <v>4872</v>
      </c>
      <c r="W398" s="87">
        <f>IF(U398&gt;0,Ruimtestaat[[#This Row],[Prest. (m2 /jaar) werkdagen]]/Ruimtestaat[[#This Row],[Norm (m2/uur) werkdagen]],0)</f>
        <v>0</v>
      </c>
      <c r="X398" s="88">
        <f>Ruimtestaat[[#This Row],[uren / jaar werkdagen]]*Tariefsopbouw!$E$35</f>
        <v>0</v>
      </c>
      <c r="Y398" s="85"/>
      <c r="Z398" s="89">
        <f>IF(Ruimtestaat[[#This Row],[Frequentie weekend]]&gt;0,VALUE(LEFT(Y398,1))*R398,0)</f>
        <v>0</v>
      </c>
      <c r="AA398" s="85">
        <f>IF($Z398&gt;0,VLOOKUP($J398,Ruimtegroepen[],3,FALSE)*VLOOKUP($L398,Vloersoorten[],3,FALSE)*VLOOKUP($Y398,Frequenties[],3,FALSE)*VLOOKUP(#REF!,Locaties[],3,FALSE),0)</f>
        <v>0</v>
      </c>
      <c r="AB398" s="87">
        <f>Ruimtestaat[[#This Row],[Uitvoeringen weekend]]*Ruimtestaat[[#This Row],[Oppervlak (netto)]]</f>
        <v>0</v>
      </c>
      <c r="AC398" s="90">
        <f>IF(AB398&gt;0,Ruimtestaat[[#This Row],[Prest. (m2 /jaar) weekend]]/Ruimtestaat[[#This Row],[Norm (m2/uur) weekend]],0)</f>
        <v>0</v>
      </c>
      <c r="AD398" s="91">
        <f>Ruimtestaat[[#This Row],[uren / jaar weekend]]*Tariefsopbouw!$D$40</f>
        <v>0</v>
      </c>
      <c r="AE398" s="60">
        <f>Ruimtestaat[[#This Row],[Prest. (m2 /jaar) weekend]]+Ruimtestaat[[#This Row],[Prest. (m2 /jaar) werkdagen]]</f>
        <v>4872</v>
      </c>
      <c r="AF398" s="60">
        <f>Ruimtestaat[[#This Row],[uren / jaar weekend]]+Ruimtestaat[[#This Row],[uren / jaar werkdagen]]</f>
        <v>0</v>
      </c>
      <c r="AG398" s="61">
        <f>Ruimtestaat[[#This Row],[kosten / jaar weekend]]+Ruimtestaat[[#This Row],[kosten / jaar werkdagen]]</f>
        <v>0</v>
      </c>
      <c r="AH398" s="92"/>
      <c r="HL398" s="59"/>
    </row>
    <row r="399" spans="1:220">
      <c r="A399" s="24">
        <v>2</v>
      </c>
      <c r="B399" s="24" t="str">
        <f>VLOOKUP(Ruimtestaat[[#This Row],[Code]],Locaties[#All],2,FALSE)</f>
        <v>Het Stormink</v>
      </c>
      <c r="C399" s="24" t="str">
        <f>VLOOKUP(Ruimtestaat[[#This Row],[Code]],Locaties[#All],4,FALSE)</f>
        <v>Storminkstraat 1</v>
      </c>
      <c r="D399" s="24" t="str">
        <f>VLOOKUP(Ruimtestaat[[#This Row],[Code]],Locaties[#All],5,FALSE)</f>
        <v>7418 GH</v>
      </c>
      <c r="E399" s="24" t="str">
        <f>VLOOKUP(Ruimtestaat[[#This Row],[Code]],Locaties[#All],6,FALSE)</f>
        <v>Deventer</v>
      </c>
      <c r="F399" s="54"/>
      <c r="G399" s="24" t="s">
        <v>599</v>
      </c>
      <c r="H399" s="24" t="s">
        <v>813</v>
      </c>
      <c r="I399" s="4" t="s">
        <v>814</v>
      </c>
      <c r="J399" s="24">
        <v>5</v>
      </c>
      <c r="K399" s="54" t="str">
        <f>VLOOKUP(J399,Ruimtegroepen[],2,FALSE)</f>
        <v>Sanitair</v>
      </c>
      <c r="L399" s="24" t="s">
        <v>300</v>
      </c>
      <c r="M399" s="24" t="s">
        <v>157</v>
      </c>
      <c r="N399" s="83">
        <v>11.6</v>
      </c>
      <c r="O399" s="83"/>
      <c r="P399" s="93" t="str">
        <f>LEFT(VLOOKUP(Ruimtestaat[[#This Row],[Ruimte code]],Ruimtegroepen[#All],4,1),2)</f>
        <v>Sa</v>
      </c>
      <c r="Q399" s="93"/>
      <c r="R399" s="84">
        <v>42</v>
      </c>
      <c r="S399" s="84" t="s">
        <v>316</v>
      </c>
      <c r="T399" s="85">
        <f>IF(R399&gt;0,IF(RIGHT(Ruimtestaat[[#This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99" s="85">
        <f>IF(T399&gt;0,VLOOKUP($J399,Ruimtegroepen[],3,FALSE)*VLOOKUP($L399,Vloersoorten[],3,FALSE)*VLOOKUP($S399,Frequenties[],3,FALSE)*VLOOKUP($A399,Locaties[],3,FALSE),0)</f>
        <v>0</v>
      </c>
      <c r="V399" s="86">
        <f>Ruimtestaat[[#This Row],[Uitvoeringen werkdagen]]*Ruimtestaat[[#This Row],[Oppervlak (netto)]]</f>
        <v>4872</v>
      </c>
      <c r="W399" s="87">
        <f>IF(U399&gt;0,Ruimtestaat[[#This Row],[Prest. (m2 /jaar) werkdagen]]/Ruimtestaat[[#This Row],[Norm (m2/uur) werkdagen]],0)</f>
        <v>0</v>
      </c>
      <c r="X399" s="88">
        <f>Ruimtestaat[[#This Row],[uren / jaar werkdagen]]*Tariefsopbouw!$E$35</f>
        <v>0</v>
      </c>
      <c r="Y399" s="85"/>
      <c r="Z399" s="89">
        <f>IF(Ruimtestaat[[#This Row],[Frequentie weekend]]&gt;0,VALUE(LEFT(Y399,1))*R399,0)</f>
        <v>0</v>
      </c>
      <c r="AA399" s="85">
        <f>IF($Z399&gt;0,VLOOKUP($J399,Ruimtegroepen[],3,FALSE)*VLOOKUP($L399,Vloersoorten[],3,FALSE)*VLOOKUP($Y399,Frequenties[],3,FALSE)*VLOOKUP(#REF!,Locaties[],3,FALSE),0)</f>
        <v>0</v>
      </c>
      <c r="AB399" s="87">
        <f>Ruimtestaat[[#This Row],[Uitvoeringen weekend]]*Ruimtestaat[[#This Row],[Oppervlak (netto)]]</f>
        <v>0</v>
      </c>
      <c r="AC399" s="90">
        <f>IF(AB399&gt;0,Ruimtestaat[[#This Row],[Prest. (m2 /jaar) weekend]]/Ruimtestaat[[#This Row],[Norm (m2/uur) weekend]],0)</f>
        <v>0</v>
      </c>
      <c r="AD399" s="91">
        <f>Ruimtestaat[[#This Row],[uren / jaar weekend]]*Tariefsopbouw!$D$40</f>
        <v>0</v>
      </c>
      <c r="AE399" s="60">
        <f>Ruimtestaat[[#This Row],[Prest. (m2 /jaar) weekend]]+Ruimtestaat[[#This Row],[Prest. (m2 /jaar) werkdagen]]</f>
        <v>4872</v>
      </c>
      <c r="AF399" s="60">
        <f>Ruimtestaat[[#This Row],[uren / jaar weekend]]+Ruimtestaat[[#This Row],[uren / jaar werkdagen]]</f>
        <v>0</v>
      </c>
      <c r="AG399" s="61">
        <f>Ruimtestaat[[#This Row],[kosten / jaar weekend]]+Ruimtestaat[[#This Row],[kosten / jaar werkdagen]]</f>
        <v>0</v>
      </c>
      <c r="AH399" s="92"/>
      <c r="HL399" s="59"/>
    </row>
    <row r="400" spans="1:220">
      <c r="A400" s="24">
        <v>2</v>
      </c>
      <c r="B400" s="24" t="str">
        <f>VLOOKUP(Ruimtestaat[[#This Row],[Code]],Locaties[#All],2,FALSE)</f>
        <v>Het Stormink</v>
      </c>
      <c r="C400" s="24" t="str">
        <f>VLOOKUP(Ruimtestaat[[#This Row],[Code]],Locaties[#All],4,FALSE)</f>
        <v>Storminkstraat 1</v>
      </c>
      <c r="D400" s="24" t="str">
        <f>VLOOKUP(Ruimtestaat[[#This Row],[Code]],Locaties[#All],5,FALSE)</f>
        <v>7418 GH</v>
      </c>
      <c r="E400" s="24" t="str">
        <f>VLOOKUP(Ruimtestaat[[#This Row],[Code]],Locaties[#All],6,FALSE)</f>
        <v>Deventer</v>
      </c>
      <c r="F400" s="54"/>
      <c r="G400" s="24" t="s">
        <v>599</v>
      </c>
      <c r="H400" s="24" t="s">
        <v>815</v>
      </c>
      <c r="I400" s="4" t="s">
        <v>811</v>
      </c>
      <c r="J400" s="24">
        <v>8</v>
      </c>
      <c r="K400" s="54" t="str">
        <f>VLOOKUP(J400,Ruimtegroepen[],2,FALSE)</f>
        <v>Mediatheek / OLC</v>
      </c>
      <c r="L400" s="24" t="s">
        <v>300</v>
      </c>
      <c r="M400" s="24" t="s">
        <v>157</v>
      </c>
      <c r="N400" s="83">
        <v>38.14</v>
      </c>
      <c r="O400" s="83"/>
      <c r="P400" s="93" t="str">
        <f>LEFT(VLOOKUP(Ruimtestaat[[#This Row],[Ruimte code]],Ruimtegroepen[#All],4,1),2)</f>
        <v>Le</v>
      </c>
      <c r="Q400" s="93"/>
      <c r="R400" s="84">
        <v>40</v>
      </c>
      <c r="S400" s="84" t="s">
        <v>318</v>
      </c>
      <c r="T400" s="85">
        <f>IF(R400&gt;0,IF(RIGHT(Ruimtestaat[[#This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0" s="85">
        <f>IF(T400&gt;0,VLOOKUP($J400,Ruimtegroepen[],3,FALSE)*VLOOKUP($L400,Vloersoorten[],3,FALSE)*VLOOKUP($S400,Frequenties[],3,FALSE)*VLOOKUP($A400,Locaties[],3,FALSE),0)</f>
        <v>0</v>
      </c>
      <c r="V400" s="86">
        <f>Ruimtestaat[[#This Row],[Uitvoeringen werkdagen]]*Ruimtestaat[[#This Row],[Oppervlak (netto)]]</f>
        <v>7628</v>
      </c>
      <c r="W400" s="87">
        <f>IF(U400&gt;0,Ruimtestaat[[#This Row],[Prest. (m2 /jaar) werkdagen]]/Ruimtestaat[[#This Row],[Norm (m2/uur) werkdagen]],0)</f>
        <v>0</v>
      </c>
      <c r="X400" s="88">
        <f>Ruimtestaat[[#This Row],[uren / jaar werkdagen]]*Tariefsopbouw!$E$35</f>
        <v>0</v>
      </c>
      <c r="Y400" s="85"/>
      <c r="Z400" s="89">
        <f>IF(Ruimtestaat[[#This Row],[Frequentie weekend]]&gt;0,VALUE(LEFT(Y400,1))*R400,0)</f>
        <v>0</v>
      </c>
      <c r="AA400" s="85">
        <f>IF($Z400&gt;0,VLOOKUP($J400,Ruimtegroepen[],3,FALSE)*VLOOKUP($L400,Vloersoorten[],3,FALSE)*VLOOKUP($Y400,Frequenties[],3,FALSE)*VLOOKUP(#REF!,Locaties[],3,FALSE),0)</f>
        <v>0</v>
      </c>
      <c r="AB400" s="87">
        <f>Ruimtestaat[[#This Row],[Uitvoeringen weekend]]*Ruimtestaat[[#This Row],[Oppervlak (netto)]]</f>
        <v>0</v>
      </c>
      <c r="AC400" s="90">
        <f>IF(AB400&gt;0,Ruimtestaat[[#This Row],[Prest. (m2 /jaar) weekend]]/Ruimtestaat[[#This Row],[Norm (m2/uur) weekend]],0)</f>
        <v>0</v>
      </c>
      <c r="AD400" s="91">
        <f>Ruimtestaat[[#This Row],[uren / jaar weekend]]*Tariefsopbouw!$D$40</f>
        <v>0</v>
      </c>
      <c r="AE400" s="60">
        <f>Ruimtestaat[[#This Row],[Prest. (m2 /jaar) weekend]]+Ruimtestaat[[#This Row],[Prest. (m2 /jaar) werkdagen]]</f>
        <v>7628</v>
      </c>
      <c r="AF400" s="60">
        <f>Ruimtestaat[[#This Row],[uren / jaar weekend]]+Ruimtestaat[[#This Row],[uren / jaar werkdagen]]</f>
        <v>0</v>
      </c>
      <c r="AG400" s="61">
        <f>Ruimtestaat[[#This Row],[kosten / jaar weekend]]+Ruimtestaat[[#This Row],[kosten / jaar werkdagen]]</f>
        <v>0</v>
      </c>
      <c r="AH400" s="92"/>
      <c r="HL400" s="59"/>
    </row>
    <row r="401" spans="1:220">
      <c r="A401" s="24">
        <v>2</v>
      </c>
      <c r="B401" s="24" t="str">
        <f>VLOOKUP(Ruimtestaat[[#This Row],[Code]],Locaties[#All],2,FALSE)</f>
        <v>Het Stormink</v>
      </c>
      <c r="C401" s="24" t="str">
        <f>VLOOKUP(Ruimtestaat[[#This Row],[Code]],Locaties[#All],4,FALSE)</f>
        <v>Storminkstraat 1</v>
      </c>
      <c r="D401" s="24" t="str">
        <f>VLOOKUP(Ruimtestaat[[#This Row],[Code]],Locaties[#All],5,FALSE)</f>
        <v>7418 GH</v>
      </c>
      <c r="E401" s="24" t="str">
        <f>VLOOKUP(Ruimtestaat[[#This Row],[Code]],Locaties[#All],6,FALSE)</f>
        <v>Deventer</v>
      </c>
      <c r="F401" s="54"/>
      <c r="G401" s="24" t="s">
        <v>599</v>
      </c>
      <c r="H401" s="24" t="s">
        <v>816</v>
      </c>
      <c r="I401" s="4" t="s">
        <v>817</v>
      </c>
      <c r="J401" s="24">
        <v>22</v>
      </c>
      <c r="K401" s="54" t="str">
        <f>VLOOKUP(J401,Ruimtegroepen[],2,FALSE)</f>
        <v>Niet in onderhoud</v>
      </c>
      <c r="L401" s="24" t="s">
        <v>305</v>
      </c>
      <c r="M401" s="24" t="s">
        <v>668</v>
      </c>
      <c r="N401" s="83"/>
      <c r="O401" s="83">
        <v>19.02</v>
      </c>
      <c r="P401" s="93" t="str">
        <f>LEFT(VLOOKUP(Ruimtestaat[[#This Row],[Ruimte code]],Ruimtegroepen[#All],4,1),2)</f>
        <v/>
      </c>
      <c r="Q401" s="93"/>
      <c r="R401" s="84"/>
      <c r="S401" s="84"/>
      <c r="T401" s="85">
        <f>IF(R401&gt;0,IF(RIGHT(Ruimtestaat[[#This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01" s="85">
        <f>IF(T401&gt;0,VLOOKUP($J401,Ruimtegroepen[],3,FALSE)*VLOOKUP($L401,Vloersoorten[],3,FALSE)*VLOOKUP($S401,Frequenties[],3,FALSE)*VLOOKUP($A401,Locaties[],3,FALSE),0)</f>
        <v>0</v>
      </c>
      <c r="V401" s="86">
        <f>Ruimtestaat[[#This Row],[Uitvoeringen werkdagen]]*Ruimtestaat[[#This Row],[Oppervlak (netto)]]</f>
        <v>0</v>
      </c>
      <c r="W401" s="87">
        <f>IF(U401&gt;0,Ruimtestaat[[#This Row],[Prest. (m2 /jaar) werkdagen]]/Ruimtestaat[[#This Row],[Norm (m2/uur) werkdagen]],0)</f>
        <v>0</v>
      </c>
      <c r="X401" s="88">
        <f>Ruimtestaat[[#This Row],[uren / jaar werkdagen]]*Tariefsopbouw!$E$35</f>
        <v>0</v>
      </c>
      <c r="Y401" s="85"/>
      <c r="Z401" s="89">
        <f>IF(Ruimtestaat[[#This Row],[Frequentie weekend]]&gt;0,VALUE(LEFT(Y401,1))*R401,0)</f>
        <v>0</v>
      </c>
      <c r="AA401" s="85">
        <f>IF($Z401&gt;0,VLOOKUP($J401,Ruimtegroepen[],3,FALSE)*VLOOKUP($L401,Vloersoorten[],3,FALSE)*VLOOKUP($Y401,Frequenties[],3,FALSE)*VLOOKUP(#REF!,Locaties[],3,FALSE),0)</f>
        <v>0</v>
      </c>
      <c r="AB401" s="87">
        <f>Ruimtestaat[[#This Row],[Uitvoeringen weekend]]*Ruimtestaat[[#This Row],[Oppervlak (netto)]]</f>
        <v>0</v>
      </c>
      <c r="AC401" s="90">
        <f>IF(AB401&gt;0,Ruimtestaat[[#This Row],[Prest. (m2 /jaar) weekend]]/Ruimtestaat[[#This Row],[Norm (m2/uur) weekend]],0)</f>
        <v>0</v>
      </c>
      <c r="AD401" s="91">
        <f>Ruimtestaat[[#This Row],[uren / jaar weekend]]*Tariefsopbouw!$D$40</f>
        <v>0</v>
      </c>
      <c r="AE401" s="60">
        <f>Ruimtestaat[[#This Row],[Prest. (m2 /jaar) weekend]]+Ruimtestaat[[#This Row],[Prest. (m2 /jaar) werkdagen]]</f>
        <v>0</v>
      </c>
      <c r="AF401" s="60">
        <f>Ruimtestaat[[#This Row],[uren / jaar weekend]]+Ruimtestaat[[#This Row],[uren / jaar werkdagen]]</f>
        <v>0</v>
      </c>
      <c r="AG401" s="61">
        <f>Ruimtestaat[[#This Row],[kosten / jaar weekend]]+Ruimtestaat[[#This Row],[kosten / jaar werkdagen]]</f>
        <v>0</v>
      </c>
      <c r="AH401" s="92"/>
      <c r="HL401" s="59"/>
    </row>
    <row r="402" spans="1:220">
      <c r="A402" s="24">
        <v>2</v>
      </c>
      <c r="B402" s="24" t="str">
        <f>VLOOKUP(Ruimtestaat[[#This Row],[Code]],Locaties[#All],2,FALSE)</f>
        <v>Het Stormink</v>
      </c>
      <c r="C402" s="24" t="str">
        <f>VLOOKUP(Ruimtestaat[[#This Row],[Code]],Locaties[#All],4,FALSE)</f>
        <v>Storminkstraat 1</v>
      </c>
      <c r="D402" s="24" t="str">
        <f>VLOOKUP(Ruimtestaat[[#This Row],[Code]],Locaties[#All],5,FALSE)</f>
        <v>7418 GH</v>
      </c>
      <c r="E402" s="24" t="str">
        <f>VLOOKUP(Ruimtestaat[[#This Row],[Code]],Locaties[#All],6,FALSE)</f>
        <v>Deventer</v>
      </c>
      <c r="F402" s="54"/>
      <c r="G402" s="24" t="s">
        <v>599</v>
      </c>
      <c r="H402" s="24" t="s">
        <v>818</v>
      </c>
      <c r="I402" s="4" t="s">
        <v>819</v>
      </c>
      <c r="J402" s="24">
        <v>22</v>
      </c>
      <c r="K402" s="54" t="str">
        <f>VLOOKUP(J402,Ruimtegroepen[],2,FALSE)</f>
        <v>Niet in onderhoud</v>
      </c>
      <c r="L402" s="24" t="s">
        <v>305</v>
      </c>
      <c r="M402" s="24" t="s">
        <v>668</v>
      </c>
      <c r="N402" s="83"/>
      <c r="O402" s="83">
        <v>18.940000000000001</v>
      </c>
      <c r="P402" s="93" t="str">
        <f>LEFT(VLOOKUP(Ruimtestaat[[#This Row],[Ruimte code]],Ruimtegroepen[#All],4,1),2)</f>
        <v/>
      </c>
      <c r="Q402" s="93"/>
      <c r="R402" s="84"/>
      <c r="S402" s="84"/>
      <c r="T402" s="85">
        <f>IF(R402&gt;0,IF(RIGHT(Ruimtestaat[[#This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02" s="85">
        <f>IF(T402&gt;0,VLOOKUP($J402,Ruimtegroepen[],3,FALSE)*VLOOKUP($L402,Vloersoorten[],3,FALSE)*VLOOKUP($S402,Frequenties[],3,FALSE)*VLOOKUP($A402,Locaties[],3,FALSE),0)</f>
        <v>0</v>
      </c>
      <c r="V402" s="86">
        <f>Ruimtestaat[[#This Row],[Uitvoeringen werkdagen]]*Ruimtestaat[[#This Row],[Oppervlak (netto)]]</f>
        <v>0</v>
      </c>
      <c r="W402" s="87">
        <f>IF(U402&gt;0,Ruimtestaat[[#This Row],[Prest. (m2 /jaar) werkdagen]]/Ruimtestaat[[#This Row],[Norm (m2/uur) werkdagen]],0)</f>
        <v>0</v>
      </c>
      <c r="X402" s="88">
        <f>Ruimtestaat[[#This Row],[uren / jaar werkdagen]]*Tariefsopbouw!$E$35</f>
        <v>0</v>
      </c>
      <c r="Y402" s="85"/>
      <c r="Z402" s="89">
        <f>IF(Ruimtestaat[[#This Row],[Frequentie weekend]]&gt;0,VALUE(LEFT(Y402,1))*R402,0)</f>
        <v>0</v>
      </c>
      <c r="AA402" s="85">
        <f>IF($Z402&gt;0,VLOOKUP($J402,Ruimtegroepen[],3,FALSE)*VLOOKUP($L402,Vloersoorten[],3,FALSE)*VLOOKUP($Y402,Frequenties[],3,FALSE)*VLOOKUP(#REF!,Locaties[],3,FALSE),0)</f>
        <v>0</v>
      </c>
      <c r="AB402" s="87">
        <f>Ruimtestaat[[#This Row],[Uitvoeringen weekend]]*Ruimtestaat[[#This Row],[Oppervlak (netto)]]</f>
        <v>0</v>
      </c>
      <c r="AC402" s="90">
        <f>IF(AB402&gt;0,Ruimtestaat[[#This Row],[Prest. (m2 /jaar) weekend]]/Ruimtestaat[[#This Row],[Norm (m2/uur) weekend]],0)</f>
        <v>0</v>
      </c>
      <c r="AD402" s="91">
        <f>Ruimtestaat[[#This Row],[uren / jaar weekend]]*Tariefsopbouw!$D$40</f>
        <v>0</v>
      </c>
      <c r="AE402" s="60">
        <f>Ruimtestaat[[#This Row],[Prest. (m2 /jaar) weekend]]+Ruimtestaat[[#This Row],[Prest. (m2 /jaar) werkdagen]]</f>
        <v>0</v>
      </c>
      <c r="AF402" s="60">
        <f>Ruimtestaat[[#This Row],[uren / jaar weekend]]+Ruimtestaat[[#This Row],[uren / jaar werkdagen]]</f>
        <v>0</v>
      </c>
      <c r="AG402" s="61">
        <f>Ruimtestaat[[#This Row],[kosten / jaar weekend]]+Ruimtestaat[[#This Row],[kosten / jaar werkdagen]]</f>
        <v>0</v>
      </c>
      <c r="AH402" s="92"/>
      <c r="HL402" s="59"/>
    </row>
    <row r="403" spans="1:220">
      <c r="A403" s="24">
        <v>2</v>
      </c>
      <c r="B403" s="24" t="str">
        <f>VLOOKUP(Ruimtestaat[[#This Row],[Code]],Locaties[#All],2,FALSE)</f>
        <v>Het Stormink</v>
      </c>
      <c r="C403" s="24" t="str">
        <f>VLOOKUP(Ruimtestaat[[#This Row],[Code]],Locaties[#All],4,FALSE)</f>
        <v>Storminkstraat 1</v>
      </c>
      <c r="D403" s="24" t="str">
        <f>VLOOKUP(Ruimtestaat[[#This Row],[Code]],Locaties[#All],5,FALSE)</f>
        <v>7418 GH</v>
      </c>
      <c r="E403" s="24" t="str">
        <f>VLOOKUP(Ruimtestaat[[#This Row],[Code]],Locaties[#All],6,FALSE)</f>
        <v>Deventer</v>
      </c>
      <c r="F403" s="54"/>
      <c r="G403" s="24" t="s">
        <v>599</v>
      </c>
      <c r="H403" s="24" t="s">
        <v>820</v>
      </c>
      <c r="I403" s="4" t="s">
        <v>819</v>
      </c>
      <c r="J403" s="24">
        <v>22</v>
      </c>
      <c r="K403" s="54" t="str">
        <f>VLOOKUP(J403,Ruimtegroepen[],2,FALSE)</f>
        <v>Niet in onderhoud</v>
      </c>
      <c r="L403" s="24" t="s">
        <v>305</v>
      </c>
      <c r="M403" s="24" t="s">
        <v>668</v>
      </c>
      <c r="N403" s="83"/>
      <c r="O403" s="83">
        <v>18.940000000000001</v>
      </c>
      <c r="P403" s="93" t="str">
        <f>LEFT(VLOOKUP(Ruimtestaat[[#This Row],[Ruimte code]],Ruimtegroepen[#All],4,1),2)</f>
        <v/>
      </c>
      <c r="Q403" s="93"/>
      <c r="R403" s="84"/>
      <c r="S403" s="84"/>
      <c r="T403" s="85">
        <f>IF(R403&gt;0,IF(RIGHT(Ruimtestaat[[#This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03" s="85">
        <f>IF(T403&gt;0,VLOOKUP($J403,Ruimtegroepen[],3,FALSE)*VLOOKUP($L403,Vloersoorten[],3,FALSE)*VLOOKUP($S403,Frequenties[],3,FALSE)*VLOOKUP($A403,Locaties[],3,FALSE),0)</f>
        <v>0</v>
      </c>
      <c r="V403" s="86">
        <f>Ruimtestaat[[#This Row],[Uitvoeringen werkdagen]]*Ruimtestaat[[#This Row],[Oppervlak (netto)]]</f>
        <v>0</v>
      </c>
      <c r="W403" s="87">
        <f>IF(U403&gt;0,Ruimtestaat[[#This Row],[Prest. (m2 /jaar) werkdagen]]/Ruimtestaat[[#This Row],[Norm (m2/uur) werkdagen]],0)</f>
        <v>0</v>
      </c>
      <c r="X403" s="88">
        <f>Ruimtestaat[[#This Row],[uren / jaar werkdagen]]*Tariefsopbouw!$E$35</f>
        <v>0</v>
      </c>
      <c r="Y403" s="85"/>
      <c r="Z403" s="89">
        <f>IF(Ruimtestaat[[#This Row],[Frequentie weekend]]&gt;0,VALUE(LEFT(Y403,1))*R403,0)</f>
        <v>0</v>
      </c>
      <c r="AA403" s="85">
        <f>IF($Z403&gt;0,VLOOKUP($J403,Ruimtegroepen[],3,FALSE)*VLOOKUP($L403,Vloersoorten[],3,FALSE)*VLOOKUP($Y403,Frequenties[],3,FALSE)*VLOOKUP(#REF!,Locaties[],3,FALSE),0)</f>
        <v>0</v>
      </c>
      <c r="AB403" s="87">
        <f>Ruimtestaat[[#This Row],[Uitvoeringen weekend]]*Ruimtestaat[[#This Row],[Oppervlak (netto)]]</f>
        <v>0</v>
      </c>
      <c r="AC403" s="90">
        <f>IF(AB403&gt;0,Ruimtestaat[[#This Row],[Prest. (m2 /jaar) weekend]]/Ruimtestaat[[#This Row],[Norm (m2/uur) weekend]],0)</f>
        <v>0</v>
      </c>
      <c r="AD403" s="91">
        <f>Ruimtestaat[[#This Row],[uren / jaar weekend]]*Tariefsopbouw!$D$40</f>
        <v>0</v>
      </c>
      <c r="AE403" s="60">
        <f>Ruimtestaat[[#This Row],[Prest. (m2 /jaar) weekend]]+Ruimtestaat[[#This Row],[Prest. (m2 /jaar) werkdagen]]</f>
        <v>0</v>
      </c>
      <c r="AF403" s="60">
        <f>Ruimtestaat[[#This Row],[uren / jaar weekend]]+Ruimtestaat[[#This Row],[uren / jaar werkdagen]]</f>
        <v>0</v>
      </c>
      <c r="AG403" s="61">
        <f>Ruimtestaat[[#This Row],[kosten / jaar weekend]]+Ruimtestaat[[#This Row],[kosten / jaar werkdagen]]</f>
        <v>0</v>
      </c>
      <c r="AH403" s="92"/>
      <c r="HL403" s="59"/>
    </row>
    <row r="404" spans="1:220">
      <c r="A404" s="24">
        <v>2</v>
      </c>
      <c r="B404" s="24" t="str">
        <f>VLOOKUP(Ruimtestaat[[#This Row],[Code]],Locaties[#All],2,FALSE)</f>
        <v>Het Stormink</v>
      </c>
      <c r="C404" s="24" t="str">
        <f>VLOOKUP(Ruimtestaat[[#This Row],[Code]],Locaties[#All],4,FALSE)</f>
        <v>Storminkstraat 1</v>
      </c>
      <c r="D404" s="24" t="str">
        <f>VLOOKUP(Ruimtestaat[[#This Row],[Code]],Locaties[#All],5,FALSE)</f>
        <v>7418 GH</v>
      </c>
      <c r="E404" s="24" t="str">
        <f>VLOOKUP(Ruimtestaat[[#This Row],[Code]],Locaties[#All],6,FALSE)</f>
        <v>Deventer</v>
      </c>
      <c r="F404" s="54"/>
      <c r="G404" s="24" t="s">
        <v>599</v>
      </c>
      <c r="H404" s="24" t="s">
        <v>821</v>
      </c>
      <c r="I404" s="4" t="s">
        <v>822</v>
      </c>
      <c r="J404" s="24">
        <v>22</v>
      </c>
      <c r="K404" s="54" t="str">
        <f>VLOOKUP(J404,Ruimtegroepen[],2,FALSE)</f>
        <v>Niet in onderhoud</v>
      </c>
      <c r="L404" s="24" t="s">
        <v>305</v>
      </c>
      <c r="M404" s="24" t="s">
        <v>668</v>
      </c>
      <c r="N404" s="83"/>
      <c r="O404" s="83">
        <v>18.89</v>
      </c>
      <c r="P404" s="93" t="str">
        <f>LEFT(VLOOKUP(Ruimtestaat[[#This Row],[Ruimte code]],Ruimtegroepen[#All],4,1),2)</f>
        <v/>
      </c>
      <c r="Q404" s="93"/>
      <c r="R404" s="84"/>
      <c r="S404" s="84"/>
      <c r="T404" s="85">
        <f>IF(R404&gt;0,IF(RIGHT(Ruimtestaat[[#This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04" s="85">
        <f>IF(T404&gt;0,VLOOKUP($J404,Ruimtegroepen[],3,FALSE)*VLOOKUP($L404,Vloersoorten[],3,FALSE)*VLOOKUP($S404,Frequenties[],3,FALSE)*VLOOKUP($A404,Locaties[],3,FALSE),0)</f>
        <v>0</v>
      </c>
      <c r="V404" s="86">
        <f>Ruimtestaat[[#This Row],[Uitvoeringen werkdagen]]*Ruimtestaat[[#This Row],[Oppervlak (netto)]]</f>
        <v>0</v>
      </c>
      <c r="W404" s="87">
        <f>IF(U404&gt;0,Ruimtestaat[[#This Row],[Prest. (m2 /jaar) werkdagen]]/Ruimtestaat[[#This Row],[Norm (m2/uur) werkdagen]],0)</f>
        <v>0</v>
      </c>
      <c r="X404" s="88">
        <f>Ruimtestaat[[#This Row],[uren / jaar werkdagen]]*Tariefsopbouw!$E$35</f>
        <v>0</v>
      </c>
      <c r="Y404" s="85"/>
      <c r="Z404" s="89">
        <f>IF(Ruimtestaat[[#This Row],[Frequentie weekend]]&gt;0,VALUE(LEFT(Y404,1))*R404,0)</f>
        <v>0</v>
      </c>
      <c r="AA404" s="85">
        <f>IF($Z404&gt;0,VLOOKUP($J404,Ruimtegroepen[],3,FALSE)*VLOOKUP($L404,Vloersoorten[],3,FALSE)*VLOOKUP($Y404,Frequenties[],3,FALSE)*VLOOKUP(#REF!,Locaties[],3,FALSE),0)</f>
        <v>0</v>
      </c>
      <c r="AB404" s="87">
        <f>Ruimtestaat[[#This Row],[Uitvoeringen weekend]]*Ruimtestaat[[#This Row],[Oppervlak (netto)]]</f>
        <v>0</v>
      </c>
      <c r="AC404" s="90">
        <f>IF(AB404&gt;0,Ruimtestaat[[#This Row],[Prest. (m2 /jaar) weekend]]/Ruimtestaat[[#This Row],[Norm (m2/uur) weekend]],0)</f>
        <v>0</v>
      </c>
      <c r="AD404" s="91">
        <f>Ruimtestaat[[#This Row],[uren / jaar weekend]]*Tariefsopbouw!$D$40</f>
        <v>0</v>
      </c>
      <c r="AE404" s="60">
        <f>Ruimtestaat[[#This Row],[Prest. (m2 /jaar) weekend]]+Ruimtestaat[[#This Row],[Prest. (m2 /jaar) werkdagen]]</f>
        <v>0</v>
      </c>
      <c r="AF404" s="60">
        <f>Ruimtestaat[[#This Row],[uren / jaar weekend]]+Ruimtestaat[[#This Row],[uren / jaar werkdagen]]</f>
        <v>0</v>
      </c>
      <c r="AG404" s="61">
        <f>Ruimtestaat[[#This Row],[kosten / jaar weekend]]+Ruimtestaat[[#This Row],[kosten / jaar werkdagen]]</f>
        <v>0</v>
      </c>
      <c r="AH404" s="92"/>
      <c r="HL404" s="59"/>
    </row>
    <row r="405" spans="1:220">
      <c r="A405" s="24">
        <v>2</v>
      </c>
      <c r="B405" s="24" t="str">
        <f>VLOOKUP(Ruimtestaat[[#This Row],[Code]],Locaties[#All],2,FALSE)</f>
        <v>Het Stormink</v>
      </c>
      <c r="C405" s="24" t="str">
        <f>VLOOKUP(Ruimtestaat[[#This Row],[Code]],Locaties[#All],4,FALSE)</f>
        <v>Storminkstraat 1</v>
      </c>
      <c r="D405" s="24" t="str">
        <f>VLOOKUP(Ruimtestaat[[#This Row],[Code]],Locaties[#All],5,FALSE)</f>
        <v>7418 GH</v>
      </c>
      <c r="E405" s="24" t="str">
        <f>VLOOKUP(Ruimtestaat[[#This Row],[Code]],Locaties[#All],6,FALSE)</f>
        <v>Deventer</v>
      </c>
      <c r="F405" s="54"/>
      <c r="G405" s="24" t="s">
        <v>599</v>
      </c>
      <c r="H405" s="24" t="s">
        <v>823</v>
      </c>
      <c r="I405" s="4" t="s">
        <v>824</v>
      </c>
      <c r="J405" s="24">
        <v>2</v>
      </c>
      <c r="K405" s="54" t="str">
        <f>VLOOKUP(J405,Ruimtegroepen[],2,FALSE)</f>
        <v>Kantoren</v>
      </c>
      <c r="L405" s="24" t="s">
        <v>300</v>
      </c>
      <c r="M405" s="24" t="s">
        <v>157</v>
      </c>
      <c r="N405" s="83">
        <v>25.25</v>
      </c>
      <c r="O405" s="83"/>
      <c r="P405" s="93" t="str">
        <f>LEFT(VLOOKUP(Ruimtestaat[[#This Row],[Ruimte code]],Ruimtegroepen[#All],4,1),2)</f>
        <v>Bu</v>
      </c>
      <c r="Q405" s="93"/>
      <c r="R405" s="84">
        <v>42</v>
      </c>
      <c r="S405" s="84" t="s">
        <v>322</v>
      </c>
      <c r="T405" s="85">
        <f>IF(R405&gt;0,IF(RIGHT(Ruimtestaat[[#This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05" s="85">
        <f>IF(T405&gt;0,VLOOKUP($J405,Ruimtegroepen[],3,FALSE)*VLOOKUP($L405,Vloersoorten[],3,FALSE)*VLOOKUP($S405,Frequenties[],3,FALSE)*VLOOKUP($A405,Locaties[],3,FALSE),0)</f>
        <v>0</v>
      </c>
      <c r="V405" s="86">
        <f>Ruimtestaat[[#This Row],[Uitvoeringen werkdagen]]*Ruimtestaat[[#This Row],[Oppervlak (netto)]]</f>
        <v>3181.5</v>
      </c>
      <c r="W405" s="87">
        <f>IF(U405&gt;0,Ruimtestaat[[#This Row],[Prest. (m2 /jaar) werkdagen]]/Ruimtestaat[[#This Row],[Norm (m2/uur) werkdagen]],0)</f>
        <v>0</v>
      </c>
      <c r="X405" s="88">
        <f>Ruimtestaat[[#This Row],[uren / jaar werkdagen]]*Tariefsopbouw!$E$35</f>
        <v>0</v>
      </c>
      <c r="Y405" s="85"/>
      <c r="Z405" s="89">
        <f>IF(Ruimtestaat[[#This Row],[Frequentie weekend]]&gt;0,VALUE(LEFT(Y405,1))*R405,0)</f>
        <v>0</v>
      </c>
      <c r="AA405" s="85">
        <f>IF($Z405&gt;0,VLOOKUP($J405,Ruimtegroepen[],3,FALSE)*VLOOKUP($L405,Vloersoorten[],3,FALSE)*VLOOKUP($Y405,Frequenties[],3,FALSE)*VLOOKUP(#REF!,Locaties[],3,FALSE),0)</f>
        <v>0</v>
      </c>
      <c r="AB405" s="87">
        <f>Ruimtestaat[[#This Row],[Uitvoeringen weekend]]*Ruimtestaat[[#This Row],[Oppervlak (netto)]]</f>
        <v>0</v>
      </c>
      <c r="AC405" s="90">
        <f>IF(AB405&gt;0,Ruimtestaat[[#This Row],[Prest. (m2 /jaar) weekend]]/Ruimtestaat[[#This Row],[Norm (m2/uur) weekend]],0)</f>
        <v>0</v>
      </c>
      <c r="AD405" s="91">
        <f>Ruimtestaat[[#This Row],[uren / jaar weekend]]*Tariefsopbouw!$D$40</f>
        <v>0</v>
      </c>
      <c r="AE405" s="60">
        <f>Ruimtestaat[[#This Row],[Prest. (m2 /jaar) weekend]]+Ruimtestaat[[#This Row],[Prest. (m2 /jaar) werkdagen]]</f>
        <v>3181.5</v>
      </c>
      <c r="AF405" s="60">
        <f>Ruimtestaat[[#This Row],[uren / jaar weekend]]+Ruimtestaat[[#This Row],[uren / jaar werkdagen]]</f>
        <v>0</v>
      </c>
      <c r="AG405" s="61">
        <f>Ruimtestaat[[#This Row],[kosten / jaar weekend]]+Ruimtestaat[[#This Row],[kosten / jaar werkdagen]]</f>
        <v>0</v>
      </c>
      <c r="AH405" s="92"/>
      <c r="HL405" s="59"/>
    </row>
    <row r="406" spans="1:220">
      <c r="A406" s="24">
        <v>2</v>
      </c>
      <c r="B406" s="24" t="str">
        <f>VLOOKUP(Ruimtestaat[[#This Row],[Code]],Locaties[#All],2,FALSE)</f>
        <v>Het Stormink</v>
      </c>
      <c r="C406" s="24" t="str">
        <f>VLOOKUP(Ruimtestaat[[#This Row],[Code]],Locaties[#All],4,FALSE)</f>
        <v>Storminkstraat 1</v>
      </c>
      <c r="D406" s="24" t="str">
        <f>VLOOKUP(Ruimtestaat[[#This Row],[Code]],Locaties[#All],5,FALSE)</f>
        <v>7418 GH</v>
      </c>
      <c r="E406" s="24" t="str">
        <f>VLOOKUP(Ruimtestaat[[#This Row],[Code]],Locaties[#All],6,FALSE)</f>
        <v>Deventer</v>
      </c>
      <c r="F406" s="54"/>
      <c r="G406" s="24" t="s">
        <v>599</v>
      </c>
      <c r="H406" s="24" t="s">
        <v>825</v>
      </c>
      <c r="I406" s="4" t="s">
        <v>384</v>
      </c>
      <c r="J406" s="24">
        <v>4</v>
      </c>
      <c r="K406" s="54" t="str">
        <f>VLOOKUP(J406,Ruimtegroepen[],2,FALSE)</f>
        <v>Vergader/spreekkamers</v>
      </c>
      <c r="L406" s="24" t="s">
        <v>300</v>
      </c>
      <c r="M406" s="24" t="s">
        <v>157</v>
      </c>
      <c r="N406" s="83">
        <v>12.61</v>
      </c>
      <c r="O406" s="83"/>
      <c r="P406" s="93" t="str">
        <f>LEFT(VLOOKUP(Ruimtestaat[[#This Row],[Ruimte code]],Ruimtegroepen[#All],4,1),2)</f>
        <v>Bu</v>
      </c>
      <c r="Q406" s="93"/>
      <c r="R406" s="84">
        <v>40</v>
      </c>
      <c r="S406" s="84" t="s">
        <v>322</v>
      </c>
      <c r="T406" s="85">
        <f>IF(R406&gt;0,IF(RIGHT(Ruimtestaat[[#This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06" s="85">
        <f>IF(T406&gt;0,VLOOKUP($J406,Ruimtegroepen[],3,FALSE)*VLOOKUP($L406,Vloersoorten[],3,FALSE)*VLOOKUP($S406,Frequenties[],3,FALSE)*VLOOKUP($A406,Locaties[],3,FALSE),0)</f>
        <v>0</v>
      </c>
      <c r="V406" s="86">
        <f>Ruimtestaat[[#This Row],[Uitvoeringen werkdagen]]*Ruimtestaat[[#This Row],[Oppervlak (netto)]]</f>
        <v>1513.1999999999998</v>
      </c>
      <c r="W406" s="87">
        <f>IF(U406&gt;0,Ruimtestaat[[#This Row],[Prest. (m2 /jaar) werkdagen]]/Ruimtestaat[[#This Row],[Norm (m2/uur) werkdagen]],0)</f>
        <v>0</v>
      </c>
      <c r="X406" s="88">
        <f>Ruimtestaat[[#This Row],[uren / jaar werkdagen]]*Tariefsopbouw!$E$35</f>
        <v>0</v>
      </c>
      <c r="Y406" s="85"/>
      <c r="Z406" s="89">
        <f>IF(Ruimtestaat[[#This Row],[Frequentie weekend]]&gt;0,VALUE(LEFT(Y406,1))*R406,0)</f>
        <v>0</v>
      </c>
      <c r="AA406" s="85">
        <f>IF($Z406&gt;0,VLOOKUP($J406,Ruimtegroepen[],3,FALSE)*VLOOKUP($L406,Vloersoorten[],3,FALSE)*VLOOKUP($Y406,Frequenties[],3,FALSE)*VLOOKUP(#REF!,Locaties[],3,FALSE),0)</f>
        <v>0</v>
      </c>
      <c r="AB406" s="87">
        <f>Ruimtestaat[[#This Row],[Uitvoeringen weekend]]*Ruimtestaat[[#This Row],[Oppervlak (netto)]]</f>
        <v>0</v>
      </c>
      <c r="AC406" s="90">
        <f>IF(AB406&gt;0,Ruimtestaat[[#This Row],[Prest. (m2 /jaar) weekend]]/Ruimtestaat[[#This Row],[Norm (m2/uur) weekend]],0)</f>
        <v>0</v>
      </c>
      <c r="AD406" s="91">
        <f>Ruimtestaat[[#This Row],[uren / jaar weekend]]*Tariefsopbouw!$D$40</f>
        <v>0</v>
      </c>
      <c r="AE406" s="60">
        <f>Ruimtestaat[[#This Row],[Prest. (m2 /jaar) weekend]]+Ruimtestaat[[#This Row],[Prest. (m2 /jaar) werkdagen]]</f>
        <v>1513.1999999999998</v>
      </c>
      <c r="AF406" s="60">
        <f>Ruimtestaat[[#This Row],[uren / jaar weekend]]+Ruimtestaat[[#This Row],[uren / jaar werkdagen]]</f>
        <v>0</v>
      </c>
      <c r="AG406" s="61">
        <f>Ruimtestaat[[#This Row],[kosten / jaar weekend]]+Ruimtestaat[[#This Row],[kosten / jaar werkdagen]]</f>
        <v>0</v>
      </c>
      <c r="AH406" s="92"/>
      <c r="HL406" s="59"/>
    </row>
    <row r="407" spans="1:220">
      <c r="A407" s="24">
        <v>2</v>
      </c>
      <c r="B407" s="24" t="str">
        <f>VLOOKUP(Ruimtestaat[[#This Row],[Code]],Locaties[#All],2,FALSE)</f>
        <v>Het Stormink</v>
      </c>
      <c r="C407" s="24" t="str">
        <f>VLOOKUP(Ruimtestaat[[#This Row],[Code]],Locaties[#All],4,FALSE)</f>
        <v>Storminkstraat 1</v>
      </c>
      <c r="D407" s="24" t="str">
        <f>VLOOKUP(Ruimtestaat[[#This Row],[Code]],Locaties[#All],5,FALSE)</f>
        <v>7418 GH</v>
      </c>
      <c r="E407" s="24" t="str">
        <f>VLOOKUP(Ruimtestaat[[#This Row],[Code]],Locaties[#All],6,FALSE)</f>
        <v>Deventer</v>
      </c>
      <c r="F407" s="54"/>
      <c r="G407" s="24" t="s">
        <v>599</v>
      </c>
      <c r="H407" s="24" t="s">
        <v>826</v>
      </c>
      <c r="I407" s="4" t="s">
        <v>685</v>
      </c>
      <c r="J407" s="24">
        <v>2</v>
      </c>
      <c r="K407" s="54" t="str">
        <f>VLOOKUP(J407,Ruimtegroepen[],2,FALSE)</f>
        <v>Kantoren</v>
      </c>
      <c r="L407" s="24" t="s">
        <v>300</v>
      </c>
      <c r="M407" s="24" t="s">
        <v>157</v>
      </c>
      <c r="N407" s="83">
        <v>12.61</v>
      </c>
      <c r="O407" s="83"/>
      <c r="P407" s="93" t="str">
        <f>LEFT(VLOOKUP(Ruimtestaat[[#This Row],[Ruimte code]],Ruimtegroepen[#All],4,1),2)</f>
        <v>Bu</v>
      </c>
      <c r="Q407" s="93"/>
      <c r="R407" s="84">
        <v>42</v>
      </c>
      <c r="S407" s="84" t="s">
        <v>322</v>
      </c>
      <c r="T407" s="85">
        <f>IF(R407&gt;0,IF(RIGHT(Ruimtestaat[[#This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07" s="85">
        <f>IF(T407&gt;0,VLOOKUP($J407,Ruimtegroepen[],3,FALSE)*VLOOKUP($L407,Vloersoorten[],3,FALSE)*VLOOKUP($S407,Frequenties[],3,FALSE)*VLOOKUP($A407,Locaties[],3,FALSE),0)</f>
        <v>0</v>
      </c>
      <c r="V407" s="86">
        <f>Ruimtestaat[[#This Row],[Uitvoeringen werkdagen]]*Ruimtestaat[[#This Row],[Oppervlak (netto)]]</f>
        <v>1588.86</v>
      </c>
      <c r="W407" s="87">
        <f>IF(U407&gt;0,Ruimtestaat[[#This Row],[Prest. (m2 /jaar) werkdagen]]/Ruimtestaat[[#This Row],[Norm (m2/uur) werkdagen]],0)</f>
        <v>0</v>
      </c>
      <c r="X407" s="88">
        <f>Ruimtestaat[[#This Row],[uren / jaar werkdagen]]*Tariefsopbouw!$E$35</f>
        <v>0</v>
      </c>
      <c r="Y407" s="85"/>
      <c r="Z407" s="89">
        <f>IF(Ruimtestaat[[#This Row],[Frequentie weekend]]&gt;0,VALUE(LEFT(Y407,1))*R407,0)</f>
        <v>0</v>
      </c>
      <c r="AA407" s="85">
        <f>IF($Z407&gt;0,VLOOKUP($J407,Ruimtegroepen[],3,FALSE)*VLOOKUP($L407,Vloersoorten[],3,FALSE)*VLOOKUP($Y407,Frequenties[],3,FALSE)*VLOOKUP(#REF!,Locaties[],3,FALSE),0)</f>
        <v>0</v>
      </c>
      <c r="AB407" s="87">
        <f>Ruimtestaat[[#This Row],[Uitvoeringen weekend]]*Ruimtestaat[[#This Row],[Oppervlak (netto)]]</f>
        <v>0</v>
      </c>
      <c r="AC407" s="90">
        <f>IF(AB407&gt;0,Ruimtestaat[[#This Row],[Prest. (m2 /jaar) weekend]]/Ruimtestaat[[#This Row],[Norm (m2/uur) weekend]],0)</f>
        <v>0</v>
      </c>
      <c r="AD407" s="91">
        <f>Ruimtestaat[[#This Row],[uren / jaar weekend]]*Tariefsopbouw!$D$40</f>
        <v>0</v>
      </c>
      <c r="AE407" s="60">
        <f>Ruimtestaat[[#This Row],[Prest. (m2 /jaar) weekend]]+Ruimtestaat[[#This Row],[Prest. (m2 /jaar) werkdagen]]</f>
        <v>1588.86</v>
      </c>
      <c r="AF407" s="60">
        <f>Ruimtestaat[[#This Row],[uren / jaar weekend]]+Ruimtestaat[[#This Row],[uren / jaar werkdagen]]</f>
        <v>0</v>
      </c>
      <c r="AG407" s="61">
        <f>Ruimtestaat[[#This Row],[kosten / jaar weekend]]+Ruimtestaat[[#This Row],[kosten / jaar werkdagen]]</f>
        <v>0</v>
      </c>
      <c r="AH407" s="92"/>
      <c r="HL407" s="59"/>
    </row>
    <row r="408" spans="1:220">
      <c r="A408" s="24">
        <v>2</v>
      </c>
      <c r="B408" s="24" t="str">
        <f>VLOOKUP(Ruimtestaat[[#This Row],[Code]],Locaties[#All],2,FALSE)</f>
        <v>Het Stormink</v>
      </c>
      <c r="C408" s="24" t="str">
        <f>VLOOKUP(Ruimtestaat[[#This Row],[Code]],Locaties[#All],4,FALSE)</f>
        <v>Storminkstraat 1</v>
      </c>
      <c r="D408" s="24" t="str">
        <f>VLOOKUP(Ruimtestaat[[#This Row],[Code]],Locaties[#All],5,FALSE)</f>
        <v>7418 GH</v>
      </c>
      <c r="E408" s="24" t="str">
        <f>VLOOKUP(Ruimtestaat[[#This Row],[Code]],Locaties[#All],6,FALSE)</f>
        <v>Deventer</v>
      </c>
      <c r="F408" s="54"/>
      <c r="G408" s="24" t="s">
        <v>599</v>
      </c>
      <c r="H408" s="24" t="s">
        <v>827</v>
      </c>
      <c r="I408" s="4" t="s">
        <v>776</v>
      </c>
      <c r="J408" s="24">
        <v>2</v>
      </c>
      <c r="K408" s="54" t="str">
        <f>VLOOKUP(J408,Ruimtegroepen[],2,FALSE)</f>
        <v>Kantoren</v>
      </c>
      <c r="L408" s="24" t="s">
        <v>300</v>
      </c>
      <c r="M408" s="24" t="s">
        <v>157</v>
      </c>
      <c r="N408" s="83">
        <v>25.72</v>
      </c>
      <c r="O408" s="83"/>
      <c r="P408" s="93" t="str">
        <f>LEFT(VLOOKUP(Ruimtestaat[[#This Row],[Ruimte code]],Ruimtegroepen[#All],4,1),2)</f>
        <v>Bu</v>
      </c>
      <c r="Q408" s="93"/>
      <c r="R408" s="84">
        <v>42</v>
      </c>
      <c r="S408" s="84" t="s">
        <v>322</v>
      </c>
      <c r="T408" s="85">
        <f>IF(R408&gt;0,IF(RIGHT(Ruimtestaat[[#This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08" s="85">
        <f>IF(T408&gt;0,VLOOKUP($J408,Ruimtegroepen[],3,FALSE)*VLOOKUP($L408,Vloersoorten[],3,FALSE)*VLOOKUP($S408,Frequenties[],3,FALSE)*VLOOKUP($A408,Locaties[],3,FALSE),0)</f>
        <v>0</v>
      </c>
      <c r="V408" s="86">
        <f>Ruimtestaat[[#This Row],[Uitvoeringen werkdagen]]*Ruimtestaat[[#This Row],[Oppervlak (netto)]]</f>
        <v>3240.72</v>
      </c>
      <c r="W408" s="87">
        <f>IF(U408&gt;0,Ruimtestaat[[#This Row],[Prest. (m2 /jaar) werkdagen]]/Ruimtestaat[[#This Row],[Norm (m2/uur) werkdagen]],0)</f>
        <v>0</v>
      </c>
      <c r="X408" s="88">
        <f>Ruimtestaat[[#This Row],[uren / jaar werkdagen]]*Tariefsopbouw!$E$35</f>
        <v>0</v>
      </c>
      <c r="Y408" s="85"/>
      <c r="Z408" s="89">
        <f>IF(Ruimtestaat[[#This Row],[Frequentie weekend]]&gt;0,VALUE(LEFT(Y408,1))*R408,0)</f>
        <v>0</v>
      </c>
      <c r="AA408" s="85">
        <f>IF($Z408&gt;0,VLOOKUP($J408,Ruimtegroepen[],3,FALSE)*VLOOKUP($L408,Vloersoorten[],3,FALSE)*VLOOKUP($Y408,Frequenties[],3,FALSE)*VLOOKUP(#REF!,Locaties[],3,FALSE),0)</f>
        <v>0</v>
      </c>
      <c r="AB408" s="87">
        <f>Ruimtestaat[[#This Row],[Uitvoeringen weekend]]*Ruimtestaat[[#This Row],[Oppervlak (netto)]]</f>
        <v>0</v>
      </c>
      <c r="AC408" s="90">
        <f>IF(AB408&gt;0,Ruimtestaat[[#This Row],[Prest. (m2 /jaar) weekend]]/Ruimtestaat[[#This Row],[Norm (m2/uur) weekend]],0)</f>
        <v>0</v>
      </c>
      <c r="AD408" s="91">
        <f>Ruimtestaat[[#This Row],[uren / jaar weekend]]*Tariefsopbouw!$D$40</f>
        <v>0</v>
      </c>
      <c r="AE408" s="60">
        <f>Ruimtestaat[[#This Row],[Prest. (m2 /jaar) weekend]]+Ruimtestaat[[#This Row],[Prest. (m2 /jaar) werkdagen]]</f>
        <v>3240.72</v>
      </c>
      <c r="AF408" s="60">
        <f>Ruimtestaat[[#This Row],[uren / jaar weekend]]+Ruimtestaat[[#This Row],[uren / jaar werkdagen]]</f>
        <v>0</v>
      </c>
      <c r="AG408" s="61">
        <f>Ruimtestaat[[#This Row],[kosten / jaar weekend]]+Ruimtestaat[[#This Row],[kosten / jaar werkdagen]]</f>
        <v>0</v>
      </c>
      <c r="AH408" s="92"/>
      <c r="HL408" s="59"/>
    </row>
    <row r="409" spans="1:220">
      <c r="A409" s="24">
        <v>2</v>
      </c>
      <c r="B409" s="24" t="str">
        <f>VLOOKUP(Ruimtestaat[[#This Row],[Code]],Locaties[#All],2,FALSE)</f>
        <v>Het Stormink</v>
      </c>
      <c r="C409" s="24" t="str">
        <f>VLOOKUP(Ruimtestaat[[#This Row],[Code]],Locaties[#All],4,FALSE)</f>
        <v>Storminkstraat 1</v>
      </c>
      <c r="D409" s="24" t="str">
        <f>VLOOKUP(Ruimtestaat[[#This Row],[Code]],Locaties[#All],5,FALSE)</f>
        <v>7418 GH</v>
      </c>
      <c r="E409" s="24" t="str">
        <f>VLOOKUP(Ruimtestaat[[#This Row],[Code]],Locaties[#All],6,FALSE)</f>
        <v>Deventer</v>
      </c>
      <c r="F409" s="54"/>
      <c r="G409" s="24" t="s">
        <v>599</v>
      </c>
      <c r="H409" s="24" t="s">
        <v>828</v>
      </c>
      <c r="I409" s="4" t="s">
        <v>693</v>
      </c>
      <c r="J409" s="24">
        <v>5</v>
      </c>
      <c r="K409" s="54" t="str">
        <f>VLOOKUP(J409,Ruimtegroepen[],2,FALSE)</f>
        <v>Sanitair</v>
      </c>
      <c r="L409" s="24" t="s">
        <v>300</v>
      </c>
      <c r="M409" s="24" t="s">
        <v>157</v>
      </c>
      <c r="N409" s="83">
        <v>2.7</v>
      </c>
      <c r="O409" s="83"/>
      <c r="P409" s="93" t="str">
        <f>LEFT(VLOOKUP(Ruimtestaat[[#This Row],[Ruimte code]],Ruimtegroepen[#All],4,1),2)</f>
        <v>Sa</v>
      </c>
      <c r="Q409" s="93"/>
      <c r="R409" s="84">
        <v>42</v>
      </c>
      <c r="S409" s="84" t="s">
        <v>316</v>
      </c>
      <c r="T409" s="85">
        <f>IF(R409&gt;0,IF(RIGHT(Ruimtestaat[[#This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09" s="85">
        <f>IF(T409&gt;0,VLOOKUP($J409,Ruimtegroepen[],3,FALSE)*VLOOKUP($L409,Vloersoorten[],3,FALSE)*VLOOKUP($S409,Frequenties[],3,FALSE)*VLOOKUP($A409,Locaties[],3,FALSE),0)</f>
        <v>0</v>
      </c>
      <c r="V409" s="86">
        <f>Ruimtestaat[[#This Row],[Uitvoeringen werkdagen]]*Ruimtestaat[[#This Row],[Oppervlak (netto)]]</f>
        <v>1134</v>
      </c>
      <c r="W409" s="87">
        <f>IF(U409&gt;0,Ruimtestaat[[#This Row],[Prest. (m2 /jaar) werkdagen]]/Ruimtestaat[[#This Row],[Norm (m2/uur) werkdagen]],0)</f>
        <v>0</v>
      </c>
      <c r="X409" s="88">
        <f>Ruimtestaat[[#This Row],[uren / jaar werkdagen]]*Tariefsopbouw!$E$35</f>
        <v>0</v>
      </c>
      <c r="Y409" s="85"/>
      <c r="Z409" s="89">
        <f>IF(Ruimtestaat[[#This Row],[Frequentie weekend]]&gt;0,VALUE(LEFT(Y409,1))*R409,0)</f>
        <v>0</v>
      </c>
      <c r="AA409" s="85">
        <f>IF($Z409&gt;0,VLOOKUP($J409,Ruimtegroepen[],3,FALSE)*VLOOKUP($L409,Vloersoorten[],3,FALSE)*VLOOKUP($Y409,Frequenties[],3,FALSE)*VLOOKUP(#REF!,Locaties[],3,FALSE),0)</f>
        <v>0</v>
      </c>
      <c r="AB409" s="87">
        <f>Ruimtestaat[[#This Row],[Uitvoeringen weekend]]*Ruimtestaat[[#This Row],[Oppervlak (netto)]]</f>
        <v>0</v>
      </c>
      <c r="AC409" s="90">
        <f>IF(AB409&gt;0,Ruimtestaat[[#This Row],[Prest. (m2 /jaar) weekend]]/Ruimtestaat[[#This Row],[Norm (m2/uur) weekend]],0)</f>
        <v>0</v>
      </c>
      <c r="AD409" s="91">
        <f>Ruimtestaat[[#This Row],[uren / jaar weekend]]*Tariefsopbouw!$D$40</f>
        <v>0</v>
      </c>
      <c r="AE409" s="60">
        <f>Ruimtestaat[[#This Row],[Prest. (m2 /jaar) weekend]]+Ruimtestaat[[#This Row],[Prest. (m2 /jaar) werkdagen]]</f>
        <v>1134</v>
      </c>
      <c r="AF409" s="60">
        <f>Ruimtestaat[[#This Row],[uren / jaar weekend]]+Ruimtestaat[[#This Row],[uren / jaar werkdagen]]</f>
        <v>0</v>
      </c>
      <c r="AG409" s="61">
        <f>Ruimtestaat[[#This Row],[kosten / jaar weekend]]+Ruimtestaat[[#This Row],[kosten / jaar werkdagen]]</f>
        <v>0</v>
      </c>
      <c r="AH409" s="92"/>
      <c r="HL409" s="59"/>
    </row>
    <row r="410" spans="1:220">
      <c r="A410" s="24">
        <v>2</v>
      </c>
      <c r="B410" s="24" t="str">
        <f>VLOOKUP(Ruimtestaat[[#This Row],[Code]],Locaties[#All],2,FALSE)</f>
        <v>Het Stormink</v>
      </c>
      <c r="C410" s="24" t="str">
        <f>VLOOKUP(Ruimtestaat[[#This Row],[Code]],Locaties[#All],4,FALSE)</f>
        <v>Storminkstraat 1</v>
      </c>
      <c r="D410" s="24" t="str">
        <f>VLOOKUP(Ruimtestaat[[#This Row],[Code]],Locaties[#All],5,FALSE)</f>
        <v>7418 GH</v>
      </c>
      <c r="E410" s="24" t="str">
        <f>VLOOKUP(Ruimtestaat[[#This Row],[Code]],Locaties[#All],6,FALSE)</f>
        <v>Deventer</v>
      </c>
      <c r="F410" s="54"/>
      <c r="G410" s="24" t="s">
        <v>599</v>
      </c>
      <c r="H410" s="24" t="s">
        <v>829</v>
      </c>
      <c r="I410" s="4" t="s">
        <v>692</v>
      </c>
      <c r="J410" s="24">
        <v>5</v>
      </c>
      <c r="K410" s="54" t="str">
        <f>VLOOKUP(J410,Ruimtegroepen[],2,FALSE)</f>
        <v>Sanitair</v>
      </c>
      <c r="L410" s="24" t="s">
        <v>300</v>
      </c>
      <c r="M410" s="24" t="s">
        <v>157</v>
      </c>
      <c r="N410" s="83">
        <v>2.7</v>
      </c>
      <c r="O410" s="83"/>
      <c r="P410" s="93" t="str">
        <f>LEFT(VLOOKUP(Ruimtestaat[[#This Row],[Ruimte code]],Ruimtegroepen[#All],4,1),2)</f>
        <v>Sa</v>
      </c>
      <c r="Q410" s="93"/>
      <c r="R410" s="84">
        <v>42</v>
      </c>
      <c r="S410" s="84" t="s">
        <v>316</v>
      </c>
      <c r="T410" s="85">
        <f>IF(R410&gt;0,IF(RIGHT(Ruimtestaat[[#This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10" s="85">
        <f>IF(T410&gt;0,VLOOKUP($J410,Ruimtegroepen[],3,FALSE)*VLOOKUP($L410,Vloersoorten[],3,FALSE)*VLOOKUP($S410,Frequenties[],3,FALSE)*VLOOKUP($A410,Locaties[],3,FALSE),0)</f>
        <v>0</v>
      </c>
      <c r="V410" s="86">
        <f>Ruimtestaat[[#This Row],[Uitvoeringen werkdagen]]*Ruimtestaat[[#This Row],[Oppervlak (netto)]]</f>
        <v>1134</v>
      </c>
      <c r="W410" s="87">
        <f>IF(U410&gt;0,Ruimtestaat[[#This Row],[Prest. (m2 /jaar) werkdagen]]/Ruimtestaat[[#This Row],[Norm (m2/uur) werkdagen]],0)</f>
        <v>0</v>
      </c>
      <c r="X410" s="88">
        <f>Ruimtestaat[[#This Row],[uren / jaar werkdagen]]*Tariefsopbouw!$E$35</f>
        <v>0</v>
      </c>
      <c r="Y410" s="85"/>
      <c r="Z410" s="89">
        <f>IF(Ruimtestaat[[#This Row],[Frequentie weekend]]&gt;0,VALUE(LEFT(Y410,1))*R410,0)</f>
        <v>0</v>
      </c>
      <c r="AA410" s="85">
        <f>IF($Z410&gt;0,VLOOKUP($J410,Ruimtegroepen[],3,FALSE)*VLOOKUP($L410,Vloersoorten[],3,FALSE)*VLOOKUP($Y410,Frequenties[],3,FALSE)*VLOOKUP(#REF!,Locaties[],3,FALSE),0)</f>
        <v>0</v>
      </c>
      <c r="AB410" s="87">
        <f>Ruimtestaat[[#This Row],[Uitvoeringen weekend]]*Ruimtestaat[[#This Row],[Oppervlak (netto)]]</f>
        <v>0</v>
      </c>
      <c r="AC410" s="90">
        <f>IF(AB410&gt;0,Ruimtestaat[[#This Row],[Prest. (m2 /jaar) weekend]]/Ruimtestaat[[#This Row],[Norm (m2/uur) weekend]],0)</f>
        <v>0</v>
      </c>
      <c r="AD410" s="91">
        <f>Ruimtestaat[[#This Row],[uren / jaar weekend]]*Tariefsopbouw!$D$40</f>
        <v>0</v>
      </c>
      <c r="AE410" s="60">
        <f>Ruimtestaat[[#This Row],[Prest. (m2 /jaar) weekend]]+Ruimtestaat[[#This Row],[Prest. (m2 /jaar) werkdagen]]</f>
        <v>1134</v>
      </c>
      <c r="AF410" s="60">
        <f>Ruimtestaat[[#This Row],[uren / jaar weekend]]+Ruimtestaat[[#This Row],[uren / jaar werkdagen]]</f>
        <v>0</v>
      </c>
      <c r="AG410" s="61">
        <f>Ruimtestaat[[#This Row],[kosten / jaar weekend]]+Ruimtestaat[[#This Row],[kosten / jaar werkdagen]]</f>
        <v>0</v>
      </c>
      <c r="AH410" s="92"/>
      <c r="HL410" s="59"/>
    </row>
    <row r="411" spans="1:220">
      <c r="A411" s="24">
        <v>2</v>
      </c>
      <c r="B411" s="24" t="str">
        <f>VLOOKUP(Ruimtestaat[[#This Row],[Code]],Locaties[#All],2,FALSE)</f>
        <v>Het Stormink</v>
      </c>
      <c r="C411" s="24" t="str">
        <f>VLOOKUP(Ruimtestaat[[#This Row],[Code]],Locaties[#All],4,FALSE)</f>
        <v>Storminkstraat 1</v>
      </c>
      <c r="D411" s="24" t="str">
        <f>VLOOKUP(Ruimtestaat[[#This Row],[Code]],Locaties[#All],5,FALSE)</f>
        <v>7418 GH</v>
      </c>
      <c r="E411" s="24" t="str">
        <f>VLOOKUP(Ruimtestaat[[#This Row],[Code]],Locaties[#All],6,FALSE)</f>
        <v>Deventer</v>
      </c>
      <c r="F411" s="54"/>
      <c r="G411" s="24" t="s">
        <v>599</v>
      </c>
      <c r="H411" s="24" t="s">
        <v>830</v>
      </c>
      <c r="I411" s="4" t="s">
        <v>688</v>
      </c>
      <c r="J411" s="24">
        <v>16</v>
      </c>
      <c r="K411" s="54" t="str">
        <f>VLOOKUP(J411,Ruimtegroepen[],2,FALSE)</f>
        <v>Leslokalen theorie</v>
      </c>
      <c r="L411" s="24" t="s">
        <v>300</v>
      </c>
      <c r="M411" s="24" t="s">
        <v>157</v>
      </c>
      <c r="N411" s="83">
        <v>76.94</v>
      </c>
      <c r="O411" s="83"/>
      <c r="P411" s="93" t="str">
        <f>LEFT(VLOOKUP(Ruimtestaat[[#This Row],[Ruimte code]],Ruimtegroepen[#All],4,1),2)</f>
        <v>Le</v>
      </c>
      <c r="Q411" s="93"/>
      <c r="R411" s="84">
        <v>40</v>
      </c>
      <c r="S411" s="84" t="s">
        <v>318</v>
      </c>
      <c r="T411" s="85">
        <f>IF(R411&gt;0,IF(RIGHT(Ruimtestaat[[#This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1" s="85">
        <f>IF(T411&gt;0,VLOOKUP($J411,Ruimtegroepen[],3,FALSE)*VLOOKUP($L411,Vloersoorten[],3,FALSE)*VLOOKUP($S411,Frequenties[],3,FALSE)*VLOOKUP($A411,Locaties[],3,FALSE),0)</f>
        <v>0</v>
      </c>
      <c r="V411" s="86">
        <f>Ruimtestaat[[#This Row],[Uitvoeringen werkdagen]]*Ruimtestaat[[#This Row],[Oppervlak (netto)]]</f>
        <v>15388</v>
      </c>
      <c r="W411" s="87">
        <f>IF(U411&gt;0,Ruimtestaat[[#This Row],[Prest. (m2 /jaar) werkdagen]]/Ruimtestaat[[#This Row],[Norm (m2/uur) werkdagen]],0)</f>
        <v>0</v>
      </c>
      <c r="X411" s="88">
        <f>Ruimtestaat[[#This Row],[uren / jaar werkdagen]]*Tariefsopbouw!$E$35</f>
        <v>0</v>
      </c>
      <c r="Y411" s="85"/>
      <c r="Z411" s="89">
        <f>IF(Ruimtestaat[[#This Row],[Frequentie weekend]]&gt;0,VALUE(LEFT(Y411,1))*R411,0)</f>
        <v>0</v>
      </c>
      <c r="AA411" s="85">
        <f>IF($Z411&gt;0,VLOOKUP($J411,Ruimtegroepen[],3,FALSE)*VLOOKUP($L411,Vloersoorten[],3,FALSE)*VLOOKUP($Y411,Frequenties[],3,FALSE)*VLOOKUP(#REF!,Locaties[],3,FALSE),0)</f>
        <v>0</v>
      </c>
      <c r="AB411" s="87">
        <f>Ruimtestaat[[#This Row],[Uitvoeringen weekend]]*Ruimtestaat[[#This Row],[Oppervlak (netto)]]</f>
        <v>0</v>
      </c>
      <c r="AC411" s="90">
        <f>IF(AB411&gt;0,Ruimtestaat[[#This Row],[Prest. (m2 /jaar) weekend]]/Ruimtestaat[[#This Row],[Norm (m2/uur) weekend]],0)</f>
        <v>0</v>
      </c>
      <c r="AD411" s="91">
        <f>Ruimtestaat[[#This Row],[uren / jaar weekend]]*Tariefsopbouw!$D$40</f>
        <v>0</v>
      </c>
      <c r="AE411" s="60">
        <f>Ruimtestaat[[#This Row],[Prest. (m2 /jaar) weekend]]+Ruimtestaat[[#This Row],[Prest. (m2 /jaar) werkdagen]]</f>
        <v>15388</v>
      </c>
      <c r="AF411" s="60">
        <f>Ruimtestaat[[#This Row],[uren / jaar weekend]]+Ruimtestaat[[#This Row],[uren / jaar werkdagen]]</f>
        <v>0</v>
      </c>
      <c r="AG411" s="61">
        <f>Ruimtestaat[[#This Row],[kosten / jaar weekend]]+Ruimtestaat[[#This Row],[kosten / jaar werkdagen]]</f>
        <v>0</v>
      </c>
      <c r="AH411" s="92"/>
      <c r="HL411" s="59"/>
    </row>
    <row r="412" spans="1:220">
      <c r="A412" s="24">
        <v>2</v>
      </c>
      <c r="B412" s="24" t="str">
        <f>VLOOKUP(Ruimtestaat[[#This Row],[Code]],Locaties[#All],2,FALSE)</f>
        <v>Het Stormink</v>
      </c>
      <c r="C412" s="24" t="str">
        <f>VLOOKUP(Ruimtestaat[[#This Row],[Code]],Locaties[#All],4,FALSE)</f>
        <v>Storminkstraat 1</v>
      </c>
      <c r="D412" s="24" t="str">
        <f>VLOOKUP(Ruimtestaat[[#This Row],[Code]],Locaties[#All],5,FALSE)</f>
        <v>7418 GH</v>
      </c>
      <c r="E412" s="24" t="str">
        <f>VLOOKUP(Ruimtestaat[[#This Row],[Code]],Locaties[#All],6,FALSE)</f>
        <v>Deventer</v>
      </c>
      <c r="F412" s="54"/>
      <c r="G412" s="24" t="s">
        <v>599</v>
      </c>
      <c r="H412" s="24" t="s">
        <v>831</v>
      </c>
      <c r="I412" s="4" t="s">
        <v>689</v>
      </c>
      <c r="J412" s="24">
        <v>6</v>
      </c>
      <c r="K412" s="54" t="str">
        <f>VLOOKUP(J412,Ruimtegroepen[],2,FALSE)</f>
        <v>Gangen/hallen</v>
      </c>
      <c r="L412" s="24" t="s">
        <v>300</v>
      </c>
      <c r="M412" s="24" t="s">
        <v>157</v>
      </c>
      <c r="N412" s="83">
        <v>2.59</v>
      </c>
      <c r="O412" s="83"/>
      <c r="P412" s="93" t="str">
        <f>LEFT(VLOOKUP(Ruimtestaat[[#This Row],[Ruimte code]],Ruimtegroepen[#All],4,1),2)</f>
        <v>Ve</v>
      </c>
      <c r="Q412" s="93"/>
      <c r="R412" s="84">
        <v>40</v>
      </c>
      <c r="S412" s="84" t="s">
        <v>318</v>
      </c>
      <c r="T412" s="85">
        <f>IF(R412&gt;0,IF(RIGHT(Ruimtestaat[[#This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2" s="85">
        <f>IF(T412&gt;0,VLOOKUP($J412,Ruimtegroepen[],3,FALSE)*VLOOKUP($L412,Vloersoorten[],3,FALSE)*VLOOKUP($S412,Frequenties[],3,FALSE)*VLOOKUP($A412,Locaties[],3,FALSE),0)</f>
        <v>0</v>
      </c>
      <c r="V412" s="86">
        <f>Ruimtestaat[[#This Row],[Uitvoeringen werkdagen]]*Ruimtestaat[[#This Row],[Oppervlak (netto)]]</f>
        <v>518</v>
      </c>
      <c r="W412" s="87">
        <f>IF(U412&gt;0,Ruimtestaat[[#This Row],[Prest. (m2 /jaar) werkdagen]]/Ruimtestaat[[#This Row],[Norm (m2/uur) werkdagen]],0)</f>
        <v>0</v>
      </c>
      <c r="X412" s="88">
        <f>Ruimtestaat[[#This Row],[uren / jaar werkdagen]]*Tariefsopbouw!$E$35</f>
        <v>0</v>
      </c>
      <c r="Y412" s="85"/>
      <c r="Z412" s="89">
        <f>IF(Ruimtestaat[[#This Row],[Frequentie weekend]]&gt;0,VALUE(LEFT(Y412,1))*R412,0)</f>
        <v>0</v>
      </c>
      <c r="AA412" s="85">
        <f>IF($Z412&gt;0,VLOOKUP($J412,Ruimtegroepen[],3,FALSE)*VLOOKUP($L412,Vloersoorten[],3,FALSE)*VLOOKUP($Y412,Frequenties[],3,FALSE)*VLOOKUP(#REF!,Locaties[],3,FALSE),0)</f>
        <v>0</v>
      </c>
      <c r="AB412" s="87">
        <f>Ruimtestaat[[#This Row],[Uitvoeringen weekend]]*Ruimtestaat[[#This Row],[Oppervlak (netto)]]</f>
        <v>0</v>
      </c>
      <c r="AC412" s="90">
        <f>IF(AB412&gt;0,Ruimtestaat[[#This Row],[Prest. (m2 /jaar) weekend]]/Ruimtestaat[[#This Row],[Norm (m2/uur) weekend]],0)</f>
        <v>0</v>
      </c>
      <c r="AD412" s="91">
        <f>Ruimtestaat[[#This Row],[uren / jaar weekend]]*Tariefsopbouw!$D$40</f>
        <v>0</v>
      </c>
      <c r="AE412" s="60">
        <f>Ruimtestaat[[#This Row],[Prest. (m2 /jaar) weekend]]+Ruimtestaat[[#This Row],[Prest. (m2 /jaar) werkdagen]]</f>
        <v>518</v>
      </c>
      <c r="AF412" s="60">
        <f>Ruimtestaat[[#This Row],[uren / jaar weekend]]+Ruimtestaat[[#This Row],[uren / jaar werkdagen]]</f>
        <v>0</v>
      </c>
      <c r="AG412" s="61">
        <f>Ruimtestaat[[#This Row],[kosten / jaar weekend]]+Ruimtestaat[[#This Row],[kosten / jaar werkdagen]]</f>
        <v>0</v>
      </c>
      <c r="AH412" s="92"/>
      <c r="HL412" s="59"/>
    </row>
    <row r="413" spans="1:220">
      <c r="A413" s="24">
        <v>2</v>
      </c>
      <c r="B413" s="24" t="str">
        <f>VLOOKUP(Ruimtestaat[[#This Row],[Code]],Locaties[#All],2,FALSE)</f>
        <v>Het Stormink</v>
      </c>
      <c r="C413" s="24" t="str">
        <f>VLOOKUP(Ruimtestaat[[#This Row],[Code]],Locaties[#All],4,FALSE)</f>
        <v>Storminkstraat 1</v>
      </c>
      <c r="D413" s="24" t="str">
        <f>VLOOKUP(Ruimtestaat[[#This Row],[Code]],Locaties[#All],5,FALSE)</f>
        <v>7418 GH</v>
      </c>
      <c r="E413" s="24" t="str">
        <f>VLOOKUP(Ruimtestaat[[#This Row],[Code]],Locaties[#All],6,FALSE)</f>
        <v>Deventer</v>
      </c>
      <c r="F413" s="54"/>
      <c r="G413" s="24" t="s">
        <v>599</v>
      </c>
      <c r="H413" s="24" t="s">
        <v>832</v>
      </c>
      <c r="I413" s="4" t="s">
        <v>691</v>
      </c>
      <c r="J413" s="24">
        <v>22</v>
      </c>
      <c r="K413" s="54" t="str">
        <f>VLOOKUP(J413,Ruimtegroepen[],2,FALSE)</f>
        <v>Niet in onderhoud</v>
      </c>
      <c r="L413" s="24" t="s">
        <v>300</v>
      </c>
      <c r="M413" s="24" t="s">
        <v>157</v>
      </c>
      <c r="N413" s="83"/>
      <c r="O413" s="83">
        <v>1.61</v>
      </c>
      <c r="P413" s="93" t="str">
        <f>LEFT(VLOOKUP(Ruimtestaat[[#This Row],[Ruimte code]],Ruimtegroepen[#All],4,1),2)</f>
        <v/>
      </c>
      <c r="Q413" s="93"/>
      <c r="R413" s="84"/>
      <c r="S413" s="84"/>
      <c r="T413" s="85">
        <f>IF(R413&gt;0,IF(RIGHT(Ruimtestaat[[#This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3" s="85">
        <f>IF(T413&gt;0,VLOOKUP($J413,Ruimtegroepen[],3,FALSE)*VLOOKUP($L413,Vloersoorten[],3,FALSE)*VLOOKUP($S413,Frequenties[],3,FALSE)*VLOOKUP($A413,Locaties[],3,FALSE),0)</f>
        <v>0</v>
      </c>
      <c r="V413" s="86">
        <f>Ruimtestaat[[#This Row],[Uitvoeringen werkdagen]]*Ruimtestaat[[#This Row],[Oppervlak (netto)]]</f>
        <v>0</v>
      </c>
      <c r="W413" s="87">
        <f>IF(U413&gt;0,Ruimtestaat[[#This Row],[Prest. (m2 /jaar) werkdagen]]/Ruimtestaat[[#This Row],[Norm (m2/uur) werkdagen]],0)</f>
        <v>0</v>
      </c>
      <c r="X413" s="88">
        <f>Ruimtestaat[[#This Row],[uren / jaar werkdagen]]*Tariefsopbouw!$E$35</f>
        <v>0</v>
      </c>
      <c r="Y413" s="85"/>
      <c r="Z413" s="89">
        <f>IF(Ruimtestaat[[#This Row],[Frequentie weekend]]&gt;0,VALUE(LEFT(Y413,1))*R413,0)</f>
        <v>0</v>
      </c>
      <c r="AA413" s="85">
        <f>IF($Z413&gt;0,VLOOKUP($J413,Ruimtegroepen[],3,FALSE)*VLOOKUP($L413,Vloersoorten[],3,FALSE)*VLOOKUP($Y413,Frequenties[],3,FALSE)*VLOOKUP(#REF!,Locaties[],3,FALSE),0)</f>
        <v>0</v>
      </c>
      <c r="AB413" s="87">
        <f>Ruimtestaat[[#This Row],[Uitvoeringen weekend]]*Ruimtestaat[[#This Row],[Oppervlak (netto)]]</f>
        <v>0</v>
      </c>
      <c r="AC413" s="90">
        <f>IF(AB413&gt;0,Ruimtestaat[[#This Row],[Prest. (m2 /jaar) weekend]]/Ruimtestaat[[#This Row],[Norm (m2/uur) weekend]],0)</f>
        <v>0</v>
      </c>
      <c r="AD413" s="91">
        <f>Ruimtestaat[[#This Row],[uren / jaar weekend]]*Tariefsopbouw!$D$40</f>
        <v>0</v>
      </c>
      <c r="AE413" s="60">
        <f>Ruimtestaat[[#This Row],[Prest. (m2 /jaar) weekend]]+Ruimtestaat[[#This Row],[Prest. (m2 /jaar) werkdagen]]</f>
        <v>0</v>
      </c>
      <c r="AF413" s="60">
        <f>Ruimtestaat[[#This Row],[uren / jaar weekend]]+Ruimtestaat[[#This Row],[uren / jaar werkdagen]]</f>
        <v>0</v>
      </c>
      <c r="AG413" s="61">
        <f>Ruimtestaat[[#This Row],[kosten / jaar weekend]]+Ruimtestaat[[#This Row],[kosten / jaar werkdagen]]</f>
        <v>0</v>
      </c>
      <c r="AH413" s="92"/>
      <c r="HL413" s="59"/>
    </row>
    <row r="414" spans="1:220">
      <c r="A414" s="24">
        <v>2</v>
      </c>
      <c r="B414" s="24" t="str">
        <f>VLOOKUP(Ruimtestaat[[#This Row],[Code]],Locaties[#All],2,FALSE)</f>
        <v>Het Stormink</v>
      </c>
      <c r="C414" s="24" t="str">
        <f>VLOOKUP(Ruimtestaat[[#This Row],[Code]],Locaties[#All],4,FALSE)</f>
        <v>Storminkstraat 1</v>
      </c>
      <c r="D414" s="24" t="str">
        <f>VLOOKUP(Ruimtestaat[[#This Row],[Code]],Locaties[#All],5,FALSE)</f>
        <v>7418 GH</v>
      </c>
      <c r="E414" s="24" t="str">
        <f>VLOOKUP(Ruimtestaat[[#This Row],[Code]],Locaties[#All],6,FALSE)</f>
        <v>Deventer</v>
      </c>
      <c r="F414" s="54"/>
      <c r="G414" s="24" t="s">
        <v>599</v>
      </c>
      <c r="H414" s="24" t="s">
        <v>833</v>
      </c>
      <c r="I414" s="4" t="s">
        <v>473</v>
      </c>
      <c r="J414" s="24">
        <v>5</v>
      </c>
      <c r="K414" s="54" t="str">
        <f>VLOOKUP(J414,Ruimtegroepen[],2,FALSE)</f>
        <v>Sanitair</v>
      </c>
      <c r="L414" s="24" t="s">
        <v>300</v>
      </c>
      <c r="M414" s="24" t="s">
        <v>157</v>
      </c>
      <c r="N414" s="83">
        <v>11.6</v>
      </c>
      <c r="O414" s="83"/>
      <c r="P414" s="93" t="str">
        <f>LEFT(VLOOKUP(Ruimtestaat[[#This Row],[Ruimte code]],Ruimtegroepen[#All],4,1),2)</f>
        <v>Sa</v>
      </c>
      <c r="Q414" s="93"/>
      <c r="R414" s="84">
        <v>42</v>
      </c>
      <c r="S414" s="84" t="s">
        <v>316</v>
      </c>
      <c r="T414" s="85">
        <f>IF(R414&gt;0,IF(RIGHT(Ruimtestaat[[#This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14" s="85">
        <f>IF(T414&gt;0,VLOOKUP($J414,Ruimtegroepen[],3,FALSE)*VLOOKUP($L414,Vloersoorten[],3,FALSE)*VLOOKUP($S414,Frequenties[],3,FALSE)*VLOOKUP($A414,Locaties[],3,FALSE),0)</f>
        <v>0</v>
      </c>
      <c r="V414" s="86">
        <f>Ruimtestaat[[#This Row],[Uitvoeringen werkdagen]]*Ruimtestaat[[#This Row],[Oppervlak (netto)]]</f>
        <v>4872</v>
      </c>
      <c r="W414" s="87">
        <f>IF(U414&gt;0,Ruimtestaat[[#This Row],[Prest. (m2 /jaar) werkdagen]]/Ruimtestaat[[#This Row],[Norm (m2/uur) werkdagen]],0)</f>
        <v>0</v>
      </c>
      <c r="X414" s="88">
        <f>Ruimtestaat[[#This Row],[uren / jaar werkdagen]]*Tariefsopbouw!$E$35</f>
        <v>0</v>
      </c>
      <c r="Y414" s="85"/>
      <c r="Z414" s="89">
        <f>IF(Ruimtestaat[[#This Row],[Frequentie weekend]]&gt;0,VALUE(LEFT(Y414,1))*R414,0)</f>
        <v>0</v>
      </c>
      <c r="AA414" s="85">
        <f>IF($Z414&gt;0,VLOOKUP($J414,Ruimtegroepen[],3,FALSE)*VLOOKUP($L414,Vloersoorten[],3,FALSE)*VLOOKUP($Y414,Frequenties[],3,FALSE)*VLOOKUP(#REF!,Locaties[],3,FALSE),0)</f>
        <v>0</v>
      </c>
      <c r="AB414" s="87">
        <f>Ruimtestaat[[#This Row],[Uitvoeringen weekend]]*Ruimtestaat[[#This Row],[Oppervlak (netto)]]</f>
        <v>0</v>
      </c>
      <c r="AC414" s="90">
        <f>IF(AB414&gt;0,Ruimtestaat[[#This Row],[Prest. (m2 /jaar) weekend]]/Ruimtestaat[[#This Row],[Norm (m2/uur) weekend]],0)</f>
        <v>0</v>
      </c>
      <c r="AD414" s="91">
        <f>Ruimtestaat[[#This Row],[uren / jaar weekend]]*Tariefsopbouw!$D$40</f>
        <v>0</v>
      </c>
      <c r="AE414" s="60">
        <f>Ruimtestaat[[#This Row],[Prest. (m2 /jaar) weekend]]+Ruimtestaat[[#This Row],[Prest. (m2 /jaar) werkdagen]]</f>
        <v>4872</v>
      </c>
      <c r="AF414" s="60">
        <f>Ruimtestaat[[#This Row],[uren / jaar weekend]]+Ruimtestaat[[#This Row],[uren / jaar werkdagen]]</f>
        <v>0</v>
      </c>
      <c r="AG414" s="61">
        <f>Ruimtestaat[[#This Row],[kosten / jaar weekend]]+Ruimtestaat[[#This Row],[kosten / jaar werkdagen]]</f>
        <v>0</v>
      </c>
      <c r="AH414" s="92"/>
      <c r="HL414" s="59"/>
    </row>
    <row r="415" spans="1:220">
      <c r="A415" s="24">
        <v>2</v>
      </c>
      <c r="B415" s="24" t="str">
        <f>VLOOKUP(Ruimtestaat[[#This Row],[Code]],Locaties[#All],2,FALSE)</f>
        <v>Het Stormink</v>
      </c>
      <c r="C415" s="24" t="str">
        <f>VLOOKUP(Ruimtestaat[[#This Row],[Code]],Locaties[#All],4,FALSE)</f>
        <v>Storminkstraat 1</v>
      </c>
      <c r="D415" s="24" t="str">
        <f>VLOOKUP(Ruimtestaat[[#This Row],[Code]],Locaties[#All],5,FALSE)</f>
        <v>7418 GH</v>
      </c>
      <c r="E415" s="24" t="str">
        <f>VLOOKUP(Ruimtestaat[[#This Row],[Code]],Locaties[#All],6,FALSE)</f>
        <v>Deventer</v>
      </c>
      <c r="F415" s="54"/>
      <c r="G415" s="24" t="s">
        <v>599</v>
      </c>
      <c r="H415" s="24" t="s">
        <v>834</v>
      </c>
      <c r="I415" s="4" t="s">
        <v>675</v>
      </c>
      <c r="J415" s="24">
        <v>5</v>
      </c>
      <c r="K415" s="54" t="str">
        <f>VLOOKUP(J415,Ruimtegroepen[],2,FALSE)</f>
        <v>Sanitair</v>
      </c>
      <c r="L415" s="24" t="s">
        <v>300</v>
      </c>
      <c r="M415" s="24" t="s">
        <v>157</v>
      </c>
      <c r="N415" s="83">
        <v>11.6</v>
      </c>
      <c r="O415" s="83"/>
      <c r="P415" s="93" t="str">
        <f>LEFT(VLOOKUP(Ruimtestaat[[#This Row],[Ruimte code]],Ruimtegroepen[#All],4,1),2)</f>
        <v>Sa</v>
      </c>
      <c r="Q415" s="93"/>
      <c r="R415" s="84">
        <v>42</v>
      </c>
      <c r="S415" s="84" t="s">
        <v>316</v>
      </c>
      <c r="T415" s="85">
        <f>IF(R415&gt;0,IF(RIGHT(Ruimtestaat[[#This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15" s="85">
        <f>IF(T415&gt;0,VLOOKUP($J415,Ruimtegroepen[],3,FALSE)*VLOOKUP($L415,Vloersoorten[],3,FALSE)*VLOOKUP($S415,Frequenties[],3,FALSE)*VLOOKUP($A415,Locaties[],3,FALSE),0)</f>
        <v>0</v>
      </c>
      <c r="V415" s="86">
        <f>Ruimtestaat[[#This Row],[Uitvoeringen werkdagen]]*Ruimtestaat[[#This Row],[Oppervlak (netto)]]</f>
        <v>4872</v>
      </c>
      <c r="W415" s="87">
        <f>IF(U415&gt;0,Ruimtestaat[[#This Row],[Prest. (m2 /jaar) werkdagen]]/Ruimtestaat[[#This Row],[Norm (m2/uur) werkdagen]],0)</f>
        <v>0</v>
      </c>
      <c r="X415" s="88">
        <f>Ruimtestaat[[#This Row],[uren / jaar werkdagen]]*Tariefsopbouw!$E$35</f>
        <v>0</v>
      </c>
      <c r="Y415" s="85"/>
      <c r="Z415" s="89">
        <f>IF(Ruimtestaat[[#This Row],[Frequentie weekend]]&gt;0,VALUE(LEFT(Y415,1))*R415,0)</f>
        <v>0</v>
      </c>
      <c r="AA415" s="85">
        <f>IF($Z415&gt;0,VLOOKUP($J415,Ruimtegroepen[],3,FALSE)*VLOOKUP($L415,Vloersoorten[],3,FALSE)*VLOOKUP($Y415,Frequenties[],3,FALSE)*VLOOKUP(#REF!,Locaties[],3,FALSE),0)</f>
        <v>0</v>
      </c>
      <c r="AB415" s="87">
        <f>Ruimtestaat[[#This Row],[Uitvoeringen weekend]]*Ruimtestaat[[#This Row],[Oppervlak (netto)]]</f>
        <v>0</v>
      </c>
      <c r="AC415" s="90">
        <f>IF(AB415&gt;0,Ruimtestaat[[#This Row],[Prest. (m2 /jaar) weekend]]/Ruimtestaat[[#This Row],[Norm (m2/uur) weekend]],0)</f>
        <v>0</v>
      </c>
      <c r="AD415" s="91">
        <f>Ruimtestaat[[#This Row],[uren / jaar weekend]]*Tariefsopbouw!$D$40</f>
        <v>0</v>
      </c>
      <c r="AE415" s="60">
        <f>Ruimtestaat[[#This Row],[Prest. (m2 /jaar) weekend]]+Ruimtestaat[[#This Row],[Prest. (m2 /jaar) werkdagen]]</f>
        <v>4872</v>
      </c>
      <c r="AF415" s="60">
        <f>Ruimtestaat[[#This Row],[uren / jaar weekend]]+Ruimtestaat[[#This Row],[uren / jaar werkdagen]]</f>
        <v>0</v>
      </c>
      <c r="AG415" s="61">
        <f>Ruimtestaat[[#This Row],[kosten / jaar weekend]]+Ruimtestaat[[#This Row],[kosten / jaar werkdagen]]</f>
        <v>0</v>
      </c>
      <c r="AH415" s="92"/>
      <c r="HL415" s="59"/>
    </row>
    <row r="416" spans="1:220">
      <c r="A416" s="24">
        <v>2</v>
      </c>
      <c r="B416" s="24" t="str">
        <f>VLOOKUP(Ruimtestaat[[#This Row],[Code]],Locaties[#All],2,FALSE)</f>
        <v>Het Stormink</v>
      </c>
      <c r="C416" s="24" t="str">
        <f>VLOOKUP(Ruimtestaat[[#This Row],[Code]],Locaties[#All],4,FALSE)</f>
        <v>Storminkstraat 1</v>
      </c>
      <c r="D416" s="24" t="str">
        <f>VLOOKUP(Ruimtestaat[[#This Row],[Code]],Locaties[#All],5,FALSE)</f>
        <v>7418 GH</v>
      </c>
      <c r="E416" s="24" t="str">
        <f>VLOOKUP(Ruimtestaat[[#This Row],[Code]],Locaties[#All],6,FALSE)</f>
        <v>Deventer</v>
      </c>
      <c r="F416" s="54"/>
      <c r="G416" s="24" t="s">
        <v>599</v>
      </c>
      <c r="H416" s="24" t="s">
        <v>835</v>
      </c>
      <c r="I416" s="4" t="s">
        <v>375</v>
      </c>
      <c r="J416" s="24">
        <v>22</v>
      </c>
      <c r="K416" s="54" t="str">
        <f>VLOOKUP(J416,Ruimtegroepen[],2,FALSE)</f>
        <v>Niet in onderhoud</v>
      </c>
      <c r="L416" s="24" t="s">
        <v>300</v>
      </c>
      <c r="M416" s="24" t="s">
        <v>157</v>
      </c>
      <c r="N416" s="83"/>
      <c r="O416" s="83">
        <v>1.64</v>
      </c>
      <c r="P416" s="93" t="str">
        <f>LEFT(VLOOKUP(Ruimtestaat[[#This Row],[Ruimte code]],Ruimtegroepen[#All],4,1),2)</f>
        <v/>
      </c>
      <c r="Q416" s="93"/>
      <c r="R416" s="84"/>
      <c r="S416" s="84"/>
      <c r="T416" s="85">
        <f>IF(R416&gt;0,IF(RIGHT(Ruimtestaat[[#This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6" s="85">
        <f>IF(T416&gt;0,VLOOKUP($J416,Ruimtegroepen[],3,FALSE)*VLOOKUP($L416,Vloersoorten[],3,FALSE)*VLOOKUP($S416,Frequenties[],3,FALSE)*VLOOKUP($A416,Locaties[],3,FALSE),0)</f>
        <v>0</v>
      </c>
      <c r="V416" s="86">
        <f>Ruimtestaat[[#This Row],[Uitvoeringen werkdagen]]*Ruimtestaat[[#This Row],[Oppervlak (netto)]]</f>
        <v>0</v>
      </c>
      <c r="W416" s="87">
        <f>IF(U416&gt;0,Ruimtestaat[[#This Row],[Prest. (m2 /jaar) werkdagen]]/Ruimtestaat[[#This Row],[Norm (m2/uur) werkdagen]],0)</f>
        <v>0</v>
      </c>
      <c r="X416" s="88">
        <f>Ruimtestaat[[#This Row],[uren / jaar werkdagen]]*Tariefsopbouw!$E$35</f>
        <v>0</v>
      </c>
      <c r="Y416" s="85"/>
      <c r="Z416" s="89">
        <f>IF(Ruimtestaat[[#This Row],[Frequentie weekend]]&gt;0,VALUE(LEFT(Y416,1))*R416,0)</f>
        <v>0</v>
      </c>
      <c r="AA416" s="85">
        <f>IF($Z416&gt;0,VLOOKUP($J416,Ruimtegroepen[],3,FALSE)*VLOOKUP($L416,Vloersoorten[],3,FALSE)*VLOOKUP($Y416,Frequenties[],3,FALSE)*VLOOKUP(#REF!,Locaties[],3,FALSE),0)</f>
        <v>0</v>
      </c>
      <c r="AB416" s="87">
        <f>Ruimtestaat[[#This Row],[Uitvoeringen weekend]]*Ruimtestaat[[#This Row],[Oppervlak (netto)]]</f>
        <v>0</v>
      </c>
      <c r="AC416" s="90">
        <f>IF(AB416&gt;0,Ruimtestaat[[#This Row],[Prest. (m2 /jaar) weekend]]/Ruimtestaat[[#This Row],[Norm (m2/uur) weekend]],0)</f>
        <v>0</v>
      </c>
      <c r="AD416" s="91">
        <f>Ruimtestaat[[#This Row],[uren / jaar weekend]]*Tariefsopbouw!$D$40</f>
        <v>0</v>
      </c>
      <c r="AE416" s="60">
        <f>Ruimtestaat[[#This Row],[Prest. (m2 /jaar) weekend]]+Ruimtestaat[[#This Row],[Prest. (m2 /jaar) werkdagen]]</f>
        <v>0</v>
      </c>
      <c r="AF416" s="60">
        <f>Ruimtestaat[[#This Row],[uren / jaar weekend]]+Ruimtestaat[[#This Row],[uren / jaar werkdagen]]</f>
        <v>0</v>
      </c>
      <c r="AG416" s="61">
        <f>Ruimtestaat[[#This Row],[kosten / jaar weekend]]+Ruimtestaat[[#This Row],[kosten / jaar werkdagen]]</f>
        <v>0</v>
      </c>
      <c r="AH416" s="92"/>
      <c r="HL416" s="59"/>
    </row>
    <row r="417" spans="1:220">
      <c r="A417" s="24">
        <v>2</v>
      </c>
      <c r="B417" s="24" t="str">
        <f>VLOOKUP(Ruimtestaat[[#This Row],[Code]],Locaties[#All],2,FALSE)</f>
        <v>Het Stormink</v>
      </c>
      <c r="C417" s="24" t="str">
        <f>VLOOKUP(Ruimtestaat[[#This Row],[Code]],Locaties[#All],4,FALSE)</f>
        <v>Storminkstraat 1</v>
      </c>
      <c r="D417" s="24" t="str">
        <f>VLOOKUP(Ruimtestaat[[#This Row],[Code]],Locaties[#All],5,FALSE)</f>
        <v>7418 GH</v>
      </c>
      <c r="E417" s="24" t="str">
        <f>VLOOKUP(Ruimtestaat[[#This Row],[Code]],Locaties[#All],6,FALSE)</f>
        <v>Deventer</v>
      </c>
      <c r="F417" s="54"/>
      <c r="G417" s="24" t="s">
        <v>599</v>
      </c>
      <c r="H417" s="24" t="s">
        <v>836</v>
      </c>
      <c r="I417" s="4" t="s">
        <v>535</v>
      </c>
      <c r="J417" s="24">
        <v>22</v>
      </c>
      <c r="K417" s="54" t="str">
        <f>VLOOKUP(J417,Ruimtegroepen[],2,FALSE)</f>
        <v>Niet in onderhoud</v>
      </c>
      <c r="L417" s="24" t="s">
        <v>300</v>
      </c>
      <c r="M417" s="24" t="s">
        <v>157</v>
      </c>
      <c r="N417" s="83"/>
      <c r="O417" s="83">
        <v>3.16</v>
      </c>
      <c r="P417" s="93" t="str">
        <f>LEFT(VLOOKUP(Ruimtestaat[[#This Row],[Ruimte code]],Ruimtegroepen[#All],4,1),2)</f>
        <v/>
      </c>
      <c r="Q417" s="93"/>
      <c r="R417" s="84"/>
      <c r="S417" s="84"/>
      <c r="T417" s="85">
        <f>IF(R417&gt;0,IF(RIGHT(Ruimtestaat[[#This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7" s="85">
        <f>IF(T417&gt;0,VLOOKUP($J417,Ruimtegroepen[],3,FALSE)*VLOOKUP($L417,Vloersoorten[],3,FALSE)*VLOOKUP($S417,Frequenties[],3,FALSE)*VLOOKUP($A417,Locaties[],3,FALSE),0)</f>
        <v>0</v>
      </c>
      <c r="V417" s="86">
        <f>Ruimtestaat[[#This Row],[Uitvoeringen werkdagen]]*Ruimtestaat[[#This Row],[Oppervlak (netto)]]</f>
        <v>0</v>
      </c>
      <c r="W417" s="87">
        <f>IF(U417&gt;0,Ruimtestaat[[#This Row],[Prest. (m2 /jaar) werkdagen]]/Ruimtestaat[[#This Row],[Norm (m2/uur) werkdagen]],0)</f>
        <v>0</v>
      </c>
      <c r="X417" s="88">
        <f>Ruimtestaat[[#This Row],[uren / jaar werkdagen]]*Tariefsopbouw!$E$35</f>
        <v>0</v>
      </c>
      <c r="Y417" s="85"/>
      <c r="Z417" s="89">
        <f>IF(Ruimtestaat[[#This Row],[Frequentie weekend]]&gt;0,VALUE(LEFT(Y417,1))*R417,0)</f>
        <v>0</v>
      </c>
      <c r="AA417" s="85">
        <f>IF($Z417&gt;0,VLOOKUP($J417,Ruimtegroepen[],3,FALSE)*VLOOKUP($L417,Vloersoorten[],3,FALSE)*VLOOKUP($Y417,Frequenties[],3,FALSE)*VLOOKUP(#REF!,Locaties[],3,FALSE),0)</f>
        <v>0</v>
      </c>
      <c r="AB417" s="87">
        <f>Ruimtestaat[[#This Row],[Uitvoeringen weekend]]*Ruimtestaat[[#This Row],[Oppervlak (netto)]]</f>
        <v>0</v>
      </c>
      <c r="AC417" s="90">
        <f>IF(AB417&gt;0,Ruimtestaat[[#This Row],[Prest. (m2 /jaar) weekend]]/Ruimtestaat[[#This Row],[Norm (m2/uur) weekend]],0)</f>
        <v>0</v>
      </c>
      <c r="AD417" s="91">
        <f>Ruimtestaat[[#This Row],[uren / jaar weekend]]*Tariefsopbouw!$D$40</f>
        <v>0</v>
      </c>
      <c r="AE417" s="60">
        <f>Ruimtestaat[[#This Row],[Prest. (m2 /jaar) weekend]]+Ruimtestaat[[#This Row],[Prest. (m2 /jaar) werkdagen]]</f>
        <v>0</v>
      </c>
      <c r="AF417" s="60">
        <f>Ruimtestaat[[#This Row],[uren / jaar weekend]]+Ruimtestaat[[#This Row],[uren / jaar werkdagen]]</f>
        <v>0</v>
      </c>
      <c r="AG417" s="61">
        <f>Ruimtestaat[[#This Row],[kosten / jaar weekend]]+Ruimtestaat[[#This Row],[kosten / jaar werkdagen]]</f>
        <v>0</v>
      </c>
      <c r="AH417" s="92"/>
      <c r="HL417" s="59"/>
    </row>
    <row r="418" spans="1:220">
      <c r="A418" s="24">
        <v>2</v>
      </c>
      <c r="B418" s="24" t="str">
        <f>VLOOKUP(Ruimtestaat[[#This Row],[Code]],Locaties[#All],2,FALSE)</f>
        <v>Het Stormink</v>
      </c>
      <c r="C418" s="24" t="str">
        <f>VLOOKUP(Ruimtestaat[[#This Row],[Code]],Locaties[#All],4,FALSE)</f>
        <v>Storminkstraat 1</v>
      </c>
      <c r="D418" s="24" t="str">
        <f>VLOOKUP(Ruimtestaat[[#This Row],[Code]],Locaties[#All],5,FALSE)</f>
        <v>7418 GH</v>
      </c>
      <c r="E418" s="24" t="str">
        <f>VLOOKUP(Ruimtestaat[[#This Row],[Code]],Locaties[#All],6,FALSE)</f>
        <v>Deventer</v>
      </c>
      <c r="F418" s="54"/>
      <c r="G418" s="24" t="s">
        <v>599</v>
      </c>
      <c r="H418" s="24" t="s">
        <v>837</v>
      </c>
      <c r="I418" s="4" t="s">
        <v>674</v>
      </c>
      <c r="J418" s="24">
        <v>22</v>
      </c>
      <c r="K418" s="54" t="str">
        <f>VLOOKUP(J418,Ruimtegroepen[],2,FALSE)</f>
        <v>Niet in onderhoud</v>
      </c>
      <c r="L418" s="24" t="s">
        <v>300</v>
      </c>
      <c r="M418" s="24" t="s">
        <v>157</v>
      </c>
      <c r="N418" s="83"/>
      <c r="O418" s="83">
        <v>1.63</v>
      </c>
      <c r="P418" s="93" t="str">
        <f>LEFT(VLOOKUP(Ruimtestaat[[#This Row],[Ruimte code]],Ruimtegroepen[#All],4,1),2)</f>
        <v/>
      </c>
      <c r="Q418" s="93"/>
      <c r="R418" s="84"/>
      <c r="S418" s="84"/>
      <c r="T418" s="85">
        <f>IF(R418&gt;0,IF(RIGHT(Ruimtestaat[[#This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8" s="85">
        <f>IF(T418&gt;0,VLOOKUP($J418,Ruimtegroepen[],3,FALSE)*VLOOKUP($L418,Vloersoorten[],3,FALSE)*VLOOKUP($S418,Frequenties[],3,FALSE)*VLOOKUP($A418,Locaties[],3,FALSE),0)</f>
        <v>0</v>
      </c>
      <c r="V418" s="86">
        <f>Ruimtestaat[[#This Row],[Uitvoeringen werkdagen]]*Ruimtestaat[[#This Row],[Oppervlak (netto)]]</f>
        <v>0</v>
      </c>
      <c r="W418" s="87">
        <f>IF(U418&gt;0,Ruimtestaat[[#This Row],[Prest. (m2 /jaar) werkdagen]]/Ruimtestaat[[#This Row],[Norm (m2/uur) werkdagen]],0)</f>
        <v>0</v>
      </c>
      <c r="X418" s="88">
        <f>Ruimtestaat[[#This Row],[uren / jaar werkdagen]]*Tariefsopbouw!$E$35</f>
        <v>0</v>
      </c>
      <c r="Y418" s="85"/>
      <c r="Z418" s="89">
        <f>IF(Ruimtestaat[[#This Row],[Frequentie weekend]]&gt;0,VALUE(LEFT(Y418,1))*R418,0)</f>
        <v>0</v>
      </c>
      <c r="AA418" s="85">
        <f>IF($Z418&gt;0,VLOOKUP($J418,Ruimtegroepen[],3,FALSE)*VLOOKUP($L418,Vloersoorten[],3,FALSE)*VLOOKUP($Y418,Frequenties[],3,FALSE)*VLOOKUP(#REF!,Locaties[],3,FALSE),0)</f>
        <v>0</v>
      </c>
      <c r="AB418" s="87">
        <f>Ruimtestaat[[#This Row],[Uitvoeringen weekend]]*Ruimtestaat[[#This Row],[Oppervlak (netto)]]</f>
        <v>0</v>
      </c>
      <c r="AC418" s="90">
        <f>IF(AB418&gt;0,Ruimtestaat[[#This Row],[Prest. (m2 /jaar) weekend]]/Ruimtestaat[[#This Row],[Norm (m2/uur) weekend]],0)</f>
        <v>0</v>
      </c>
      <c r="AD418" s="91">
        <f>Ruimtestaat[[#This Row],[uren / jaar weekend]]*Tariefsopbouw!$D$40</f>
        <v>0</v>
      </c>
      <c r="AE418" s="60">
        <f>Ruimtestaat[[#This Row],[Prest. (m2 /jaar) weekend]]+Ruimtestaat[[#This Row],[Prest. (m2 /jaar) werkdagen]]</f>
        <v>0</v>
      </c>
      <c r="AF418" s="60">
        <f>Ruimtestaat[[#This Row],[uren / jaar weekend]]+Ruimtestaat[[#This Row],[uren / jaar werkdagen]]</f>
        <v>0</v>
      </c>
      <c r="AG418" s="61">
        <f>Ruimtestaat[[#This Row],[kosten / jaar weekend]]+Ruimtestaat[[#This Row],[kosten / jaar werkdagen]]</f>
        <v>0</v>
      </c>
      <c r="AH418" s="92"/>
      <c r="HL418" s="59"/>
    </row>
    <row r="419" spans="1:220">
      <c r="A419" s="24">
        <v>2</v>
      </c>
      <c r="B419" s="24" t="str">
        <f>VLOOKUP(Ruimtestaat[[#This Row],[Code]],Locaties[#All],2,FALSE)</f>
        <v>Het Stormink</v>
      </c>
      <c r="C419" s="24" t="str">
        <f>VLOOKUP(Ruimtestaat[[#This Row],[Code]],Locaties[#All],4,FALSE)</f>
        <v>Storminkstraat 1</v>
      </c>
      <c r="D419" s="24" t="str">
        <f>VLOOKUP(Ruimtestaat[[#This Row],[Code]],Locaties[#All],5,FALSE)</f>
        <v>7418 GH</v>
      </c>
      <c r="E419" s="24" t="str">
        <f>VLOOKUP(Ruimtestaat[[#This Row],[Code]],Locaties[#All],6,FALSE)</f>
        <v>Deventer</v>
      </c>
      <c r="F419" s="54"/>
      <c r="G419" s="24" t="s">
        <v>599</v>
      </c>
      <c r="H419" s="24" t="s">
        <v>838</v>
      </c>
      <c r="I419" s="4" t="s">
        <v>394</v>
      </c>
      <c r="J419" s="24">
        <v>22</v>
      </c>
      <c r="K419" s="54" t="str">
        <f>VLOOKUP(J419,Ruimtegroepen[],2,FALSE)</f>
        <v>Niet in onderhoud</v>
      </c>
      <c r="L419" s="24" t="s">
        <v>300</v>
      </c>
      <c r="M419" s="24" t="s">
        <v>157</v>
      </c>
      <c r="N419" s="83"/>
      <c r="O419" s="83">
        <v>12.3</v>
      </c>
      <c r="P419" s="93" t="str">
        <f>LEFT(VLOOKUP(Ruimtestaat[[#This Row],[Ruimte code]],Ruimtegroepen[#All],4,1),2)</f>
        <v/>
      </c>
      <c r="Q419" s="93"/>
      <c r="R419" s="84"/>
      <c r="S419" s="84"/>
      <c r="T419" s="85">
        <f>IF(R419&gt;0,IF(RIGHT(Ruimtestaat[[#This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9" s="85">
        <f>IF(T419&gt;0,VLOOKUP($J419,Ruimtegroepen[],3,FALSE)*VLOOKUP($L419,Vloersoorten[],3,FALSE)*VLOOKUP($S419,Frequenties[],3,FALSE)*VLOOKUP($A419,Locaties[],3,FALSE),0)</f>
        <v>0</v>
      </c>
      <c r="V419" s="86">
        <f>Ruimtestaat[[#This Row],[Uitvoeringen werkdagen]]*Ruimtestaat[[#This Row],[Oppervlak (netto)]]</f>
        <v>0</v>
      </c>
      <c r="W419" s="87">
        <f>IF(U419&gt;0,Ruimtestaat[[#This Row],[Prest. (m2 /jaar) werkdagen]]/Ruimtestaat[[#This Row],[Norm (m2/uur) werkdagen]],0)</f>
        <v>0</v>
      </c>
      <c r="X419" s="88">
        <f>Ruimtestaat[[#This Row],[uren / jaar werkdagen]]*Tariefsopbouw!$E$35</f>
        <v>0</v>
      </c>
      <c r="Y419" s="85"/>
      <c r="Z419" s="89">
        <f>IF(Ruimtestaat[[#This Row],[Frequentie weekend]]&gt;0,VALUE(LEFT(Y419,1))*R419,0)</f>
        <v>0</v>
      </c>
      <c r="AA419" s="85">
        <f>IF($Z419&gt;0,VLOOKUP($J419,Ruimtegroepen[],3,FALSE)*VLOOKUP($L419,Vloersoorten[],3,FALSE)*VLOOKUP($Y419,Frequenties[],3,FALSE)*VLOOKUP(#REF!,Locaties[],3,FALSE),0)</f>
        <v>0</v>
      </c>
      <c r="AB419" s="87">
        <f>Ruimtestaat[[#This Row],[Uitvoeringen weekend]]*Ruimtestaat[[#This Row],[Oppervlak (netto)]]</f>
        <v>0</v>
      </c>
      <c r="AC419" s="90">
        <f>IF(AB419&gt;0,Ruimtestaat[[#This Row],[Prest. (m2 /jaar) weekend]]/Ruimtestaat[[#This Row],[Norm (m2/uur) weekend]],0)</f>
        <v>0</v>
      </c>
      <c r="AD419" s="91">
        <f>Ruimtestaat[[#This Row],[uren / jaar weekend]]*Tariefsopbouw!$D$40</f>
        <v>0</v>
      </c>
      <c r="AE419" s="60">
        <f>Ruimtestaat[[#This Row],[Prest. (m2 /jaar) weekend]]+Ruimtestaat[[#This Row],[Prest. (m2 /jaar) werkdagen]]</f>
        <v>0</v>
      </c>
      <c r="AF419" s="60">
        <f>Ruimtestaat[[#This Row],[uren / jaar weekend]]+Ruimtestaat[[#This Row],[uren / jaar werkdagen]]</f>
        <v>0</v>
      </c>
      <c r="AG419" s="61">
        <f>Ruimtestaat[[#This Row],[kosten / jaar weekend]]+Ruimtestaat[[#This Row],[kosten / jaar werkdagen]]</f>
        <v>0</v>
      </c>
      <c r="AH419" s="92"/>
      <c r="HL419" s="59"/>
    </row>
    <row r="420" spans="1:220">
      <c r="A420" s="24">
        <v>2</v>
      </c>
      <c r="B420" s="24" t="str">
        <f>VLOOKUP(Ruimtestaat[[#This Row],[Code]],Locaties[#All],2,FALSE)</f>
        <v>Het Stormink</v>
      </c>
      <c r="C420" s="24" t="str">
        <f>VLOOKUP(Ruimtestaat[[#This Row],[Code]],Locaties[#All],4,FALSE)</f>
        <v>Storminkstraat 1</v>
      </c>
      <c r="D420" s="24" t="str">
        <f>VLOOKUP(Ruimtestaat[[#This Row],[Code]],Locaties[#All],5,FALSE)</f>
        <v>7418 GH</v>
      </c>
      <c r="E420" s="24" t="str">
        <f>VLOOKUP(Ruimtestaat[[#This Row],[Code]],Locaties[#All],6,FALSE)</f>
        <v>Deventer</v>
      </c>
      <c r="F420" s="54"/>
      <c r="G420" s="24" t="s">
        <v>599</v>
      </c>
      <c r="H420" s="24" t="s">
        <v>839</v>
      </c>
      <c r="I420" s="4" t="s">
        <v>394</v>
      </c>
      <c r="J420" s="24">
        <v>22</v>
      </c>
      <c r="K420" s="54" t="str">
        <f>VLOOKUP(J420,Ruimtegroepen[],2,FALSE)</f>
        <v>Niet in onderhoud</v>
      </c>
      <c r="L420" s="24" t="s">
        <v>300</v>
      </c>
      <c r="M420" s="24" t="s">
        <v>157</v>
      </c>
      <c r="N420" s="83"/>
      <c r="O420" s="83">
        <v>12.3</v>
      </c>
      <c r="P420" s="93" t="str">
        <f>LEFT(VLOOKUP(Ruimtestaat[[#This Row],[Ruimte code]],Ruimtegroepen[#All],4,1),2)</f>
        <v/>
      </c>
      <c r="Q420" s="93"/>
      <c r="R420" s="84"/>
      <c r="S420" s="84"/>
      <c r="T420" s="85">
        <f>IF(R420&gt;0,IF(RIGHT(Ruimtestaat[[#This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20" s="85">
        <f>IF(T420&gt;0,VLOOKUP($J420,Ruimtegroepen[],3,FALSE)*VLOOKUP($L420,Vloersoorten[],3,FALSE)*VLOOKUP($S420,Frequenties[],3,FALSE)*VLOOKUP($A420,Locaties[],3,FALSE),0)</f>
        <v>0</v>
      </c>
      <c r="V420" s="86">
        <f>Ruimtestaat[[#This Row],[Uitvoeringen werkdagen]]*Ruimtestaat[[#This Row],[Oppervlak (netto)]]</f>
        <v>0</v>
      </c>
      <c r="W420" s="87">
        <f>IF(U420&gt;0,Ruimtestaat[[#This Row],[Prest. (m2 /jaar) werkdagen]]/Ruimtestaat[[#This Row],[Norm (m2/uur) werkdagen]],0)</f>
        <v>0</v>
      </c>
      <c r="X420" s="88">
        <f>Ruimtestaat[[#This Row],[uren / jaar werkdagen]]*Tariefsopbouw!$E$35</f>
        <v>0</v>
      </c>
      <c r="Y420" s="85"/>
      <c r="Z420" s="89">
        <f>IF(Ruimtestaat[[#This Row],[Frequentie weekend]]&gt;0,VALUE(LEFT(Y420,1))*R420,0)</f>
        <v>0</v>
      </c>
      <c r="AA420" s="85">
        <f>IF($Z420&gt;0,VLOOKUP($J420,Ruimtegroepen[],3,FALSE)*VLOOKUP($L420,Vloersoorten[],3,FALSE)*VLOOKUP($Y420,Frequenties[],3,FALSE)*VLOOKUP(#REF!,Locaties[],3,FALSE),0)</f>
        <v>0</v>
      </c>
      <c r="AB420" s="87">
        <f>Ruimtestaat[[#This Row],[Uitvoeringen weekend]]*Ruimtestaat[[#This Row],[Oppervlak (netto)]]</f>
        <v>0</v>
      </c>
      <c r="AC420" s="90">
        <f>IF(AB420&gt;0,Ruimtestaat[[#This Row],[Prest. (m2 /jaar) weekend]]/Ruimtestaat[[#This Row],[Norm (m2/uur) weekend]],0)</f>
        <v>0</v>
      </c>
      <c r="AD420" s="91">
        <f>Ruimtestaat[[#This Row],[uren / jaar weekend]]*Tariefsopbouw!$D$40</f>
        <v>0</v>
      </c>
      <c r="AE420" s="60">
        <f>Ruimtestaat[[#This Row],[Prest. (m2 /jaar) weekend]]+Ruimtestaat[[#This Row],[Prest. (m2 /jaar) werkdagen]]</f>
        <v>0</v>
      </c>
      <c r="AF420" s="60">
        <f>Ruimtestaat[[#This Row],[uren / jaar weekend]]+Ruimtestaat[[#This Row],[uren / jaar werkdagen]]</f>
        <v>0</v>
      </c>
      <c r="AG420" s="61">
        <f>Ruimtestaat[[#This Row],[kosten / jaar weekend]]+Ruimtestaat[[#This Row],[kosten / jaar werkdagen]]</f>
        <v>0</v>
      </c>
      <c r="AH420" s="92"/>
      <c r="HL420" s="59"/>
    </row>
    <row r="421" spans="1:220">
      <c r="A421" s="24">
        <v>2</v>
      </c>
      <c r="B421" s="24" t="str">
        <f>VLOOKUP(Ruimtestaat[[#This Row],[Code]],Locaties[#All],2,FALSE)</f>
        <v>Het Stormink</v>
      </c>
      <c r="C421" s="24" t="str">
        <f>VLOOKUP(Ruimtestaat[[#This Row],[Code]],Locaties[#All],4,FALSE)</f>
        <v>Storminkstraat 1</v>
      </c>
      <c r="D421" s="24" t="str">
        <f>VLOOKUP(Ruimtestaat[[#This Row],[Code]],Locaties[#All],5,FALSE)</f>
        <v>7418 GH</v>
      </c>
      <c r="E421" s="24" t="str">
        <f>VLOOKUP(Ruimtestaat[[#This Row],[Code]],Locaties[#All],6,FALSE)</f>
        <v>Deventer</v>
      </c>
      <c r="F421" s="54"/>
      <c r="G421" s="24" t="s">
        <v>599</v>
      </c>
      <c r="H421" s="24" t="s">
        <v>840</v>
      </c>
      <c r="I421" s="4" t="s">
        <v>841</v>
      </c>
      <c r="J421" s="24">
        <v>13</v>
      </c>
      <c r="K421" s="54" t="str">
        <f>VLOOKUP(J421,Ruimtegroepen[],2,FALSE)</f>
        <v>HV/Technieklokaal</v>
      </c>
      <c r="L421" s="24" t="s">
        <v>305</v>
      </c>
      <c r="M421" s="24" t="s">
        <v>668</v>
      </c>
      <c r="N421" s="83">
        <v>97.73</v>
      </c>
      <c r="O421" s="83"/>
      <c r="P421" s="93" t="str">
        <f>LEFT(VLOOKUP(Ruimtestaat[[#This Row],[Ruimte code]],Ruimtegroepen[#All],4,1),2)</f>
        <v>Le</v>
      </c>
      <c r="Q421" s="93"/>
      <c r="R421" s="84">
        <v>40</v>
      </c>
      <c r="S421" s="84" t="s">
        <v>318</v>
      </c>
      <c r="T421" s="85">
        <f>IF(R421&gt;0,IF(RIGHT(Ruimtestaat[[#This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1" s="85">
        <f>IF(T421&gt;0,VLOOKUP($J421,Ruimtegroepen[],3,FALSE)*VLOOKUP($L421,Vloersoorten[],3,FALSE)*VLOOKUP($S421,Frequenties[],3,FALSE)*VLOOKUP($A421,Locaties[],3,FALSE),0)</f>
        <v>0</v>
      </c>
      <c r="V421" s="86">
        <f>Ruimtestaat[[#This Row],[Uitvoeringen werkdagen]]*Ruimtestaat[[#This Row],[Oppervlak (netto)]]</f>
        <v>19546</v>
      </c>
      <c r="W421" s="87">
        <f>IF(U421&gt;0,Ruimtestaat[[#This Row],[Prest. (m2 /jaar) werkdagen]]/Ruimtestaat[[#This Row],[Norm (m2/uur) werkdagen]],0)</f>
        <v>0</v>
      </c>
      <c r="X421" s="88">
        <f>Ruimtestaat[[#This Row],[uren / jaar werkdagen]]*Tariefsopbouw!$E$35</f>
        <v>0</v>
      </c>
      <c r="Y421" s="85"/>
      <c r="Z421" s="89">
        <f>IF(Ruimtestaat[[#This Row],[Frequentie weekend]]&gt;0,VALUE(LEFT(Y421,1))*R421,0)</f>
        <v>0</v>
      </c>
      <c r="AA421" s="85">
        <f>IF($Z421&gt;0,VLOOKUP($J421,Ruimtegroepen[],3,FALSE)*VLOOKUP($L421,Vloersoorten[],3,FALSE)*VLOOKUP($Y421,Frequenties[],3,FALSE)*VLOOKUP(#REF!,Locaties[],3,FALSE),0)</f>
        <v>0</v>
      </c>
      <c r="AB421" s="87">
        <f>Ruimtestaat[[#This Row],[Uitvoeringen weekend]]*Ruimtestaat[[#This Row],[Oppervlak (netto)]]</f>
        <v>0</v>
      </c>
      <c r="AC421" s="90">
        <f>IF(AB421&gt;0,Ruimtestaat[[#This Row],[Prest. (m2 /jaar) weekend]]/Ruimtestaat[[#This Row],[Norm (m2/uur) weekend]],0)</f>
        <v>0</v>
      </c>
      <c r="AD421" s="91">
        <f>Ruimtestaat[[#This Row],[uren / jaar weekend]]*Tariefsopbouw!$D$40</f>
        <v>0</v>
      </c>
      <c r="AE421" s="60">
        <f>Ruimtestaat[[#This Row],[Prest. (m2 /jaar) weekend]]+Ruimtestaat[[#This Row],[Prest. (m2 /jaar) werkdagen]]</f>
        <v>19546</v>
      </c>
      <c r="AF421" s="60">
        <f>Ruimtestaat[[#This Row],[uren / jaar weekend]]+Ruimtestaat[[#This Row],[uren / jaar werkdagen]]</f>
        <v>0</v>
      </c>
      <c r="AG421" s="61">
        <f>Ruimtestaat[[#This Row],[kosten / jaar weekend]]+Ruimtestaat[[#This Row],[kosten / jaar werkdagen]]</f>
        <v>0</v>
      </c>
      <c r="AH421" s="92"/>
      <c r="HL421" s="59"/>
    </row>
    <row r="422" spans="1:220">
      <c r="A422" s="24">
        <v>2</v>
      </c>
      <c r="B422" s="24" t="str">
        <f>VLOOKUP(Ruimtestaat[[#This Row],[Code]],Locaties[#All],2,FALSE)</f>
        <v>Het Stormink</v>
      </c>
      <c r="C422" s="24" t="str">
        <f>VLOOKUP(Ruimtestaat[[#This Row],[Code]],Locaties[#All],4,FALSE)</f>
        <v>Storminkstraat 1</v>
      </c>
      <c r="D422" s="24" t="str">
        <f>VLOOKUP(Ruimtestaat[[#This Row],[Code]],Locaties[#All],5,FALSE)</f>
        <v>7418 GH</v>
      </c>
      <c r="E422" s="24" t="str">
        <f>VLOOKUP(Ruimtestaat[[#This Row],[Code]],Locaties[#All],6,FALSE)</f>
        <v>Deventer</v>
      </c>
      <c r="F422" s="54"/>
      <c r="G422" s="24" t="s">
        <v>599</v>
      </c>
      <c r="H422" s="24" t="s">
        <v>842</v>
      </c>
      <c r="I422" s="4" t="s">
        <v>843</v>
      </c>
      <c r="J422" s="24">
        <v>13</v>
      </c>
      <c r="K422" s="54" t="str">
        <f>VLOOKUP(J422,Ruimtegroepen[],2,FALSE)</f>
        <v>HV/Technieklokaal</v>
      </c>
      <c r="L422" s="24" t="s">
        <v>305</v>
      </c>
      <c r="M422" s="24" t="s">
        <v>668</v>
      </c>
      <c r="N422" s="83">
        <v>77.88</v>
      </c>
      <c r="O422" s="83"/>
      <c r="P422" s="93" t="str">
        <f>LEFT(VLOOKUP(Ruimtestaat[[#This Row],[Ruimte code]],Ruimtegroepen[#All],4,1),2)</f>
        <v>Le</v>
      </c>
      <c r="Q422" s="93"/>
      <c r="R422" s="84">
        <v>40</v>
      </c>
      <c r="S422" s="84" t="s">
        <v>318</v>
      </c>
      <c r="T422" s="85">
        <f>IF(R422&gt;0,IF(RIGHT(Ruimtestaat[[#This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2" s="85">
        <f>IF(T422&gt;0,VLOOKUP($J422,Ruimtegroepen[],3,FALSE)*VLOOKUP($L422,Vloersoorten[],3,FALSE)*VLOOKUP($S422,Frequenties[],3,FALSE)*VLOOKUP($A422,Locaties[],3,FALSE),0)</f>
        <v>0</v>
      </c>
      <c r="V422" s="86">
        <f>Ruimtestaat[[#This Row],[Uitvoeringen werkdagen]]*Ruimtestaat[[#This Row],[Oppervlak (netto)]]</f>
        <v>15576</v>
      </c>
      <c r="W422" s="87">
        <f>IF(U422&gt;0,Ruimtestaat[[#This Row],[Prest. (m2 /jaar) werkdagen]]/Ruimtestaat[[#This Row],[Norm (m2/uur) werkdagen]],0)</f>
        <v>0</v>
      </c>
      <c r="X422" s="88">
        <f>Ruimtestaat[[#This Row],[uren / jaar werkdagen]]*Tariefsopbouw!$E$35</f>
        <v>0</v>
      </c>
      <c r="Y422" s="85"/>
      <c r="Z422" s="89">
        <f>IF(Ruimtestaat[[#This Row],[Frequentie weekend]]&gt;0,VALUE(LEFT(Y422,1))*R422,0)</f>
        <v>0</v>
      </c>
      <c r="AA422" s="85">
        <f>IF($Z422&gt;0,VLOOKUP($J422,Ruimtegroepen[],3,FALSE)*VLOOKUP($L422,Vloersoorten[],3,FALSE)*VLOOKUP($Y422,Frequenties[],3,FALSE)*VLOOKUP(#REF!,Locaties[],3,FALSE),0)</f>
        <v>0</v>
      </c>
      <c r="AB422" s="87">
        <f>Ruimtestaat[[#This Row],[Uitvoeringen weekend]]*Ruimtestaat[[#This Row],[Oppervlak (netto)]]</f>
        <v>0</v>
      </c>
      <c r="AC422" s="90">
        <f>IF(AB422&gt;0,Ruimtestaat[[#This Row],[Prest. (m2 /jaar) weekend]]/Ruimtestaat[[#This Row],[Norm (m2/uur) weekend]],0)</f>
        <v>0</v>
      </c>
      <c r="AD422" s="91">
        <f>Ruimtestaat[[#This Row],[uren / jaar weekend]]*Tariefsopbouw!$D$40</f>
        <v>0</v>
      </c>
      <c r="AE422" s="60">
        <f>Ruimtestaat[[#This Row],[Prest. (m2 /jaar) weekend]]+Ruimtestaat[[#This Row],[Prest. (m2 /jaar) werkdagen]]</f>
        <v>15576</v>
      </c>
      <c r="AF422" s="60">
        <f>Ruimtestaat[[#This Row],[uren / jaar weekend]]+Ruimtestaat[[#This Row],[uren / jaar werkdagen]]</f>
        <v>0</v>
      </c>
      <c r="AG422" s="61">
        <f>Ruimtestaat[[#This Row],[kosten / jaar weekend]]+Ruimtestaat[[#This Row],[kosten / jaar werkdagen]]</f>
        <v>0</v>
      </c>
      <c r="AH422" s="92"/>
      <c r="HL422" s="59"/>
    </row>
    <row r="423" spans="1:220">
      <c r="A423" s="24">
        <v>2</v>
      </c>
      <c r="B423" s="24" t="str">
        <f>VLOOKUP(Ruimtestaat[[#This Row],[Code]],Locaties[#All],2,FALSE)</f>
        <v>Het Stormink</v>
      </c>
      <c r="C423" s="24" t="str">
        <f>VLOOKUP(Ruimtestaat[[#This Row],[Code]],Locaties[#All],4,FALSE)</f>
        <v>Storminkstraat 1</v>
      </c>
      <c r="D423" s="24" t="str">
        <f>VLOOKUP(Ruimtestaat[[#This Row],[Code]],Locaties[#All],5,FALSE)</f>
        <v>7418 GH</v>
      </c>
      <c r="E423" s="24" t="str">
        <f>VLOOKUP(Ruimtestaat[[#This Row],[Code]],Locaties[#All],6,FALSE)</f>
        <v>Deventer</v>
      </c>
      <c r="F423" s="54"/>
      <c r="G423" s="24" t="s">
        <v>599</v>
      </c>
      <c r="H423" s="24" t="s">
        <v>844</v>
      </c>
      <c r="I423" s="4" t="s">
        <v>843</v>
      </c>
      <c r="J423" s="24">
        <v>13</v>
      </c>
      <c r="K423" s="54" t="str">
        <f>VLOOKUP(J423,Ruimtegroepen[],2,FALSE)</f>
        <v>HV/Technieklokaal</v>
      </c>
      <c r="L423" s="24" t="s">
        <v>305</v>
      </c>
      <c r="M423" s="24" t="s">
        <v>668</v>
      </c>
      <c r="N423" s="83">
        <v>77.95</v>
      </c>
      <c r="O423" s="83"/>
      <c r="P423" s="93" t="str">
        <f>LEFT(VLOOKUP(Ruimtestaat[[#This Row],[Ruimte code]],Ruimtegroepen[#All],4,1),2)</f>
        <v>Le</v>
      </c>
      <c r="Q423" s="93"/>
      <c r="R423" s="84">
        <v>40</v>
      </c>
      <c r="S423" s="84" t="s">
        <v>318</v>
      </c>
      <c r="T423" s="85">
        <f>IF(R423&gt;0,IF(RIGHT(Ruimtestaat[[#This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3" s="85">
        <f>IF(T423&gt;0,VLOOKUP($J423,Ruimtegroepen[],3,FALSE)*VLOOKUP($L423,Vloersoorten[],3,FALSE)*VLOOKUP($S423,Frequenties[],3,FALSE)*VLOOKUP($A423,Locaties[],3,FALSE),0)</f>
        <v>0</v>
      </c>
      <c r="V423" s="86">
        <f>Ruimtestaat[[#This Row],[Uitvoeringen werkdagen]]*Ruimtestaat[[#This Row],[Oppervlak (netto)]]</f>
        <v>15590</v>
      </c>
      <c r="W423" s="87">
        <f>IF(U423&gt;0,Ruimtestaat[[#This Row],[Prest. (m2 /jaar) werkdagen]]/Ruimtestaat[[#This Row],[Norm (m2/uur) werkdagen]],0)</f>
        <v>0</v>
      </c>
      <c r="X423" s="88">
        <f>Ruimtestaat[[#This Row],[uren / jaar werkdagen]]*Tariefsopbouw!$E$35</f>
        <v>0</v>
      </c>
      <c r="Y423" s="85"/>
      <c r="Z423" s="89">
        <f>IF(Ruimtestaat[[#This Row],[Frequentie weekend]]&gt;0,VALUE(LEFT(Y423,1))*R423,0)</f>
        <v>0</v>
      </c>
      <c r="AA423" s="85">
        <f>IF($Z423&gt;0,VLOOKUP($J423,Ruimtegroepen[],3,FALSE)*VLOOKUP($L423,Vloersoorten[],3,FALSE)*VLOOKUP($Y423,Frequenties[],3,FALSE)*VLOOKUP(#REF!,Locaties[],3,FALSE),0)</f>
        <v>0</v>
      </c>
      <c r="AB423" s="87">
        <f>Ruimtestaat[[#This Row],[Uitvoeringen weekend]]*Ruimtestaat[[#This Row],[Oppervlak (netto)]]</f>
        <v>0</v>
      </c>
      <c r="AC423" s="90">
        <f>IF(AB423&gt;0,Ruimtestaat[[#This Row],[Prest. (m2 /jaar) weekend]]/Ruimtestaat[[#This Row],[Norm (m2/uur) weekend]],0)</f>
        <v>0</v>
      </c>
      <c r="AD423" s="91">
        <f>Ruimtestaat[[#This Row],[uren / jaar weekend]]*Tariefsopbouw!$D$40</f>
        <v>0</v>
      </c>
      <c r="AE423" s="60">
        <f>Ruimtestaat[[#This Row],[Prest. (m2 /jaar) weekend]]+Ruimtestaat[[#This Row],[Prest. (m2 /jaar) werkdagen]]</f>
        <v>15590</v>
      </c>
      <c r="AF423" s="60">
        <f>Ruimtestaat[[#This Row],[uren / jaar weekend]]+Ruimtestaat[[#This Row],[uren / jaar werkdagen]]</f>
        <v>0</v>
      </c>
      <c r="AG423" s="61">
        <f>Ruimtestaat[[#This Row],[kosten / jaar weekend]]+Ruimtestaat[[#This Row],[kosten / jaar werkdagen]]</f>
        <v>0</v>
      </c>
      <c r="AH423" s="92"/>
      <c r="HL423" s="59"/>
    </row>
    <row r="424" spans="1:220">
      <c r="A424" s="24">
        <v>2</v>
      </c>
      <c r="B424" s="24" t="str">
        <f>VLOOKUP(Ruimtestaat[[#This Row],[Code]],Locaties[#All],2,FALSE)</f>
        <v>Het Stormink</v>
      </c>
      <c r="C424" s="24" t="str">
        <f>VLOOKUP(Ruimtestaat[[#This Row],[Code]],Locaties[#All],4,FALSE)</f>
        <v>Storminkstraat 1</v>
      </c>
      <c r="D424" s="24" t="str">
        <f>VLOOKUP(Ruimtestaat[[#This Row],[Code]],Locaties[#All],5,FALSE)</f>
        <v>7418 GH</v>
      </c>
      <c r="E424" s="24" t="str">
        <f>VLOOKUP(Ruimtestaat[[#This Row],[Code]],Locaties[#All],6,FALSE)</f>
        <v>Deventer</v>
      </c>
      <c r="F424" s="54"/>
      <c r="G424" s="24" t="s">
        <v>599</v>
      </c>
      <c r="H424" s="24" t="s">
        <v>845</v>
      </c>
      <c r="I424" s="4" t="s">
        <v>841</v>
      </c>
      <c r="J424" s="24">
        <v>13</v>
      </c>
      <c r="K424" s="54" t="str">
        <f>VLOOKUP(J424,Ruimtegroepen[],2,FALSE)</f>
        <v>HV/Technieklokaal</v>
      </c>
      <c r="L424" s="24" t="s">
        <v>305</v>
      </c>
      <c r="M424" s="24" t="s">
        <v>668</v>
      </c>
      <c r="N424" s="83">
        <v>98.59</v>
      </c>
      <c r="O424" s="83"/>
      <c r="P424" s="93" t="str">
        <f>LEFT(VLOOKUP(Ruimtestaat[[#This Row],[Ruimte code]],Ruimtegroepen[#All],4,1),2)</f>
        <v>Le</v>
      </c>
      <c r="Q424" s="93"/>
      <c r="R424" s="84">
        <v>40</v>
      </c>
      <c r="S424" s="84" t="s">
        <v>318</v>
      </c>
      <c r="T424" s="85">
        <f>IF(R424&gt;0,IF(RIGHT(Ruimtestaat[[#This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4" s="85">
        <f>IF(T424&gt;0,VLOOKUP($J424,Ruimtegroepen[],3,FALSE)*VLOOKUP($L424,Vloersoorten[],3,FALSE)*VLOOKUP($S424,Frequenties[],3,FALSE)*VLOOKUP($A424,Locaties[],3,FALSE),0)</f>
        <v>0</v>
      </c>
      <c r="V424" s="86">
        <f>Ruimtestaat[[#This Row],[Uitvoeringen werkdagen]]*Ruimtestaat[[#This Row],[Oppervlak (netto)]]</f>
        <v>19718</v>
      </c>
      <c r="W424" s="87">
        <f>IF(U424&gt;0,Ruimtestaat[[#This Row],[Prest. (m2 /jaar) werkdagen]]/Ruimtestaat[[#This Row],[Norm (m2/uur) werkdagen]],0)</f>
        <v>0</v>
      </c>
      <c r="X424" s="88">
        <f>Ruimtestaat[[#This Row],[uren / jaar werkdagen]]*Tariefsopbouw!$E$35</f>
        <v>0</v>
      </c>
      <c r="Y424" s="85"/>
      <c r="Z424" s="89">
        <f>IF(Ruimtestaat[[#This Row],[Frequentie weekend]]&gt;0,VALUE(LEFT(Y424,1))*R424,0)</f>
        <v>0</v>
      </c>
      <c r="AA424" s="85">
        <f>IF($Z424&gt;0,VLOOKUP($J424,Ruimtegroepen[],3,FALSE)*VLOOKUP($L424,Vloersoorten[],3,FALSE)*VLOOKUP($Y424,Frequenties[],3,FALSE)*VLOOKUP(#REF!,Locaties[],3,FALSE),0)</f>
        <v>0</v>
      </c>
      <c r="AB424" s="87">
        <f>Ruimtestaat[[#This Row],[Uitvoeringen weekend]]*Ruimtestaat[[#This Row],[Oppervlak (netto)]]</f>
        <v>0</v>
      </c>
      <c r="AC424" s="90">
        <f>IF(AB424&gt;0,Ruimtestaat[[#This Row],[Prest. (m2 /jaar) weekend]]/Ruimtestaat[[#This Row],[Norm (m2/uur) weekend]],0)</f>
        <v>0</v>
      </c>
      <c r="AD424" s="91">
        <f>Ruimtestaat[[#This Row],[uren / jaar weekend]]*Tariefsopbouw!$D$40</f>
        <v>0</v>
      </c>
      <c r="AE424" s="60">
        <f>Ruimtestaat[[#This Row],[Prest. (m2 /jaar) weekend]]+Ruimtestaat[[#This Row],[Prest. (m2 /jaar) werkdagen]]</f>
        <v>19718</v>
      </c>
      <c r="AF424" s="60">
        <f>Ruimtestaat[[#This Row],[uren / jaar weekend]]+Ruimtestaat[[#This Row],[uren / jaar werkdagen]]</f>
        <v>0</v>
      </c>
      <c r="AG424" s="61">
        <f>Ruimtestaat[[#This Row],[kosten / jaar weekend]]+Ruimtestaat[[#This Row],[kosten / jaar werkdagen]]</f>
        <v>0</v>
      </c>
      <c r="AH424" s="92"/>
      <c r="HL424" s="59"/>
    </row>
    <row r="425" spans="1:220">
      <c r="A425" s="24">
        <v>2</v>
      </c>
      <c r="B425" s="24" t="str">
        <f>VLOOKUP(Ruimtestaat[[#This Row],[Code]],Locaties[#All],2,FALSE)</f>
        <v>Het Stormink</v>
      </c>
      <c r="C425" s="24" t="str">
        <f>VLOOKUP(Ruimtestaat[[#This Row],[Code]],Locaties[#All],4,FALSE)</f>
        <v>Storminkstraat 1</v>
      </c>
      <c r="D425" s="24" t="str">
        <f>VLOOKUP(Ruimtestaat[[#This Row],[Code]],Locaties[#All],5,FALSE)</f>
        <v>7418 GH</v>
      </c>
      <c r="E425" s="24" t="str">
        <f>VLOOKUP(Ruimtestaat[[#This Row],[Code]],Locaties[#All],6,FALSE)</f>
        <v>Deventer</v>
      </c>
      <c r="F425" s="54"/>
      <c r="G425" s="24" t="s">
        <v>599</v>
      </c>
      <c r="H425" s="24" t="s">
        <v>846</v>
      </c>
      <c r="I425" s="4" t="s">
        <v>847</v>
      </c>
      <c r="J425" s="24">
        <v>14</v>
      </c>
      <c r="K425" s="54" t="str">
        <f>VLOOKUP(J425,Ruimtegroepen[],2,FALSE)</f>
        <v>Praktijklokalen binas/zorg</v>
      </c>
      <c r="L425" s="24" t="s">
        <v>305</v>
      </c>
      <c r="M425" s="24" t="s">
        <v>668</v>
      </c>
      <c r="N425" s="83">
        <v>76.94</v>
      </c>
      <c r="O425" s="83"/>
      <c r="P425" s="93" t="str">
        <f>LEFT(VLOOKUP(Ruimtestaat[[#This Row],[Ruimte code]],Ruimtegroepen[#All],4,1),2)</f>
        <v>Le</v>
      </c>
      <c r="Q425" s="93"/>
      <c r="R425" s="84">
        <v>40</v>
      </c>
      <c r="S425" s="84" t="s">
        <v>318</v>
      </c>
      <c r="T425" s="85">
        <f>IF(R425&gt;0,IF(RIGHT(Ruimtestaat[[#This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5" s="85">
        <f>IF(T425&gt;0,VLOOKUP($J425,Ruimtegroepen[],3,FALSE)*VLOOKUP($L425,Vloersoorten[],3,FALSE)*VLOOKUP($S425,Frequenties[],3,FALSE)*VLOOKUP($A425,Locaties[],3,FALSE),0)</f>
        <v>0</v>
      </c>
      <c r="V425" s="86">
        <f>Ruimtestaat[[#This Row],[Uitvoeringen werkdagen]]*Ruimtestaat[[#This Row],[Oppervlak (netto)]]</f>
        <v>15388</v>
      </c>
      <c r="W425" s="87">
        <f>IF(U425&gt;0,Ruimtestaat[[#This Row],[Prest. (m2 /jaar) werkdagen]]/Ruimtestaat[[#This Row],[Norm (m2/uur) werkdagen]],0)</f>
        <v>0</v>
      </c>
      <c r="X425" s="88">
        <f>Ruimtestaat[[#This Row],[uren / jaar werkdagen]]*Tariefsopbouw!$E$35</f>
        <v>0</v>
      </c>
      <c r="Y425" s="85"/>
      <c r="Z425" s="89">
        <f>IF(Ruimtestaat[[#This Row],[Frequentie weekend]]&gt;0,VALUE(LEFT(Y425,1))*R425,0)</f>
        <v>0</v>
      </c>
      <c r="AA425" s="85">
        <f>IF($Z425&gt;0,VLOOKUP($J425,Ruimtegroepen[],3,FALSE)*VLOOKUP($L425,Vloersoorten[],3,FALSE)*VLOOKUP($Y425,Frequenties[],3,FALSE)*VLOOKUP(#REF!,Locaties[],3,FALSE),0)</f>
        <v>0</v>
      </c>
      <c r="AB425" s="87">
        <f>Ruimtestaat[[#This Row],[Uitvoeringen weekend]]*Ruimtestaat[[#This Row],[Oppervlak (netto)]]</f>
        <v>0</v>
      </c>
      <c r="AC425" s="90">
        <f>IF(AB425&gt;0,Ruimtestaat[[#This Row],[Prest. (m2 /jaar) weekend]]/Ruimtestaat[[#This Row],[Norm (m2/uur) weekend]],0)</f>
        <v>0</v>
      </c>
      <c r="AD425" s="91">
        <f>Ruimtestaat[[#This Row],[uren / jaar weekend]]*Tariefsopbouw!$D$40</f>
        <v>0</v>
      </c>
      <c r="AE425" s="60">
        <f>Ruimtestaat[[#This Row],[Prest. (m2 /jaar) weekend]]+Ruimtestaat[[#This Row],[Prest. (m2 /jaar) werkdagen]]</f>
        <v>15388</v>
      </c>
      <c r="AF425" s="60">
        <f>Ruimtestaat[[#This Row],[uren / jaar weekend]]+Ruimtestaat[[#This Row],[uren / jaar werkdagen]]</f>
        <v>0</v>
      </c>
      <c r="AG425" s="61">
        <f>Ruimtestaat[[#This Row],[kosten / jaar weekend]]+Ruimtestaat[[#This Row],[kosten / jaar werkdagen]]</f>
        <v>0</v>
      </c>
      <c r="AH425" s="92"/>
      <c r="HL425" s="59"/>
    </row>
    <row r="426" spans="1:220">
      <c r="A426" s="24">
        <v>2</v>
      </c>
      <c r="B426" s="24" t="str">
        <f>VLOOKUP(Ruimtestaat[[#This Row],[Code]],Locaties[#All],2,FALSE)</f>
        <v>Het Stormink</v>
      </c>
      <c r="C426" s="24" t="str">
        <f>VLOOKUP(Ruimtestaat[[#This Row],[Code]],Locaties[#All],4,FALSE)</f>
        <v>Storminkstraat 1</v>
      </c>
      <c r="D426" s="24" t="str">
        <f>VLOOKUP(Ruimtestaat[[#This Row],[Code]],Locaties[#All],5,FALSE)</f>
        <v>7418 GH</v>
      </c>
      <c r="E426" s="24" t="str">
        <f>VLOOKUP(Ruimtestaat[[#This Row],[Code]],Locaties[#All],6,FALSE)</f>
        <v>Deventer</v>
      </c>
      <c r="F426" s="54"/>
      <c r="G426" s="24" t="s">
        <v>599</v>
      </c>
      <c r="H426" s="24" t="s">
        <v>848</v>
      </c>
      <c r="I426" s="4" t="s">
        <v>487</v>
      </c>
      <c r="J426" s="24">
        <v>6</v>
      </c>
      <c r="K426" s="54" t="str">
        <f>VLOOKUP(J426,Ruimtegroepen[],2,FALSE)</f>
        <v>Gangen/hallen</v>
      </c>
      <c r="L426" s="24" t="s">
        <v>300</v>
      </c>
      <c r="M426" s="24" t="s">
        <v>157</v>
      </c>
      <c r="N426" s="83">
        <v>121.32</v>
      </c>
      <c r="O426" s="83"/>
      <c r="P426" s="93" t="str">
        <f>LEFT(VLOOKUP(Ruimtestaat[[#This Row],[Ruimte code]],Ruimtegroepen[#All],4,1),2)</f>
        <v>Ve</v>
      </c>
      <c r="Q426" s="93"/>
      <c r="R426" s="84">
        <v>40</v>
      </c>
      <c r="S426" s="84" t="s">
        <v>318</v>
      </c>
      <c r="T426" s="85">
        <f>IF(R426&gt;0,IF(RIGHT(Ruimtestaat[[#This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6" s="85">
        <f>IF(T426&gt;0,VLOOKUP($J426,Ruimtegroepen[],3,FALSE)*VLOOKUP($L426,Vloersoorten[],3,FALSE)*VLOOKUP($S426,Frequenties[],3,FALSE)*VLOOKUP($A426,Locaties[],3,FALSE),0)</f>
        <v>0</v>
      </c>
      <c r="V426" s="86">
        <f>Ruimtestaat[[#This Row],[Uitvoeringen werkdagen]]*Ruimtestaat[[#This Row],[Oppervlak (netto)]]</f>
        <v>24264</v>
      </c>
      <c r="W426" s="87">
        <f>IF(U426&gt;0,Ruimtestaat[[#This Row],[Prest. (m2 /jaar) werkdagen]]/Ruimtestaat[[#This Row],[Norm (m2/uur) werkdagen]],0)</f>
        <v>0</v>
      </c>
      <c r="X426" s="88">
        <f>Ruimtestaat[[#This Row],[uren / jaar werkdagen]]*Tariefsopbouw!$E$35</f>
        <v>0</v>
      </c>
      <c r="Y426" s="85"/>
      <c r="Z426" s="89">
        <f>IF(Ruimtestaat[[#This Row],[Frequentie weekend]]&gt;0,VALUE(LEFT(Y426,1))*R426,0)</f>
        <v>0</v>
      </c>
      <c r="AA426" s="85">
        <f>IF($Z426&gt;0,VLOOKUP($J426,Ruimtegroepen[],3,FALSE)*VLOOKUP($L426,Vloersoorten[],3,FALSE)*VLOOKUP($Y426,Frequenties[],3,FALSE)*VLOOKUP(#REF!,Locaties[],3,FALSE),0)</f>
        <v>0</v>
      </c>
      <c r="AB426" s="87">
        <f>Ruimtestaat[[#This Row],[Uitvoeringen weekend]]*Ruimtestaat[[#This Row],[Oppervlak (netto)]]</f>
        <v>0</v>
      </c>
      <c r="AC426" s="90">
        <f>IF(AB426&gt;0,Ruimtestaat[[#This Row],[Prest. (m2 /jaar) weekend]]/Ruimtestaat[[#This Row],[Norm (m2/uur) weekend]],0)</f>
        <v>0</v>
      </c>
      <c r="AD426" s="91">
        <f>Ruimtestaat[[#This Row],[uren / jaar weekend]]*Tariefsopbouw!$D$40</f>
        <v>0</v>
      </c>
      <c r="AE426" s="60">
        <f>Ruimtestaat[[#This Row],[Prest. (m2 /jaar) weekend]]+Ruimtestaat[[#This Row],[Prest. (m2 /jaar) werkdagen]]</f>
        <v>24264</v>
      </c>
      <c r="AF426" s="60">
        <f>Ruimtestaat[[#This Row],[uren / jaar weekend]]+Ruimtestaat[[#This Row],[uren / jaar werkdagen]]</f>
        <v>0</v>
      </c>
      <c r="AG426" s="61">
        <f>Ruimtestaat[[#This Row],[kosten / jaar weekend]]+Ruimtestaat[[#This Row],[kosten / jaar werkdagen]]</f>
        <v>0</v>
      </c>
      <c r="AH426" s="92"/>
      <c r="HL426" s="59"/>
    </row>
    <row r="427" spans="1:220">
      <c r="A427" s="24">
        <v>2</v>
      </c>
      <c r="B427" s="24" t="str">
        <f>VLOOKUP(Ruimtestaat[[#This Row],[Code]],Locaties[#All],2,FALSE)</f>
        <v>Het Stormink</v>
      </c>
      <c r="C427" s="24" t="str">
        <f>VLOOKUP(Ruimtestaat[[#This Row],[Code]],Locaties[#All],4,FALSE)</f>
        <v>Storminkstraat 1</v>
      </c>
      <c r="D427" s="24" t="str">
        <f>VLOOKUP(Ruimtestaat[[#This Row],[Code]],Locaties[#All],5,FALSE)</f>
        <v>7418 GH</v>
      </c>
      <c r="E427" s="24" t="str">
        <f>VLOOKUP(Ruimtestaat[[#This Row],[Code]],Locaties[#All],6,FALSE)</f>
        <v>Deventer</v>
      </c>
      <c r="F427" s="54"/>
      <c r="G427" s="24" t="s">
        <v>599</v>
      </c>
      <c r="H427" s="24" t="s">
        <v>849</v>
      </c>
      <c r="I427" s="4" t="s">
        <v>487</v>
      </c>
      <c r="J427" s="24">
        <v>6</v>
      </c>
      <c r="K427" s="54" t="str">
        <f>VLOOKUP(J427,Ruimtegroepen[],2,FALSE)</f>
        <v>Gangen/hallen</v>
      </c>
      <c r="L427" s="24" t="s">
        <v>300</v>
      </c>
      <c r="M427" s="24" t="s">
        <v>157</v>
      </c>
      <c r="N427" s="83">
        <v>43.71</v>
      </c>
      <c r="O427" s="83"/>
      <c r="P427" s="93" t="str">
        <f>LEFT(VLOOKUP(Ruimtestaat[[#This Row],[Ruimte code]],Ruimtegroepen[#All],4,1),2)</f>
        <v>Ve</v>
      </c>
      <c r="Q427" s="93"/>
      <c r="R427" s="84">
        <v>40</v>
      </c>
      <c r="S427" s="84" t="s">
        <v>318</v>
      </c>
      <c r="T427" s="85">
        <f>IF(R427&gt;0,IF(RIGHT(Ruimtestaat[[#This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7" s="85">
        <f>IF(T427&gt;0,VLOOKUP($J427,Ruimtegroepen[],3,FALSE)*VLOOKUP($L427,Vloersoorten[],3,FALSE)*VLOOKUP($S427,Frequenties[],3,FALSE)*VLOOKUP($A427,Locaties[],3,FALSE),0)</f>
        <v>0</v>
      </c>
      <c r="V427" s="86">
        <f>Ruimtestaat[[#This Row],[Uitvoeringen werkdagen]]*Ruimtestaat[[#This Row],[Oppervlak (netto)]]</f>
        <v>8742</v>
      </c>
      <c r="W427" s="87">
        <f>IF(U427&gt;0,Ruimtestaat[[#This Row],[Prest. (m2 /jaar) werkdagen]]/Ruimtestaat[[#This Row],[Norm (m2/uur) werkdagen]],0)</f>
        <v>0</v>
      </c>
      <c r="X427" s="88">
        <f>Ruimtestaat[[#This Row],[uren / jaar werkdagen]]*Tariefsopbouw!$E$35</f>
        <v>0</v>
      </c>
      <c r="Y427" s="85"/>
      <c r="Z427" s="89">
        <f>IF(Ruimtestaat[[#This Row],[Frequentie weekend]]&gt;0,VALUE(LEFT(Y427,1))*R427,0)</f>
        <v>0</v>
      </c>
      <c r="AA427" s="85">
        <f>IF($Z427&gt;0,VLOOKUP($J427,Ruimtegroepen[],3,FALSE)*VLOOKUP($L427,Vloersoorten[],3,FALSE)*VLOOKUP($Y427,Frequenties[],3,FALSE)*VLOOKUP(#REF!,Locaties[],3,FALSE),0)</f>
        <v>0</v>
      </c>
      <c r="AB427" s="87">
        <f>Ruimtestaat[[#This Row],[Uitvoeringen weekend]]*Ruimtestaat[[#This Row],[Oppervlak (netto)]]</f>
        <v>0</v>
      </c>
      <c r="AC427" s="90">
        <f>IF(AB427&gt;0,Ruimtestaat[[#This Row],[Prest. (m2 /jaar) weekend]]/Ruimtestaat[[#This Row],[Norm (m2/uur) weekend]],0)</f>
        <v>0</v>
      </c>
      <c r="AD427" s="91">
        <f>Ruimtestaat[[#This Row],[uren / jaar weekend]]*Tariefsopbouw!$D$40</f>
        <v>0</v>
      </c>
      <c r="AE427" s="60">
        <f>Ruimtestaat[[#This Row],[Prest. (m2 /jaar) weekend]]+Ruimtestaat[[#This Row],[Prest. (m2 /jaar) werkdagen]]</f>
        <v>8742</v>
      </c>
      <c r="AF427" s="60">
        <f>Ruimtestaat[[#This Row],[uren / jaar weekend]]+Ruimtestaat[[#This Row],[uren / jaar werkdagen]]</f>
        <v>0</v>
      </c>
      <c r="AG427" s="61">
        <f>Ruimtestaat[[#This Row],[kosten / jaar weekend]]+Ruimtestaat[[#This Row],[kosten / jaar werkdagen]]</f>
        <v>0</v>
      </c>
      <c r="AH427" s="92"/>
      <c r="HL427" s="59"/>
    </row>
    <row r="428" spans="1:220">
      <c r="A428" s="24">
        <v>2</v>
      </c>
      <c r="B428" s="24" t="str">
        <f>VLOOKUP(Ruimtestaat[[#This Row],[Code]],Locaties[#All],2,FALSE)</f>
        <v>Het Stormink</v>
      </c>
      <c r="C428" s="24" t="str">
        <f>VLOOKUP(Ruimtestaat[[#This Row],[Code]],Locaties[#All],4,FALSE)</f>
        <v>Storminkstraat 1</v>
      </c>
      <c r="D428" s="24" t="str">
        <f>VLOOKUP(Ruimtestaat[[#This Row],[Code]],Locaties[#All],5,FALSE)</f>
        <v>7418 GH</v>
      </c>
      <c r="E428" s="24" t="str">
        <f>VLOOKUP(Ruimtestaat[[#This Row],[Code]],Locaties[#All],6,FALSE)</f>
        <v>Deventer</v>
      </c>
      <c r="F428" s="54"/>
      <c r="G428" s="24" t="s">
        <v>599</v>
      </c>
      <c r="H428" s="24" t="s">
        <v>850</v>
      </c>
      <c r="I428" s="4" t="s">
        <v>487</v>
      </c>
      <c r="J428" s="24">
        <v>6</v>
      </c>
      <c r="K428" s="54" t="str">
        <f>VLOOKUP(J428,Ruimtegroepen[],2,FALSE)</f>
        <v>Gangen/hallen</v>
      </c>
      <c r="L428" s="24" t="s">
        <v>300</v>
      </c>
      <c r="M428" s="24" t="s">
        <v>157</v>
      </c>
      <c r="N428" s="83">
        <v>40.35</v>
      </c>
      <c r="O428" s="83"/>
      <c r="P428" s="93" t="str">
        <f>LEFT(VLOOKUP(Ruimtestaat[[#This Row],[Ruimte code]],Ruimtegroepen[#All],4,1),2)</f>
        <v>Ve</v>
      </c>
      <c r="Q428" s="93"/>
      <c r="R428" s="84">
        <v>40</v>
      </c>
      <c r="S428" s="84" t="s">
        <v>318</v>
      </c>
      <c r="T428" s="85">
        <f>IF(R428&gt;0,IF(RIGHT(Ruimtestaat[[#This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8" s="85">
        <f>IF(T428&gt;0,VLOOKUP($J428,Ruimtegroepen[],3,FALSE)*VLOOKUP($L428,Vloersoorten[],3,FALSE)*VLOOKUP($S428,Frequenties[],3,FALSE)*VLOOKUP($A428,Locaties[],3,FALSE),0)</f>
        <v>0</v>
      </c>
      <c r="V428" s="86">
        <f>Ruimtestaat[[#This Row],[Uitvoeringen werkdagen]]*Ruimtestaat[[#This Row],[Oppervlak (netto)]]</f>
        <v>8070</v>
      </c>
      <c r="W428" s="87">
        <f>IF(U428&gt;0,Ruimtestaat[[#This Row],[Prest. (m2 /jaar) werkdagen]]/Ruimtestaat[[#This Row],[Norm (m2/uur) werkdagen]],0)</f>
        <v>0</v>
      </c>
      <c r="X428" s="88">
        <f>Ruimtestaat[[#This Row],[uren / jaar werkdagen]]*Tariefsopbouw!$E$35</f>
        <v>0</v>
      </c>
      <c r="Y428" s="85"/>
      <c r="Z428" s="89">
        <f>IF(Ruimtestaat[[#This Row],[Frequentie weekend]]&gt;0,VALUE(LEFT(Y428,1))*R428,0)</f>
        <v>0</v>
      </c>
      <c r="AA428" s="85">
        <f>IF($Z428&gt;0,VLOOKUP($J428,Ruimtegroepen[],3,FALSE)*VLOOKUP($L428,Vloersoorten[],3,FALSE)*VLOOKUP($Y428,Frequenties[],3,FALSE)*VLOOKUP(#REF!,Locaties[],3,FALSE),0)</f>
        <v>0</v>
      </c>
      <c r="AB428" s="87">
        <f>Ruimtestaat[[#This Row],[Uitvoeringen weekend]]*Ruimtestaat[[#This Row],[Oppervlak (netto)]]</f>
        <v>0</v>
      </c>
      <c r="AC428" s="90">
        <f>IF(AB428&gt;0,Ruimtestaat[[#This Row],[Prest. (m2 /jaar) weekend]]/Ruimtestaat[[#This Row],[Norm (m2/uur) weekend]],0)</f>
        <v>0</v>
      </c>
      <c r="AD428" s="91">
        <f>Ruimtestaat[[#This Row],[uren / jaar weekend]]*Tariefsopbouw!$D$40</f>
        <v>0</v>
      </c>
      <c r="AE428" s="60">
        <f>Ruimtestaat[[#This Row],[Prest. (m2 /jaar) weekend]]+Ruimtestaat[[#This Row],[Prest. (m2 /jaar) werkdagen]]</f>
        <v>8070</v>
      </c>
      <c r="AF428" s="60">
        <f>Ruimtestaat[[#This Row],[uren / jaar weekend]]+Ruimtestaat[[#This Row],[uren / jaar werkdagen]]</f>
        <v>0</v>
      </c>
      <c r="AG428" s="61">
        <f>Ruimtestaat[[#This Row],[kosten / jaar weekend]]+Ruimtestaat[[#This Row],[kosten / jaar werkdagen]]</f>
        <v>0</v>
      </c>
      <c r="AH428" s="92"/>
      <c r="HL428" s="59"/>
    </row>
    <row r="429" spans="1:220">
      <c r="A429" s="24">
        <v>2</v>
      </c>
      <c r="B429" s="24" t="str">
        <f>VLOOKUP(Ruimtestaat[[#This Row],[Code]],Locaties[#All],2,FALSE)</f>
        <v>Het Stormink</v>
      </c>
      <c r="C429" s="24" t="str">
        <f>VLOOKUP(Ruimtestaat[[#This Row],[Code]],Locaties[#All],4,FALSE)</f>
        <v>Storminkstraat 1</v>
      </c>
      <c r="D429" s="24" t="str">
        <f>VLOOKUP(Ruimtestaat[[#This Row],[Code]],Locaties[#All],5,FALSE)</f>
        <v>7418 GH</v>
      </c>
      <c r="E429" s="24" t="str">
        <f>VLOOKUP(Ruimtestaat[[#This Row],[Code]],Locaties[#All],6,FALSE)</f>
        <v>Deventer</v>
      </c>
      <c r="F429" s="54"/>
      <c r="G429" s="24" t="s">
        <v>599</v>
      </c>
      <c r="H429" s="24" t="s">
        <v>851</v>
      </c>
      <c r="I429" s="4" t="s">
        <v>487</v>
      </c>
      <c r="J429" s="24">
        <v>6</v>
      </c>
      <c r="K429" s="54" t="str">
        <f>VLOOKUP(J429,Ruimtegroepen[],2,FALSE)</f>
        <v>Gangen/hallen</v>
      </c>
      <c r="L429" s="24" t="s">
        <v>300</v>
      </c>
      <c r="M429" s="24" t="s">
        <v>157</v>
      </c>
      <c r="N429" s="83">
        <v>167.38</v>
      </c>
      <c r="O429" s="83"/>
      <c r="P429" s="93" t="str">
        <f>LEFT(VLOOKUP(Ruimtestaat[[#This Row],[Ruimte code]],Ruimtegroepen[#All],4,1),2)</f>
        <v>Ve</v>
      </c>
      <c r="Q429" s="93"/>
      <c r="R429" s="84">
        <v>40</v>
      </c>
      <c r="S429" s="84" t="s">
        <v>318</v>
      </c>
      <c r="T429" s="85">
        <f>IF(R429&gt;0,IF(RIGHT(Ruimtestaat[[#This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9" s="85">
        <f>IF(T429&gt;0,VLOOKUP($J429,Ruimtegroepen[],3,FALSE)*VLOOKUP($L429,Vloersoorten[],3,FALSE)*VLOOKUP($S429,Frequenties[],3,FALSE)*VLOOKUP($A429,Locaties[],3,FALSE),0)</f>
        <v>0</v>
      </c>
      <c r="V429" s="86">
        <f>Ruimtestaat[[#This Row],[Uitvoeringen werkdagen]]*Ruimtestaat[[#This Row],[Oppervlak (netto)]]</f>
        <v>33476</v>
      </c>
      <c r="W429" s="87">
        <f>IF(U429&gt;0,Ruimtestaat[[#This Row],[Prest. (m2 /jaar) werkdagen]]/Ruimtestaat[[#This Row],[Norm (m2/uur) werkdagen]],0)</f>
        <v>0</v>
      </c>
      <c r="X429" s="88">
        <f>Ruimtestaat[[#This Row],[uren / jaar werkdagen]]*Tariefsopbouw!$E$35</f>
        <v>0</v>
      </c>
      <c r="Y429" s="85"/>
      <c r="Z429" s="89">
        <f>IF(Ruimtestaat[[#This Row],[Frequentie weekend]]&gt;0,VALUE(LEFT(Y429,1))*R429,0)</f>
        <v>0</v>
      </c>
      <c r="AA429" s="85">
        <f>IF($Z429&gt;0,VLOOKUP($J429,Ruimtegroepen[],3,FALSE)*VLOOKUP($L429,Vloersoorten[],3,FALSE)*VLOOKUP($Y429,Frequenties[],3,FALSE)*VLOOKUP(#REF!,Locaties[],3,FALSE),0)</f>
        <v>0</v>
      </c>
      <c r="AB429" s="87">
        <f>Ruimtestaat[[#This Row],[Uitvoeringen weekend]]*Ruimtestaat[[#This Row],[Oppervlak (netto)]]</f>
        <v>0</v>
      </c>
      <c r="AC429" s="90">
        <f>IF(AB429&gt;0,Ruimtestaat[[#This Row],[Prest. (m2 /jaar) weekend]]/Ruimtestaat[[#This Row],[Norm (m2/uur) weekend]],0)</f>
        <v>0</v>
      </c>
      <c r="AD429" s="91">
        <f>Ruimtestaat[[#This Row],[uren / jaar weekend]]*Tariefsopbouw!$D$40</f>
        <v>0</v>
      </c>
      <c r="AE429" s="60">
        <f>Ruimtestaat[[#This Row],[Prest. (m2 /jaar) weekend]]+Ruimtestaat[[#This Row],[Prest. (m2 /jaar) werkdagen]]</f>
        <v>33476</v>
      </c>
      <c r="AF429" s="60">
        <f>Ruimtestaat[[#This Row],[uren / jaar weekend]]+Ruimtestaat[[#This Row],[uren / jaar werkdagen]]</f>
        <v>0</v>
      </c>
      <c r="AG429" s="61">
        <f>Ruimtestaat[[#This Row],[kosten / jaar weekend]]+Ruimtestaat[[#This Row],[kosten / jaar werkdagen]]</f>
        <v>0</v>
      </c>
      <c r="AH429" s="92"/>
      <c r="HL429" s="59"/>
    </row>
    <row r="430" spans="1:220">
      <c r="A430" s="24">
        <v>2</v>
      </c>
      <c r="B430" s="24" t="str">
        <f>VLOOKUP(Ruimtestaat[[#This Row],[Code]],Locaties[#All],2,FALSE)</f>
        <v>Het Stormink</v>
      </c>
      <c r="C430" s="24" t="str">
        <f>VLOOKUP(Ruimtestaat[[#This Row],[Code]],Locaties[#All],4,FALSE)</f>
        <v>Storminkstraat 1</v>
      </c>
      <c r="D430" s="24" t="str">
        <f>VLOOKUP(Ruimtestaat[[#This Row],[Code]],Locaties[#All],5,FALSE)</f>
        <v>7418 GH</v>
      </c>
      <c r="E430" s="24" t="str">
        <f>VLOOKUP(Ruimtestaat[[#This Row],[Code]],Locaties[#All],6,FALSE)</f>
        <v>Deventer</v>
      </c>
      <c r="F430" s="54"/>
      <c r="G430" s="24" t="s">
        <v>599</v>
      </c>
      <c r="H430" s="24" t="s">
        <v>852</v>
      </c>
      <c r="I430" s="4" t="s">
        <v>103</v>
      </c>
      <c r="J430" s="24">
        <v>10</v>
      </c>
      <c r="K430" s="54" t="str">
        <f>VLOOKUP(J430,Ruimtegroepen[],2,FALSE)</f>
        <v>Trappenhuizen/lift</v>
      </c>
      <c r="L430" s="24" t="s">
        <v>300</v>
      </c>
      <c r="M430" s="24" t="s">
        <v>157</v>
      </c>
      <c r="N430" s="83">
        <v>6.34</v>
      </c>
      <c r="O430" s="83"/>
      <c r="P430" s="93" t="str">
        <f>LEFT(VLOOKUP(Ruimtestaat[[#This Row],[Ruimte code]],Ruimtegroepen[#All],4,1),2)</f>
        <v>Ve</v>
      </c>
      <c r="Q430" s="93"/>
      <c r="R430" s="84">
        <v>40</v>
      </c>
      <c r="S430" s="84" t="s">
        <v>318</v>
      </c>
      <c r="T430" s="85">
        <f>IF(R430&gt;0,IF(RIGHT(Ruimtestaat[[#This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0" s="85">
        <f>IF(T430&gt;0,VLOOKUP($J430,Ruimtegroepen[],3,FALSE)*VLOOKUP($L430,Vloersoorten[],3,FALSE)*VLOOKUP($S430,Frequenties[],3,FALSE)*VLOOKUP($A430,Locaties[],3,FALSE),0)</f>
        <v>0</v>
      </c>
      <c r="V430" s="86">
        <f>Ruimtestaat[[#This Row],[Uitvoeringen werkdagen]]*Ruimtestaat[[#This Row],[Oppervlak (netto)]]</f>
        <v>1268</v>
      </c>
      <c r="W430" s="87">
        <f>IF(U430&gt;0,Ruimtestaat[[#This Row],[Prest. (m2 /jaar) werkdagen]]/Ruimtestaat[[#This Row],[Norm (m2/uur) werkdagen]],0)</f>
        <v>0</v>
      </c>
      <c r="X430" s="88">
        <f>Ruimtestaat[[#This Row],[uren / jaar werkdagen]]*Tariefsopbouw!$E$35</f>
        <v>0</v>
      </c>
      <c r="Y430" s="85"/>
      <c r="Z430" s="89">
        <f>IF(Ruimtestaat[[#This Row],[Frequentie weekend]]&gt;0,VALUE(LEFT(Y430,1))*R430,0)</f>
        <v>0</v>
      </c>
      <c r="AA430" s="85">
        <f>IF($Z430&gt;0,VLOOKUP($J430,Ruimtegroepen[],3,FALSE)*VLOOKUP($L430,Vloersoorten[],3,FALSE)*VLOOKUP($Y430,Frequenties[],3,FALSE)*VLOOKUP(#REF!,Locaties[],3,FALSE),0)</f>
        <v>0</v>
      </c>
      <c r="AB430" s="87">
        <f>Ruimtestaat[[#This Row],[Uitvoeringen weekend]]*Ruimtestaat[[#This Row],[Oppervlak (netto)]]</f>
        <v>0</v>
      </c>
      <c r="AC430" s="90">
        <f>IF(AB430&gt;0,Ruimtestaat[[#This Row],[Prest. (m2 /jaar) weekend]]/Ruimtestaat[[#This Row],[Norm (m2/uur) weekend]],0)</f>
        <v>0</v>
      </c>
      <c r="AD430" s="91">
        <f>Ruimtestaat[[#This Row],[uren / jaar weekend]]*Tariefsopbouw!$D$40</f>
        <v>0</v>
      </c>
      <c r="AE430" s="60">
        <f>Ruimtestaat[[#This Row],[Prest. (m2 /jaar) weekend]]+Ruimtestaat[[#This Row],[Prest. (m2 /jaar) werkdagen]]</f>
        <v>1268</v>
      </c>
      <c r="AF430" s="60">
        <f>Ruimtestaat[[#This Row],[uren / jaar weekend]]+Ruimtestaat[[#This Row],[uren / jaar werkdagen]]</f>
        <v>0</v>
      </c>
      <c r="AG430" s="61">
        <f>Ruimtestaat[[#This Row],[kosten / jaar weekend]]+Ruimtestaat[[#This Row],[kosten / jaar werkdagen]]</f>
        <v>0</v>
      </c>
      <c r="AH430" s="92"/>
      <c r="HL430" s="59"/>
    </row>
    <row r="431" spans="1:220">
      <c r="A431" s="24">
        <v>2</v>
      </c>
      <c r="B431" s="24" t="str">
        <f>VLOOKUP(Ruimtestaat[[#This Row],[Code]],Locaties[#All],2,FALSE)</f>
        <v>Het Stormink</v>
      </c>
      <c r="C431" s="24" t="str">
        <f>VLOOKUP(Ruimtestaat[[#This Row],[Code]],Locaties[#All],4,FALSE)</f>
        <v>Storminkstraat 1</v>
      </c>
      <c r="D431" s="24" t="str">
        <f>VLOOKUP(Ruimtestaat[[#This Row],[Code]],Locaties[#All],5,FALSE)</f>
        <v>7418 GH</v>
      </c>
      <c r="E431" s="24" t="str">
        <f>VLOOKUP(Ruimtestaat[[#This Row],[Code]],Locaties[#All],6,FALSE)</f>
        <v>Deventer</v>
      </c>
      <c r="F431" s="54"/>
      <c r="G431" s="24" t="s">
        <v>599</v>
      </c>
      <c r="H431" s="24" t="s">
        <v>853</v>
      </c>
      <c r="I431" s="4" t="s">
        <v>709</v>
      </c>
      <c r="J431" s="24">
        <v>16</v>
      </c>
      <c r="K431" s="54" t="str">
        <f>VLOOKUP(J431,Ruimtegroepen[],2,FALSE)</f>
        <v>Leslokalen theorie</v>
      </c>
      <c r="L431" s="24" t="s">
        <v>300</v>
      </c>
      <c r="M431" s="24" t="s">
        <v>157</v>
      </c>
      <c r="N431" s="83">
        <v>58.8</v>
      </c>
      <c r="O431" s="83"/>
      <c r="P431" s="93" t="str">
        <f>LEFT(VLOOKUP(Ruimtestaat[[#This Row],[Ruimte code]],Ruimtegroepen[#All],4,1),2)</f>
        <v>Le</v>
      </c>
      <c r="Q431" s="93"/>
      <c r="R431" s="84">
        <v>40</v>
      </c>
      <c r="S431" s="84" t="s">
        <v>318</v>
      </c>
      <c r="T431" s="85">
        <f>IF(R431&gt;0,IF(RIGHT(Ruimtestaat[[#This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1" s="85">
        <f>IF(T431&gt;0,VLOOKUP($J431,Ruimtegroepen[],3,FALSE)*VLOOKUP($L431,Vloersoorten[],3,FALSE)*VLOOKUP($S431,Frequenties[],3,FALSE)*VLOOKUP($A431,Locaties[],3,FALSE),0)</f>
        <v>0</v>
      </c>
      <c r="V431" s="86">
        <f>Ruimtestaat[[#This Row],[Uitvoeringen werkdagen]]*Ruimtestaat[[#This Row],[Oppervlak (netto)]]</f>
        <v>11760</v>
      </c>
      <c r="W431" s="87">
        <f>IF(U431&gt;0,Ruimtestaat[[#This Row],[Prest. (m2 /jaar) werkdagen]]/Ruimtestaat[[#This Row],[Norm (m2/uur) werkdagen]],0)</f>
        <v>0</v>
      </c>
      <c r="X431" s="88">
        <f>Ruimtestaat[[#This Row],[uren / jaar werkdagen]]*Tariefsopbouw!$E$35</f>
        <v>0</v>
      </c>
      <c r="Y431" s="85"/>
      <c r="Z431" s="89">
        <f>IF(Ruimtestaat[[#This Row],[Frequentie weekend]]&gt;0,VALUE(LEFT(Y431,1))*R431,0)</f>
        <v>0</v>
      </c>
      <c r="AA431" s="85">
        <f>IF($Z431&gt;0,VLOOKUP($J431,Ruimtegroepen[],3,FALSE)*VLOOKUP($L431,Vloersoorten[],3,FALSE)*VLOOKUP($Y431,Frequenties[],3,FALSE)*VLOOKUP(#REF!,Locaties[],3,FALSE),0)</f>
        <v>0</v>
      </c>
      <c r="AB431" s="87">
        <f>Ruimtestaat[[#This Row],[Uitvoeringen weekend]]*Ruimtestaat[[#This Row],[Oppervlak (netto)]]</f>
        <v>0</v>
      </c>
      <c r="AC431" s="90">
        <f>IF(AB431&gt;0,Ruimtestaat[[#This Row],[Prest. (m2 /jaar) weekend]]/Ruimtestaat[[#This Row],[Norm (m2/uur) weekend]],0)</f>
        <v>0</v>
      </c>
      <c r="AD431" s="91">
        <f>Ruimtestaat[[#This Row],[uren / jaar weekend]]*Tariefsopbouw!$D$40</f>
        <v>0</v>
      </c>
      <c r="AE431" s="60">
        <f>Ruimtestaat[[#This Row],[Prest. (m2 /jaar) weekend]]+Ruimtestaat[[#This Row],[Prest. (m2 /jaar) werkdagen]]</f>
        <v>11760</v>
      </c>
      <c r="AF431" s="60">
        <f>Ruimtestaat[[#This Row],[uren / jaar weekend]]+Ruimtestaat[[#This Row],[uren / jaar werkdagen]]</f>
        <v>0</v>
      </c>
      <c r="AG431" s="61">
        <f>Ruimtestaat[[#This Row],[kosten / jaar weekend]]+Ruimtestaat[[#This Row],[kosten / jaar werkdagen]]</f>
        <v>0</v>
      </c>
      <c r="AH431" s="92"/>
      <c r="HL431" s="59"/>
    </row>
    <row r="432" spans="1:220">
      <c r="A432" s="24">
        <v>2</v>
      </c>
      <c r="B432" s="24" t="str">
        <f>VLOOKUP(Ruimtestaat[[#This Row],[Code]],Locaties[#All],2,FALSE)</f>
        <v>Het Stormink</v>
      </c>
      <c r="C432" s="24" t="str">
        <f>VLOOKUP(Ruimtestaat[[#This Row],[Code]],Locaties[#All],4,FALSE)</f>
        <v>Storminkstraat 1</v>
      </c>
      <c r="D432" s="24" t="str">
        <f>VLOOKUP(Ruimtestaat[[#This Row],[Code]],Locaties[#All],5,FALSE)</f>
        <v>7418 GH</v>
      </c>
      <c r="E432" s="24" t="str">
        <f>VLOOKUP(Ruimtestaat[[#This Row],[Code]],Locaties[#All],6,FALSE)</f>
        <v>Deventer</v>
      </c>
      <c r="F432" s="54"/>
      <c r="G432" s="24" t="s">
        <v>599</v>
      </c>
      <c r="H432" s="24" t="s">
        <v>854</v>
      </c>
      <c r="I432" s="4" t="s">
        <v>709</v>
      </c>
      <c r="J432" s="24">
        <v>16</v>
      </c>
      <c r="K432" s="54" t="str">
        <f>VLOOKUP(J432,Ruimtegroepen[],2,FALSE)</f>
        <v>Leslokalen theorie</v>
      </c>
      <c r="L432" s="24" t="s">
        <v>300</v>
      </c>
      <c r="M432" s="24" t="s">
        <v>157</v>
      </c>
      <c r="N432" s="83">
        <v>58.47</v>
      </c>
      <c r="O432" s="83"/>
      <c r="P432" s="93" t="str">
        <f>LEFT(VLOOKUP(Ruimtestaat[[#This Row],[Ruimte code]],Ruimtegroepen[#All],4,1),2)</f>
        <v>Le</v>
      </c>
      <c r="Q432" s="93"/>
      <c r="R432" s="84">
        <v>40</v>
      </c>
      <c r="S432" s="84" t="s">
        <v>318</v>
      </c>
      <c r="T432" s="85">
        <f>IF(R432&gt;0,IF(RIGHT(Ruimtestaat[[#This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2" s="85">
        <f>IF(T432&gt;0,VLOOKUP($J432,Ruimtegroepen[],3,FALSE)*VLOOKUP($L432,Vloersoorten[],3,FALSE)*VLOOKUP($S432,Frequenties[],3,FALSE)*VLOOKUP($A432,Locaties[],3,FALSE),0)</f>
        <v>0</v>
      </c>
      <c r="V432" s="86">
        <f>Ruimtestaat[[#This Row],[Uitvoeringen werkdagen]]*Ruimtestaat[[#This Row],[Oppervlak (netto)]]</f>
        <v>11694</v>
      </c>
      <c r="W432" s="87">
        <f>IF(U432&gt;0,Ruimtestaat[[#This Row],[Prest. (m2 /jaar) werkdagen]]/Ruimtestaat[[#This Row],[Norm (m2/uur) werkdagen]],0)</f>
        <v>0</v>
      </c>
      <c r="X432" s="88">
        <f>Ruimtestaat[[#This Row],[uren / jaar werkdagen]]*Tariefsopbouw!$E$35</f>
        <v>0</v>
      </c>
      <c r="Y432" s="85"/>
      <c r="Z432" s="89">
        <f>IF(Ruimtestaat[[#This Row],[Frequentie weekend]]&gt;0,VALUE(LEFT(Y432,1))*R432,0)</f>
        <v>0</v>
      </c>
      <c r="AA432" s="85">
        <f>IF($Z432&gt;0,VLOOKUP($J432,Ruimtegroepen[],3,FALSE)*VLOOKUP($L432,Vloersoorten[],3,FALSE)*VLOOKUP($Y432,Frequenties[],3,FALSE)*VLOOKUP(#REF!,Locaties[],3,FALSE),0)</f>
        <v>0</v>
      </c>
      <c r="AB432" s="87">
        <f>Ruimtestaat[[#This Row],[Uitvoeringen weekend]]*Ruimtestaat[[#This Row],[Oppervlak (netto)]]</f>
        <v>0</v>
      </c>
      <c r="AC432" s="90">
        <f>IF(AB432&gt;0,Ruimtestaat[[#This Row],[Prest. (m2 /jaar) weekend]]/Ruimtestaat[[#This Row],[Norm (m2/uur) weekend]],0)</f>
        <v>0</v>
      </c>
      <c r="AD432" s="91">
        <f>Ruimtestaat[[#This Row],[uren / jaar weekend]]*Tariefsopbouw!$D$40</f>
        <v>0</v>
      </c>
      <c r="AE432" s="60">
        <f>Ruimtestaat[[#This Row],[Prest. (m2 /jaar) weekend]]+Ruimtestaat[[#This Row],[Prest. (m2 /jaar) werkdagen]]</f>
        <v>11694</v>
      </c>
      <c r="AF432" s="60">
        <f>Ruimtestaat[[#This Row],[uren / jaar weekend]]+Ruimtestaat[[#This Row],[uren / jaar werkdagen]]</f>
        <v>0</v>
      </c>
      <c r="AG432" s="61">
        <f>Ruimtestaat[[#This Row],[kosten / jaar weekend]]+Ruimtestaat[[#This Row],[kosten / jaar werkdagen]]</f>
        <v>0</v>
      </c>
      <c r="AH432" s="92"/>
      <c r="HL432" s="59"/>
    </row>
    <row r="433" spans="1:220">
      <c r="A433" s="24">
        <v>2</v>
      </c>
      <c r="B433" s="24" t="str">
        <f>VLOOKUP(Ruimtestaat[[#This Row],[Code]],Locaties[#All],2,FALSE)</f>
        <v>Het Stormink</v>
      </c>
      <c r="C433" s="24" t="str">
        <f>VLOOKUP(Ruimtestaat[[#This Row],[Code]],Locaties[#All],4,FALSE)</f>
        <v>Storminkstraat 1</v>
      </c>
      <c r="D433" s="24" t="str">
        <f>VLOOKUP(Ruimtestaat[[#This Row],[Code]],Locaties[#All],5,FALSE)</f>
        <v>7418 GH</v>
      </c>
      <c r="E433" s="24" t="str">
        <f>VLOOKUP(Ruimtestaat[[#This Row],[Code]],Locaties[#All],6,FALSE)</f>
        <v>Deventer</v>
      </c>
      <c r="F433" s="54"/>
      <c r="G433" s="24" t="s">
        <v>599</v>
      </c>
      <c r="H433" s="24" t="s">
        <v>855</v>
      </c>
      <c r="I433" s="4" t="s">
        <v>709</v>
      </c>
      <c r="J433" s="24">
        <v>16</v>
      </c>
      <c r="K433" s="54" t="str">
        <f>VLOOKUP(J433,Ruimtegroepen[],2,FALSE)</f>
        <v>Leslokalen theorie</v>
      </c>
      <c r="L433" s="24" t="s">
        <v>300</v>
      </c>
      <c r="M433" s="24" t="s">
        <v>157</v>
      </c>
      <c r="N433" s="83">
        <v>57.93</v>
      </c>
      <c r="O433" s="83"/>
      <c r="P433" s="93" t="str">
        <f>LEFT(VLOOKUP(Ruimtestaat[[#This Row],[Ruimte code]],Ruimtegroepen[#All],4,1),2)</f>
        <v>Le</v>
      </c>
      <c r="Q433" s="93"/>
      <c r="R433" s="84">
        <v>40</v>
      </c>
      <c r="S433" s="84" t="s">
        <v>318</v>
      </c>
      <c r="T433" s="85">
        <f>IF(R433&gt;0,IF(RIGHT(Ruimtestaat[[#This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3" s="85">
        <f>IF(T433&gt;0,VLOOKUP($J433,Ruimtegroepen[],3,FALSE)*VLOOKUP($L433,Vloersoorten[],3,FALSE)*VLOOKUP($S433,Frequenties[],3,FALSE)*VLOOKUP($A433,Locaties[],3,FALSE),0)</f>
        <v>0</v>
      </c>
      <c r="V433" s="86">
        <f>Ruimtestaat[[#This Row],[Uitvoeringen werkdagen]]*Ruimtestaat[[#This Row],[Oppervlak (netto)]]</f>
        <v>11586</v>
      </c>
      <c r="W433" s="87">
        <f>IF(U433&gt;0,Ruimtestaat[[#This Row],[Prest. (m2 /jaar) werkdagen]]/Ruimtestaat[[#This Row],[Norm (m2/uur) werkdagen]],0)</f>
        <v>0</v>
      </c>
      <c r="X433" s="88">
        <f>Ruimtestaat[[#This Row],[uren / jaar werkdagen]]*Tariefsopbouw!$E$35</f>
        <v>0</v>
      </c>
      <c r="Y433" s="85"/>
      <c r="Z433" s="89">
        <f>IF(Ruimtestaat[[#This Row],[Frequentie weekend]]&gt;0,VALUE(LEFT(Y433,1))*R433,0)</f>
        <v>0</v>
      </c>
      <c r="AA433" s="85">
        <f>IF($Z433&gt;0,VLOOKUP($J433,Ruimtegroepen[],3,FALSE)*VLOOKUP($L433,Vloersoorten[],3,FALSE)*VLOOKUP($Y433,Frequenties[],3,FALSE)*VLOOKUP(#REF!,Locaties[],3,FALSE),0)</f>
        <v>0</v>
      </c>
      <c r="AB433" s="87">
        <f>Ruimtestaat[[#This Row],[Uitvoeringen weekend]]*Ruimtestaat[[#This Row],[Oppervlak (netto)]]</f>
        <v>0</v>
      </c>
      <c r="AC433" s="90">
        <f>IF(AB433&gt;0,Ruimtestaat[[#This Row],[Prest. (m2 /jaar) weekend]]/Ruimtestaat[[#This Row],[Norm (m2/uur) weekend]],0)</f>
        <v>0</v>
      </c>
      <c r="AD433" s="91">
        <f>Ruimtestaat[[#This Row],[uren / jaar weekend]]*Tariefsopbouw!$D$40</f>
        <v>0</v>
      </c>
      <c r="AE433" s="60">
        <f>Ruimtestaat[[#This Row],[Prest. (m2 /jaar) weekend]]+Ruimtestaat[[#This Row],[Prest. (m2 /jaar) werkdagen]]</f>
        <v>11586</v>
      </c>
      <c r="AF433" s="60">
        <f>Ruimtestaat[[#This Row],[uren / jaar weekend]]+Ruimtestaat[[#This Row],[uren / jaar werkdagen]]</f>
        <v>0</v>
      </c>
      <c r="AG433" s="61">
        <f>Ruimtestaat[[#This Row],[kosten / jaar weekend]]+Ruimtestaat[[#This Row],[kosten / jaar werkdagen]]</f>
        <v>0</v>
      </c>
      <c r="AH433" s="92"/>
      <c r="HL433" s="59"/>
    </row>
    <row r="434" spans="1:220">
      <c r="A434" s="24">
        <v>2</v>
      </c>
      <c r="B434" s="24" t="str">
        <f>VLOOKUP(Ruimtestaat[[#This Row],[Code]],Locaties[#All],2,FALSE)</f>
        <v>Het Stormink</v>
      </c>
      <c r="C434" s="24" t="str">
        <f>VLOOKUP(Ruimtestaat[[#This Row],[Code]],Locaties[#All],4,FALSE)</f>
        <v>Storminkstraat 1</v>
      </c>
      <c r="D434" s="24" t="str">
        <f>VLOOKUP(Ruimtestaat[[#This Row],[Code]],Locaties[#All],5,FALSE)</f>
        <v>7418 GH</v>
      </c>
      <c r="E434" s="24" t="str">
        <f>VLOOKUP(Ruimtestaat[[#This Row],[Code]],Locaties[#All],6,FALSE)</f>
        <v>Deventer</v>
      </c>
      <c r="F434" s="54"/>
      <c r="G434" s="24" t="s">
        <v>599</v>
      </c>
      <c r="H434" s="24" t="s">
        <v>856</v>
      </c>
      <c r="I434" s="4" t="s">
        <v>709</v>
      </c>
      <c r="J434" s="24">
        <v>16</v>
      </c>
      <c r="K434" s="54" t="str">
        <f>VLOOKUP(J434,Ruimtegroepen[],2,FALSE)</f>
        <v>Leslokalen theorie</v>
      </c>
      <c r="L434" s="24" t="s">
        <v>300</v>
      </c>
      <c r="M434" s="24" t="s">
        <v>157</v>
      </c>
      <c r="N434" s="83">
        <v>58.52</v>
      </c>
      <c r="O434" s="83"/>
      <c r="P434" s="93" t="str">
        <f>LEFT(VLOOKUP(Ruimtestaat[[#This Row],[Ruimte code]],Ruimtegroepen[#All],4,1),2)</f>
        <v>Le</v>
      </c>
      <c r="Q434" s="93"/>
      <c r="R434" s="84">
        <v>40</v>
      </c>
      <c r="S434" s="84" t="s">
        <v>318</v>
      </c>
      <c r="T434" s="85">
        <f>IF(R434&gt;0,IF(RIGHT(Ruimtestaat[[#This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4" s="85">
        <f>IF(T434&gt;0,VLOOKUP($J434,Ruimtegroepen[],3,FALSE)*VLOOKUP($L434,Vloersoorten[],3,FALSE)*VLOOKUP($S434,Frequenties[],3,FALSE)*VLOOKUP($A434,Locaties[],3,FALSE),0)</f>
        <v>0</v>
      </c>
      <c r="V434" s="86">
        <f>Ruimtestaat[[#This Row],[Uitvoeringen werkdagen]]*Ruimtestaat[[#This Row],[Oppervlak (netto)]]</f>
        <v>11704</v>
      </c>
      <c r="W434" s="87">
        <f>IF(U434&gt;0,Ruimtestaat[[#This Row],[Prest. (m2 /jaar) werkdagen]]/Ruimtestaat[[#This Row],[Norm (m2/uur) werkdagen]],0)</f>
        <v>0</v>
      </c>
      <c r="X434" s="88">
        <f>Ruimtestaat[[#This Row],[uren / jaar werkdagen]]*Tariefsopbouw!$E$35</f>
        <v>0</v>
      </c>
      <c r="Y434" s="85"/>
      <c r="Z434" s="89">
        <f>IF(Ruimtestaat[[#This Row],[Frequentie weekend]]&gt;0,VALUE(LEFT(Y434,1))*R434,0)</f>
        <v>0</v>
      </c>
      <c r="AA434" s="85">
        <f>IF($Z434&gt;0,VLOOKUP($J434,Ruimtegroepen[],3,FALSE)*VLOOKUP($L434,Vloersoorten[],3,FALSE)*VLOOKUP($Y434,Frequenties[],3,FALSE)*VLOOKUP(#REF!,Locaties[],3,FALSE),0)</f>
        <v>0</v>
      </c>
      <c r="AB434" s="87">
        <f>Ruimtestaat[[#This Row],[Uitvoeringen weekend]]*Ruimtestaat[[#This Row],[Oppervlak (netto)]]</f>
        <v>0</v>
      </c>
      <c r="AC434" s="90">
        <f>IF(AB434&gt;0,Ruimtestaat[[#This Row],[Prest. (m2 /jaar) weekend]]/Ruimtestaat[[#This Row],[Norm (m2/uur) weekend]],0)</f>
        <v>0</v>
      </c>
      <c r="AD434" s="91">
        <f>Ruimtestaat[[#This Row],[uren / jaar weekend]]*Tariefsopbouw!$D$40</f>
        <v>0</v>
      </c>
      <c r="AE434" s="60">
        <f>Ruimtestaat[[#This Row],[Prest. (m2 /jaar) weekend]]+Ruimtestaat[[#This Row],[Prest. (m2 /jaar) werkdagen]]</f>
        <v>11704</v>
      </c>
      <c r="AF434" s="60">
        <f>Ruimtestaat[[#This Row],[uren / jaar weekend]]+Ruimtestaat[[#This Row],[uren / jaar werkdagen]]</f>
        <v>0</v>
      </c>
      <c r="AG434" s="61">
        <f>Ruimtestaat[[#This Row],[kosten / jaar weekend]]+Ruimtestaat[[#This Row],[kosten / jaar werkdagen]]</f>
        <v>0</v>
      </c>
      <c r="AH434" s="92"/>
      <c r="HL434" s="59"/>
    </row>
    <row r="435" spans="1:220">
      <c r="A435" s="24">
        <v>2</v>
      </c>
      <c r="B435" s="24" t="str">
        <f>VLOOKUP(Ruimtestaat[[#This Row],[Code]],Locaties[#All],2,FALSE)</f>
        <v>Het Stormink</v>
      </c>
      <c r="C435" s="24" t="str">
        <f>VLOOKUP(Ruimtestaat[[#This Row],[Code]],Locaties[#All],4,FALSE)</f>
        <v>Storminkstraat 1</v>
      </c>
      <c r="D435" s="24" t="str">
        <f>VLOOKUP(Ruimtestaat[[#This Row],[Code]],Locaties[#All],5,FALSE)</f>
        <v>7418 GH</v>
      </c>
      <c r="E435" s="24" t="str">
        <f>VLOOKUP(Ruimtestaat[[#This Row],[Code]],Locaties[#All],6,FALSE)</f>
        <v>Deventer</v>
      </c>
      <c r="F435" s="54"/>
      <c r="G435" s="24" t="s">
        <v>599</v>
      </c>
      <c r="H435" s="24" t="s">
        <v>857</v>
      </c>
      <c r="I435" s="4" t="s">
        <v>709</v>
      </c>
      <c r="J435" s="24">
        <v>16</v>
      </c>
      <c r="K435" s="54" t="str">
        <f>VLOOKUP(J435,Ruimtegroepen[],2,FALSE)</f>
        <v>Leslokalen theorie</v>
      </c>
      <c r="L435" s="24" t="s">
        <v>300</v>
      </c>
      <c r="M435" s="24" t="s">
        <v>157</v>
      </c>
      <c r="N435" s="83">
        <v>58.85</v>
      </c>
      <c r="O435" s="83"/>
      <c r="P435" s="93" t="str">
        <f>LEFT(VLOOKUP(Ruimtestaat[[#This Row],[Ruimte code]],Ruimtegroepen[#All],4,1),2)</f>
        <v>Le</v>
      </c>
      <c r="Q435" s="93"/>
      <c r="R435" s="84">
        <v>40</v>
      </c>
      <c r="S435" s="84" t="s">
        <v>318</v>
      </c>
      <c r="T435" s="85">
        <f>IF(R435&gt;0,IF(RIGHT(Ruimtestaat[[#This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5" s="85">
        <f>IF(T435&gt;0,VLOOKUP($J435,Ruimtegroepen[],3,FALSE)*VLOOKUP($L435,Vloersoorten[],3,FALSE)*VLOOKUP($S435,Frequenties[],3,FALSE)*VLOOKUP($A435,Locaties[],3,FALSE),0)</f>
        <v>0</v>
      </c>
      <c r="V435" s="86">
        <f>Ruimtestaat[[#This Row],[Uitvoeringen werkdagen]]*Ruimtestaat[[#This Row],[Oppervlak (netto)]]</f>
        <v>11770</v>
      </c>
      <c r="W435" s="87">
        <f>IF(U435&gt;0,Ruimtestaat[[#This Row],[Prest. (m2 /jaar) werkdagen]]/Ruimtestaat[[#This Row],[Norm (m2/uur) werkdagen]],0)</f>
        <v>0</v>
      </c>
      <c r="X435" s="88">
        <f>Ruimtestaat[[#This Row],[uren / jaar werkdagen]]*Tariefsopbouw!$E$35</f>
        <v>0</v>
      </c>
      <c r="Y435" s="85"/>
      <c r="Z435" s="89">
        <f>IF(Ruimtestaat[[#This Row],[Frequentie weekend]]&gt;0,VALUE(LEFT(Y435,1))*R435,0)</f>
        <v>0</v>
      </c>
      <c r="AA435" s="85">
        <f>IF($Z435&gt;0,VLOOKUP($J435,Ruimtegroepen[],3,FALSE)*VLOOKUP($L435,Vloersoorten[],3,FALSE)*VLOOKUP($Y435,Frequenties[],3,FALSE)*VLOOKUP(#REF!,Locaties[],3,FALSE),0)</f>
        <v>0</v>
      </c>
      <c r="AB435" s="87">
        <f>Ruimtestaat[[#This Row],[Uitvoeringen weekend]]*Ruimtestaat[[#This Row],[Oppervlak (netto)]]</f>
        <v>0</v>
      </c>
      <c r="AC435" s="90">
        <f>IF(AB435&gt;0,Ruimtestaat[[#This Row],[Prest. (m2 /jaar) weekend]]/Ruimtestaat[[#This Row],[Norm (m2/uur) weekend]],0)</f>
        <v>0</v>
      </c>
      <c r="AD435" s="91">
        <f>Ruimtestaat[[#This Row],[uren / jaar weekend]]*Tariefsopbouw!$D$40</f>
        <v>0</v>
      </c>
      <c r="AE435" s="60">
        <f>Ruimtestaat[[#This Row],[Prest. (m2 /jaar) weekend]]+Ruimtestaat[[#This Row],[Prest. (m2 /jaar) werkdagen]]</f>
        <v>11770</v>
      </c>
      <c r="AF435" s="60">
        <f>Ruimtestaat[[#This Row],[uren / jaar weekend]]+Ruimtestaat[[#This Row],[uren / jaar werkdagen]]</f>
        <v>0</v>
      </c>
      <c r="AG435" s="61">
        <f>Ruimtestaat[[#This Row],[kosten / jaar weekend]]+Ruimtestaat[[#This Row],[kosten / jaar werkdagen]]</f>
        <v>0</v>
      </c>
      <c r="AH435" s="92"/>
      <c r="HL435" s="59"/>
    </row>
    <row r="436" spans="1:220">
      <c r="A436" s="24">
        <v>2</v>
      </c>
      <c r="B436" s="24" t="str">
        <f>VLOOKUP(Ruimtestaat[[#This Row],[Code]],Locaties[#All],2,FALSE)</f>
        <v>Het Stormink</v>
      </c>
      <c r="C436" s="24" t="str">
        <f>VLOOKUP(Ruimtestaat[[#This Row],[Code]],Locaties[#All],4,FALSE)</f>
        <v>Storminkstraat 1</v>
      </c>
      <c r="D436" s="24" t="str">
        <f>VLOOKUP(Ruimtestaat[[#This Row],[Code]],Locaties[#All],5,FALSE)</f>
        <v>7418 GH</v>
      </c>
      <c r="E436" s="24" t="str">
        <f>VLOOKUP(Ruimtestaat[[#This Row],[Code]],Locaties[#All],6,FALSE)</f>
        <v>Deventer</v>
      </c>
      <c r="F436" s="54"/>
      <c r="G436" s="24" t="s">
        <v>599</v>
      </c>
      <c r="H436" s="24" t="s">
        <v>858</v>
      </c>
      <c r="I436" s="4" t="s">
        <v>709</v>
      </c>
      <c r="J436" s="24">
        <v>16</v>
      </c>
      <c r="K436" s="54" t="str">
        <f>VLOOKUP(J436,Ruimtegroepen[],2,FALSE)</f>
        <v>Leslokalen theorie</v>
      </c>
      <c r="L436" s="24" t="s">
        <v>300</v>
      </c>
      <c r="M436" s="24" t="s">
        <v>157</v>
      </c>
      <c r="N436" s="83">
        <v>59.16</v>
      </c>
      <c r="O436" s="83"/>
      <c r="P436" s="93" t="str">
        <f>LEFT(VLOOKUP(Ruimtestaat[[#This Row],[Ruimte code]],Ruimtegroepen[#All],4,1),2)</f>
        <v>Le</v>
      </c>
      <c r="Q436" s="93"/>
      <c r="R436" s="84">
        <v>40</v>
      </c>
      <c r="S436" s="84" t="s">
        <v>318</v>
      </c>
      <c r="T436" s="85">
        <f>IF(R436&gt;0,IF(RIGHT(Ruimtestaat[[#This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6" s="85">
        <f>IF(T436&gt;0,VLOOKUP($J436,Ruimtegroepen[],3,FALSE)*VLOOKUP($L436,Vloersoorten[],3,FALSE)*VLOOKUP($S436,Frequenties[],3,FALSE)*VLOOKUP($A436,Locaties[],3,FALSE),0)</f>
        <v>0</v>
      </c>
      <c r="V436" s="86">
        <f>Ruimtestaat[[#This Row],[Uitvoeringen werkdagen]]*Ruimtestaat[[#This Row],[Oppervlak (netto)]]</f>
        <v>11832</v>
      </c>
      <c r="W436" s="87">
        <f>IF(U436&gt;0,Ruimtestaat[[#This Row],[Prest. (m2 /jaar) werkdagen]]/Ruimtestaat[[#This Row],[Norm (m2/uur) werkdagen]],0)</f>
        <v>0</v>
      </c>
      <c r="X436" s="88">
        <f>Ruimtestaat[[#This Row],[uren / jaar werkdagen]]*Tariefsopbouw!$E$35</f>
        <v>0</v>
      </c>
      <c r="Y436" s="85"/>
      <c r="Z436" s="89">
        <f>IF(Ruimtestaat[[#This Row],[Frequentie weekend]]&gt;0,VALUE(LEFT(Y436,1))*R436,0)</f>
        <v>0</v>
      </c>
      <c r="AA436" s="85">
        <f>IF($Z436&gt;0,VLOOKUP($J436,Ruimtegroepen[],3,FALSE)*VLOOKUP($L436,Vloersoorten[],3,FALSE)*VLOOKUP($Y436,Frequenties[],3,FALSE)*VLOOKUP(#REF!,Locaties[],3,FALSE),0)</f>
        <v>0</v>
      </c>
      <c r="AB436" s="87">
        <f>Ruimtestaat[[#This Row],[Uitvoeringen weekend]]*Ruimtestaat[[#This Row],[Oppervlak (netto)]]</f>
        <v>0</v>
      </c>
      <c r="AC436" s="90">
        <f>IF(AB436&gt;0,Ruimtestaat[[#This Row],[Prest. (m2 /jaar) weekend]]/Ruimtestaat[[#This Row],[Norm (m2/uur) weekend]],0)</f>
        <v>0</v>
      </c>
      <c r="AD436" s="91">
        <f>Ruimtestaat[[#This Row],[uren / jaar weekend]]*Tariefsopbouw!$D$40</f>
        <v>0</v>
      </c>
      <c r="AE436" s="60">
        <f>Ruimtestaat[[#This Row],[Prest. (m2 /jaar) weekend]]+Ruimtestaat[[#This Row],[Prest. (m2 /jaar) werkdagen]]</f>
        <v>11832</v>
      </c>
      <c r="AF436" s="60">
        <f>Ruimtestaat[[#This Row],[uren / jaar weekend]]+Ruimtestaat[[#This Row],[uren / jaar werkdagen]]</f>
        <v>0</v>
      </c>
      <c r="AG436" s="61">
        <f>Ruimtestaat[[#This Row],[kosten / jaar weekend]]+Ruimtestaat[[#This Row],[kosten / jaar werkdagen]]</f>
        <v>0</v>
      </c>
      <c r="AH436" s="92"/>
      <c r="HL436" s="59"/>
    </row>
    <row r="437" spans="1:220">
      <c r="A437" s="24">
        <v>2</v>
      </c>
      <c r="B437" s="24" t="str">
        <f>VLOOKUP(Ruimtestaat[[#This Row],[Code]],Locaties[#All],2,FALSE)</f>
        <v>Het Stormink</v>
      </c>
      <c r="C437" s="24" t="str">
        <f>VLOOKUP(Ruimtestaat[[#This Row],[Code]],Locaties[#All],4,FALSE)</f>
        <v>Storminkstraat 1</v>
      </c>
      <c r="D437" s="24" t="str">
        <f>VLOOKUP(Ruimtestaat[[#This Row],[Code]],Locaties[#All],5,FALSE)</f>
        <v>7418 GH</v>
      </c>
      <c r="E437" s="24" t="str">
        <f>VLOOKUP(Ruimtestaat[[#This Row],[Code]],Locaties[#All],6,FALSE)</f>
        <v>Deventer</v>
      </c>
      <c r="F437" s="54"/>
      <c r="G437" s="24" t="s">
        <v>599</v>
      </c>
      <c r="H437" s="24" t="s">
        <v>859</v>
      </c>
      <c r="I437" s="4" t="s">
        <v>709</v>
      </c>
      <c r="J437" s="24">
        <v>16</v>
      </c>
      <c r="K437" s="54" t="str">
        <f>VLOOKUP(J437,Ruimtegroepen[],2,FALSE)</f>
        <v>Leslokalen theorie</v>
      </c>
      <c r="L437" s="24" t="s">
        <v>300</v>
      </c>
      <c r="M437" s="24" t="s">
        <v>157</v>
      </c>
      <c r="N437" s="83">
        <v>58.77</v>
      </c>
      <c r="O437" s="83"/>
      <c r="P437" s="93" t="str">
        <f>LEFT(VLOOKUP(Ruimtestaat[[#This Row],[Ruimte code]],Ruimtegroepen[#All],4,1),2)</f>
        <v>Le</v>
      </c>
      <c r="Q437" s="93"/>
      <c r="R437" s="84">
        <v>40</v>
      </c>
      <c r="S437" s="84" t="s">
        <v>318</v>
      </c>
      <c r="T437" s="85">
        <f>IF(R437&gt;0,IF(RIGHT(Ruimtestaat[[#This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7" s="85">
        <f>IF(T437&gt;0,VLOOKUP($J437,Ruimtegroepen[],3,FALSE)*VLOOKUP($L437,Vloersoorten[],3,FALSE)*VLOOKUP($S437,Frequenties[],3,FALSE)*VLOOKUP($A437,Locaties[],3,FALSE),0)</f>
        <v>0</v>
      </c>
      <c r="V437" s="86">
        <f>Ruimtestaat[[#This Row],[Uitvoeringen werkdagen]]*Ruimtestaat[[#This Row],[Oppervlak (netto)]]</f>
        <v>11754</v>
      </c>
      <c r="W437" s="87">
        <f>IF(U437&gt;0,Ruimtestaat[[#This Row],[Prest. (m2 /jaar) werkdagen]]/Ruimtestaat[[#This Row],[Norm (m2/uur) werkdagen]],0)</f>
        <v>0</v>
      </c>
      <c r="X437" s="88">
        <f>Ruimtestaat[[#This Row],[uren / jaar werkdagen]]*Tariefsopbouw!$E$35</f>
        <v>0</v>
      </c>
      <c r="Y437" s="85"/>
      <c r="Z437" s="89">
        <f>IF(Ruimtestaat[[#This Row],[Frequentie weekend]]&gt;0,VALUE(LEFT(Y437,1))*R437,0)</f>
        <v>0</v>
      </c>
      <c r="AA437" s="85">
        <f>IF($Z437&gt;0,VLOOKUP($J437,Ruimtegroepen[],3,FALSE)*VLOOKUP($L437,Vloersoorten[],3,FALSE)*VLOOKUP($Y437,Frequenties[],3,FALSE)*VLOOKUP(#REF!,Locaties[],3,FALSE),0)</f>
        <v>0</v>
      </c>
      <c r="AB437" s="87">
        <f>Ruimtestaat[[#This Row],[Uitvoeringen weekend]]*Ruimtestaat[[#This Row],[Oppervlak (netto)]]</f>
        <v>0</v>
      </c>
      <c r="AC437" s="90">
        <f>IF(AB437&gt;0,Ruimtestaat[[#This Row],[Prest. (m2 /jaar) weekend]]/Ruimtestaat[[#This Row],[Norm (m2/uur) weekend]],0)</f>
        <v>0</v>
      </c>
      <c r="AD437" s="91">
        <f>Ruimtestaat[[#This Row],[uren / jaar weekend]]*Tariefsopbouw!$D$40</f>
        <v>0</v>
      </c>
      <c r="AE437" s="60">
        <f>Ruimtestaat[[#This Row],[Prest. (m2 /jaar) weekend]]+Ruimtestaat[[#This Row],[Prest. (m2 /jaar) werkdagen]]</f>
        <v>11754</v>
      </c>
      <c r="AF437" s="60">
        <f>Ruimtestaat[[#This Row],[uren / jaar weekend]]+Ruimtestaat[[#This Row],[uren / jaar werkdagen]]</f>
        <v>0</v>
      </c>
      <c r="AG437" s="61">
        <f>Ruimtestaat[[#This Row],[kosten / jaar weekend]]+Ruimtestaat[[#This Row],[kosten / jaar werkdagen]]</f>
        <v>0</v>
      </c>
      <c r="AH437" s="92"/>
      <c r="HL437" s="59"/>
    </row>
    <row r="438" spans="1:220">
      <c r="A438" s="24">
        <v>2</v>
      </c>
      <c r="B438" s="24" t="str">
        <f>VLOOKUP(Ruimtestaat[[#This Row],[Code]],Locaties[#All],2,FALSE)</f>
        <v>Het Stormink</v>
      </c>
      <c r="C438" s="24" t="str">
        <f>VLOOKUP(Ruimtestaat[[#This Row],[Code]],Locaties[#All],4,FALSE)</f>
        <v>Storminkstraat 1</v>
      </c>
      <c r="D438" s="24" t="str">
        <f>VLOOKUP(Ruimtestaat[[#This Row],[Code]],Locaties[#All],5,FALSE)</f>
        <v>7418 GH</v>
      </c>
      <c r="E438" s="24" t="str">
        <f>VLOOKUP(Ruimtestaat[[#This Row],[Code]],Locaties[#All],6,FALSE)</f>
        <v>Deventer</v>
      </c>
      <c r="F438" s="54"/>
      <c r="G438" s="24" t="s">
        <v>599</v>
      </c>
      <c r="H438" s="24" t="s">
        <v>860</v>
      </c>
      <c r="I438" s="4" t="s">
        <v>716</v>
      </c>
      <c r="J438" s="24">
        <v>10</v>
      </c>
      <c r="K438" s="54" t="str">
        <f>VLOOKUP(J438,Ruimtegroepen[],2,FALSE)</f>
        <v>Trappenhuizen/lift</v>
      </c>
      <c r="L438" s="24" t="s">
        <v>300</v>
      </c>
      <c r="M438" s="24" t="s">
        <v>157</v>
      </c>
      <c r="N438" s="83">
        <v>36</v>
      </c>
      <c r="O438" s="83"/>
      <c r="P438" s="93" t="str">
        <f>LEFT(VLOOKUP(Ruimtestaat[[#This Row],[Ruimte code]],Ruimtegroepen[#All],4,1),2)</f>
        <v>Ve</v>
      </c>
      <c r="Q438" s="93"/>
      <c r="R438" s="84">
        <v>40</v>
      </c>
      <c r="S438" s="84" t="s">
        <v>318</v>
      </c>
      <c r="T438" s="85">
        <f>IF(R438&gt;0,IF(RIGHT(Ruimtestaat[[#This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8" s="85">
        <f>IF(T438&gt;0,VLOOKUP($J438,Ruimtegroepen[],3,FALSE)*VLOOKUP($L438,Vloersoorten[],3,FALSE)*VLOOKUP($S438,Frequenties[],3,FALSE)*VLOOKUP($A438,Locaties[],3,FALSE),0)</f>
        <v>0</v>
      </c>
      <c r="V438" s="86">
        <f>Ruimtestaat[[#This Row],[Uitvoeringen werkdagen]]*Ruimtestaat[[#This Row],[Oppervlak (netto)]]</f>
        <v>7200</v>
      </c>
      <c r="W438" s="87">
        <f>IF(U438&gt;0,Ruimtestaat[[#This Row],[Prest. (m2 /jaar) werkdagen]]/Ruimtestaat[[#This Row],[Norm (m2/uur) werkdagen]],0)</f>
        <v>0</v>
      </c>
      <c r="X438" s="88">
        <f>Ruimtestaat[[#This Row],[uren / jaar werkdagen]]*Tariefsopbouw!$E$35</f>
        <v>0</v>
      </c>
      <c r="Y438" s="85"/>
      <c r="Z438" s="89">
        <f>IF(Ruimtestaat[[#This Row],[Frequentie weekend]]&gt;0,VALUE(LEFT(Y438,1))*R438,0)</f>
        <v>0</v>
      </c>
      <c r="AA438" s="85">
        <f>IF($Z438&gt;0,VLOOKUP($J438,Ruimtegroepen[],3,FALSE)*VLOOKUP($L438,Vloersoorten[],3,FALSE)*VLOOKUP($Y438,Frequenties[],3,FALSE)*VLOOKUP(#REF!,Locaties[],3,FALSE),0)</f>
        <v>0</v>
      </c>
      <c r="AB438" s="87">
        <f>Ruimtestaat[[#This Row],[Uitvoeringen weekend]]*Ruimtestaat[[#This Row],[Oppervlak (netto)]]</f>
        <v>0</v>
      </c>
      <c r="AC438" s="90">
        <f>IF(AB438&gt;0,Ruimtestaat[[#This Row],[Prest. (m2 /jaar) weekend]]/Ruimtestaat[[#This Row],[Norm (m2/uur) weekend]],0)</f>
        <v>0</v>
      </c>
      <c r="AD438" s="91">
        <f>Ruimtestaat[[#This Row],[uren / jaar weekend]]*Tariefsopbouw!$D$40</f>
        <v>0</v>
      </c>
      <c r="AE438" s="60">
        <f>Ruimtestaat[[#This Row],[Prest. (m2 /jaar) weekend]]+Ruimtestaat[[#This Row],[Prest. (m2 /jaar) werkdagen]]</f>
        <v>7200</v>
      </c>
      <c r="AF438" s="60">
        <f>Ruimtestaat[[#This Row],[uren / jaar weekend]]+Ruimtestaat[[#This Row],[uren / jaar werkdagen]]</f>
        <v>0</v>
      </c>
      <c r="AG438" s="61">
        <f>Ruimtestaat[[#This Row],[kosten / jaar weekend]]+Ruimtestaat[[#This Row],[kosten / jaar werkdagen]]</f>
        <v>0</v>
      </c>
      <c r="AH438" s="92"/>
      <c r="HL438" s="59"/>
    </row>
    <row r="439" spans="1:220">
      <c r="A439" s="24">
        <v>2</v>
      </c>
      <c r="B439" s="24" t="str">
        <f>VLOOKUP(Ruimtestaat[[#This Row],[Code]],Locaties[#All],2,FALSE)</f>
        <v>Het Stormink</v>
      </c>
      <c r="C439" s="24" t="str">
        <f>VLOOKUP(Ruimtestaat[[#This Row],[Code]],Locaties[#All],4,FALSE)</f>
        <v>Storminkstraat 1</v>
      </c>
      <c r="D439" s="24" t="str">
        <f>VLOOKUP(Ruimtestaat[[#This Row],[Code]],Locaties[#All],5,FALSE)</f>
        <v>7418 GH</v>
      </c>
      <c r="E439" s="24" t="str">
        <f>VLOOKUP(Ruimtestaat[[#This Row],[Code]],Locaties[#All],6,FALSE)</f>
        <v>Deventer</v>
      </c>
      <c r="F439" s="54"/>
      <c r="G439" s="24" t="s">
        <v>599</v>
      </c>
      <c r="H439" s="24" t="s">
        <v>861</v>
      </c>
      <c r="I439" s="4" t="s">
        <v>716</v>
      </c>
      <c r="J439" s="24">
        <v>10</v>
      </c>
      <c r="K439" s="54" t="str">
        <f>VLOOKUP(J439,Ruimtegroepen[],2,FALSE)</f>
        <v>Trappenhuizen/lift</v>
      </c>
      <c r="L439" s="24" t="s">
        <v>300</v>
      </c>
      <c r="M439" s="24" t="s">
        <v>157</v>
      </c>
      <c r="N439" s="83">
        <v>36.03</v>
      </c>
      <c r="O439" s="83"/>
      <c r="P439" s="93" t="str">
        <f>LEFT(VLOOKUP(Ruimtestaat[[#This Row],[Ruimte code]],Ruimtegroepen[#All],4,1),2)</f>
        <v>Ve</v>
      </c>
      <c r="Q439" s="93"/>
      <c r="R439" s="84">
        <v>40</v>
      </c>
      <c r="S439" s="84" t="s">
        <v>318</v>
      </c>
      <c r="T439" s="85">
        <f>IF(R439&gt;0,IF(RIGHT(Ruimtestaat[[#This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9" s="85">
        <f>IF(T439&gt;0,VLOOKUP($J439,Ruimtegroepen[],3,FALSE)*VLOOKUP($L439,Vloersoorten[],3,FALSE)*VLOOKUP($S439,Frequenties[],3,FALSE)*VLOOKUP($A439,Locaties[],3,FALSE),0)</f>
        <v>0</v>
      </c>
      <c r="V439" s="86">
        <f>Ruimtestaat[[#This Row],[Uitvoeringen werkdagen]]*Ruimtestaat[[#This Row],[Oppervlak (netto)]]</f>
        <v>7206</v>
      </c>
      <c r="W439" s="87">
        <f>IF(U439&gt;0,Ruimtestaat[[#This Row],[Prest. (m2 /jaar) werkdagen]]/Ruimtestaat[[#This Row],[Norm (m2/uur) werkdagen]],0)</f>
        <v>0</v>
      </c>
      <c r="X439" s="88">
        <f>Ruimtestaat[[#This Row],[uren / jaar werkdagen]]*Tariefsopbouw!$E$35</f>
        <v>0</v>
      </c>
      <c r="Y439" s="85"/>
      <c r="Z439" s="89">
        <f>IF(Ruimtestaat[[#This Row],[Frequentie weekend]]&gt;0,VALUE(LEFT(Y439,1))*R439,0)</f>
        <v>0</v>
      </c>
      <c r="AA439" s="85">
        <f>IF($Z439&gt;0,VLOOKUP($J439,Ruimtegroepen[],3,FALSE)*VLOOKUP($L439,Vloersoorten[],3,FALSE)*VLOOKUP($Y439,Frequenties[],3,FALSE)*VLOOKUP(#REF!,Locaties[],3,FALSE),0)</f>
        <v>0</v>
      </c>
      <c r="AB439" s="87">
        <f>Ruimtestaat[[#This Row],[Uitvoeringen weekend]]*Ruimtestaat[[#This Row],[Oppervlak (netto)]]</f>
        <v>0</v>
      </c>
      <c r="AC439" s="90">
        <f>IF(AB439&gt;0,Ruimtestaat[[#This Row],[Prest. (m2 /jaar) weekend]]/Ruimtestaat[[#This Row],[Norm (m2/uur) weekend]],0)</f>
        <v>0</v>
      </c>
      <c r="AD439" s="91">
        <f>Ruimtestaat[[#This Row],[uren / jaar weekend]]*Tariefsopbouw!$D$40</f>
        <v>0</v>
      </c>
      <c r="AE439" s="60">
        <f>Ruimtestaat[[#This Row],[Prest. (m2 /jaar) weekend]]+Ruimtestaat[[#This Row],[Prest. (m2 /jaar) werkdagen]]</f>
        <v>7206</v>
      </c>
      <c r="AF439" s="60">
        <f>Ruimtestaat[[#This Row],[uren / jaar weekend]]+Ruimtestaat[[#This Row],[uren / jaar werkdagen]]</f>
        <v>0</v>
      </c>
      <c r="AG439" s="61">
        <f>Ruimtestaat[[#This Row],[kosten / jaar weekend]]+Ruimtestaat[[#This Row],[kosten / jaar werkdagen]]</f>
        <v>0</v>
      </c>
      <c r="AH439" s="92"/>
      <c r="HL439" s="59"/>
    </row>
    <row r="440" spans="1:220">
      <c r="A440" s="24">
        <v>2</v>
      </c>
      <c r="B440" s="24" t="str">
        <f>VLOOKUP(Ruimtestaat[[#This Row],[Code]],Locaties[#All],2,FALSE)</f>
        <v>Het Stormink</v>
      </c>
      <c r="C440" s="24" t="str">
        <f>VLOOKUP(Ruimtestaat[[#This Row],[Code]],Locaties[#All],4,FALSE)</f>
        <v>Storminkstraat 1</v>
      </c>
      <c r="D440" s="24" t="str">
        <f>VLOOKUP(Ruimtestaat[[#This Row],[Code]],Locaties[#All],5,FALSE)</f>
        <v>7418 GH</v>
      </c>
      <c r="E440" s="24" t="str">
        <f>VLOOKUP(Ruimtestaat[[#This Row],[Code]],Locaties[#All],6,FALSE)</f>
        <v>Deventer</v>
      </c>
      <c r="F440" s="54"/>
      <c r="G440" s="24" t="s">
        <v>599</v>
      </c>
      <c r="H440" s="24" t="s">
        <v>862</v>
      </c>
      <c r="I440" s="4" t="s">
        <v>716</v>
      </c>
      <c r="J440" s="24">
        <v>10</v>
      </c>
      <c r="K440" s="54" t="str">
        <f>VLOOKUP(J440,Ruimtegroepen[],2,FALSE)</f>
        <v>Trappenhuizen/lift</v>
      </c>
      <c r="L440" s="24" t="s">
        <v>300</v>
      </c>
      <c r="M440" s="24" t="s">
        <v>157</v>
      </c>
      <c r="N440" s="83">
        <v>16.66</v>
      </c>
      <c r="O440" s="83"/>
      <c r="P440" s="93" t="str">
        <f>LEFT(VLOOKUP(Ruimtestaat[[#This Row],[Ruimte code]],Ruimtegroepen[#All],4,1),2)</f>
        <v>Ve</v>
      </c>
      <c r="Q440" s="93"/>
      <c r="R440" s="84">
        <v>40</v>
      </c>
      <c r="S440" s="84" t="s">
        <v>318</v>
      </c>
      <c r="T440" s="85">
        <f>IF(R440&gt;0,IF(RIGHT(Ruimtestaat[[#This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0" s="85">
        <f>IF(T440&gt;0,VLOOKUP($J440,Ruimtegroepen[],3,FALSE)*VLOOKUP($L440,Vloersoorten[],3,FALSE)*VLOOKUP($S440,Frequenties[],3,FALSE)*VLOOKUP($A440,Locaties[],3,FALSE),0)</f>
        <v>0</v>
      </c>
      <c r="V440" s="86">
        <f>Ruimtestaat[[#This Row],[Uitvoeringen werkdagen]]*Ruimtestaat[[#This Row],[Oppervlak (netto)]]</f>
        <v>3332</v>
      </c>
      <c r="W440" s="87">
        <f>IF(U440&gt;0,Ruimtestaat[[#This Row],[Prest. (m2 /jaar) werkdagen]]/Ruimtestaat[[#This Row],[Norm (m2/uur) werkdagen]],0)</f>
        <v>0</v>
      </c>
      <c r="X440" s="88">
        <f>Ruimtestaat[[#This Row],[uren / jaar werkdagen]]*Tariefsopbouw!$E$35</f>
        <v>0</v>
      </c>
      <c r="Y440" s="85"/>
      <c r="Z440" s="89">
        <f>IF(Ruimtestaat[[#This Row],[Frequentie weekend]]&gt;0,VALUE(LEFT(Y440,1))*R440,0)</f>
        <v>0</v>
      </c>
      <c r="AA440" s="85">
        <f>IF($Z440&gt;0,VLOOKUP($J440,Ruimtegroepen[],3,FALSE)*VLOOKUP($L440,Vloersoorten[],3,FALSE)*VLOOKUP($Y440,Frequenties[],3,FALSE)*VLOOKUP(#REF!,Locaties[],3,FALSE),0)</f>
        <v>0</v>
      </c>
      <c r="AB440" s="87">
        <f>Ruimtestaat[[#This Row],[Uitvoeringen weekend]]*Ruimtestaat[[#This Row],[Oppervlak (netto)]]</f>
        <v>0</v>
      </c>
      <c r="AC440" s="90">
        <f>IF(AB440&gt;0,Ruimtestaat[[#This Row],[Prest. (m2 /jaar) weekend]]/Ruimtestaat[[#This Row],[Norm (m2/uur) weekend]],0)</f>
        <v>0</v>
      </c>
      <c r="AD440" s="91">
        <f>Ruimtestaat[[#This Row],[uren / jaar weekend]]*Tariefsopbouw!$D$40</f>
        <v>0</v>
      </c>
      <c r="AE440" s="60">
        <f>Ruimtestaat[[#This Row],[Prest. (m2 /jaar) weekend]]+Ruimtestaat[[#This Row],[Prest. (m2 /jaar) werkdagen]]</f>
        <v>3332</v>
      </c>
      <c r="AF440" s="60">
        <f>Ruimtestaat[[#This Row],[uren / jaar weekend]]+Ruimtestaat[[#This Row],[uren / jaar werkdagen]]</f>
        <v>0</v>
      </c>
      <c r="AG440" s="61">
        <f>Ruimtestaat[[#This Row],[kosten / jaar weekend]]+Ruimtestaat[[#This Row],[kosten / jaar werkdagen]]</f>
        <v>0</v>
      </c>
      <c r="AH440" s="92"/>
      <c r="HL440" s="59"/>
    </row>
    <row r="441" spans="1:220">
      <c r="A441" s="24">
        <v>2</v>
      </c>
      <c r="B441" s="24" t="str">
        <f>VLOOKUP(Ruimtestaat[[#This Row],[Code]],Locaties[#All],2,FALSE)</f>
        <v>Het Stormink</v>
      </c>
      <c r="C441" s="24" t="str">
        <f>VLOOKUP(Ruimtestaat[[#This Row],[Code]],Locaties[#All],4,FALSE)</f>
        <v>Storminkstraat 1</v>
      </c>
      <c r="D441" s="24" t="str">
        <f>VLOOKUP(Ruimtestaat[[#This Row],[Code]],Locaties[#All],5,FALSE)</f>
        <v>7418 GH</v>
      </c>
      <c r="E441" s="24" t="str">
        <f>VLOOKUP(Ruimtestaat[[#This Row],[Code]],Locaties[#All],6,FALSE)</f>
        <v>Deventer</v>
      </c>
      <c r="F441" s="54"/>
      <c r="G441" s="24" t="s">
        <v>656</v>
      </c>
      <c r="H441" s="24" t="s">
        <v>863</v>
      </c>
      <c r="I441" s="4" t="s">
        <v>864</v>
      </c>
      <c r="J441" s="24">
        <v>13</v>
      </c>
      <c r="K441" s="54" t="str">
        <f>VLOOKUP(J441,Ruimtegroepen[],2,FALSE)</f>
        <v>HV/Technieklokaal</v>
      </c>
      <c r="L441" s="24" t="s">
        <v>305</v>
      </c>
      <c r="M441" s="24" t="s">
        <v>865</v>
      </c>
      <c r="N441" s="83">
        <v>69.3</v>
      </c>
      <c r="O441" s="83"/>
      <c r="P441" s="93" t="str">
        <f>LEFT(VLOOKUP(Ruimtestaat[[#This Row],[Ruimte code]],Ruimtegroepen[#All],4,1),2)</f>
        <v>Le</v>
      </c>
      <c r="Q441" s="93"/>
      <c r="R441" s="84">
        <v>40</v>
      </c>
      <c r="S441" s="84" t="s">
        <v>318</v>
      </c>
      <c r="T441" s="85">
        <f>IF(R441&gt;0,IF(RIGHT(Ruimtestaat[[#This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1" s="85">
        <f>IF(T441&gt;0,VLOOKUP($J441,Ruimtegroepen[],3,FALSE)*VLOOKUP($L441,Vloersoorten[],3,FALSE)*VLOOKUP($S441,Frequenties[],3,FALSE)*VLOOKUP($A441,Locaties[],3,FALSE),0)</f>
        <v>0</v>
      </c>
      <c r="V441" s="86">
        <f>Ruimtestaat[[#This Row],[Uitvoeringen werkdagen]]*Ruimtestaat[[#This Row],[Oppervlak (netto)]]</f>
        <v>13860</v>
      </c>
      <c r="W441" s="87">
        <f>IF(U441&gt;0,Ruimtestaat[[#This Row],[Prest. (m2 /jaar) werkdagen]]/Ruimtestaat[[#This Row],[Norm (m2/uur) werkdagen]],0)</f>
        <v>0</v>
      </c>
      <c r="X441" s="88">
        <f>Ruimtestaat[[#This Row],[uren / jaar werkdagen]]*Tariefsopbouw!$E$35</f>
        <v>0</v>
      </c>
      <c r="Y441" s="85"/>
      <c r="Z441" s="89">
        <f>IF(Ruimtestaat[[#This Row],[Frequentie weekend]]&gt;0,VALUE(LEFT(Y441,1))*R441,0)</f>
        <v>0</v>
      </c>
      <c r="AA441" s="85">
        <f>IF($Z441&gt;0,VLOOKUP($J441,Ruimtegroepen[],3,FALSE)*VLOOKUP($L441,Vloersoorten[],3,FALSE)*VLOOKUP($Y441,Frequenties[],3,FALSE)*VLOOKUP(#REF!,Locaties[],3,FALSE),0)</f>
        <v>0</v>
      </c>
      <c r="AB441" s="87">
        <f>Ruimtestaat[[#This Row],[Uitvoeringen weekend]]*Ruimtestaat[[#This Row],[Oppervlak (netto)]]</f>
        <v>0</v>
      </c>
      <c r="AC441" s="90">
        <f>IF(AB441&gt;0,Ruimtestaat[[#This Row],[Prest. (m2 /jaar) weekend]]/Ruimtestaat[[#This Row],[Norm (m2/uur) weekend]],0)</f>
        <v>0</v>
      </c>
      <c r="AD441" s="91">
        <f>Ruimtestaat[[#This Row],[uren / jaar weekend]]*Tariefsopbouw!$D$40</f>
        <v>0</v>
      </c>
      <c r="AE441" s="60">
        <f>Ruimtestaat[[#This Row],[Prest. (m2 /jaar) weekend]]+Ruimtestaat[[#This Row],[Prest. (m2 /jaar) werkdagen]]</f>
        <v>13860</v>
      </c>
      <c r="AF441" s="60">
        <f>Ruimtestaat[[#This Row],[uren / jaar weekend]]+Ruimtestaat[[#This Row],[uren / jaar werkdagen]]</f>
        <v>0</v>
      </c>
      <c r="AG441" s="61">
        <f>Ruimtestaat[[#This Row],[kosten / jaar weekend]]+Ruimtestaat[[#This Row],[kosten / jaar werkdagen]]</f>
        <v>0</v>
      </c>
      <c r="AH441" s="92"/>
      <c r="HL441" s="59"/>
    </row>
    <row r="442" spans="1:220">
      <c r="A442" s="24">
        <v>2</v>
      </c>
      <c r="B442" s="24" t="str">
        <f>VLOOKUP(Ruimtestaat[[#This Row],[Code]],Locaties[#All],2,FALSE)</f>
        <v>Het Stormink</v>
      </c>
      <c r="C442" s="24" t="str">
        <f>VLOOKUP(Ruimtestaat[[#This Row],[Code]],Locaties[#All],4,FALSE)</f>
        <v>Storminkstraat 1</v>
      </c>
      <c r="D442" s="24" t="str">
        <f>VLOOKUP(Ruimtestaat[[#This Row],[Code]],Locaties[#All],5,FALSE)</f>
        <v>7418 GH</v>
      </c>
      <c r="E442" s="24" t="str">
        <f>VLOOKUP(Ruimtestaat[[#This Row],[Code]],Locaties[#All],6,FALSE)</f>
        <v>Deventer</v>
      </c>
      <c r="F442" s="54"/>
      <c r="G442" s="24" t="s">
        <v>656</v>
      </c>
      <c r="H442" s="24" t="s">
        <v>866</v>
      </c>
      <c r="I442" s="4" t="s">
        <v>669</v>
      </c>
      <c r="J442" s="24">
        <v>20</v>
      </c>
      <c r="K442" s="54" t="str">
        <f>VLOOKUP(J442,Ruimtegroepen[],2,FALSE)</f>
        <v>Kabinet</v>
      </c>
      <c r="L442" s="24" t="s">
        <v>305</v>
      </c>
      <c r="M442" s="24" t="s">
        <v>865</v>
      </c>
      <c r="N442" s="83">
        <v>11.26</v>
      </c>
      <c r="O442" s="83"/>
      <c r="P442" s="93" t="str">
        <f>LEFT(VLOOKUP(Ruimtestaat[[#This Row],[Ruimte code]],Ruimtegroepen[#All],4,1),2)</f>
        <v>Ve</v>
      </c>
      <c r="Q442" s="93"/>
      <c r="R442" s="84">
        <v>40</v>
      </c>
      <c r="S442" s="84" t="s">
        <v>318</v>
      </c>
      <c r="T442" s="85">
        <f>IF(R442&gt;0,IF(RIGHT(Ruimtestaat[[#This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2" s="85">
        <f>IF(T442&gt;0,VLOOKUP($J442,Ruimtegroepen[],3,FALSE)*VLOOKUP($L442,Vloersoorten[],3,FALSE)*VLOOKUP($S442,Frequenties[],3,FALSE)*VLOOKUP($A442,Locaties[],3,FALSE),0)</f>
        <v>0</v>
      </c>
      <c r="V442" s="86">
        <f>Ruimtestaat[[#This Row],[Uitvoeringen werkdagen]]*Ruimtestaat[[#This Row],[Oppervlak (netto)]]</f>
        <v>2252</v>
      </c>
      <c r="W442" s="87">
        <f>IF(U442&gt;0,Ruimtestaat[[#This Row],[Prest. (m2 /jaar) werkdagen]]/Ruimtestaat[[#This Row],[Norm (m2/uur) werkdagen]],0)</f>
        <v>0</v>
      </c>
      <c r="X442" s="88">
        <f>Ruimtestaat[[#This Row],[uren / jaar werkdagen]]*Tariefsopbouw!$E$35</f>
        <v>0</v>
      </c>
      <c r="Y442" s="85"/>
      <c r="Z442" s="89">
        <f>IF(Ruimtestaat[[#This Row],[Frequentie weekend]]&gt;0,VALUE(LEFT(Y442,1))*R442,0)</f>
        <v>0</v>
      </c>
      <c r="AA442" s="85">
        <f>IF($Z442&gt;0,VLOOKUP($J442,Ruimtegroepen[],3,FALSE)*VLOOKUP($L442,Vloersoorten[],3,FALSE)*VLOOKUP($Y442,Frequenties[],3,FALSE)*VLOOKUP(#REF!,Locaties[],3,FALSE),0)</f>
        <v>0</v>
      </c>
      <c r="AB442" s="87">
        <f>Ruimtestaat[[#This Row],[Uitvoeringen weekend]]*Ruimtestaat[[#This Row],[Oppervlak (netto)]]</f>
        <v>0</v>
      </c>
      <c r="AC442" s="90">
        <f>IF(AB442&gt;0,Ruimtestaat[[#This Row],[Prest. (m2 /jaar) weekend]]/Ruimtestaat[[#This Row],[Norm (m2/uur) weekend]],0)</f>
        <v>0</v>
      </c>
      <c r="AD442" s="91">
        <f>Ruimtestaat[[#This Row],[uren / jaar weekend]]*Tariefsopbouw!$D$40</f>
        <v>0</v>
      </c>
      <c r="AE442" s="60">
        <f>Ruimtestaat[[#This Row],[Prest. (m2 /jaar) weekend]]+Ruimtestaat[[#This Row],[Prest. (m2 /jaar) werkdagen]]</f>
        <v>2252</v>
      </c>
      <c r="AF442" s="60">
        <f>Ruimtestaat[[#This Row],[uren / jaar weekend]]+Ruimtestaat[[#This Row],[uren / jaar werkdagen]]</f>
        <v>0</v>
      </c>
      <c r="AG442" s="61">
        <f>Ruimtestaat[[#This Row],[kosten / jaar weekend]]+Ruimtestaat[[#This Row],[kosten / jaar werkdagen]]</f>
        <v>0</v>
      </c>
      <c r="AH442" s="92"/>
      <c r="HL442" s="59"/>
    </row>
    <row r="443" spans="1:220">
      <c r="A443" s="24">
        <v>2</v>
      </c>
      <c r="B443" s="24" t="str">
        <f>VLOOKUP(Ruimtestaat[[#This Row],[Code]],Locaties[#All],2,FALSE)</f>
        <v>Het Stormink</v>
      </c>
      <c r="C443" s="24" t="str">
        <f>VLOOKUP(Ruimtestaat[[#This Row],[Code]],Locaties[#All],4,FALSE)</f>
        <v>Storminkstraat 1</v>
      </c>
      <c r="D443" s="24" t="str">
        <f>VLOOKUP(Ruimtestaat[[#This Row],[Code]],Locaties[#All],5,FALSE)</f>
        <v>7418 GH</v>
      </c>
      <c r="E443" s="24" t="str">
        <f>VLOOKUP(Ruimtestaat[[#This Row],[Code]],Locaties[#All],6,FALSE)</f>
        <v>Deventer</v>
      </c>
      <c r="F443" s="54"/>
      <c r="G443" s="24" t="s">
        <v>656</v>
      </c>
      <c r="H443" s="24" t="s">
        <v>867</v>
      </c>
      <c r="I443" s="4" t="s">
        <v>669</v>
      </c>
      <c r="J443" s="24">
        <v>20</v>
      </c>
      <c r="K443" s="54" t="str">
        <f>VLOOKUP(J443,Ruimtegroepen[],2,FALSE)</f>
        <v>Kabinet</v>
      </c>
      <c r="L443" s="24" t="s">
        <v>305</v>
      </c>
      <c r="M443" s="24" t="s">
        <v>865</v>
      </c>
      <c r="N443" s="83">
        <v>11.26</v>
      </c>
      <c r="O443" s="83"/>
      <c r="P443" s="93" t="str">
        <f>LEFT(VLOOKUP(Ruimtestaat[[#This Row],[Ruimte code]],Ruimtegroepen[#All],4,1),2)</f>
        <v>Ve</v>
      </c>
      <c r="Q443" s="93"/>
      <c r="R443" s="84">
        <v>40</v>
      </c>
      <c r="S443" s="84" t="s">
        <v>318</v>
      </c>
      <c r="T443" s="85">
        <f>IF(R443&gt;0,IF(RIGHT(Ruimtestaat[[#This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3" s="85">
        <f>IF(T443&gt;0,VLOOKUP($J443,Ruimtegroepen[],3,FALSE)*VLOOKUP($L443,Vloersoorten[],3,FALSE)*VLOOKUP($S443,Frequenties[],3,FALSE)*VLOOKUP($A443,Locaties[],3,FALSE),0)</f>
        <v>0</v>
      </c>
      <c r="V443" s="86">
        <f>Ruimtestaat[[#This Row],[Uitvoeringen werkdagen]]*Ruimtestaat[[#This Row],[Oppervlak (netto)]]</f>
        <v>2252</v>
      </c>
      <c r="W443" s="87">
        <f>IF(U443&gt;0,Ruimtestaat[[#This Row],[Prest. (m2 /jaar) werkdagen]]/Ruimtestaat[[#This Row],[Norm (m2/uur) werkdagen]],0)</f>
        <v>0</v>
      </c>
      <c r="X443" s="88">
        <f>Ruimtestaat[[#This Row],[uren / jaar werkdagen]]*Tariefsopbouw!$E$35</f>
        <v>0</v>
      </c>
      <c r="Y443" s="85"/>
      <c r="Z443" s="89">
        <f>IF(Ruimtestaat[[#This Row],[Frequentie weekend]]&gt;0,VALUE(LEFT(Y443,1))*R443,0)</f>
        <v>0</v>
      </c>
      <c r="AA443" s="85">
        <f>IF($Z443&gt;0,VLOOKUP($J443,Ruimtegroepen[],3,FALSE)*VLOOKUP($L443,Vloersoorten[],3,FALSE)*VLOOKUP($Y443,Frequenties[],3,FALSE)*VLOOKUP(#REF!,Locaties[],3,FALSE),0)</f>
        <v>0</v>
      </c>
      <c r="AB443" s="87">
        <f>Ruimtestaat[[#This Row],[Uitvoeringen weekend]]*Ruimtestaat[[#This Row],[Oppervlak (netto)]]</f>
        <v>0</v>
      </c>
      <c r="AC443" s="90">
        <f>IF(AB443&gt;0,Ruimtestaat[[#This Row],[Prest. (m2 /jaar) weekend]]/Ruimtestaat[[#This Row],[Norm (m2/uur) weekend]],0)</f>
        <v>0</v>
      </c>
      <c r="AD443" s="91">
        <f>Ruimtestaat[[#This Row],[uren / jaar weekend]]*Tariefsopbouw!$D$40</f>
        <v>0</v>
      </c>
      <c r="AE443" s="60">
        <f>Ruimtestaat[[#This Row],[Prest. (m2 /jaar) weekend]]+Ruimtestaat[[#This Row],[Prest. (m2 /jaar) werkdagen]]</f>
        <v>2252</v>
      </c>
      <c r="AF443" s="60">
        <f>Ruimtestaat[[#This Row],[uren / jaar weekend]]+Ruimtestaat[[#This Row],[uren / jaar werkdagen]]</f>
        <v>0</v>
      </c>
      <c r="AG443" s="61">
        <f>Ruimtestaat[[#This Row],[kosten / jaar weekend]]+Ruimtestaat[[#This Row],[kosten / jaar werkdagen]]</f>
        <v>0</v>
      </c>
      <c r="AH443" s="92"/>
      <c r="HL443" s="59"/>
    </row>
    <row r="444" spans="1:220">
      <c r="A444" s="24">
        <v>2</v>
      </c>
      <c r="B444" s="24" t="str">
        <f>VLOOKUP(Ruimtestaat[[#This Row],[Code]],Locaties[#All],2,FALSE)</f>
        <v>Het Stormink</v>
      </c>
      <c r="C444" s="24" t="str">
        <f>VLOOKUP(Ruimtestaat[[#This Row],[Code]],Locaties[#All],4,FALSE)</f>
        <v>Storminkstraat 1</v>
      </c>
      <c r="D444" s="24" t="str">
        <f>VLOOKUP(Ruimtestaat[[#This Row],[Code]],Locaties[#All],5,FALSE)</f>
        <v>7418 GH</v>
      </c>
      <c r="E444" s="24" t="str">
        <f>VLOOKUP(Ruimtestaat[[#This Row],[Code]],Locaties[#All],6,FALSE)</f>
        <v>Deventer</v>
      </c>
      <c r="F444" s="54"/>
      <c r="G444" s="24" t="s">
        <v>656</v>
      </c>
      <c r="H444" s="24" t="s">
        <v>868</v>
      </c>
      <c r="I444" s="4" t="s">
        <v>375</v>
      </c>
      <c r="J444" s="24">
        <v>22</v>
      </c>
      <c r="K444" s="54" t="str">
        <f>VLOOKUP(J444,Ruimtegroepen[],2,FALSE)</f>
        <v>Niet in onderhoud</v>
      </c>
      <c r="L444" s="24" t="s">
        <v>300</v>
      </c>
      <c r="M444" s="24" t="s">
        <v>157</v>
      </c>
      <c r="N444" s="83"/>
      <c r="O444" s="83">
        <v>2.2999999999999998</v>
      </c>
      <c r="P444" s="93" t="str">
        <f>LEFT(VLOOKUP(Ruimtestaat[[#This Row],[Ruimte code]],Ruimtegroepen[#All],4,1),2)</f>
        <v/>
      </c>
      <c r="Q444" s="93"/>
      <c r="R444" s="84"/>
      <c r="S444" s="84"/>
      <c r="T444" s="85">
        <f>IF(R444&gt;0,IF(RIGHT(Ruimtestaat[[#This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4" s="85">
        <f>IF(T444&gt;0,VLOOKUP($J444,Ruimtegroepen[],3,FALSE)*VLOOKUP($L444,Vloersoorten[],3,FALSE)*VLOOKUP($S444,Frequenties[],3,FALSE)*VLOOKUP($A444,Locaties[],3,FALSE),0)</f>
        <v>0</v>
      </c>
      <c r="V444" s="86">
        <f>Ruimtestaat[[#This Row],[Uitvoeringen werkdagen]]*Ruimtestaat[[#This Row],[Oppervlak (netto)]]</f>
        <v>0</v>
      </c>
      <c r="W444" s="87">
        <f>IF(U444&gt;0,Ruimtestaat[[#This Row],[Prest. (m2 /jaar) werkdagen]]/Ruimtestaat[[#This Row],[Norm (m2/uur) werkdagen]],0)</f>
        <v>0</v>
      </c>
      <c r="X444" s="88">
        <f>Ruimtestaat[[#This Row],[uren / jaar werkdagen]]*Tariefsopbouw!$E$35</f>
        <v>0</v>
      </c>
      <c r="Y444" s="85"/>
      <c r="Z444" s="89">
        <f>IF(Ruimtestaat[[#This Row],[Frequentie weekend]]&gt;0,VALUE(LEFT(Y444,1))*R444,0)</f>
        <v>0</v>
      </c>
      <c r="AA444" s="85">
        <f>IF($Z444&gt;0,VLOOKUP($J444,Ruimtegroepen[],3,FALSE)*VLOOKUP($L444,Vloersoorten[],3,FALSE)*VLOOKUP($Y444,Frequenties[],3,FALSE)*VLOOKUP(#REF!,Locaties[],3,FALSE),0)</f>
        <v>0</v>
      </c>
      <c r="AB444" s="87">
        <f>Ruimtestaat[[#This Row],[Uitvoeringen weekend]]*Ruimtestaat[[#This Row],[Oppervlak (netto)]]</f>
        <v>0</v>
      </c>
      <c r="AC444" s="90">
        <f>IF(AB444&gt;0,Ruimtestaat[[#This Row],[Prest. (m2 /jaar) weekend]]/Ruimtestaat[[#This Row],[Norm (m2/uur) weekend]],0)</f>
        <v>0</v>
      </c>
      <c r="AD444" s="91">
        <f>Ruimtestaat[[#This Row],[uren / jaar weekend]]*Tariefsopbouw!$D$40</f>
        <v>0</v>
      </c>
      <c r="AE444" s="60">
        <f>Ruimtestaat[[#This Row],[Prest. (m2 /jaar) weekend]]+Ruimtestaat[[#This Row],[Prest. (m2 /jaar) werkdagen]]</f>
        <v>0</v>
      </c>
      <c r="AF444" s="60">
        <f>Ruimtestaat[[#This Row],[uren / jaar weekend]]+Ruimtestaat[[#This Row],[uren / jaar werkdagen]]</f>
        <v>0</v>
      </c>
      <c r="AG444" s="61">
        <f>Ruimtestaat[[#This Row],[kosten / jaar weekend]]+Ruimtestaat[[#This Row],[kosten / jaar werkdagen]]</f>
        <v>0</v>
      </c>
      <c r="AH444" s="92"/>
      <c r="HL444" s="59"/>
    </row>
    <row r="445" spans="1:220">
      <c r="A445" s="24">
        <v>2</v>
      </c>
      <c r="B445" s="24" t="str">
        <f>VLOOKUP(Ruimtestaat[[#This Row],[Code]],Locaties[#All],2,FALSE)</f>
        <v>Het Stormink</v>
      </c>
      <c r="C445" s="24" t="str">
        <f>VLOOKUP(Ruimtestaat[[#This Row],[Code]],Locaties[#All],4,FALSE)</f>
        <v>Storminkstraat 1</v>
      </c>
      <c r="D445" s="24" t="str">
        <f>VLOOKUP(Ruimtestaat[[#This Row],[Code]],Locaties[#All],5,FALSE)</f>
        <v>7418 GH</v>
      </c>
      <c r="E445" s="24" t="str">
        <f>VLOOKUP(Ruimtestaat[[#This Row],[Code]],Locaties[#All],6,FALSE)</f>
        <v>Deventer</v>
      </c>
      <c r="F445" s="54"/>
      <c r="G445" s="24" t="s">
        <v>656</v>
      </c>
      <c r="H445" s="24" t="s">
        <v>869</v>
      </c>
      <c r="I445" s="4" t="s">
        <v>375</v>
      </c>
      <c r="J445" s="24">
        <v>22</v>
      </c>
      <c r="K445" s="54" t="str">
        <f>VLOOKUP(J445,Ruimtegroepen[],2,FALSE)</f>
        <v>Niet in onderhoud</v>
      </c>
      <c r="L445" s="24" t="s">
        <v>300</v>
      </c>
      <c r="M445" s="24" t="s">
        <v>157</v>
      </c>
      <c r="N445" s="83"/>
      <c r="O445" s="83">
        <v>0.78</v>
      </c>
      <c r="P445" s="93" t="str">
        <f>LEFT(VLOOKUP(Ruimtestaat[[#This Row],[Ruimte code]],Ruimtegroepen[#All],4,1),2)</f>
        <v/>
      </c>
      <c r="Q445" s="93"/>
      <c r="R445" s="84"/>
      <c r="S445" s="84"/>
      <c r="T445" s="85">
        <f>IF(R445&gt;0,IF(RIGHT(Ruimtestaat[[#This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5" s="85">
        <f>IF(T445&gt;0,VLOOKUP($J445,Ruimtegroepen[],3,FALSE)*VLOOKUP($L445,Vloersoorten[],3,FALSE)*VLOOKUP($S445,Frequenties[],3,FALSE)*VLOOKUP($A445,Locaties[],3,FALSE),0)</f>
        <v>0</v>
      </c>
      <c r="V445" s="86">
        <f>Ruimtestaat[[#This Row],[Uitvoeringen werkdagen]]*Ruimtestaat[[#This Row],[Oppervlak (netto)]]</f>
        <v>0</v>
      </c>
      <c r="W445" s="87">
        <f>IF(U445&gt;0,Ruimtestaat[[#This Row],[Prest. (m2 /jaar) werkdagen]]/Ruimtestaat[[#This Row],[Norm (m2/uur) werkdagen]],0)</f>
        <v>0</v>
      </c>
      <c r="X445" s="88">
        <f>Ruimtestaat[[#This Row],[uren / jaar werkdagen]]*Tariefsopbouw!$E$35</f>
        <v>0</v>
      </c>
      <c r="Y445" s="85"/>
      <c r="Z445" s="89">
        <f>IF(Ruimtestaat[[#This Row],[Frequentie weekend]]&gt;0,VALUE(LEFT(Y445,1))*R445,0)</f>
        <v>0</v>
      </c>
      <c r="AA445" s="85">
        <f>IF($Z445&gt;0,VLOOKUP($J445,Ruimtegroepen[],3,FALSE)*VLOOKUP($L445,Vloersoorten[],3,FALSE)*VLOOKUP($Y445,Frequenties[],3,FALSE)*VLOOKUP(#REF!,Locaties[],3,FALSE),0)</f>
        <v>0</v>
      </c>
      <c r="AB445" s="87">
        <f>Ruimtestaat[[#This Row],[Uitvoeringen weekend]]*Ruimtestaat[[#This Row],[Oppervlak (netto)]]</f>
        <v>0</v>
      </c>
      <c r="AC445" s="90">
        <f>IF(AB445&gt;0,Ruimtestaat[[#This Row],[Prest. (m2 /jaar) weekend]]/Ruimtestaat[[#This Row],[Norm (m2/uur) weekend]],0)</f>
        <v>0</v>
      </c>
      <c r="AD445" s="91">
        <f>Ruimtestaat[[#This Row],[uren / jaar weekend]]*Tariefsopbouw!$D$40</f>
        <v>0</v>
      </c>
      <c r="AE445" s="60">
        <f>Ruimtestaat[[#This Row],[Prest. (m2 /jaar) weekend]]+Ruimtestaat[[#This Row],[Prest. (m2 /jaar) werkdagen]]</f>
        <v>0</v>
      </c>
      <c r="AF445" s="60">
        <f>Ruimtestaat[[#This Row],[uren / jaar weekend]]+Ruimtestaat[[#This Row],[uren / jaar werkdagen]]</f>
        <v>0</v>
      </c>
      <c r="AG445" s="61">
        <f>Ruimtestaat[[#This Row],[kosten / jaar weekend]]+Ruimtestaat[[#This Row],[kosten / jaar werkdagen]]</f>
        <v>0</v>
      </c>
      <c r="AH445" s="92"/>
      <c r="HL445" s="59"/>
    </row>
    <row r="446" spans="1:220">
      <c r="A446" s="24">
        <v>2</v>
      </c>
      <c r="B446" s="24" t="str">
        <f>VLOOKUP(Ruimtestaat[[#This Row],[Code]],Locaties[#All],2,FALSE)</f>
        <v>Het Stormink</v>
      </c>
      <c r="C446" s="24" t="str">
        <f>VLOOKUP(Ruimtestaat[[#This Row],[Code]],Locaties[#All],4,FALSE)</f>
        <v>Storminkstraat 1</v>
      </c>
      <c r="D446" s="24" t="str">
        <f>VLOOKUP(Ruimtestaat[[#This Row],[Code]],Locaties[#All],5,FALSE)</f>
        <v>7418 GH</v>
      </c>
      <c r="E446" s="24" t="str">
        <f>VLOOKUP(Ruimtestaat[[#This Row],[Code]],Locaties[#All],6,FALSE)</f>
        <v>Deventer</v>
      </c>
      <c r="F446" s="54"/>
      <c r="G446" s="24" t="s">
        <v>656</v>
      </c>
      <c r="H446" s="24" t="s">
        <v>870</v>
      </c>
      <c r="I446" s="4" t="s">
        <v>375</v>
      </c>
      <c r="J446" s="24">
        <v>22</v>
      </c>
      <c r="K446" s="54" t="str">
        <f>VLOOKUP(J446,Ruimtegroepen[],2,FALSE)</f>
        <v>Niet in onderhoud</v>
      </c>
      <c r="L446" s="24" t="s">
        <v>300</v>
      </c>
      <c r="M446" s="24" t="s">
        <v>157</v>
      </c>
      <c r="N446" s="83"/>
      <c r="O446" s="83">
        <v>1.54</v>
      </c>
      <c r="P446" s="93" t="str">
        <f>LEFT(VLOOKUP(Ruimtestaat[[#This Row],[Ruimte code]],Ruimtegroepen[#All],4,1),2)</f>
        <v/>
      </c>
      <c r="Q446" s="93"/>
      <c r="R446" s="84"/>
      <c r="S446" s="84"/>
      <c r="T446" s="85">
        <f>IF(R446&gt;0,IF(RIGHT(Ruimtestaat[[#This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6" s="85">
        <f>IF(T446&gt;0,VLOOKUP($J446,Ruimtegroepen[],3,FALSE)*VLOOKUP($L446,Vloersoorten[],3,FALSE)*VLOOKUP($S446,Frequenties[],3,FALSE)*VLOOKUP($A446,Locaties[],3,FALSE),0)</f>
        <v>0</v>
      </c>
      <c r="V446" s="86">
        <f>Ruimtestaat[[#This Row],[Uitvoeringen werkdagen]]*Ruimtestaat[[#This Row],[Oppervlak (netto)]]</f>
        <v>0</v>
      </c>
      <c r="W446" s="87">
        <f>IF(U446&gt;0,Ruimtestaat[[#This Row],[Prest. (m2 /jaar) werkdagen]]/Ruimtestaat[[#This Row],[Norm (m2/uur) werkdagen]],0)</f>
        <v>0</v>
      </c>
      <c r="X446" s="88">
        <f>Ruimtestaat[[#This Row],[uren / jaar werkdagen]]*Tariefsopbouw!$E$35</f>
        <v>0</v>
      </c>
      <c r="Y446" s="85"/>
      <c r="Z446" s="89">
        <f>IF(Ruimtestaat[[#This Row],[Frequentie weekend]]&gt;0,VALUE(LEFT(Y446,1))*R446,0)</f>
        <v>0</v>
      </c>
      <c r="AA446" s="85">
        <f>IF($Z446&gt;0,VLOOKUP($J446,Ruimtegroepen[],3,FALSE)*VLOOKUP($L446,Vloersoorten[],3,FALSE)*VLOOKUP($Y446,Frequenties[],3,FALSE)*VLOOKUP(#REF!,Locaties[],3,FALSE),0)</f>
        <v>0</v>
      </c>
      <c r="AB446" s="87">
        <f>Ruimtestaat[[#This Row],[Uitvoeringen weekend]]*Ruimtestaat[[#This Row],[Oppervlak (netto)]]</f>
        <v>0</v>
      </c>
      <c r="AC446" s="90">
        <f>IF(AB446&gt;0,Ruimtestaat[[#This Row],[Prest. (m2 /jaar) weekend]]/Ruimtestaat[[#This Row],[Norm (m2/uur) weekend]],0)</f>
        <v>0</v>
      </c>
      <c r="AD446" s="91">
        <f>Ruimtestaat[[#This Row],[uren / jaar weekend]]*Tariefsopbouw!$D$40</f>
        <v>0</v>
      </c>
      <c r="AE446" s="60">
        <f>Ruimtestaat[[#This Row],[Prest. (m2 /jaar) weekend]]+Ruimtestaat[[#This Row],[Prest. (m2 /jaar) werkdagen]]</f>
        <v>0</v>
      </c>
      <c r="AF446" s="60">
        <f>Ruimtestaat[[#This Row],[uren / jaar weekend]]+Ruimtestaat[[#This Row],[uren / jaar werkdagen]]</f>
        <v>0</v>
      </c>
      <c r="AG446" s="61">
        <f>Ruimtestaat[[#This Row],[kosten / jaar weekend]]+Ruimtestaat[[#This Row],[kosten / jaar werkdagen]]</f>
        <v>0</v>
      </c>
      <c r="AH446" s="92"/>
      <c r="HL446" s="59"/>
    </row>
    <row r="447" spans="1:220">
      <c r="A447" s="24">
        <v>2</v>
      </c>
      <c r="B447" s="24" t="str">
        <f>VLOOKUP(Ruimtestaat[[#This Row],[Code]],Locaties[#All],2,FALSE)</f>
        <v>Het Stormink</v>
      </c>
      <c r="C447" s="24" t="str">
        <f>VLOOKUP(Ruimtestaat[[#This Row],[Code]],Locaties[#All],4,FALSE)</f>
        <v>Storminkstraat 1</v>
      </c>
      <c r="D447" s="24" t="str">
        <f>VLOOKUP(Ruimtestaat[[#This Row],[Code]],Locaties[#All],5,FALSE)</f>
        <v>7418 GH</v>
      </c>
      <c r="E447" s="24" t="str">
        <f>VLOOKUP(Ruimtestaat[[#This Row],[Code]],Locaties[#All],6,FALSE)</f>
        <v>Deventer</v>
      </c>
      <c r="F447" s="54"/>
      <c r="G447" s="24" t="s">
        <v>656</v>
      </c>
      <c r="H447" s="24" t="s">
        <v>871</v>
      </c>
      <c r="I447" s="4" t="s">
        <v>375</v>
      </c>
      <c r="J447" s="24">
        <v>22</v>
      </c>
      <c r="K447" s="54" t="str">
        <f>VLOOKUP(J447,Ruimtegroepen[],2,FALSE)</f>
        <v>Niet in onderhoud</v>
      </c>
      <c r="L447" s="24" t="s">
        <v>300</v>
      </c>
      <c r="M447" s="24" t="s">
        <v>157</v>
      </c>
      <c r="N447" s="83"/>
      <c r="O447" s="83">
        <v>1.54</v>
      </c>
      <c r="P447" s="93" t="str">
        <f>LEFT(VLOOKUP(Ruimtestaat[[#This Row],[Ruimte code]],Ruimtegroepen[#All],4,1),2)</f>
        <v/>
      </c>
      <c r="Q447" s="93"/>
      <c r="R447" s="84"/>
      <c r="S447" s="84"/>
      <c r="T447" s="85">
        <f>IF(R447&gt;0,IF(RIGHT(Ruimtestaat[[#This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7" s="85">
        <f>IF(T447&gt;0,VLOOKUP($J447,Ruimtegroepen[],3,FALSE)*VLOOKUP($L447,Vloersoorten[],3,FALSE)*VLOOKUP($S447,Frequenties[],3,FALSE)*VLOOKUP($A447,Locaties[],3,FALSE),0)</f>
        <v>0</v>
      </c>
      <c r="V447" s="86">
        <f>Ruimtestaat[[#This Row],[Uitvoeringen werkdagen]]*Ruimtestaat[[#This Row],[Oppervlak (netto)]]</f>
        <v>0</v>
      </c>
      <c r="W447" s="87">
        <f>IF(U447&gt;0,Ruimtestaat[[#This Row],[Prest. (m2 /jaar) werkdagen]]/Ruimtestaat[[#This Row],[Norm (m2/uur) werkdagen]],0)</f>
        <v>0</v>
      </c>
      <c r="X447" s="88">
        <f>Ruimtestaat[[#This Row],[uren / jaar werkdagen]]*Tariefsopbouw!$E$35</f>
        <v>0</v>
      </c>
      <c r="Y447" s="85"/>
      <c r="Z447" s="89">
        <f>IF(Ruimtestaat[[#This Row],[Frequentie weekend]]&gt;0,VALUE(LEFT(Y447,1))*R447,0)</f>
        <v>0</v>
      </c>
      <c r="AA447" s="85">
        <f>IF($Z447&gt;0,VLOOKUP($J447,Ruimtegroepen[],3,FALSE)*VLOOKUP($L447,Vloersoorten[],3,FALSE)*VLOOKUP($Y447,Frequenties[],3,FALSE)*VLOOKUP(#REF!,Locaties[],3,FALSE),0)</f>
        <v>0</v>
      </c>
      <c r="AB447" s="87">
        <f>Ruimtestaat[[#This Row],[Uitvoeringen weekend]]*Ruimtestaat[[#This Row],[Oppervlak (netto)]]</f>
        <v>0</v>
      </c>
      <c r="AC447" s="90">
        <f>IF(AB447&gt;0,Ruimtestaat[[#This Row],[Prest. (m2 /jaar) weekend]]/Ruimtestaat[[#This Row],[Norm (m2/uur) weekend]],0)</f>
        <v>0</v>
      </c>
      <c r="AD447" s="91">
        <f>Ruimtestaat[[#This Row],[uren / jaar weekend]]*Tariefsopbouw!$D$40</f>
        <v>0</v>
      </c>
      <c r="AE447" s="60">
        <f>Ruimtestaat[[#This Row],[Prest. (m2 /jaar) weekend]]+Ruimtestaat[[#This Row],[Prest. (m2 /jaar) werkdagen]]</f>
        <v>0</v>
      </c>
      <c r="AF447" s="60">
        <f>Ruimtestaat[[#This Row],[uren / jaar weekend]]+Ruimtestaat[[#This Row],[uren / jaar werkdagen]]</f>
        <v>0</v>
      </c>
      <c r="AG447" s="61">
        <f>Ruimtestaat[[#This Row],[kosten / jaar weekend]]+Ruimtestaat[[#This Row],[kosten / jaar werkdagen]]</f>
        <v>0</v>
      </c>
      <c r="AH447" s="92"/>
      <c r="HL447" s="59"/>
    </row>
    <row r="448" spans="1:220">
      <c r="A448" s="24">
        <v>2</v>
      </c>
      <c r="B448" s="24" t="str">
        <f>VLOOKUP(Ruimtestaat[[#This Row],[Code]],Locaties[#All],2,FALSE)</f>
        <v>Het Stormink</v>
      </c>
      <c r="C448" s="24" t="str">
        <f>VLOOKUP(Ruimtestaat[[#This Row],[Code]],Locaties[#All],4,FALSE)</f>
        <v>Storminkstraat 1</v>
      </c>
      <c r="D448" s="24" t="str">
        <f>VLOOKUP(Ruimtestaat[[#This Row],[Code]],Locaties[#All],5,FALSE)</f>
        <v>7418 GH</v>
      </c>
      <c r="E448" s="24" t="str">
        <f>VLOOKUP(Ruimtestaat[[#This Row],[Code]],Locaties[#All],6,FALSE)</f>
        <v>Deventer</v>
      </c>
      <c r="F448" s="54"/>
      <c r="G448" s="24" t="s">
        <v>656</v>
      </c>
      <c r="H448" s="24" t="s">
        <v>872</v>
      </c>
      <c r="I448" s="4" t="s">
        <v>375</v>
      </c>
      <c r="J448" s="24">
        <v>22</v>
      </c>
      <c r="K448" s="54" t="str">
        <f>VLOOKUP(J448,Ruimtegroepen[],2,FALSE)</f>
        <v>Niet in onderhoud</v>
      </c>
      <c r="L448" s="24" t="s">
        <v>300</v>
      </c>
      <c r="M448" s="24" t="s">
        <v>157</v>
      </c>
      <c r="N448" s="83"/>
      <c r="O448" s="83">
        <v>1.63</v>
      </c>
      <c r="P448" s="93" t="str">
        <f>LEFT(VLOOKUP(Ruimtestaat[[#This Row],[Ruimte code]],Ruimtegroepen[#All],4,1),2)</f>
        <v/>
      </c>
      <c r="Q448" s="93"/>
      <c r="R448" s="84"/>
      <c r="S448" s="84"/>
      <c r="T448" s="85">
        <f>IF(R448&gt;0,IF(RIGHT(Ruimtestaat[[#This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8" s="85">
        <f>IF(T448&gt;0,VLOOKUP($J448,Ruimtegroepen[],3,FALSE)*VLOOKUP($L448,Vloersoorten[],3,FALSE)*VLOOKUP($S448,Frequenties[],3,FALSE)*VLOOKUP($A448,Locaties[],3,FALSE),0)</f>
        <v>0</v>
      </c>
      <c r="V448" s="86">
        <f>Ruimtestaat[[#This Row],[Uitvoeringen werkdagen]]*Ruimtestaat[[#This Row],[Oppervlak (netto)]]</f>
        <v>0</v>
      </c>
      <c r="W448" s="87">
        <f>IF(U448&gt;0,Ruimtestaat[[#This Row],[Prest. (m2 /jaar) werkdagen]]/Ruimtestaat[[#This Row],[Norm (m2/uur) werkdagen]],0)</f>
        <v>0</v>
      </c>
      <c r="X448" s="88">
        <f>Ruimtestaat[[#This Row],[uren / jaar werkdagen]]*Tariefsopbouw!$E$35</f>
        <v>0</v>
      </c>
      <c r="Y448" s="85"/>
      <c r="Z448" s="89">
        <f>IF(Ruimtestaat[[#This Row],[Frequentie weekend]]&gt;0,VALUE(LEFT(Y448,1))*R448,0)</f>
        <v>0</v>
      </c>
      <c r="AA448" s="85">
        <f>IF($Z448&gt;0,VLOOKUP($J448,Ruimtegroepen[],3,FALSE)*VLOOKUP($L448,Vloersoorten[],3,FALSE)*VLOOKUP($Y448,Frequenties[],3,FALSE)*VLOOKUP(#REF!,Locaties[],3,FALSE),0)</f>
        <v>0</v>
      </c>
      <c r="AB448" s="87">
        <f>Ruimtestaat[[#This Row],[Uitvoeringen weekend]]*Ruimtestaat[[#This Row],[Oppervlak (netto)]]</f>
        <v>0</v>
      </c>
      <c r="AC448" s="90">
        <f>IF(AB448&gt;0,Ruimtestaat[[#This Row],[Prest. (m2 /jaar) weekend]]/Ruimtestaat[[#This Row],[Norm (m2/uur) weekend]],0)</f>
        <v>0</v>
      </c>
      <c r="AD448" s="91">
        <f>Ruimtestaat[[#This Row],[uren / jaar weekend]]*Tariefsopbouw!$D$40</f>
        <v>0</v>
      </c>
      <c r="AE448" s="60">
        <f>Ruimtestaat[[#This Row],[Prest. (m2 /jaar) weekend]]+Ruimtestaat[[#This Row],[Prest. (m2 /jaar) werkdagen]]</f>
        <v>0</v>
      </c>
      <c r="AF448" s="60">
        <f>Ruimtestaat[[#This Row],[uren / jaar weekend]]+Ruimtestaat[[#This Row],[uren / jaar werkdagen]]</f>
        <v>0</v>
      </c>
      <c r="AG448" s="61">
        <f>Ruimtestaat[[#This Row],[kosten / jaar weekend]]+Ruimtestaat[[#This Row],[kosten / jaar werkdagen]]</f>
        <v>0</v>
      </c>
      <c r="AH448" s="92"/>
      <c r="HL448" s="59"/>
    </row>
    <row r="449" spans="1:220">
      <c r="A449" s="24">
        <v>2</v>
      </c>
      <c r="B449" s="24" t="str">
        <f>VLOOKUP(Ruimtestaat[[#This Row],[Code]],Locaties[#All],2,FALSE)</f>
        <v>Het Stormink</v>
      </c>
      <c r="C449" s="24" t="str">
        <f>VLOOKUP(Ruimtestaat[[#This Row],[Code]],Locaties[#All],4,FALSE)</f>
        <v>Storminkstraat 1</v>
      </c>
      <c r="D449" s="24" t="str">
        <f>VLOOKUP(Ruimtestaat[[#This Row],[Code]],Locaties[#All],5,FALSE)</f>
        <v>7418 GH</v>
      </c>
      <c r="E449" s="24" t="str">
        <f>VLOOKUP(Ruimtestaat[[#This Row],[Code]],Locaties[#All],6,FALSE)</f>
        <v>Deventer</v>
      </c>
      <c r="F449" s="54"/>
      <c r="G449" s="24" t="s">
        <v>656</v>
      </c>
      <c r="H449" s="24" t="s">
        <v>873</v>
      </c>
      <c r="I449" s="4" t="s">
        <v>535</v>
      </c>
      <c r="J449" s="24">
        <v>22</v>
      </c>
      <c r="K449" s="54" t="str">
        <f>VLOOKUP(J449,Ruimtegroepen[],2,FALSE)</f>
        <v>Niet in onderhoud</v>
      </c>
      <c r="L449" s="24" t="s">
        <v>300</v>
      </c>
      <c r="M449" s="24" t="s">
        <v>157</v>
      </c>
      <c r="N449" s="83"/>
      <c r="O449" s="83">
        <v>3.16</v>
      </c>
      <c r="P449" s="93" t="str">
        <f>LEFT(VLOOKUP(Ruimtestaat[[#This Row],[Ruimte code]],Ruimtegroepen[#All],4,1),2)</f>
        <v/>
      </c>
      <c r="Q449" s="93"/>
      <c r="R449" s="84"/>
      <c r="S449" s="84"/>
      <c r="T449" s="85">
        <f>IF(R449&gt;0,IF(RIGHT(Ruimtestaat[[#This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9" s="85">
        <f>IF(T449&gt;0,VLOOKUP($J449,Ruimtegroepen[],3,FALSE)*VLOOKUP($L449,Vloersoorten[],3,FALSE)*VLOOKUP($S449,Frequenties[],3,FALSE)*VLOOKUP($A449,Locaties[],3,FALSE),0)</f>
        <v>0</v>
      </c>
      <c r="V449" s="86">
        <f>Ruimtestaat[[#This Row],[Uitvoeringen werkdagen]]*Ruimtestaat[[#This Row],[Oppervlak (netto)]]</f>
        <v>0</v>
      </c>
      <c r="W449" s="87">
        <f>IF(U449&gt;0,Ruimtestaat[[#This Row],[Prest. (m2 /jaar) werkdagen]]/Ruimtestaat[[#This Row],[Norm (m2/uur) werkdagen]],0)</f>
        <v>0</v>
      </c>
      <c r="X449" s="88">
        <f>Ruimtestaat[[#This Row],[uren / jaar werkdagen]]*Tariefsopbouw!$E$35</f>
        <v>0</v>
      </c>
      <c r="Y449" s="85"/>
      <c r="Z449" s="89">
        <f>IF(Ruimtestaat[[#This Row],[Frequentie weekend]]&gt;0,VALUE(LEFT(Y449,1))*R449,0)</f>
        <v>0</v>
      </c>
      <c r="AA449" s="85">
        <f>IF($Z449&gt;0,VLOOKUP($J449,Ruimtegroepen[],3,FALSE)*VLOOKUP($L449,Vloersoorten[],3,FALSE)*VLOOKUP($Y449,Frequenties[],3,FALSE)*VLOOKUP(#REF!,Locaties[],3,FALSE),0)</f>
        <v>0</v>
      </c>
      <c r="AB449" s="87">
        <f>Ruimtestaat[[#This Row],[Uitvoeringen weekend]]*Ruimtestaat[[#This Row],[Oppervlak (netto)]]</f>
        <v>0</v>
      </c>
      <c r="AC449" s="90">
        <f>IF(AB449&gt;0,Ruimtestaat[[#This Row],[Prest. (m2 /jaar) weekend]]/Ruimtestaat[[#This Row],[Norm (m2/uur) weekend]],0)</f>
        <v>0</v>
      </c>
      <c r="AD449" s="91">
        <f>Ruimtestaat[[#This Row],[uren / jaar weekend]]*Tariefsopbouw!$D$40</f>
        <v>0</v>
      </c>
      <c r="AE449" s="60">
        <f>Ruimtestaat[[#This Row],[Prest. (m2 /jaar) weekend]]+Ruimtestaat[[#This Row],[Prest. (m2 /jaar) werkdagen]]</f>
        <v>0</v>
      </c>
      <c r="AF449" s="60">
        <f>Ruimtestaat[[#This Row],[uren / jaar weekend]]+Ruimtestaat[[#This Row],[uren / jaar werkdagen]]</f>
        <v>0</v>
      </c>
      <c r="AG449" s="61">
        <f>Ruimtestaat[[#This Row],[kosten / jaar weekend]]+Ruimtestaat[[#This Row],[kosten / jaar werkdagen]]</f>
        <v>0</v>
      </c>
      <c r="AH449" s="92"/>
      <c r="HL449" s="59"/>
    </row>
    <row r="450" spans="1:220">
      <c r="A450" s="24">
        <v>2</v>
      </c>
      <c r="B450" s="24" t="str">
        <f>VLOOKUP(Ruimtestaat[[#This Row],[Code]],Locaties[#All],2,FALSE)</f>
        <v>Het Stormink</v>
      </c>
      <c r="C450" s="24" t="str">
        <f>VLOOKUP(Ruimtestaat[[#This Row],[Code]],Locaties[#All],4,FALSE)</f>
        <v>Storminkstraat 1</v>
      </c>
      <c r="D450" s="24" t="str">
        <f>VLOOKUP(Ruimtestaat[[#This Row],[Code]],Locaties[#All],5,FALSE)</f>
        <v>7418 GH</v>
      </c>
      <c r="E450" s="24" t="str">
        <f>VLOOKUP(Ruimtestaat[[#This Row],[Code]],Locaties[#All],6,FALSE)</f>
        <v>Deventer</v>
      </c>
      <c r="F450" s="54"/>
      <c r="G450" s="24" t="s">
        <v>656</v>
      </c>
      <c r="H450" s="24" t="s">
        <v>874</v>
      </c>
      <c r="I450" s="4" t="s">
        <v>674</v>
      </c>
      <c r="J450" s="24">
        <v>22</v>
      </c>
      <c r="K450" s="54" t="str">
        <f>VLOOKUP(J450,Ruimtegroepen[],2,FALSE)</f>
        <v>Niet in onderhoud</v>
      </c>
      <c r="L450" s="24" t="s">
        <v>300</v>
      </c>
      <c r="M450" s="24" t="s">
        <v>157</v>
      </c>
      <c r="N450" s="83"/>
      <c r="O450" s="83">
        <v>1.64</v>
      </c>
      <c r="P450" s="93" t="str">
        <f>LEFT(VLOOKUP(Ruimtestaat[[#This Row],[Ruimte code]],Ruimtegroepen[#All],4,1),2)</f>
        <v/>
      </c>
      <c r="Q450" s="93"/>
      <c r="R450" s="84"/>
      <c r="S450" s="84"/>
      <c r="T450" s="85">
        <f>IF(R450&gt;0,IF(RIGHT(Ruimtestaat[[#This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50" s="85">
        <f>IF(T450&gt;0,VLOOKUP($J450,Ruimtegroepen[],3,FALSE)*VLOOKUP($L450,Vloersoorten[],3,FALSE)*VLOOKUP($S450,Frequenties[],3,FALSE)*VLOOKUP($A450,Locaties[],3,FALSE),0)</f>
        <v>0</v>
      </c>
      <c r="V450" s="86">
        <f>Ruimtestaat[[#This Row],[Uitvoeringen werkdagen]]*Ruimtestaat[[#This Row],[Oppervlak (netto)]]</f>
        <v>0</v>
      </c>
      <c r="W450" s="87">
        <f>IF(U450&gt;0,Ruimtestaat[[#This Row],[Prest. (m2 /jaar) werkdagen]]/Ruimtestaat[[#This Row],[Norm (m2/uur) werkdagen]],0)</f>
        <v>0</v>
      </c>
      <c r="X450" s="88">
        <f>Ruimtestaat[[#This Row],[uren / jaar werkdagen]]*Tariefsopbouw!$E$35</f>
        <v>0</v>
      </c>
      <c r="Y450" s="85"/>
      <c r="Z450" s="89">
        <f>IF(Ruimtestaat[[#This Row],[Frequentie weekend]]&gt;0,VALUE(LEFT(Y450,1))*R450,0)</f>
        <v>0</v>
      </c>
      <c r="AA450" s="85">
        <f>IF($Z450&gt;0,VLOOKUP($J450,Ruimtegroepen[],3,FALSE)*VLOOKUP($L450,Vloersoorten[],3,FALSE)*VLOOKUP($Y450,Frequenties[],3,FALSE)*VLOOKUP(#REF!,Locaties[],3,FALSE),0)</f>
        <v>0</v>
      </c>
      <c r="AB450" s="87">
        <f>Ruimtestaat[[#This Row],[Uitvoeringen weekend]]*Ruimtestaat[[#This Row],[Oppervlak (netto)]]</f>
        <v>0</v>
      </c>
      <c r="AC450" s="90">
        <f>IF(AB450&gt;0,Ruimtestaat[[#This Row],[Prest. (m2 /jaar) weekend]]/Ruimtestaat[[#This Row],[Norm (m2/uur) weekend]],0)</f>
        <v>0</v>
      </c>
      <c r="AD450" s="91">
        <f>Ruimtestaat[[#This Row],[uren / jaar weekend]]*Tariefsopbouw!$D$40</f>
        <v>0</v>
      </c>
      <c r="AE450" s="60">
        <f>Ruimtestaat[[#This Row],[Prest. (m2 /jaar) weekend]]+Ruimtestaat[[#This Row],[Prest. (m2 /jaar) werkdagen]]</f>
        <v>0</v>
      </c>
      <c r="AF450" s="60">
        <f>Ruimtestaat[[#This Row],[uren / jaar weekend]]+Ruimtestaat[[#This Row],[uren / jaar werkdagen]]</f>
        <v>0</v>
      </c>
      <c r="AG450" s="61">
        <f>Ruimtestaat[[#This Row],[kosten / jaar weekend]]+Ruimtestaat[[#This Row],[kosten / jaar werkdagen]]</f>
        <v>0</v>
      </c>
      <c r="AH450" s="92"/>
      <c r="HL450" s="59"/>
    </row>
    <row r="451" spans="1:220">
      <c r="A451" s="24">
        <v>2</v>
      </c>
      <c r="B451" s="24" t="str">
        <f>VLOOKUP(Ruimtestaat[[#This Row],[Code]],Locaties[#All],2,FALSE)</f>
        <v>Het Stormink</v>
      </c>
      <c r="C451" s="24" t="str">
        <f>VLOOKUP(Ruimtestaat[[#This Row],[Code]],Locaties[#All],4,FALSE)</f>
        <v>Storminkstraat 1</v>
      </c>
      <c r="D451" s="24" t="str">
        <f>VLOOKUP(Ruimtestaat[[#This Row],[Code]],Locaties[#All],5,FALSE)</f>
        <v>7418 GH</v>
      </c>
      <c r="E451" s="24" t="str">
        <f>VLOOKUP(Ruimtestaat[[#This Row],[Code]],Locaties[#All],6,FALSE)</f>
        <v>Deventer</v>
      </c>
      <c r="F451" s="54"/>
      <c r="G451" s="24" t="s">
        <v>656</v>
      </c>
      <c r="H451" s="24" t="s">
        <v>875</v>
      </c>
      <c r="I451" s="4" t="s">
        <v>691</v>
      </c>
      <c r="J451" s="24">
        <v>22</v>
      </c>
      <c r="K451" s="54" t="str">
        <f>VLOOKUP(J451,Ruimtegroepen[],2,FALSE)</f>
        <v>Niet in onderhoud</v>
      </c>
      <c r="L451" s="24" t="s">
        <v>300</v>
      </c>
      <c r="M451" s="24" t="s">
        <v>157</v>
      </c>
      <c r="N451" s="83"/>
      <c r="O451" s="83">
        <v>1.62</v>
      </c>
      <c r="P451" s="93" t="str">
        <f>LEFT(VLOOKUP(Ruimtestaat[[#This Row],[Ruimte code]],Ruimtegroepen[#All],4,1),2)</f>
        <v/>
      </c>
      <c r="Q451" s="93"/>
      <c r="R451" s="84"/>
      <c r="S451" s="84"/>
      <c r="T451" s="85">
        <f>IF(R451&gt;0,IF(RIGHT(Ruimtestaat[[#This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51" s="85">
        <f>IF(T451&gt;0,VLOOKUP($J451,Ruimtegroepen[],3,FALSE)*VLOOKUP($L451,Vloersoorten[],3,FALSE)*VLOOKUP($S451,Frequenties[],3,FALSE)*VLOOKUP($A451,Locaties[],3,FALSE),0)</f>
        <v>0</v>
      </c>
      <c r="V451" s="86">
        <f>Ruimtestaat[[#This Row],[Uitvoeringen werkdagen]]*Ruimtestaat[[#This Row],[Oppervlak (netto)]]</f>
        <v>0</v>
      </c>
      <c r="W451" s="87">
        <f>IF(U451&gt;0,Ruimtestaat[[#This Row],[Prest. (m2 /jaar) werkdagen]]/Ruimtestaat[[#This Row],[Norm (m2/uur) werkdagen]],0)</f>
        <v>0</v>
      </c>
      <c r="X451" s="88">
        <f>Ruimtestaat[[#This Row],[uren / jaar werkdagen]]*Tariefsopbouw!$E$35</f>
        <v>0</v>
      </c>
      <c r="Y451" s="85"/>
      <c r="Z451" s="89">
        <f>IF(Ruimtestaat[[#This Row],[Frequentie weekend]]&gt;0,VALUE(LEFT(Y451,1))*R451,0)</f>
        <v>0</v>
      </c>
      <c r="AA451" s="85">
        <f>IF($Z451&gt;0,VLOOKUP($J451,Ruimtegroepen[],3,FALSE)*VLOOKUP($L451,Vloersoorten[],3,FALSE)*VLOOKUP($Y451,Frequenties[],3,FALSE)*VLOOKUP(#REF!,Locaties[],3,FALSE),0)</f>
        <v>0</v>
      </c>
      <c r="AB451" s="87">
        <f>Ruimtestaat[[#This Row],[Uitvoeringen weekend]]*Ruimtestaat[[#This Row],[Oppervlak (netto)]]</f>
        <v>0</v>
      </c>
      <c r="AC451" s="90">
        <f>IF(AB451&gt;0,Ruimtestaat[[#This Row],[Prest. (m2 /jaar) weekend]]/Ruimtestaat[[#This Row],[Norm (m2/uur) weekend]],0)</f>
        <v>0</v>
      </c>
      <c r="AD451" s="91">
        <f>Ruimtestaat[[#This Row],[uren / jaar weekend]]*Tariefsopbouw!$D$40</f>
        <v>0</v>
      </c>
      <c r="AE451" s="60">
        <f>Ruimtestaat[[#This Row],[Prest. (m2 /jaar) weekend]]+Ruimtestaat[[#This Row],[Prest. (m2 /jaar) werkdagen]]</f>
        <v>0</v>
      </c>
      <c r="AF451" s="60">
        <f>Ruimtestaat[[#This Row],[uren / jaar weekend]]+Ruimtestaat[[#This Row],[uren / jaar werkdagen]]</f>
        <v>0</v>
      </c>
      <c r="AG451" s="61">
        <f>Ruimtestaat[[#This Row],[kosten / jaar weekend]]+Ruimtestaat[[#This Row],[kosten / jaar werkdagen]]</f>
        <v>0</v>
      </c>
      <c r="AH451" s="92"/>
      <c r="HL451" s="59"/>
    </row>
    <row r="452" spans="1:220">
      <c r="A452" s="24">
        <v>2</v>
      </c>
      <c r="B452" s="24" t="str">
        <f>VLOOKUP(Ruimtestaat[[#This Row],[Code]],Locaties[#All],2,FALSE)</f>
        <v>Het Stormink</v>
      </c>
      <c r="C452" s="24" t="str">
        <f>VLOOKUP(Ruimtestaat[[#This Row],[Code]],Locaties[#All],4,FALSE)</f>
        <v>Storminkstraat 1</v>
      </c>
      <c r="D452" s="24" t="str">
        <f>VLOOKUP(Ruimtestaat[[#This Row],[Code]],Locaties[#All],5,FALSE)</f>
        <v>7418 GH</v>
      </c>
      <c r="E452" s="24" t="str">
        <f>VLOOKUP(Ruimtestaat[[#This Row],[Code]],Locaties[#All],6,FALSE)</f>
        <v>Deventer</v>
      </c>
      <c r="F452" s="54"/>
      <c r="G452" s="24" t="s">
        <v>656</v>
      </c>
      <c r="H452" s="24" t="s">
        <v>876</v>
      </c>
      <c r="I452" s="4" t="s">
        <v>689</v>
      </c>
      <c r="J452" s="24">
        <v>6</v>
      </c>
      <c r="K452" s="54" t="str">
        <f>VLOOKUP(J452,Ruimtegroepen[],2,FALSE)</f>
        <v>Gangen/hallen</v>
      </c>
      <c r="L452" s="24" t="s">
        <v>300</v>
      </c>
      <c r="M452" s="24" t="s">
        <v>157</v>
      </c>
      <c r="N452" s="83">
        <v>2.59</v>
      </c>
      <c r="O452" s="83"/>
      <c r="P452" s="93" t="str">
        <f>LEFT(VLOOKUP(Ruimtestaat[[#This Row],[Ruimte code]],Ruimtegroepen[#All],4,1),2)</f>
        <v>Ve</v>
      </c>
      <c r="Q452" s="93"/>
      <c r="R452" s="84">
        <v>40</v>
      </c>
      <c r="S452" s="84" t="s">
        <v>318</v>
      </c>
      <c r="T452" s="85">
        <f>IF(R452&gt;0,IF(RIGHT(Ruimtestaat[[#This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2" s="85">
        <f>IF(T452&gt;0,VLOOKUP($J452,Ruimtegroepen[],3,FALSE)*VLOOKUP($L452,Vloersoorten[],3,FALSE)*VLOOKUP($S452,Frequenties[],3,FALSE)*VLOOKUP($A452,Locaties[],3,FALSE),0)</f>
        <v>0</v>
      </c>
      <c r="V452" s="86">
        <f>Ruimtestaat[[#This Row],[Uitvoeringen werkdagen]]*Ruimtestaat[[#This Row],[Oppervlak (netto)]]</f>
        <v>518</v>
      </c>
      <c r="W452" s="87">
        <f>IF(U452&gt;0,Ruimtestaat[[#This Row],[Prest. (m2 /jaar) werkdagen]]/Ruimtestaat[[#This Row],[Norm (m2/uur) werkdagen]],0)</f>
        <v>0</v>
      </c>
      <c r="X452" s="88">
        <f>Ruimtestaat[[#This Row],[uren / jaar werkdagen]]*Tariefsopbouw!$E$35</f>
        <v>0</v>
      </c>
      <c r="Y452" s="85"/>
      <c r="Z452" s="89">
        <f>IF(Ruimtestaat[[#This Row],[Frequentie weekend]]&gt;0,VALUE(LEFT(Y452,1))*R452,0)</f>
        <v>0</v>
      </c>
      <c r="AA452" s="85">
        <f>IF($Z452&gt;0,VLOOKUP($J452,Ruimtegroepen[],3,FALSE)*VLOOKUP($L452,Vloersoorten[],3,FALSE)*VLOOKUP($Y452,Frequenties[],3,FALSE)*VLOOKUP(#REF!,Locaties[],3,FALSE),0)</f>
        <v>0</v>
      </c>
      <c r="AB452" s="87">
        <f>Ruimtestaat[[#This Row],[Uitvoeringen weekend]]*Ruimtestaat[[#This Row],[Oppervlak (netto)]]</f>
        <v>0</v>
      </c>
      <c r="AC452" s="90">
        <f>IF(AB452&gt;0,Ruimtestaat[[#This Row],[Prest. (m2 /jaar) weekend]]/Ruimtestaat[[#This Row],[Norm (m2/uur) weekend]],0)</f>
        <v>0</v>
      </c>
      <c r="AD452" s="91">
        <f>Ruimtestaat[[#This Row],[uren / jaar weekend]]*Tariefsopbouw!$D$40</f>
        <v>0</v>
      </c>
      <c r="AE452" s="60">
        <f>Ruimtestaat[[#This Row],[Prest. (m2 /jaar) weekend]]+Ruimtestaat[[#This Row],[Prest. (m2 /jaar) werkdagen]]</f>
        <v>518</v>
      </c>
      <c r="AF452" s="60">
        <f>Ruimtestaat[[#This Row],[uren / jaar weekend]]+Ruimtestaat[[#This Row],[uren / jaar werkdagen]]</f>
        <v>0</v>
      </c>
      <c r="AG452" s="61">
        <f>Ruimtestaat[[#This Row],[kosten / jaar weekend]]+Ruimtestaat[[#This Row],[kosten / jaar werkdagen]]</f>
        <v>0</v>
      </c>
      <c r="AH452" s="92"/>
      <c r="HL452" s="59"/>
    </row>
    <row r="453" spans="1:220">
      <c r="A453" s="24">
        <v>2</v>
      </c>
      <c r="B453" s="24" t="str">
        <f>VLOOKUP(Ruimtestaat[[#This Row],[Code]],Locaties[#All],2,FALSE)</f>
        <v>Het Stormink</v>
      </c>
      <c r="C453" s="24" t="str">
        <f>VLOOKUP(Ruimtestaat[[#This Row],[Code]],Locaties[#All],4,FALSE)</f>
        <v>Storminkstraat 1</v>
      </c>
      <c r="D453" s="24" t="str">
        <f>VLOOKUP(Ruimtestaat[[#This Row],[Code]],Locaties[#All],5,FALSE)</f>
        <v>7418 GH</v>
      </c>
      <c r="E453" s="24" t="str">
        <f>VLOOKUP(Ruimtestaat[[#This Row],[Code]],Locaties[#All],6,FALSE)</f>
        <v>Deventer</v>
      </c>
      <c r="F453" s="54"/>
      <c r="G453" s="24" t="s">
        <v>656</v>
      </c>
      <c r="H453" s="24" t="s">
        <v>877</v>
      </c>
      <c r="I453" s="4" t="s">
        <v>473</v>
      </c>
      <c r="J453" s="24">
        <v>5</v>
      </c>
      <c r="K453" s="54" t="str">
        <f>VLOOKUP(J453,Ruimtegroepen[],2,FALSE)</f>
        <v>Sanitair</v>
      </c>
      <c r="L453" s="24" t="s">
        <v>300</v>
      </c>
      <c r="M453" s="24" t="s">
        <v>157</v>
      </c>
      <c r="N453" s="83">
        <v>11.6</v>
      </c>
      <c r="O453" s="83"/>
      <c r="P453" s="93" t="str">
        <f>LEFT(VLOOKUP(Ruimtestaat[[#This Row],[Ruimte code]],Ruimtegroepen[#All],4,1),2)</f>
        <v>Sa</v>
      </c>
      <c r="Q453" s="93"/>
      <c r="R453" s="84">
        <v>42</v>
      </c>
      <c r="S453" s="84" t="s">
        <v>316</v>
      </c>
      <c r="T453" s="85">
        <f>IF(R453&gt;0,IF(RIGHT(Ruimtestaat[[#This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53" s="85">
        <f>IF(T453&gt;0,VLOOKUP($J453,Ruimtegroepen[],3,FALSE)*VLOOKUP($L453,Vloersoorten[],3,FALSE)*VLOOKUP($S453,Frequenties[],3,FALSE)*VLOOKUP($A453,Locaties[],3,FALSE),0)</f>
        <v>0</v>
      </c>
      <c r="V453" s="86">
        <f>Ruimtestaat[[#This Row],[Uitvoeringen werkdagen]]*Ruimtestaat[[#This Row],[Oppervlak (netto)]]</f>
        <v>4872</v>
      </c>
      <c r="W453" s="87">
        <f>IF(U453&gt;0,Ruimtestaat[[#This Row],[Prest. (m2 /jaar) werkdagen]]/Ruimtestaat[[#This Row],[Norm (m2/uur) werkdagen]],0)</f>
        <v>0</v>
      </c>
      <c r="X453" s="88">
        <f>Ruimtestaat[[#This Row],[uren / jaar werkdagen]]*Tariefsopbouw!$E$35</f>
        <v>0</v>
      </c>
      <c r="Y453" s="85"/>
      <c r="Z453" s="89">
        <f>IF(Ruimtestaat[[#This Row],[Frequentie weekend]]&gt;0,VALUE(LEFT(Y453,1))*R453,0)</f>
        <v>0</v>
      </c>
      <c r="AA453" s="85">
        <f>IF($Z453&gt;0,VLOOKUP($J453,Ruimtegroepen[],3,FALSE)*VLOOKUP($L453,Vloersoorten[],3,FALSE)*VLOOKUP($Y453,Frequenties[],3,FALSE)*VLOOKUP(#REF!,Locaties[],3,FALSE),0)</f>
        <v>0</v>
      </c>
      <c r="AB453" s="87">
        <f>Ruimtestaat[[#This Row],[Uitvoeringen weekend]]*Ruimtestaat[[#This Row],[Oppervlak (netto)]]</f>
        <v>0</v>
      </c>
      <c r="AC453" s="90">
        <f>IF(AB453&gt;0,Ruimtestaat[[#This Row],[Prest. (m2 /jaar) weekend]]/Ruimtestaat[[#This Row],[Norm (m2/uur) weekend]],0)</f>
        <v>0</v>
      </c>
      <c r="AD453" s="91">
        <f>Ruimtestaat[[#This Row],[uren / jaar weekend]]*Tariefsopbouw!$D$40</f>
        <v>0</v>
      </c>
      <c r="AE453" s="60">
        <f>Ruimtestaat[[#This Row],[Prest. (m2 /jaar) weekend]]+Ruimtestaat[[#This Row],[Prest. (m2 /jaar) werkdagen]]</f>
        <v>4872</v>
      </c>
      <c r="AF453" s="60">
        <f>Ruimtestaat[[#This Row],[uren / jaar weekend]]+Ruimtestaat[[#This Row],[uren / jaar werkdagen]]</f>
        <v>0</v>
      </c>
      <c r="AG453" s="61">
        <f>Ruimtestaat[[#This Row],[kosten / jaar weekend]]+Ruimtestaat[[#This Row],[kosten / jaar werkdagen]]</f>
        <v>0</v>
      </c>
      <c r="AH453" s="92"/>
      <c r="HL453" s="59"/>
    </row>
    <row r="454" spans="1:220">
      <c r="A454" s="24">
        <v>2</v>
      </c>
      <c r="B454" s="24" t="str">
        <f>VLOOKUP(Ruimtestaat[[#This Row],[Code]],Locaties[#All],2,FALSE)</f>
        <v>Het Stormink</v>
      </c>
      <c r="C454" s="24" t="str">
        <f>VLOOKUP(Ruimtestaat[[#This Row],[Code]],Locaties[#All],4,FALSE)</f>
        <v>Storminkstraat 1</v>
      </c>
      <c r="D454" s="24" t="str">
        <f>VLOOKUP(Ruimtestaat[[#This Row],[Code]],Locaties[#All],5,FALSE)</f>
        <v>7418 GH</v>
      </c>
      <c r="E454" s="24" t="str">
        <f>VLOOKUP(Ruimtestaat[[#This Row],[Code]],Locaties[#All],6,FALSE)</f>
        <v>Deventer</v>
      </c>
      <c r="F454" s="54"/>
      <c r="G454" s="24" t="s">
        <v>656</v>
      </c>
      <c r="H454" s="24" t="s">
        <v>878</v>
      </c>
      <c r="I454" s="4" t="s">
        <v>675</v>
      </c>
      <c r="J454" s="24">
        <v>5</v>
      </c>
      <c r="K454" s="54" t="str">
        <f>VLOOKUP(J454,Ruimtegroepen[],2,FALSE)</f>
        <v>Sanitair</v>
      </c>
      <c r="L454" s="24" t="s">
        <v>300</v>
      </c>
      <c r="M454" s="24" t="s">
        <v>157</v>
      </c>
      <c r="N454" s="83">
        <v>11.6</v>
      </c>
      <c r="O454" s="83"/>
      <c r="P454" s="93" t="str">
        <f>LEFT(VLOOKUP(Ruimtestaat[[#This Row],[Ruimte code]],Ruimtegroepen[#All],4,1),2)</f>
        <v>Sa</v>
      </c>
      <c r="Q454" s="93"/>
      <c r="R454" s="84">
        <v>42</v>
      </c>
      <c r="S454" s="84" t="s">
        <v>316</v>
      </c>
      <c r="T454" s="85">
        <f>IF(R454&gt;0,IF(RIGHT(Ruimtestaat[[#This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54" s="85">
        <f>IF(T454&gt;0,VLOOKUP($J454,Ruimtegroepen[],3,FALSE)*VLOOKUP($L454,Vloersoorten[],3,FALSE)*VLOOKUP($S454,Frequenties[],3,FALSE)*VLOOKUP($A454,Locaties[],3,FALSE),0)</f>
        <v>0</v>
      </c>
      <c r="V454" s="86">
        <f>Ruimtestaat[[#This Row],[Uitvoeringen werkdagen]]*Ruimtestaat[[#This Row],[Oppervlak (netto)]]</f>
        <v>4872</v>
      </c>
      <c r="W454" s="87">
        <f>IF(U454&gt;0,Ruimtestaat[[#This Row],[Prest. (m2 /jaar) werkdagen]]/Ruimtestaat[[#This Row],[Norm (m2/uur) werkdagen]],0)</f>
        <v>0</v>
      </c>
      <c r="X454" s="88">
        <f>Ruimtestaat[[#This Row],[uren / jaar werkdagen]]*Tariefsopbouw!$E$35</f>
        <v>0</v>
      </c>
      <c r="Y454" s="85"/>
      <c r="Z454" s="89">
        <f>IF(Ruimtestaat[[#This Row],[Frequentie weekend]]&gt;0,VALUE(LEFT(Y454,1))*R454,0)</f>
        <v>0</v>
      </c>
      <c r="AA454" s="85">
        <f>IF($Z454&gt;0,VLOOKUP($J454,Ruimtegroepen[],3,FALSE)*VLOOKUP($L454,Vloersoorten[],3,FALSE)*VLOOKUP($Y454,Frequenties[],3,FALSE)*VLOOKUP(#REF!,Locaties[],3,FALSE),0)</f>
        <v>0</v>
      </c>
      <c r="AB454" s="87">
        <f>Ruimtestaat[[#This Row],[Uitvoeringen weekend]]*Ruimtestaat[[#This Row],[Oppervlak (netto)]]</f>
        <v>0</v>
      </c>
      <c r="AC454" s="90">
        <f>IF(AB454&gt;0,Ruimtestaat[[#This Row],[Prest. (m2 /jaar) weekend]]/Ruimtestaat[[#This Row],[Norm (m2/uur) weekend]],0)</f>
        <v>0</v>
      </c>
      <c r="AD454" s="91">
        <f>Ruimtestaat[[#This Row],[uren / jaar weekend]]*Tariefsopbouw!$D$40</f>
        <v>0</v>
      </c>
      <c r="AE454" s="60">
        <f>Ruimtestaat[[#This Row],[Prest. (m2 /jaar) weekend]]+Ruimtestaat[[#This Row],[Prest. (m2 /jaar) werkdagen]]</f>
        <v>4872</v>
      </c>
      <c r="AF454" s="60">
        <f>Ruimtestaat[[#This Row],[uren / jaar weekend]]+Ruimtestaat[[#This Row],[uren / jaar werkdagen]]</f>
        <v>0</v>
      </c>
      <c r="AG454" s="61">
        <f>Ruimtestaat[[#This Row],[kosten / jaar weekend]]+Ruimtestaat[[#This Row],[kosten / jaar werkdagen]]</f>
        <v>0</v>
      </c>
      <c r="AH454" s="92"/>
      <c r="HL454" s="59"/>
    </row>
    <row r="455" spans="1:220">
      <c r="A455" s="24">
        <v>2</v>
      </c>
      <c r="B455" s="24" t="str">
        <f>VLOOKUP(Ruimtestaat[[#This Row],[Code]],Locaties[#All],2,FALSE)</f>
        <v>Het Stormink</v>
      </c>
      <c r="C455" s="24" t="str">
        <f>VLOOKUP(Ruimtestaat[[#This Row],[Code]],Locaties[#All],4,FALSE)</f>
        <v>Storminkstraat 1</v>
      </c>
      <c r="D455" s="24" t="str">
        <f>VLOOKUP(Ruimtestaat[[#This Row],[Code]],Locaties[#All],5,FALSE)</f>
        <v>7418 GH</v>
      </c>
      <c r="E455" s="24" t="str">
        <f>VLOOKUP(Ruimtestaat[[#This Row],[Code]],Locaties[#All],6,FALSE)</f>
        <v>Deventer</v>
      </c>
      <c r="F455" s="54"/>
      <c r="G455" s="24" t="s">
        <v>656</v>
      </c>
      <c r="H455" s="24" t="s">
        <v>879</v>
      </c>
      <c r="I455" s="4" t="s">
        <v>880</v>
      </c>
      <c r="J455" s="24">
        <v>22</v>
      </c>
      <c r="K455" s="54" t="str">
        <f>VLOOKUP(J455,Ruimtegroepen[],2,FALSE)</f>
        <v>Niet in onderhoud</v>
      </c>
      <c r="L455" s="24" t="s">
        <v>300</v>
      </c>
      <c r="M455" s="24" t="s">
        <v>157</v>
      </c>
      <c r="N455" s="83"/>
      <c r="O455" s="83">
        <v>36.43</v>
      </c>
      <c r="P455" s="93" t="str">
        <f>LEFT(VLOOKUP(Ruimtestaat[[#This Row],[Ruimte code]],Ruimtegroepen[#All],4,1),2)</f>
        <v/>
      </c>
      <c r="Q455" s="93"/>
      <c r="R455" s="84"/>
      <c r="S455" s="84"/>
      <c r="T455" s="85">
        <f>IF(R455&gt;0,IF(RIGHT(Ruimtestaat[[#This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55" s="85">
        <f>IF(T455&gt;0,VLOOKUP($J455,Ruimtegroepen[],3,FALSE)*VLOOKUP($L455,Vloersoorten[],3,FALSE)*VLOOKUP($S455,Frequenties[],3,FALSE)*VLOOKUP($A455,Locaties[],3,FALSE),0)</f>
        <v>0</v>
      </c>
      <c r="V455" s="86">
        <f>Ruimtestaat[[#This Row],[Uitvoeringen werkdagen]]*Ruimtestaat[[#This Row],[Oppervlak (netto)]]</f>
        <v>0</v>
      </c>
      <c r="W455" s="87">
        <f>IF(U455&gt;0,Ruimtestaat[[#This Row],[Prest. (m2 /jaar) werkdagen]]/Ruimtestaat[[#This Row],[Norm (m2/uur) werkdagen]],0)</f>
        <v>0</v>
      </c>
      <c r="X455" s="88">
        <f>Ruimtestaat[[#This Row],[uren / jaar werkdagen]]*Tariefsopbouw!$E$35</f>
        <v>0</v>
      </c>
      <c r="Y455" s="85"/>
      <c r="Z455" s="89">
        <f>IF(Ruimtestaat[[#This Row],[Frequentie weekend]]&gt;0,VALUE(LEFT(Y455,1))*R455,0)</f>
        <v>0</v>
      </c>
      <c r="AA455" s="85">
        <f>IF($Z455&gt;0,VLOOKUP($J455,Ruimtegroepen[],3,FALSE)*VLOOKUP($L455,Vloersoorten[],3,FALSE)*VLOOKUP($Y455,Frequenties[],3,FALSE)*VLOOKUP(#REF!,Locaties[],3,FALSE),0)</f>
        <v>0</v>
      </c>
      <c r="AB455" s="87">
        <f>Ruimtestaat[[#This Row],[Uitvoeringen weekend]]*Ruimtestaat[[#This Row],[Oppervlak (netto)]]</f>
        <v>0</v>
      </c>
      <c r="AC455" s="90">
        <f>IF(AB455&gt;0,Ruimtestaat[[#This Row],[Prest. (m2 /jaar) weekend]]/Ruimtestaat[[#This Row],[Norm (m2/uur) weekend]],0)</f>
        <v>0</v>
      </c>
      <c r="AD455" s="91">
        <f>Ruimtestaat[[#This Row],[uren / jaar weekend]]*Tariefsopbouw!$D$40</f>
        <v>0</v>
      </c>
      <c r="AE455" s="60">
        <f>Ruimtestaat[[#This Row],[Prest. (m2 /jaar) weekend]]+Ruimtestaat[[#This Row],[Prest. (m2 /jaar) werkdagen]]</f>
        <v>0</v>
      </c>
      <c r="AF455" s="60">
        <f>Ruimtestaat[[#This Row],[uren / jaar weekend]]+Ruimtestaat[[#This Row],[uren / jaar werkdagen]]</f>
        <v>0</v>
      </c>
      <c r="AG455" s="61">
        <f>Ruimtestaat[[#This Row],[kosten / jaar weekend]]+Ruimtestaat[[#This Row],[kosten / jaar werkdagen]]</f>
        <v>0</v>
      </c>
      <c r="AH455" s="92"/>
      <c r="HL455" s="59"/>
    </row>
    <row r="456" spans="1:220">
      <c r="A456" s="24">
        <v>2</v>
      </c>
      <c r="B456" s="24" t="str">
        <f>VLOOKUP(Ruimtestaat[[#This Row],[Code]],Locaties[#All],2,FALSE)</f>
        <v>Het Stormink</v>
      </c>
      <c r="C456" s="24" t="str">
        <f>VLOOKUP(Ruimtestaat[[#This Row],[Code]],Locaties[#All],4,FALSE)</f>
        <v>Storminkstraat 1</v>
      </c>
      <c r="D456" s="24" t="str">
        <f>VLOOKUP(Ruimtestaat[[#This Row],[Code]],Locaties[#All],5,FALSE)</f>
        <v>7418 GH</v>
      </c>
      <c r="E456" s="24" t="str">
        <f>VLOOKUP(Ruimtestaat[[#This Row],[Code]],Locaties[#All],6,FALSE)</f>
        <v>Deventer</v>
      </c>
      <c r="F456" s="54"/>
      <c r="G456" s="24" t="s">
        <v>656</v>
      </c>
      <c r="H456" s="24" t="s">
        <v>881</v>
      </c>
      <c r="I456" s="4" t="s">
        <v>882</v>
      </c>
      <c r="J456" s="24">
        <v>22</v>
      </c>
      <c r="K456" s="54" t="str">
        <f>VLOOKUP(J456,Ruimtegroepen[],2,FALSE)</f>
        <v>Niet in onderhoud</v>
      </c>
      <c r="L456" s="24" t="s">
        <v>300</v>
      </c>
      <c r="M456" s="24" t="s">
        <v>157</v>
      </c>
      <c r="N456" s="83"/>
      <c r="O456" s="83">
        <v>37.9</v>
      </c>
      <c r="P456" s="93" t="str">
        <f>LEFT(VLOOKUP(Ruimtestaat[[#This Row],[Ruimte code]],Ruimtegroepen[#All],4,1),2)</f>
        <v/>
      </c>
      <c r="Q456" s="93"/>
      <c r="R456" s="84"/>
      <c r="S456" s="84"/>
      <c r="T456" s="85">
        <f>IF(R456&gt;0,IF(RIGHT(Ruimtestaat[[#This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56" s="85">
        <f>IF(T456&gt;0,VLOOKUP($J456,Ruimtegroepen[],3,FALSE)*VLOOKUP($L456,Vloersoorten[],3,FALSE)*VLOOKUP($S456,Frequenties[],3,FALSE)*VLOOKUP($A456,Locaties[],3,FALSE),0)</f>
        <v>0</v>
      </c>
      <c r="V456" s="86">
        <f>Ruimtestaat[[#This Row],[Uitvoeringen werkdagen]]*Ruimtestaat[[#This Row],[Oppervlak (netto)]]</f>
        <v>0</v>
      </c>
      <c r="W456" s="87">
        <f>IF(U456&gt;0,Ruimtestaat[[#This Row],[Prest. (m2 /jaar) werkdagen]]/Ruimtestaat[[#This Row],[Norm (m2/uur) werkdagen]],0)</f>
        <v>0</v>
      </c>
      <c r="X456" s="88">
        <f>Ruimtestaat[[#This Row],[uren / jaar werkdagen]]*Tariefsopbouw!$E$35</f>
        <v>0</v>
      </c>
      <c r="Y456" s="85"/>
      <c r="Z456" s="89">
        <f>IF(Ruimtestaat[[#This Row],[Frequentie weekend]]&gt;0,VALUE(LEFT(Y456,1))*R456,0)</f>
        <v>0</v>
      </c>
      <c r="AA456" s="85">
        <f>IF($Z456&gt;0,VLOOKUP($J456,Ruimtegroepen[],3,FALSE)*VLOOKUP($L456,Vloersoorten[],3,FALSE)*VLOOKUP($Y456,Frequenties[],3,FALSE)*VLOOKUP(#REF!,Locaties[],3,FALSE),0)</f>
        <v>0</v>
      </c>
      <c r="AB456" s="87">
        <f>Ruimtestaat[[#This Row],[Uitvoeringen weekend]]*Ruimtestaat[[#This Row],[Oppervlak (netto)]]</f>
        <v>0</v>
      </c>
      <c r="AC456" s="90">
        <f>IF(AB456&gt;0,Ruimtestaat[[#This Row],[Prest. (m2 /jaar) weekend]]/Ruimtestaat[[#This Row],[Norm (m2/uur) weekend]],0)</f>
        <v>0</v>
      </c>
      <c r="AD456" s="91">
        <f>Ruimtestaat[[#This Row],[uren / jaar weekend]]*Tariefsopbouw!$D$40</f>
        <v>0</v>
      </c>
      <c r="AE456" s="60">
        <f>Ruimtestaat[[#This Row],[Prest. (m2 /jaar) weekend]]+Ruimtestaat[[#This Row],[Prest. (m2 /jaar) werkdagen]]</f>
        <v>0</v>
      </c>
      <c r="AF456" s="60">
        <f>Ruimtestaat[[#This Row],[uren / jaar weekend]]+Ruimtestaat[[#This Row],[uren / jaar werkdagen]]</f>
        <v>0</v>
      </c>
      <c r="AG456" s="61">
        <f>Ruimtestaat[[#This Row],[kosten / jaar weekend]]+Ruimtestaat[[#This Row],[kosten / jaar werkdagen]]</f>
        <v>0</v>
      </c>
      <c r="AH456" s="92"/>
      <c r="HL456" s="59"/>
    </row>
    <row r="457" spans="1:220">
      <c r="A457" s="24">
        <v>2</v>
      </c>
      <c r="B457" s="24" t="str">
        <f>VLOOKUP(Ruimtestaat[[#This Row],[Code]],Locaties[#All],2,FALSE)</f>
        <v>Het Stormink</v>
      </c>
      <c r="C457" s="24" t="str">
        <f>VLOOKUP(Ruimtestaat[[#This Row],[Code]],Locaties[#All],4,FALSE)</f>
        <v>Storminkstraat 1</v>
      </c>
      <c r="D457" s="24" t="str">
        <f>VLOOKUP(Ruimtestaat[[#This Row],[Code]],Locaties[#All],5,FALSE)</f>
        <v>7418 GH</v>
      </c>
      <c r="E457" s="24" t="str">
        <f>VLOOKUP(Ruimtestaat[[#This Row],[Code]],Locaties[#All],6,FALSE)</f>
        <v>Deventer</v>
      </c>
      <c r="F457" s="54"/>
      <c r="G457" s="24" t="s">
        <v>656</v>
      </c>
      <c r="H457" s="24" t="s">
        <v>883</v>
      </c>
      <c r="I457" s="4" t="s">
        <v>684</v>
      </c>
      <c r="J457" s="24">
        <v>2</v>
      </c>
      <c r="K457" s="54" t="str">
        <f>VLOOKUP(J457,Ruimtegroepen[],2,FALSE)</f>
        <v>Kantoren</v>
      </c>
      <c r="L457" s="24" t="s">
        <v>300</v>
      </c>
      <c r="M457" s="24" t="s">
        <v>157</v>
      </c>
      <c r="N457" s="83">
        <v>24.95</v>
      </c>
      <c r="O457" s="83"/>
      <c r="P457" s="93" t="str">
        <f>LEFT(VLOOKUP(Ruimtestaat[[#This Row],[Ruimte code]],Ruimtegroepen[#All],4,1),2)</f>
        <v>Bu</v>
      </c>
      <c r="Q457" s="93"/>
      <c r="R457" s="84">
        <v>42</v>
      </c>
      <c r="S457" s="84" t="s">
        <v>322</v>
      </c>
      <c r="T457" s="85">
        <f>IF(R457&gt;0,IF(RIGHT(Ruimtestaat[[#This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57" s="85">
        <f>IF(T457&gt;0,VLOOKUP($J457,Ruimtegroepen[],3,FALSE)*VLOOKUP($L457,Vloersoorten[],3,FALSE)*VLOOKUP($S457,Frequenties[],3,FALSE)*VLOOKUP($A457,Locaties[],3,FALSE),0)</f>
        <v>0</v>
      </c>
      <c r="V457" s="86">
        <f>Ruimtestaat[[#This Row],[Uitvoeringen werkdagen]]*Ruimtestaat[[#This Row],[Oppervlak (netto)]]</f>
        <v>3143.7</v>
      </c>
      <c r="W457" s="87">
        <f>IF(U457&gt;0,Ruimtestaat[[#This Row],[Prest. (m2 /jaar) werkdagen]]/Ruimtestaat[[#This Row],[Norm (m2/uur) werkdagen]],0)</f>
        <v>0</v>
      </c>
      <c r="X457" s="88">
        <f>Ruimtestaat[[#This Row],[uren / jaar werkdagen]]*Tariefsopbouw!$E$35</f>
        <v>0</v>
      </c>
      <c r="Y457" s="85"/>
      <c r="Z457" s="89">
        <f>IF(Ruimtestaat[[#This Row],[Frequentie weekend]]&gt;0,VALUE(LEFT(Y457,1))*R457,0)</f>
        <v>0</v>
      </c>
      <c r="AA457" s="85">
        <f>IF($Z457&gt;0,VLOOKUP($J457,Ruimtegroepen[],3,FALSE)*VLOOKUP($L457,Vloersoorten[],3,FALSE)*VLOOKUP($Y457,Frequenties[],3,FALSE)*VLOOKUP(#REF!,Locaties[],3,FALSE),0)</f>
        <v>0</v>
      </c>
      <c r="AB457" s="87">
        <f>Ruimtestaat[[#This Row],[Uitvoeringen weekend]]*Ruimtestaat[[#This Row],[Oppervlak (netto)]]</f>
        <v>0</v>
      </c>
      <c r="AC457" s="90">
        <f>IF(AB457&gt;0,Ruimtestaat[[#This Row],[Prest. (m2 /jaar) weekend]]/Ruimtestaat[[#This Row],[Norm (m2/uur) weekend]],0)</f>
        <v>0</v>
      </c>
      <c r="AD457" s="91">
        <f>Ruimtestaat[[#This Row],[uren / jaar weekend]]*Tariefsopbouw!$D$40</f>
        <v>0</v>
      </c>
      <c r="AE457" s="60">
        <f>Ruimtestaat[[#This Row],[Prest. (m2 /jaar) weekend]]+Ruimtestaat[[#This Row],[Prest. (m2 /jaar) werkdagen]]</f>
        <v>3143.7</v>
      </c>
      <c r="AF457" s="60">
        <f>Ruimtestaat[[#This Row],[uren / jaar weekend]]+Ruimtestaat[[#This Row],[uren / jaar werkdagen]]</f>
        <v>0</v>
      </c>
      <c r="AG457" s="61">
        <f>Ruimtestaat[[#This Row],[kosten / jaar weekend]]+Ruimtestaat[[#This Row],[kosten / jaar werkdagen]]</f>
        <v>0</v>
      </c>
      <c r="AH457" s="92"/>
      <c r="HL457" s="59"/>
    </row>
    <row r="458" spans="1:220">
      <c r="A458" s="24">
        <v>2</v>
      </c>
      <c r="B458" s="24" t="str">
        <f>VLOOKUP(Ruimtestaat[[#This Row],[Code]],Locaties[#All],2,FALSE)</f>
        <v>Het Stormink</v>
      </c>
      <c r="C458" s="24" t="str">
        <f>VLOOKUP(Ruimtestaat[[#This Row],[Code]],Locaties[#All],4,FALSE)</f>
        <v>Storminkstraat 1</v>
      </c>
      <c r="D458" s="24" t="str">
        <f>VLOOKUP(Ruimtestaat[[#This Row],[Code]],Locaties[#All],5,FALSE)</f>
        <v>7418 GH</v>
      </c>
      <c r="E458" s="24" t="str">
        <f>VLOOKUP(Ruimtestaat[[#This Row],[Code]],Locaties[#All],6,FALSE)</f>
        <v>Deventer</v>
      </c>
      <c r="F458" s="54"/>
      <c r="G458" s="24" t="s">
        <v>656</v>
      </c>
      <c r="H458" s="24" t="s">
        <v>884</v>
      </c>
      <c r="I458" s="4" t="s">
        <v>384</v>
      </c>
      <c r="J458" s="24">
        <v>4</v>
      </c>
      <c r="K458" s="54" t="str">
        <f>VLOOKUP(J458,Ruimtegroepen[],2,FALSE)</f>
        <v>Vergader/spreekkamers</v>
      </c>
      <c r="L458" s="24" t="s">
        <v>300</v>
      </c>
      <c r="M458" s="24" t="s">
        <v>157</v>
      </c>
      <c r="N458" s="83">
        <v>12.46</v>
      </c>
      <c r="O458" s="83"/>
      <c r="P458" s="93" t="str">
        <f>LEFT(VLOOKUP(Ruimtestaat[[#This Row],[Ruimte code]],Ruimtegroepen[#All],4,1),2)</f>
        <v>Bu</v>
      </c>
      <c r="Q458" s="93"/>
      <c r="R458" s="84">
        <v>40</v>
      </c>
      <c r="S458" s="84" t="s">
        <v>322</v>
      </c>
      <c r="T458" s="85">
        <f>IF(R458&gt;0,IF(RIGHT(Ruimtestaat[[#This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58" s="85">
        <f>IF(T458&gt;0,VLOOKUP($J458,Ruimtegroepen[],3,FALSE)*VLOOKUP($L458,Vloersoorten[],3,FALSE)*VLOOKUP($S458,Frequenties[],3,FALSE)*VLOOKUP($A458,Locaties[],3,FALSE),0)</f>
        <v>0</v>
      </c>
      <c r="V458" s="86">
        <f>Ruimtestaat[[#This Row],[Uitvoeringen werkdagen]]*Ruimtestaat[[#This Row],[Oppervlak (netto)]]</f>
        <v>1495.2</v>
      </c>
      <c r="W458" s="87">
        <f>IF(U458&gt;0,Ruimtestaat[[#This Row],[Prest. (m2 /jaar) werkdagen]]/Ruimtestaat[[#This Row],[Norm (m2/uur) werkdagen]],0)</f>
        <v>0</v>
      </c>
      <c r="X458" s="88">
        <f>Ruimtestaat[[#This Row],[uren / jaar werkdagen]]*Tariefsopbouw!$E$35</f>
        <v>0</v>
      </c>
      <c r="Y458" s="85"/>
      <c r="Z458" s="89">
        <f>IF(Ruimtestaat[[#This Row],[Frequentie weekend]]&gt;0,VALUE(LEFT(Y458,1))*R458,0)</f>
        <v>0</v>
      </c>
      <c r="AA458" s="85">
        <f>IF($Z458&gt;0,VLOOKUP($J458,Ruimtegroepen[],3,FALSE)*VLOOKUP($L458,Vloersoorten[],3,FALSE)*VLOOKUP($Y458,Frequenties[],3,FALSE)*VLOOKUP(#REF!,Locaties[],3,FALSE),0)</f>
        <v>0</v>
      </c>
      <c r="AB458" s="87">
        <f>Ruimtestaat[[#This Row],[Uitvoeringen weekend]]*Ruimtestaat[[#This Row],[Oppervlak (netto)]]</f>
        <v>0</v>
      </c>
      <c r="AC458" s="90">
        <f>IF(AB458&gt;0,Ruimtestaat[[#This Row],[Prest. (m2 /jaar) weekend]]/Ruimtestaat[[#This Row],[Norm (m2/uur) weekend]],0)</f>
        <v>0</v>
      </c>
      <c r="AD458" s="91">
        <f>Ruimtestaat[[#This Row],[uren / jaar weekend]]*Tariefsopbouw!$D$40</f>
        <v>0</v>
      </c>
      <c r="AE458" s="60">
        <f>Ruimtestaat[[#This Row],[Prest. (m2 /jaar) weekend]]+Ruimtestaat[[#This Row],[Prest. (m2 /jaar) werkdagen]]</f>
        <v>1495.2</v>
      </c>
      <c r="AF458" s="60">
        <f>Ruimtestaat[[#This Row],[uren / jaar weekend]]+Ruimtestaat[[#This Row],[uren / jaar werkdagen]]</f>
        <v>0</v>
      </c>
      <c r="AG458" s="61">
        <f>Ruimtestaat[[#This Row],[kosten / jaar weekend]]+Ruimtestaat[[#This Row],[kosten / jaar werkdagen]]</f>
        <v>0</v>
      </c>
      <c r="AH458" s="92"/>
      <c r="HL458" s="59"/>
    </row>
    <row r="459" spans="1:220">
      <c r="A459" s="24">
        <v>2</v>
      </c>
      <c r="B459" s="24" t="str">
        <f>VLOOKUP(Ruimtestaat[[#This Row],[Code]],Locaties[#All],2,FALSE)</f>
        <v>Het Stormink</v>
      </c>
      <c r="C459" s="24" t="str">
        <f>VLOOKUP(Ruimtestaat[[#This Row],[Code]],Locaties[#All],4,FALSE)</f>
        <v>Storminkstraat 1</v>
      </c>
      <c r="D459" s="24" t="str">
        <f>VLOOKUP(Ruimtestaat[[#This Row],[Code]],Locaties[#All],5,FALSE)</f>
        <v>7418 GH</v>
      </c>
      <c r="E459" s="24" t="str">
        <f>VLOOKUP(Ruimtestaat[[#This Row],[Code]],Locaties[#All],6,FALSE)</f>
        <v>Deventer</v>
      </c>
      <c r="F459" s="54"/>
      <c r="G459" s="24" t="s">
        <v>656</v>
      </c>
      <c r="H459" s="24" t="s">
        <v>885</v>
      </c>
      <c r="I459" s="4" t="s">
        <v>886</v>
      </c>
      <c r="J459" s="24">
        <v>2</v>
      </c>
      <c r="K459" s="54" t="str">
        <f>VLOOKUP(J459,Ruimtegroepen[],2,FALSE)</f>
        <v>Kantoren</v>
      </c>
      <c r="L459" s="24" t="s">
        <v>300</v>
      </c>
      <c r="M459" s="24" t="s">
        <v>157</v>
      </c>
      <c r="N459" s="83">
        <v>12.46</v>
      </c>
      <c r="O459" s="83"/>
      <c r="P459" s="93" t="str">
        <f>LEFT(VLOOKUP(Ruimtestaat[[#This Row],[Ruimte code]],Ruimtegroepen[#All],4,1),2)</f>
        <v>Bu</v>
      </c>
      <c r="Q459" s="93"/>
      <c r="R459" s="84">
        <v>42</v>
      </c>
      <c r="S459" s="84" t="s">
        <v>322</v>
      </c>
      <c r="T459" s="85">
        <f>IF(R459&gt;0,IF(RIGHT(Ruimtestaat[[#This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59" s="85">
        <f>IF(T459&gt;0,VLOOKUP($J459,Ruimtegroepen[],3,FALSE)*VLOOKUP($L459,Vloersoorten[],3,FALSE)*VLOOKUP($S459,Frequenties[],3,FALSE)*VLOOKUP($A459,Locaties[],3,FALSE),0)</f>
        <v>0</v>
      </c>
      <c r="V459" s="86">
        <f>Ruimtestaat[[#This Row],[Uitvoeringen werkdagen]]*Ruimtestaat[[#This Row],[Oppervlak (netto)]]</f>
        <v>1569.96</v>
      </c>
      <c r="W459" s="87">
        <f>IF(U459&gt;0,Ruimtestaat[[#This Row],[Prest. (m2 /jaar) werkdagen]]/Ruimtestaat[[#This Row],[Norm (m2/uur) werkdagen]],0)</f>
        <v>0</v>
      </c>
      <c r="X459" s="88">
        <f>Ruimtestaat[[#This Row],[uren / jaar werkdagen]]*Tariefsopbouw!$E$35</f>
        <v>0</v>
      </c>
      <c r="Y459" s="85"/>
      <c r="Z459" s="89">
        <f>IF(Ruimtestaat[[#This Row],[Frequentie weekend]]&gt;0,VALUE(LEFT(Y459,1))*R459,0)</f>
        <v>0</v>
      </c>
      <c r="AA459" s="85">
        <f>IF($Z459&gt;0,VLOOKUP($J459,Ruimtegroepen[],3,FALSE)*VLOOKUP($L459,Vloersoorten[],3,FALSE)*VLOOKUP($Y459,Frequenties[],3,FALSE)*VLOOKUP(#REF!,Locaties[],3,FALSE),0)</f>
        <v>0</v>
      </c>
      <c r="AB459" s="87">
        <f>Ruimtestaat[[#This Row],[Uitvoeringen weekend]]*Ruimtestaat[[#This Row],[Oppervlak (netto)]]</f>
        <v>0</v>
      </c>
      <c r="AC459" s="90">
        <f>IF(AB459&gt;0,Ruimtestaat[[#This Row],[Prest. (m2 /jaar) weekend]]/Ruimtestaat[[#This Row],[Norm (m2/uur) weekend]],0)</f>
        <v>0</v>
      </c>
      <c r="AD459" s="91">
        <f>Ruimtestaat[[#This Row],[uren / jaar weekend]]*Tariefsopbouw!$D$40</f>
        <v>0</v>
      </c>
      <c r="AE459" s="60">
        <f>Ruimtestaat[[#This Row],[Prest. (m2 /jaar) weekend]]+Ruimtestaat[[#This Row],[Prest. (m2 /jaar) werkdagen]]</f>
        <v>1569.96</v>
      </c>
      <c r="AF459" s="60">
        <f>Ruimtestaat[[#This Row],[uren / jaar weekend]]+Ruimtestaat[[#This Row],[uren / jaar werkdagen]]</f>
        <v>0</v>
      </c>
      <c r="AG459" s="61">
        <f>Ruimtestaat[[#This Row],[kosten / jaar weekend]]+Ruimtestaat[[#This Row],[kosten / jaar werkdagen]]</f>
        <v>0</v>
      </c>
      <c r="AH459" s="92"/>
      <c r="HL459" s="59"/>
    </row>
    <row r="460" spans="1:220">
      <c r="A460" s="24">
        <v>2</v>
      </c>
      <c r="B460" s="24" t="str">
        <f>VLOOKUP(Ruimtestaat[[#This Row],[Code]],Locaties[#All],2,FALSE)</f>
        <v>Het Stormink</v>
      </c>
      <c r="C460" s="24" t="str">
        <f>VLOOKUP(Ruimtestaat[[#This Row],[Code]],Locaties[#All],4,FALSE)</f>
        <v>Storminkstraat 1</v>
      </c>
      <c r="D460" s="24" t="str">
        <f>VLOOKUP(Ruimtestaat[[#This Row],[Code]],Locaties[#All],5,FALSE)</f>
        <v>7418 GH</v>
      </c>
      <c r="E460" s="24" t="str">
        <f>VLOOKUP(Ruimtestaat[[#This Row],[Code]],Locaties[#All],6,FALSE)</f>
        <v>Deventer</v>
      </c>
      <c r="F460" s="54"/>
      <c r="G460" s="24" t="s">
        <v>656</v>
      </c>
      <c r="H460" s="24" t="s">
        <v>887</v>
      </c>
      <c r="I460" s="4" t="s">
        <v>746</v>
      </c>
      <c r="J460" s="24">
        <v>2</v>
      </c>
      <c r="K460" s="54" t="str">
        <f>VLOOKUP(J460,Ruimtegroepen[],2,FALSE)</f>
        <v>Kantoren</v>
      </c>
      <c r="L460" s="24" t="s">
        <v>300</v>
      </c>
      <c r="M460" s="24" t="s">
        <v>157</v>
      </c>
      <c r="N460" s="83">
        <v>25.41</v>
      </c>
      <c r="O460" s="83"/>
      <c r="P460" s="93" t="str">
        <f>LEFT(VLOOKUP(Ruimtestaat[[#This Row],[Ruimte code]],Ruimtegroepen[#All],4,1),2)</f>
        <v>Bu</v>
      </c>
      <c r="Q460" s="93"/>
      <c r="R460" s="84">
        <v>42</v>
      </c>
      <c r="S460" s="84" t="s">
        <v>322</v>
      </c>
      <c r="T460" s="85">
        <f>IF(R460&gt;0,IF(RIGHT(Ruimtestaat[[#This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60" s="85">
        <f>IF(T460&gt;0,VLOOKUP($J460,Ruimtegroepen[],3,FALSE)*VLOOKUP($L460,Vloersoorten[],3,FALSE)*VLOOKUP($S460,Frequenties[],3,FALSE)*VLOOKUP($A460,Locaties[],3,FALSE),0)</f>
        <v>0</v>
      </c>
      <c r="V460" s="86">
        <f>Ruimtestaat[[#This Row],[Uitvoeringen werkdagen]]*Ruimtestaat[[#This Row],[Oppervlak (netto)]]</f>
        <v>3201.66</v>
      </c>
      <c r="W460" s="87">
        <f>IF(U460&gt;0,Ruimtestaat[[#This Row],[Prest. (m2 /jaar) werkdagen]]/Ruimtestaat[[#This Row],[Norm (m2/uur) werkdagen]],0)</f>
        <v>0</v>
      </c>
      <c r="X460" s="88">
        <f>Ruimtestaat[[#This Row],[uren / jaar werkdagen]]*Tariefsopbouw!$E$35</f>
        <v>0</v>
      </c>
      <c r="Y460" s="85"/>
      <c r="Z460" s="89">
        <f>IF(Ruimtestaat[[#This Row],[Frequentie weekend]]&gt;0,VALUE(LEFT(Y460,1))*R460,0)</f>
        <v>0</v>
      </c>
      <c r="AA460" s="85">
        <f>IF($Z460&gt;0,VLOOKUP($J460,Ruimtegroepen[],3,FALSE)*VLOOKUP($L460,Vloersoorten[],3,FALSE)*VLOOKUP($Y460,Frequenties[],3,FALSE)*VLOOKUP(#REF!,Locaties[],3,FALSE),0)</f>
        <v>0</v>
      </c>
      <c r="AB460" s="87">
        <f>Ruimtestaat[[#This Row],[Uitvoeringen weekend]]*Ruimtestaat[[#This Row],[Oppervlak (netto)]]</f>
        <v>0</v>
      </c>
      <c r="AC460" s="90">
        <f>IF(AB460&gt;0,Ruimtestaat[[#This Row],[Prest. (m2 /jaar) weekend]]/Ruimtestaat[[#This Row],[Norm (m2/uur) weekend]],0)</f>
        <v>0</v>
      </c>
      <c r="AD460" s="91">
        <f>Ruimtestaat[[#This Row],[uren / jaar weekend]]*Tariefsopbouw!$D$40</f>
        <v>0</v>
      </c>
      <c r="AE460" s="60">
        <f>Ruimtestaat[[#This Row],[Prest. (m2 /jaar) weekend]]+Ruimtestaat[[#This Row],[Prest. (m2 /jaar) werkdagen]]</f>
        <v>3201.66</v>
      </c>
      <c r="AF460" s="60">
        <f>Ruimtestaat[[#This Row],[uren / jaar weekend]]+Ruimtestaat[[#This Row],[uren / jaar werkdagen]]</f>
        <v>0</v>
      </c>
      <c r="AG460" s="61">
        <f>Ruimtestaat[[#This Row],[kosten / jaar weekend]]+Ruimtestaat[[#This Row],[kosten / jaar werkdagen]]</f>
        <v>0</v>
      </c>
      <c r="AH460" s="92"/>
      <c r="HL460" s="59"/>
    </row>
    <row r="461" spans="1:220">
      <c r="A461" s="24">
        <v>2</v>
      </c>
      <c r="B461" s="24" t="str">
        <f>VLOOKUP(Ruimtestaat[[#This Row],[Code]],Locaties[#All],2,FALSE)</f>
        <v>Het Stormink</v>
      </c>
      <c r="C461" s="24" t="str">
        <f>VLOOKUP(Ruimtestaat[[#This Row],[Code]],Locaties[#All],4,FALSE)</f>
        <v>Storminkstraat 1</v>
      </c>
      <c r="D461" s="24" t="str">
        <f>VLOOKUP(Ruimtestaat[[#This Row],[Code]],Locaties[#All],5,FALSE)</f>
        <v>7418 GH</v>
      </c>
      <c r="E461" s="24" t="str">
        <f>VLOOKUP(Ruimtestaat[[#This Row],[Code]],Locaties[#All],6,FALSE)</f>
        <v>Deventer</v>
      </c>
      <c r="F461" s="54"/>
      <c r="G461" s="24" t="s">
        <v>656</v>
      </c>
      <c r="H461" s="24" t="s">
        <v>888</v>
      </c>
      <c r="I461" s="4" t="s">
        <v>692</v>
      </c>
      <c r="J461" s="24">
        <v>5</v>
      </c>
      <c r="K461" s="54" t="str">
        <f>VLOOKUP(J461,Ruimtegroepen[],2,FALSE)</f>
        <v>Sanitair</v>
      </c>
      <c r="L461" s="24" t="s">
        <v>300</v>
      </c>
      <c r="M461" s="24" t="s">
        <v>157</v>
      </c>
      <c r="N461" s="83">
        <v>2.7</v>
      </c>
      <c r="O461" s="83"/>
      <c r="P461" s="93" t="str">
        <f>LEFT(VLOOKUP(Ruimtestaat[[#This Row],[Ruimte code]],Ruimtegroepen[#All],4,1),2)</f>
        <v>Sa</v>
      </c>
      <c r="Q461" s="93"/>
      <c r="R461" s="84">
        <v>42</v>
      </c>
      <c r="S461" s="84" t="s">
        <v>316</v>
      </c>
      <c r="T461" s="85">
        <f>IF(R461&gt;0,IF(RIGHT(Ruimtestaat[[#This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61" s="85">
        <f>IF(T461&gt;0,VLOOKUP($J461,Ruimtegroepen[],3,FALSE)*VLOOKUP($L461,Vloersoorten[],3,FALSE)*VLOOKUP($S461,Frequenties[],3,FALSE)*VLOOKUP($A461,Locaties[],3,FALSE),0)</f>
        <v>0</v>
      </c>
      <c r="V461" s="86">
        <f>Ruimtestaat[[#This Row],[Uitvoeringen werkdagen]]*Ruimtestaat[[#This Row],[Oppervlak (netto)]]</f>
        <v>1134</v>
      </c>
      <c r="W461" s="87">
        <f>IF(U461&gt;0,Ruimtestaat[[#This Row],[Prest. (m2 /jaar) werkdagen]]/Ruimtestaat[[#This Row],[Norm (m2/uur) werkdagen]],0)</f>
        <v>0</v>
      </c>
      <c r="X461" s="88">
        <f>Ruimtestaat[[#This Row],[uren / jaar werkdagen]]*Tariefsopbouw!$E$35</f>
        <v>0</v>
      </c>
      <c r="Y461" s="85"/>
      <c r="Z461" s="89">
        <f>IF(Ruimtestaat[[#This Row],[Frequentie weekend]]&gt;0,VALUE(LEFT(Y461,1))*R461,0)</f>
        <v>0</v>
      </c>
      <c r="AA461" s="85">
        <f>IF($Z461&gt;0,VLOOKUP($J461,Ruimtegroepen[],3,FALSE)*VLOOKUP($L461,Vloersoorten[],3,FALSE)*VLOOKUP($Y461,Frequenties[],3,FALSE)*VLOOKUP(#REF!,Locaties[],3,FALSE),0)</f>
        <v>0</v>
      </c>
      <c r="AB461" s="87">
        <f>Ruimtestaat[[#This Row],[Uitvoeringen weekend]]*Ruimtestaat[[#This Row],[Oppervlak (netto)]]</f>
        <v>0</v>
      </c>
      <c r="AC461" s="90">
        <f>IF(AB461&gt;0,Ruimtestaat[[#This Row],[Prest. (m2 /jaar) weekend]]/Ruimtestaat[[#This Row],[Norm (m2/uur) weekend]],0)</f>
        <v>0</v>
      </c>
      <c r="AD461" s="91">
        <f>Ruimtestaat[[#This Row],[uren / jaar weekend]]*Tariefsopbouw!$D$40</f>
        <v>0</v>
      </c>
      <c r="AE461" s="60">
        <f>Ruimtestaat[[#This Row],[Prest. (m2 /jaar) weekend]]+Ruimtestaat[[#This Row],[Prest. (m2 /jaar) werkdagen]]</f>
        <v>1134</v>
      </c>
      <c r="AF461" s="60">
        <f>Ruimtestaat[[#This Row],[uren / jaar weekend]]+Ruimtestaat[[#This Row],[uren / jaar werkdagen]]</f>
        <v>0</v>
      </c>
      <c r="AG461" s="61">
        <f>Ruimtestaat[[#This Row],[kosten / jaar weekend]]+Ruimtestaat[[#This Row],[kosten / jaar werkdagen]]</f>
        <v>0</v>
      </c>
      <c r="AH461" s="92"/>
      <c r="HL461" s="59"/>
    </row>
    <row r="462" spans="1:220">
      <c r="A462" s="24">
        <v>2</v>
      </c>
      <c r="B462" s="24" t="str">
        <f>VLOOKUP(Ruimtestaat[[#This Row],[Code]],Locaties[#All],2,FALSE)</f>
        <v>Het Stormink</v>
      </c>
      <c r="C462" s="24" t="str">
        <f>VLOOKUP(Ruimtestaat[[#This Row],[Code]],Locaties[#All],4,FALSE)</f>
        <v>Storminkstraat 1</v>
      </c>
      <c r="D462" s="24" t="str">
        <f>VLOOKUP(Ruimtestaat[[#This Row],[Code]],Locaties[#All],5,FALSE)</f>
        <v>7418 GH</v>
      </c>
      <c r="E462" s="24" t="str">
        <f>VLOOKUP(Ruimtestaat[[#This Row],[Code]],Locaties[#All],6,FALSE)</f>
        <v>Deventer</v>
      </c>
      <c r="F462" s="54"/>
      <c r="G462" s="24" t="s">
        <v>656</v>
      </c>
      <c r="H462" s="24" t="s">
        <v>889</v>
      </c>
      <c r="I462" s="4" t="s">
        <v>693</v>
      </c>
      <c r="J462" s="24">
        <v>5</v>
      </c>
      <c r="K462" s="54" t="str">
        <f>VLOOKUP(J462,Ruimtegroepen[],2,FALSE)</f>
        <v>Sanitair</v>
      </c>
      <c r="L462" s="24" t="s">
        <v>300</v>
      </c>
      <c r="M462" s="24" t="s">
        <v>157</v>
      </c>
      <c r="N462" s="83">
        <v>2.7</v>
      </c>
      <c r="O462" s="83"/>
      <c r="P462" s="93" t="str">
        <f>LEFT(VLOOKUP(Ruimtestaat[[#This Row],[Ruimte code]],Ruimtegroepen[#All],4,1),2)</f>
        <v>Sa</v>
      </c>
      <c r="Q462" s="93"/>
      <c r="R462" s="84">
        <v>42</v>
      </c>
      <c r="S462" s="84" t="s">
        <v>316</v>
      </c>
      <c r="T462" s="85">
        <f>IF(R462&gt;0,IF(RIGHT(Ruimtestaat[[#This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62" s="85">
        <f>IF(T462&gt;0,VLOOKUP($J462,Ruimtegroepen[],3,FALSE)*VLOOKUP($L462,Vloersoorten[],3,FALSE)*VLOOKUP($S462,Frequenties[],3,FALSE)*VLOOKUP($A462,Locaties[],3,FALSE),0)</f>
        <v>0</v>
      </c>
      <c r="V462" s="86">
        <f>Ruimtestaat[[#This Row],[Uitvoeringen werkdagen]]*Ruimtestaat[[#This Row],[Oppervlak (netto)]]</f>
        <v>1134</v>
      </c>
      <c r="W462" s="87">
        <f>IF(U462&gt;0,Ruimtestaat[[#This Row],[Prest. (m2 /jaar) werkdagen]]/Ruimtestaat[[#This Row],[Norm (m2/uur) werkdagen]],0)</f>
        <v>0</v>
      </c>
      <c r="X462" s="88">
        <f>Ruimtestaat[[#This Row],[uren / jaar werkdagen]]*Tariefsopbouw!$E$35</f>
        <v>0</v>
      </c>
      <c r="Y462" s="85"/>
      <c r="Z462" s="89">
        <f>IF(Ruimtestaat[[#This Row],[Frequentie weekend]]&gt;0,VALUE(LEFT(Y462,1))*R462,0)</f>
        <v>0</v>
      </c>
      <c r="AA462" s="85">
        <f>IF($Z462&gt;0,VLOOKUP($J462,Ruimtegroepen[],3,FALSE)*VLOOKUP($L462,Vloersoorten[],3,FALSE)*VLOOKUP($Y462,Frequenties[],3,FALSE)*VLOOKUP(#REF!,Locaties[],3,FALSE),0)</f>
        <v>0</v>
      </c>
      <c r="AB462" s="87">
        <f>Ruimtestaat[[#This Row],[Uitvoeringen weekend]]*Ruimtestaat[[#This Row],[Oppervlak (netto)]]</f>
        <v>0</v>
      </c>
      <c r="AC462" s="90">
        <f>IF(AB462&gt;0,Ruimtestaat[[#This Row],[Prest. (m2 /jaar) weekend]]/Ruimtestaat[[#This Row],[Norm (m2/uur) weekend]],0)</f>
        <v>0</v>
      </c>
      <c r="AD462" s="91">
        <f>Ruimtestaat[[#This Row],[uren / jaar weekend]]*Tariefsopbouw!$D$40</f>
        <v>0</v>
      </c>
      <c r="AE462" s="60">
        <f>Ruimtestaat[[#This Row],[Prest. (m2 /jaar) weekend]]+Ruimtestaat[[#This Row],[Prest. (m2 /jaar) werkdagen]]</f>
        <v>1134</v>
      </c>
      <c r="AF462" s="60">
        <f>Ruimtestaat[[#This Row],[uren / jaar weekend]]+Ruimtestaat[[#This Row],[uren / jaar werkdagen]]</f>
        <v>0</v>
      </c>
      <c r="AG462" s="61">
        <f>Ruimtestaat[[#This Row],[kosten / jaar weekend]]+Ruimtestaat[[#This Row],[kosten / jaar werkdagen]]</f>
        <v>0</v>
      </c>
      <c r="AH462" s="92"/>
      <c r="HL462" s="59"/>
    </row>
    <row r="463" spans="1:220">
      <c r="A463" s="24">
        <v>2</v>
      </c>
      <c r="B463" s="24" t="str">
        <f>VLOOKUP(Ruimtestaat[[#This Row],[Code]],Locaties[#All],2,FALSE)</f>
        <v>Het Stormink</v>
      </c>
      <c r="C463" s="24" t="str">
        <f>VLOOKUP(Ruimtestaat[[#This Row],[Code]],Locaties[#All],4,FALSE)</f>
        <v>Storminkstraat 1</v>
      </c>
      <c r="D463" s="24" t="str">
        <f>VLOOKUP(Ruimtestaat[[#This Row],[Code]],Locaties[#All],5,FALSE)</f>
        <v>7418 GH</v>
      </c>
      <c r="E463" s="24" t="str">
        <f>VLOOKUP(Ruimtestaat[[#This Row],[Code]],Locaties[#All],6,FALSE)</f>
        <v>Deventer</v>
      </c>
      <c r="F463" s="54"/>
      <c r="G463" s="24" t="s">
        <v>656</v>
      </c>
      <c r="H463" s="24" t="s">
        <v>890</v>
      </c>
      <c r="I463" s="4" t="s">
        <v>688</v>
      </c>
      <c r="J463" s="24">
        <v>16</v>
      </c>
      <c r="K463" s="54" t="str">
        <f>VLOOKUP(J463,Ruimtegroepen[],2,FALSE)</f>
        <v>Leslokalen theorie</v>
      </c>
      <c r="L463" s="24" t="s">
        <v>300</v>
      </c>
      <c r="M463" s="24" t="s">
        <v>157</v>
      </c>
      <c r="N463" s="83">
        <v>78.349999999999994</v>
      </c>
      <c r="O463" s="83"/>
      <c r="P463" s="93" t="str">
        <f>LEFT(VLOOKUP(Ruimtestaat[[#This Row],[Ruimte code]],Ruimtegroepen[#All],4,1),2)</f>
        <v>Le</v>
      </c>
      <c r="Q463" s="93"/>
      <c r="R463" s="84">
        <v>40</v>
      </c>
      <c r="S463" s="84" t="s">
        <v>318</v>
      </c>
      <c r="T463" s="85">
        <f>IF(R463&gt;0,IF(RIGHT(Ruimtestaat[[#This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3" s="85">
        <f>IF(T463&gt;0,VLOOKUP($J463,Ruimtegroepen[],3,FALSE)*VLOOKUP($L463,Vloersoorten[],3,FALSE)*VLOOKUP($S463,Frequenties[],3,FALSE)*VLOOKUP($A463,Locaties[],3,FALSE),0)</f>
        <v>0</v>
      </c>
      <c r="V463" s="86">
        <f>Ruimtestaat[[#This Row],[Uitvoeringen werkdagen]]*Ruimtestaat[[#This Row],[Oppervlak (netto)]]</f>
        <v>15669.999999999998</v>
      </c>
      <c r="W463" s="87">
        <f>IF(U463&gt;0,Ruimtestaat[[#This Row],[Prest. (m2 /jaar) werkdagen]]/Ruimtestaat[[#This Row],[Norm (m2/uur) werkdagen]],0)</f>
        <v>0</v>
      </c>
      <c r="X463" s="88">
        <f>Ruimtestaat[[#This Row],[uren / jaar werkdagen]]*Tariefsopbouw!$E$35</f>
        <v>0</v>
      </c>
      <c r="Y463" s="85"/>
      <c r="Z463" s="89">
        <f>IF(Ruimtestaat[[#This Row],[Frequentie weekend]]&gt;0,VALUE(LEFT(Y463,1))*R463,0)</f>
        <v>0</v>
      </c>
      <c r="AA463" s="85">
        <f>IF($Z463&gt;0,VLOOKUP($J463,Ruimtegroepen[],3,FALSE)*VLOOKUP($L463,Vloersoorten[],3,FALSE)*VLOOKUP($Y463,Frequenties[],3,FALSE)*VLOOKUP(#REF!,Locaties[],3,FALSE),0)</f>
        <v>0</v>
      </c>
      <c r="AB463" s="87">
        <f>Ruimtestaat[[#This Row],[Uitvoeringen weekend]]*Ruimtestaat[[#This Row],[Oppervlak (netto)]]</f>
        <v>0</v>
      </c>
      <c r="AC463" s="90">
        <f>IF(AB463&gt;0,Ruimtestaat[[#This Row],[Prest. (m2 /jaar) weekend]]/Ruimtestaat[[#This Row],[Norm (m2/uur) weekend]],0)</f>
        <v>0</v>
      </c>
      <c r="AD463" s="91">
        <f>Ruimtestaat[[#This Row],[uren / jaar weekend]]*Tariefsopbouw!$D$40</f>
        <v>0</v>
      </c>
      <c r="AE463" s="60">
        <f>Ruimtestaat[[#This Row],[Prest. (m2 /jaar) weekend]]+Ruimtestaat[[#This Row],[Prest. (m2 /jaar) werkdagen]]</f>
        <v>15669.999999999998</v>
      </c>
      <c r="AF463" s="60">
        <f>Ruimtestaat[[#This Row],[uren / jaar weekend]]+Ruimtestaat[[#This Row],[uren / jaar werkdagen]]</f>
        <v>0</v>
      </c>
      <c r="AG463" s="61">
        <f>Ruimtestaat[[#This Row],[kosten / jaar weekend]]+Ruimtestaat[[#This Row],[kosten / jaar werkdagen]]</f>
        <v>0</v>
      </c>
      <c r="AH463" s="92"/>
      <c r="HL463" s="59"/>
    </row>
    <row r="464" spans="1:220">
      <c r="A464" s="24">
        <v>2</v>
      </c>
      <c r="B464" s="24" t="str">
        <f>VLOOKUP(Ruimtestaat[[#This Row],[Code]],Locaties[#All],2,FALSE)</f>
        <v>Het Stormink</v>
      </c>
      <c r="C464" s="24" t="str">
        <f>VLOOKUP(Ruimtestaat[[#This Row],[Code]],Locaties[#All],4,FALSE)</f>
        <v>Storminkstraat 1</v>
      </c>
      <c r="D464" s="24" t="str">
        <f>VLOOKUP(Ruimtestaat[[#This Row],[Code]],Locaties[#All],5,FALSE)</f>
        <v>7418 GH</v>
      </c>
      <c r="E464" s="24" t="str">
        <f>VLOOKUP(Ruimtestaat[[#This Row],[Code]],Locaties[#All],6,FALSE)</f>
        <v>Deventer</v>
      </c>
      <c r="F464" s="54"/>
      <c r="G464" s="24" t="s">
        <v>656</v>
      </c>
      <c r="H464" s="24" t="s">
        <v>891</v>
      </c>
      <c r="I464" s="4" t="s">
        <v>689</v>
      </c>
      <c r="J464" s="24">
        <v>6</v>
      </c>
      <c r="K464" s="54" t="str">
        <f>VLOOKUP(J464,Ruimtegroepen[],2,FALSE)</f>
        <v>Gangen/hallen</v>
      </c>
      <c r="L464" s="24" t="s">
        <v>300</v>
      </c>
      <c r="M464" s="24" t="s">
        <v>157</v>
      </c>
      <c r="N464" s="83">
        <v>2.59</v>
      </c>
      <c r="O464" s="83"/>
      <c r="P464" s="93" t="str">
        <f>LEFT(VLOOKUP(Ruimtestaat[[#This Row],[Ruimte code]],Ruimtegroepen[#All],4,1),2)</f>
        <v>Ve</v>
      </c>
      <c r="Q464" s="93"/>
      <c r="R464" s="84">
        <v>40</v>
      </c>
      <c r="S464" s="84" t="s">
        <v>318</v>
      </c>
      <c r="T464" s="85">
        <f>IF(R464&gt;0,IF(RIGHT(Ruimtestaat[[#This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4" s="85">
        <f>IF(T464&gt;0,VLOOKUP($J464,Ruimtegroepen[],3,FALSE)*VLOOKUP($L464,Vloersoorten[],3,FALSE)*VLOOKUP($S464,Frequenties[],3,FALSE)*VLOOKUP($A464,Locaties[],3,FALSE),0)</f>
        <v>0</v>
      </c>
      <c r="V464" s="86">
        <f>Ruimtestaat[[#This Row],[Uitvoeringen werkdagen]]*Ruimtestaat[[#This Row],[Oppervlak (netto)]]</f>
        <v>518</v>
      </c>
      <c r="W464" s="87">
        <f>IF(U464&gt;0,Ruimtestaat[[#This Row],[Prest. (m2 /jaar) werkdagen]]/Ruimtestaat[[#This Row],[Norm (m2/uur) werkdagen]],0)</f>
        <v>0</v>
      </c>
      <c r="X464" s="88">
        <f>Ruimtestaat[[#This Row],[uren / jaar werkdagen]]*Tariefsopbouw!$E$35</f>
        <v>0</v>
      </c>
      <c r="Y464" s="85"/>
      <c r="Z464" s="89">
        <f>IF(Ruimtestaat[[#This Row],[Frequentie weekend]]&gt;0,VALUE(LEFT(Y464,1))*R464,0)</f>
        <v>0</v>
      </c>
      <c r="AA464" s="85">
        <f>IF($Z464&gt;0,VLOOKUP($J464,Ruimtegroepen[],3,FALSE)*VLOOKUP($L464,Vloersoorten[],3,FALSE)*VLOOKUP($Y464,Frequenties[],3,FALSE)*VLOOKUP(#REF!,Locaties[],3,FALSE),0)</f>
        <v>0</v>
      </c>
      <c r="AB464" s="87">
        <f>Ruimtestaat[[#This Row],[Uitvoeringen weekend]]*Ruimtestaat[[#This Row],[Oppervlak (netto)]]</f>
        <v>0</v>
      </c>
      <c r="AC464" s="90">
        <f>IF(AB464&gt;0,Ruimtestaat[[#This Row],[Prest. (m2 /jaar) weekend]]/Ruimtestaat[[#This Row],[Norm (m2/uur) weekend]],0)</f>
        <v>0</v>
      </c>
      <c r="AD464" s="91">
        <f>Ruimtestaat[[#This Row],[uren / jaar weekend]]*Tariefsopbouw!$D$40</f>
        <v>0</v>
      </c>
      <c r="AE464" s="60">
        <f>Ruimtestaat[[#This Row],[Prest. (m2 /jaar) weekend]]+Ruimtestaat[[#This Row],[Prest. (m2 /jaar) werkdagen]]</f>
        <v>518</v>
      </c>
      <c r="AF464" s="60">
        <f>Ruimtestaat[[#This Row],[uren / jaar weekend]]+Ruimtestaat[[#This Row],[uren / jaar werkdagen]]</f>
        <v>0</v>
      </c>
      <c r="AG464" s="61">
        <f>Ruimtestaat[[#This Row],[kosten / jaar weekend]]+Ruimtestaat[[#This Row],[kosten / jaar werkdagen]]</f>
        <v>0</v>
      </c>
      <c r="AH464" s="92"/>
      <c r="HL464" s="59"/>
    </row>
    <row r="465" spans="1:220">
      <c r="A465" s="24">
        <v>2</v>
      </c>
      <c r="B465" s="24" t="str">
        <f>VLOOKUP(Ruimtestaat[[#This Row],[Code]],Locaties[#All],2,FALSE)</f>
        <v>Het Stormink</v>
      </c>
      <c r="C465" s="24" t="str">
        <f>VLOOKUP(Ruimtestaat[[#This Row],[Code]],Locaties[#All],4,FALSE)</f>
        <v>Storminkstraat 1</v>
      </c>
      <c r="D465" s="24" t="str">
        <f>VLOOKUP(Ruimtestaat[[#This Row],[Code]],Locaties[#All],5,FALSE)</f>
        <v>7418 GH</v>
      </c>
      <c r="E465" s="24" t="str">
        <f>VLOOKUP(Ruimtestaat[[#This Row],[Code]],Locaties[#All],6,FALSE)</f>
        <v>Deventer</v>
      </c>
      <c r="F465" s="54"/>
      <c r="G465" s="24" t="s">
        <v>656</v>
      </c>
      <c r="H465" s="24" t="s">
        <v>892</v>
      </c>
      <c r="I465" s="4" t="s">
        <v>691</v>
      </c>
      <c r="J465" s="24">
        <v>22</v>
      </c>
      <c r="K465" s="54" t="str">
        <f>VLOOKUP(J465,Ruimtegroepen[],2,FALSE)</f>
        <v>Niet in onderhoud</v>
      </c>
      <c r="L465" s="24" t="s">
        <v>300</v>
      </c>
      <c r="M465" s="24" t="s">
        <v>157</v>
      </c>
      <c r="N465" s="83"/>
      <c r="O465" s="83">
        <v>1.62</v>
      </c>
      <c r="P465" s="93" t="str">
        <f>LEFT(VLOOKUP(Ruimtestaat[[#This Row],[Ruimte code]],Ruimtegroepen[#All],4,1),2)</f>
        <v/>
      </c>
      <c r="Q465" s="93"/>
      <c r="R465" s="84"/>
      <c r="S465" s="84"/>
      <c r="T465" s="85">
        <f>IF(R465&gt;0,IF(RIGHT(Ruimtestaat[[#This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65" s="85">
        <f>IF(T465&gt;0,VLOOKUP($J465,Ruimtegroepen[],3,FALSE)*VLOOKUP($L465,Vloersoorten[],3,FALSE)*VLOOKUP($S465,Frequenties[],3,FALSE)*VLOOKUP($A465,Locaties[],3,FALSE),0)</f>
        <v>0</v>
      </c>
      <c r="V465" s="86">
        <f>Ruimtestaat[[#This Row],[Uitvoeringen werkdagen]]*Ruimtestaat[[#This Row],[Oppervlak (netto)]]</f>
        <v>0</v>
      </c>
      <c r="W465" s="87">
        <f>IF(U465&gt;0,Ruimtestaat[[#This Row],[Prest. (m2 /jaar) werkdagen]]/Ruimtestaat[[#This Row],[Norm (m2/uur) werkdagen]],0)</f>
        <v>0</v>
      </c>
      <c r="X465" s="88">
        <f>Ruimtestaat[[#This Row],[uren / jaar werkdagen]]*Tariefsopbouw!$E$35</f>
        <v>0</v>
      </c>
      <c r="Y465" s="85"/>
      <c r="Z465" s="89">
        <f>IF(Ruimtestaat[[#This Row],[Frequentie weekend]]&gt;0,VALUE(LEFT(Y465,1))*R465,0)</f>
        <v>0</v>
      </c>
      <c r="AA465" s="85">
        <f>IF($Z465&gt;0,VLOOKUP($J465,Ruimtegroepen[],3,FALSE)*VLOOKUP($L465,Vloersoorten[],3,FALSE)*VLOOKUP($Y465,Frequenties[],3,FALSE)*VLOOKUP(#REF!,Locaties[],3,FALSE),0)</f>
        <v>0</v>
      </c>
      <c r="AB465" s="87">
        <f>Ruimtestaat[[#This Row],[Uitvoeringen weekend]]*Ruimtestaat[[#This Row],[Oppervlak (netto)]]</f>
        <v>0</v>
      </c>
      <c r="AC465" s="90">
        <f>IF(AB465&gt;0,Ruimtestaat[[#This Row],[Prest. (m2 /jaar) weekend]]/Ruimtestaat[[#This Row],[Norm (m2/uur) weekend]],0)</f>
        <v>0</v>
      </c>
      <c r="AD465" s="91">
        <f>Ruimtestaat[[#This Row],[uren / jaar weekend]]*Tariefsopbouw!$D$40</f>
        <v>0</v>
      </c>
      <c r="AE465" s="60">
        <f>Ruimtestaat[[#This Row],[Prest. (m2 /jaar) weekend]]+Ruimtestaat[[#This Row],[Prest. (m2 /jaar) werkdagen]]</f>
        <v>0</v>
      </c>
      <c r="AF465" s="60">
        <f>Ruimtestaat[[#This Row],[uren / jaar weekend]]+Ruimtestaat[[#This Row],[uren / jaar werkdagen]]</f>
        <v>0</v>
      </c>
      <c r="AG465" s="61">
        <f>Ruimtestaat[[#This Row],[kosten / jaar weekend]]+Ruimtestaat[[#This Row],[kosten / jaar werkdagen]]</f>
        <v>0</v>
      </c>
      <c r="AH465" s="92"/>
      <c r="HL465" s="59"/>
    </row>
    <row r="466" spans="1:220">
      <c r="A466" s="24">
        <v>2</v>
      </c>
      <c r="B466" s="24" t="str">
        <f>VLOOKUP(Ruimtestaat[[#This Row],[Code]],Locaties[#All],2,FALSE)</f>
        <v>Het Stormink</v>
      </c>
      <c r="C466" s="24" t="str">
        <f>VLOOKUP(Ruimtestaat[[#This Row],[Code]],Locaties[#All],4,FALSE)</f>
        <v>Storminkstraat 1</v>
      </c>
      <c r="D466" s="24" t="str">
        <f>VLOOKUP(Ruimtestaat[[#This Row],[Code]],Locaties[#All],5,FALSE)</f>
        <v>7418 GH</v>
      </c>
      <c r="E466" s="24" t="str">
        <f>VLOOKUP(Ruimtestaat[[#This Row],[Code]],Locaties[#All],6,FALSE)</f>
        <v>Deventer</v>
      </c>
      <c r="F466" s="54"/>
      <c r="G466" s="24" t="s">
        <v>656</v>
      </c>
      <c r="H466" s="24" t="s">
        <v>893</v>
      </c>
      <c r="I466" s="4" t="s">
        <v>473</v>
      </c>
      <c r="J466" s="24">
        <v>5</v>
      </c>
      <c r="K466" s="54" t="str">
        <f>VLOOKUP(J466,Ruimtegroepen[],2,FALSE)</f>
        <v>Sanitair</v>
      </c>
      <c r="L466" s="24" t="s">
        <v>300</v>
      </c>
      <c r="M466" s="24" t="s">
        <v>157</v>
      </c>
      <c r="N466" s="83">
        <v>11.6</v>
      </c>
      <c r="O466" s="83"/>
      <c r="P466" s="93" t="str">
        <f>LEFT(VLOOKUP(Ruimtestaat[[#This Row],[Ruimte code]],Ruimtegroepen[#All],4,1),2)</f>
        <v>Sa</v>
      </c>
      <c r="Q466" s="93"/>
      <c r="R466" s="84">
        <v>42</v>
      </c>
      <c r="S466" s="84" t="s">
        <v>316</v>
      </c>
      <c r="T466" s="85">
        <f>IF(R466&gt;0,IF(RIGHT(Ruimtestaat[[#This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66" s="85">
        <f>IF(T466&gt;0,VLOOKUP($J466,Ruimtegroepen[],3,FALSE)*VLOOKUP($L466,Vloersoorten[],3,FALSE)*VLOOKUP($S466,Frequenties[],3,FALSE)*VLOOKUP($A466,Locaties[],3,FALSE),0)</f>
        <v>0</v>
      </c>
      <c r="V466" s="86">
        <f>Ruimtestaat[[#This Row],[Uitvoeringen werkdagen]]*Ruimtestaat[[#This Row],[Oppervlak (netto)]]</f>
        <v>4872</v>
      </c>
      <c r="W466" s="87">
        <f>IF(U466&gt;0,Ruimtestaat[[#This Row],[Prest. (m2 /jaar) werkdagen]]/Ruimtestaat[[#This Row],[Norm (m2/uur) werkdagen]],0)</f>
        <v>0</v>
      </c>
      <c r="X466" s="88">
        <f>Ruimtestaat[[#This Row],[uren / jaar werkdagen]]*Tariefsopbouw!$E$35</f>
        <v>0</v>
      </c>
      <c r="Y466" s="85"/>
      <c r="Z466" s="89">
        <f>IF(Ruimtestaat[[#This Row],[Frequentie weekend]]&gt;0,VALUE(LEFT(Y466,1))*R466,0)</f>
        <v>0</v>
      </c>
      <c r="AA466" s="85">
        <f>IF($Z466&gt;0,VLOOKUP($J466,Ruimtegroepen[],3,FALSE)*VLOOKUP($L466,Vloersoorten[],3,FALSE)*VLOOKUP($Y466,Frequenties[],3,FALSE)*VLOOKUP(#REF!,Locaties[],3,FALSE),0)</f>
        <v>0</v>
      </c>
      <c r="AB466" s="87">
        <f>Ruimtestaat[[#This Row],[Uitvoeringen weekend]]*Ruimtestaat[[#This Row],[Oppervlak (netto)]]</f>
        <v>0</v>
      </c>
      <c r="AC466" s="90">
        <f>IF(AB466&gt;0,Ruimtestaat[[#This Row],[Prest. (m2 /jaar) weekend]]/Ruimtestaat[[#This Row],[Norm (m2/uur) weekend]],0)</f>
        <v>0</v>
      </c>
      <c r="AD466" s="91">
        <f>Ruimtestaat[[#This Row],[uren / jaar weekend]]*Tariefsopbouw!$D$40</f>
        <v>0</v>
      </c>
      <c r="AE466" s="60">
        <f>Ruimtestaat[[#This Row],[Prest. (m2 /jaar) weekend]]+Ruimtestaat[[#This Row],[Prest. (m2 /jaar) werkdagen]]</f>
        <v>4872</v>
      </c>
      <c r="AF466" s="60">
        <f>Ruimtestaat[[#This Row],[uren / jaar weekend]]+Ruimtestaat[[#This Row],[uren / jaar werkdagen]]</f>
        <v>0</v>
      </c>
      <c r="AG466" s="61">
        <f>Ruimtestaat[[#This Row],[kosten / jaar weekend]]+Ruimtestaat[[#This Row],[kosten / jaar werkdagen]]</f>
        <v>0</v>
      </c>
      <c r="AH466" s="92"/>
      <c r="HL466" s="59"/>
    </row>
    <row r="467" spans="1:220">
      <c r="A467" s="24">
        <v>2</v>
      </c>
      <c r="B467" s="24" t="str">
        <f>VLOOKUP(Ruimtestaat[[#This Row],[Code]],Locaties[#All],2,FALSE)</f>
        <v>Het Stormink</v>
      </c>
      <c r="C467" s="24" t="str">
        <f>VLOOKUP(Ruimtestaat[[#This Row],[Code]],Locaties[#All],4,FALSE)</f>
        <v>Storminkstraat 1</v>
      </c>
      <c r="D467" s="24" t="str">
        <f>VLOOKUP(Ruimtestaat[[#This Row],[Code]],Locaties[#All],5,FALSE)</f>
        <v>7418 GH</v>
      </c>
      <c r="E467" s="24" t="str">
        <f>VLOOKUP(Ruimtestaat[[#This Row],[Code]],Locaties[#All],6,FALSE)</f>
        <v>Deventer</v>
      </c>
      <c r="F467" s="54"/>
      <c r="G467" s="24" t="s">
        <v>656</v>
      </c>
      <c r="H467" s="24" t="s">
        <v>894</v>
      </c>
      <c r="I467" s="4" t="s">
        <v>675</v>
      </c>
      <c r="J467" s="24">
        <v>5</v>
      </c>
      <c r="K467" s="54" t="str">
        <f>VLOOKUP(J467,Ruimtegroepen[],2,FALSE)</f>
        <v>Sanitair</v>
      </c>
      <c r="L467" s="24" t="s">
        <v>300</v>
      </c>
      <c r="M467" s="24" t="s">
        <v>157</v>
      </c>
      <c r="N467" s="83">
        <v>11.91</v>
      </c>
      <c r="O467" s="83"/>
      <c r="P467" s="93" t="str">
        <f>LEFT(VLOOKUP(Ruimtestaat[[#This Row],[Ruimte code]],Ruimtegroepen[#All],4,1),2)</f>
        <v>Sa</v>
      </c>
      <c r="Q467" s="93"/>
      <c r="R467" s="84">
        <v>42</v>
      </c>
      <c r="S467" s="84" t="s">
        <v>316</v>
      </c>
      <c r="T467" s="85">
        <f>IF(R467&gt;0,IF(RIGHT(Ruimtestaat[[#This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67" s="85">
        <f>IF(T467&gt;0,VLOOKUP($J467,Ruimtegroepen[],3,FALSE)*VLOOKUP($L467,Vloersoorten[],3,FALSE)*VLOOKUP($S467,Frequenties[],3,FALSE)*VLOOKUP($A467,Locaties[],3,FALSE),0)</f>
        <v>0</v>
      </c>
      <c r="V467" s="86">
        <f>Ruimtestaat[[#This Row],[Uitvoeringen werkdagen]]*Ruimtestaat[[#This Row],[Oppervlak (netto)]]</f>
        <v>5002.2</v>
      </c>
      <c r="W467" s="87">
        <f>IF(U467&gt;0,Ruimtestaat[[#This Row],[Prest. (m2 /jaar) werkdagen]]/Ruimtestaat[[#This Row],[Norm (m2/uur) werkdagen]],0)</f>
        <v>0</v>
      </c>
      <c r="X467" s="88">
        <f>Ruimtestaat[[#This Row],[uren / jaar werkdagen]]*Tariefsopbouw!$E$35</f>
        <v>0</v>
      </c>
      <c r="Y467" s="85"/>
      <c r="Z467" s="89">
        <f>IF(Ruimtestaat[[#This Row],[Frequentie weekend]]&gt;0,VALUE(LEFT(Y467,1))*R467,0)</f>
        <v>0</v>
      </c>
      <c r="AA467" s="85">
        <f>IF($Z467&gt;0,VLOOKUP($J467,Ruimtegroepen[],3,FALSE)*VLOOKUP($L467,Vloersoorten[],3,FALSE)*VLOOKUP($Y467,Frequenties[],3,FALSE)*VLOOKUP(#REF!,Locaties[],3,FALSE),0)</f>
        <v>0</v>
      </c>
      <c r="AB467" s="87">
        <f>Ruimtestaat[[#This Row],[Uitvoeringen weekend]]*Ruimtestaat[[#This Row],[Oppervlak (netto)]]</f>
        <v>0</v>
      </c>
      <c r="AC467" s="90">
        <f>IF(AB467&gt;0,Ruimtestaat[[#This Row],[Prest. (m2 /jaar) weekend]]/Ruimtestaat[[#This Row],[Norm (m2/uur) weekend]],0)</f>
        <v>0</v>
      </c>
      <c r="AD467" s="91">
        <f>Ruimtestaat[[#This Row],[uren / jaar weekend]]*Tariefsopbouw!$D$40</f>
        <v>0</v>
      </c>
      <c r="AE467" s="60">
        <f>Ruimtestaat[[#This Row],[Prest. (m2 /jaar) weekend]]+Ruimtestaat[[#This Row],[Prest. (m2 /jaar) werkdagen]]</f>
        <v>5002.2</v>
      </c>
      <c r="AF467" s="60">
        <f>Ruimtestaat[[#This Row],[uren / jaar weekend]]+Ruimtestaat[[#This Row],[uren / jaar werkdagen]]</f>
        <v>0</v>
      </c>
      <c r="AG467" s="61">
        <f>Ruimtestaat[[#This Row],[kosten / jaar weekend]]+Ruimtestaat[[#This Row],[kosten / jaar werkdagen]]</f>
        <v>0</v>
      </c>
      <c r="AH467" s="92"/>
      <c r="HL467" s="59"/>
    </row>
    <row r="468" spans="1:220">
      <c r="A468" s="24">
        <v>2</v>
      </c>
      <c r="B468" s="24" t="str">
        <f>VLOOKUP(Ruimtestaat[[#This Row],[Code]],Locaties[#All],2,FALSE)</f>
        <v>Het Stormink</v>
      </c>
      <c r="C468" s="24" t="str">
        <f>VLOOKUP(Ruimtestaat[[#This Row],[Code]],Locaties[#All],4,FALSE)</f>
        <v>Storminkstraat 1</v>
      </c>
      <c r="D468" s="24" t="str">
        <f>VLOOKUP(Ruimtestaat[[#This Row],[Code]],Locaties[#All],5,FALSE)</f>
        <v>7418 GH</v>
      </c>
      <c r="E468" s="24" t="str">
        <f>VLOOKUP(Ruimtestaat[[#This Row],[Code]],Locaties[#All],6,FALSE)</f>
        <v>Deventer</v>
      </c>
      <c r="F468" s="54"/>
      <c r="G468" s="24" t="s">
        <v>656</v>
      </c>
      <c r="H468" s="24" t="s">
        <v>895</v>
      </c>
      <c r="I468" s="4" t="s">
        <v>375</v>
      </c>
      <c r="J468" s="24">
        <v>22</v>
      </c>
      <c r="K468" s="54" t="str">
        <f>VLOOKUP(J468,Ruimtegroepen[],2,FALSE)</f>
        <v>Niet in onderhoud</v>
      </c>
      <c r="L468" s="24" t="s">
        <v>300</v>
      </c>
      <c r="M468" s="24" t="s">
        <v>157</v>
      </c>
      <c r="N468" s="83"/>
      <c r="O468" s="83">
        <v>1.63</v>
      </c>
      <c r="P468" s="93" t="str">
        <f>LEFT(VLOOKUP(Ruimtestaat[[#This Row],[Ruimte code]],Ruimtegroepen[#All],4,1),2)</f>
        <v/>
      </c>
      <c r="Q468" s="93"/>
      <c r="R468" s="84"/>
      <c r="S468" s="84"/>
      <c r="T468" s="85">
        <f>IF(R468&gt;0,IF(RIGHT(Ruimtestaat[[#This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68" s="85">
        <f>IF(T468&gt;0,VLOOKUP($J468,Ruimtegroepen[],3,FALSE)*VLOOKUP($L468,Vloersoorten[],3,FALSE)*VLOOKUP($S468,Frequenties[],3,FALSE)*VLOOKUP($A468,Locaties[],3,FALSE),0)</f>
        <v>0</v>
      </c>
      <c r="V468" s="86">
        <f>Ruimtestaat[[#This Row],[Uitvoeringen werkdagen]]*Ruimtestaat[[#This Row],[Oppervlak (netto)]]</f>
        <v>0</v>
      </c>
      <c r="W468" s="87">
        <f>IF(U468&gt;0,Ruimtestaat[[#This Row],[Prest. (m2 /jaar) werkdagen]]/Ruimtestaat[[#This Row],[Norm (m2/uur) werkdagen]],0)</f>
        <v>0</v>
      </c>
      <c r="X468" s="88">
        <f>Ruimtestaat[[#This Row],[uren / jaar werkdagen]]*Tariefsopbouw!$E$35</f>
        <v>0</v>
      </c>
      <c r="Y468" s="85"/>
      <c r="Z468" s="89">
        <f>IF(Ruimtestaat[[#This Row],[Frequentie weekend]]&gt;0,VALUE(LEFT(Y468,1))*R468,0)</f>
        <v>0</v>
      </c>
      <c r="AA468" s="85">
        <f>IF($Z468&gt;0,VLOOKUP($J468,Ruimtegroepen[],3,FALSE)*VLOOKUP($L468,Vloersoorten[],3,FALSE)*VLOOKUP($Y468,Frequenties[],3,FALSE)*VLOOKUP(#REF!,Locaties[],3,FALSE),0)</f>
        <v>0</v>
      </c>
      <c r="AB468" s="87">
        <f>Ruimtestaat[[#This Row],[Uitvoeringen weekend]]*Ruimtestaat[[#This Row],[Oppervlak (netto)]]</f>
        <v>0</v>
      </c>
      <c r="AC468" s="90">
        <f>IF(AB468&gt;0,Ruimtestaat[[#This Row],[Prest. (m2 /jaar) weekend]]/Ruimtestaat[[#This Row],[Norm (m2/uur) weekend]],0)</f>
        <v>0</v>
      </c>
      <c r="AD468" s="91">
        <f>Ruimtestaat[[#This Row],[uren / jaar weekend]]*Tariefsopbouw!$D$40</f>
        <v>0</v>
      </c>
      <c r="AE468" s="60">
        <f>Ruimtestaat[[#This Row],[Prest. (m2 /jaar) weekend]]+Ruimtestaat[[#This Row],[Prest. (m2 /jaar) werkdagen]]</f>
        <v>0</v>
      </c>
      <c r="AF468" s="60">
        <f>Ruimtestaat[[#This Row],[uren / jaar weekend]]+Ruimtestaat[[#This Row],[uren / jaar werkdagen]]</f>
        <v>0</v>
      </c>
      <c r="AG468" s="61">
        <f>Ruimtestaat[[#This Row],[kosten / jaar weekend]]+Ruimtestaat[[#This Row],[kosten / jaar werkdagen]]</f>
        <v>0</v>
      </c>
      <c r="AH468" s="92"/>
      <c r="HL468" s="59"/>
    </row>
    <row r="469" spans="1:220">
      <c r="A469" s="24">
        <v>2</v>
      </c>
      <c r="B469" s="24" t="str">
        <f>VLOOKUP(Ruimtestaat[[#This Row],[Code]],Locaties[#All],2,FALSE)</f>
        <v>Het Stormink</v>
      </c>
      <c r="C469" s="24" t="str">
        <f>VLOOKUP(Ruimtestaat[[#This Row],[Code]],Locaties[#All],4,FALSE)</f>
        <v>Storminkstraat 1</v>
      </c>
      <c r="D469" s="24" t="str">
        <f>VLOOKUP(Ruimtestaat[[#This Row],[Code]],Locaties[#All],5,FALSE)</f>
        <v>7418 GH</v>
      </c>
      <c r="E469" s="24" t="str">
        <f>VLOOKUP(Ruimtestaat[[#This Row],[Code]],Locaties[#All],6,FALSE)</f>
        <v>Deventer</v>
      </c>
      <c r="F469" s="54"/>
      <c r="G469" s="24" t="s">
        <v>656</v>
      </c>
      <c r="H469" s="24" t="s">
        <v>896</v>
      </c>
      <c r="I469" s="4" t="s">
        <v>535</v>
      </c>
      <c r="J469" s="24">
        <v>22</v>
      </c>
      <c r="K469" s="54" t="str">
        <f>VLOOKUP(J469,Ruimtegroepen[],2,FALSE)</f>
        <v>Niet in onderhoud</v>
      </c>
      <c r="L469" s="24" t="s">
        <v>300</v>
      </c>
      <c r="M469" s="24" t="s">
        <v>157</v>
      </c>
      <c r="N469" s="83"/>
      <c r="O469" s="83">
        <v>3.16</v>
      </c>
      <c r="P469" s="93" t="str">
        <f>LEFT(VLOOKUP(Ruimtestaat[[#This Row],[Ruimte code]],Ruimtegroepen[#All],4,1),2)</f>
        <v/>
      </c>
      <c r="Q469" s="93"/>
      <c r="R469" s="84"/>
      <c r="S469" s="84"/>
      <c r="T469" s="85">
        <f>IF(R469&gt;0,IF(RIGHT(Ruimtestaat[[#This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69" s="85">
        <f>IF(T469&gt;0,VLOOKUP($J469,Ruimtegroepen[],3,FALSE)*VLOOKUP($L469,Vloersoorten[],3,FALSE)*VLOOKUP($S469,Frequenties[],3,FALSE)*VLOOKUP($A469,Locaties[],3,FALSE),0)</f>
        <v>0</v>
      </c>
      <c r="V469" s="86">
        <f>Ruimtestaat[[#This Row],[Uitvoeringen werkdagen]]*Ruimtestaat[[#This Row],[Oppervlak (netto)]]</f>
        <v>0</v>
      </c>
      <c r="W469" s="87">
        <f>IF(U469&gt;0,Ruimtestaat[[#This Row],[Prest. (m2 /jaar) werkdagen]]/Ruimtestaat[[#This Row],[Norm (m2/uur) werkdagen]],0)</f>
        <v>0</v>
      </c>
      <c r="X469" s="88">
        <f>Ruimtestaat[[#This Row],[uren / jaar werkdagen]]*Tariefsopbouw!$E$35</f>
        <v>0</v>
      </c>
      <c r="Y469" s="85"/>
      <c r="Z469" s="89">
        <f>IF(Ruimtestaat[[#This Row],[Frequentie weekend]]&gt;0,VALUE(LEFT(Y469,1))*R469,0)</f>
        <v>0</v>
      </c>
      <c r="AA469" s="85">
        <f>IF($Z469&gt;0,VLOOKUP($J469,Ruimtegroepen[],3,FALSE)*VLOOKUP($L469,Vloersoorten[],3,FALSE)*VLOOKUP($Y469,Frequenties[],3,FALSE)*VLOOKUP(#REF!,Locaties[],3,FALSE),0)</f>
        <v>0</v>
      </c>
      <c r="AB469" s="87">
        <f>Ruimtestaat[[#This Row],[Uitvoeringen weekend]]*Ruimtestaat[[#This Row],[Oppervlak (netto)]]</f>
        <v>0</v>
      </c>
      <c r="AC469" s="90">
        <f>IF(AB469&gt;0,Ruimtestaat[[#This Row],[Prest. (m2 /jaar) weekend]]/Ruimtestaat[[#This Row],[Norm (m2/uur) weekend]],0)</f>
        <v>0</v>
      </c>
      <c r="AD469" s="91">
        <f>Ruimtestaat[[#This Row],[uren / jaar weekend]]*Tariefsopbouw!$D$40</f>
        <v>0</v>
      </c>
      <c r="AE469" s="60">
        <f>Ruimtestaat[[#This Row],[Prest. (m2 /jaar) weekend]]+Ruimtestaat[[#This Row],[Prest. (m2 /jaar) werkdagen]]</f>
        <v>0</v>
      </c>
      <c r="AF469" s="60">
        <f>Ruimtestaat[[#This Row],[uren / jaar weekend]]+Ruimtestaat[[#This Row],[uren / jaar werkdagen]]</f>
        <v>0</v>
      </c>
      <c r="AG469" s="61">
        <f>Ruimtestaat[[#This Row],[kosten / jaar weekend]]+Ruimtestaat[[#This Row],[kosten / jaar werkdagen]]</f>
        <v>0</v>
      </c>
      <c r="AH469" s="92"/>
      <c r="HL469" s="59"/>
    </row>
    <row r="470" spans="1:220">
      <c r="A470" s="24">
        <v>2</v>
      </c>
      <c r="B470" s="24" t="str">
        <f>VLOOKUP(Ruimtestaat[[#This Row],[Code]],Locaties[#All],2,FALSE)</f>
        <v>Het Stormink</v>
      </c>
      <c r="C470" s="24" t="str">
        <f>VLOOKUP(Ruimtestaat[[#This Row],[Code]],Locaties[#All],4,FALSE)</f>
        <v>Storminkstraat 1</v>
      </c>
      <c r="D470" s="24" t="str">
        <f>VLOOKUP(Ruimtestaat[[#This Row],[Code]],Locaties[#All],5,FALSE)</f>
        <v>7418 GH</v>
      </c>
      <c r="E470" s="24" t="str">
        <f>VLOOKUP(Ruimtestaat[[#This Row],[Code]],Locaties[#All],6,FALSE)</f>
        <v>Deventer</v>
      </c>
      <c r="F470" s="54"/>
      <c r="G470" s="24" t="s">
        <v>656</v>
      </c>
      <c r="H470" s="24" t="s">
        <v>897</v>
      </c>
      <c r="I470" s="4" t="s">
        <v>674</v>
      </c>
      <c r="J470" s="24">
        <v>22</v>
      </c>
      <c r="K470" s="54" t="str">
        <f>VLOOKUP(J470,Ruimtegroepen[],2,FALSE)</f>
        <v>Niet in onderhoud</v>
      </c>
      <c r="L470" s="24" t="s">
        <v>300</v>
      </c>
      <c r="M470" s="24" t="s">
        <v>157</v>
      </c>
      <c r="N470" s="83"/>
      <c r="O470" s="83">
        <v>1.64</v>
      </c>
      <c r="P470" s="93" t="str">
        <f>LEFT(VLOOKUP(Ruimtestaat[[#This Row],[Ruimte code]],Ruimtegroepen[#All],4,1),2)</f>
        <v/>
      </c>
      <c r="Q470" s="93"/>
      <c r="R470" s="84"/>
      <c r="S470" s="84"/>
      <c r="T470" s="85">
        <f>IF(R470&gt;0,IF(RIGHT(Ruimtestaat[[#This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70" s="85">
        <f>IF(T470&gt;0,VLOOKUP($J470,Ruimtegroepen[],3,FALSE)*VLOOKUP($L470,Vloersoorten[],3,FALSE)*VLOOKUP($S470,Frequenties[],3,FALSE)*VLOOKUP($A470,Locaties[],3,FALSE),0)</f>
        <v>0</v>
      </c>
      <c r="V470" s="86">
        <f>Ruimtestaat[[#This Row],[Uitvoeringen werkdagen]]*Ruimtestaat[[#This Row],[Oppervlak (netto)]]</f>
        <v>0</v>
      </c>
      <c r="W470" s="87">
        <f>IF(U470&gt;0,Ruimtestaat[[#This Row],[Prest. (m2 /jaar) werkdagen]]/Ruimtestaat[[#This Row],[Norm (m2/uur) werkdagen]],0)</f>
        <v>0</v>
      </c>
      <c r="X470" s="88">
        <f>Ruimtestaat[[#This Row],[uren / jaar werkdagen]]*Tariefsopbouw!$E$35</f>
        <v>0</v>
      </c>
      <c r="Y470" s="85"/>
      <c r="Z470" s="89">
        <f>IF(Ruimtestaat[[#This Row],[Frequentie weekend]]&gt;0,VALUE(LEFT(Y470,1))*R470,0)</f>
        <v>0</v>
      </c>
      <c r="AA470" s="85">
        <f>IF($Z470&gt;0,VLOOKUP($J470,Ruimtegroepen[],3,FALSE)*VLOOKUP($L470,Vloersoorten[],3,FALSE)*VLOOKUP($Y470,Frequenties[],3,FALSE)*VLOOKUP(#REF!,Locaties[],3,FALSE),0)</f>
        <v>0</v>
      </c>
      <c r="AB470" s="87">
        <f>Ruimtestaat[[#This Row],[Uitvoeringen weekend]]*Ruimtestaat[[#This Row],[Oppervlak (netto)]]</f>
        <v>0</v>
      </c>
      <c r="AC470" s="90">
        <f>IF(AB470&gt;0,Ruimtestaat[[#This Row],[Prest. (m2 /jaar) weekend]]/Ruimtestaat[[#This Row],[Norm (m2/uur) weekend]],0)</f>
        <v>0</v>
      </c>
      <c r="AD470" s="91">
        <f>Ruimtestaat[[#This Row],[uren / jaar weekend]]*Tariefsopbouw!$D$40</f>
        <v>0</v>
      </c>
      <c r="AE470" s="60">
        <f>Ruimtestaat[[#This Row],[Prest. (m2 /jaar) weekend]]+Ruimtestaat[[#This Row],[Prest. (m2 /jaar) werkdagen]]</f>
        <v>0</v>
      </c>
      <c r="AF470" s="60">
        <f>Ruimtestaat[[#This Row],[uren / jaar weekend]]+Ruimtestaat[[#This Row],[uren / jaar werkdagen]]</f>
        <v>0</v>
      </c>
      <c r="AG470" s="61">
        <f>Ruimtestaat[[#This Row],[kosten / jaar weekend]]+Ruimtestaat[[#This Row],[kosten / jaar werkdagen]]</f>
        <v>0</v>
      </c>
      <c r="AH470" s="92"/>
      <c r="HL470" s="59"/>
    </row>
    <row r="471" spans="1:220">
      <c r="A471" s="24">
        <v>2</v>
      </c>
      <c r="B471" s="24" t="str">
        <f>VLOOKUP(Ruimtestaat[[#This Row],[Code]],Locaties[#All],2,FALSE)</f>
        <v>Het Stormink</v>
      </c>
      <c r="C471" s="24" t="str">
        <f>VLOOKUP(Ruimtestaat[[#This Row],[Code]],Locaties[#All],4,FALSE)</f>
        <v>Storminkstraat 1</v>
      </c>
      <c r="D471" s="24" t="str">
        <f>VLOOKUP(Ruimtestaat[[#This Row],[Code]],Locaties[#All],5,FALSE)</f>
        <v>7418 GH</v>
      </c>
      <c r="E471" s="24" t="str">
        <f>VLOOKUP(Ruimtestaat[[#This Row],[Code]],Locaties[#All],6,FALSE)</f>
        <v>Deventer</v>
      </c>
      <c r="F471" s="54"/>
      <c r="G471" s="24" t="s">
        <v>656</v>
      </c>
      <c r="H471" s="24" t="s">
        <v>898</v>
      </c>
      <c r="I471" s="4" t="s">
        <v>394</v>
      </c>
      <c r="J471" s="24">
        <v>22</v>
      </c>
      <c r="K471" s="54" t="str">
        <f>VLOOKUP(J471,Ruimtegroepen[],2,FALSE)</f>
        <v>Niet in onderhoud</v>
      </c>
      <c r="L471" s="24" t="s">
        <v>300</v>
      </c>
      <c r="M471" s="24" t="s">
        <v>157</v>
      </c>
      <c r="N471" s="83"/>
      <c r="O471" s="83">
        <v>12.3</v>
      </c>
      <c r="P471" s="93" t="str">
        <f>LEFT(VLOOKUP(Ruimtestaat[[#This Row],[Ruimte code]],Ruimtegroepen[#All],4,1),2)</f>
        <v/>
      </c>
      <c r="Q471" s="93"/>
      <c r="R471" s="84"/>
      <c r="S471" s="84"/>
      <c r="T471" s="85">
        <f>IF(R471&gt;0,IF(RIGHT(Ruimtestaat[[#This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71" s="85">
        <f>IF(T471&gt;0,VLOOKUP($J471,Ruimtegroepen[],3,FALSE)*VLOOKUP($L471,Vloersoorten[],3,FALSE)*VLOOKUP($S471,Frequenties[],3,FALSE)*VLOOKUP($A471,Locaties[],3,FALSE),0)</f>
        <v>0</v>
      </c>
      <c r="V471" s="86">
        <f>Ruimtestaat[[#This Row],[Uitvoeringen werkdagen]]*Ruimtestaat[[#This Row],[Oppervlak (netto)]]</f>
        <v>0</v>
      </c>
      <c r="W471" s="87">
        <f>IF(U471&gt;0,Ruimtestaat[[#This Row],[Prest. (m2 /jaar) werkdagen]]/Ruimtestaat[[#This Row],[Norm (m2/uur) werkdagen]],0)</f>
        <v>0</v>
      </c>
      <c r="X471" s="88">
        <f>Ruimtestaat[[#This Row],[uren / jaar werkdagen]]*Tariefsopbouw!$E$35</f>
        <v>0</v>
      </c>
      <c r="Y471" s="85"/>
      <c r="Z471" s="89">
        <f>IF(Ruimtestaat[[#This Row],[Frequentie weekend]]&gt;0,VALUE(LEFT(Y471,1))*R471,0)</f>
        <v>0</v>
      </c>
      <c r="AA471" s="85">
        <f>IF($Z471&gt;0,VLOOKUP($J471,Ruimtegroepen[],3,FALSE)*VLOOKUP($L471,Vloersoorten[],3,FALSE)*VLOOKUP($Y471,Frequenties[],3,FALSE)*VLOOKUP(#REF!,Locaties[],3,FALSE),0)</f>
        <v>0</v>
      </c>
      <c r="AB471" s="87">
        <f>Ruimtestaat[[#This Row],[Uitvoeringen weekend]]*Ruimtestaat[[#This Row],[Oppervlak (netto)]]</f>
        <v>0</v>
      </c>
      <c r="AC471" s="90">
        <f>IF(AB471&gt;0,Ruimtestaat[[#This Row],[Prest. (m2 /jaar) weekend]]/Ruimtestaat[[#This Row],[Norm (m2/uur) weekend]],0)</f>
        <v>0</v>
      </c>
      <c r="AD471" s="91">
        <f>Ruimtestaat[[#This Row],[uren / jaar weekend]]*Tariefsopbouw!$D$40</f>
        <v>0</v>
      </c>
      <c r="AE471" s="60">
        <f>Ruimtestaat[[#This Row],[Prest. (m2 /jaar) weekend]]+Ruimtestaat[[#This Row],[Prest. (m2 /jaar) werkdagen]]</f>
        <v>0</v>
      </c>
      <c r="AF471" s="60">
        <f>Ruimtestaat[[#This Row],[uren / jaar weekend]]+Ruimtestaat[[#This Row],[uren / jaar werkdagen]]</f>
        <v>0</v>
      </c>
      <c r="AG471" s="61">
        <f>Ruimtestaat[[#This Row],[kosten / jaar weekend]]+Ruimtestaat[[#This Row],[kosten / jaar werkdagen]]</f>
        <v>0</v>
      </c>
      <c r="AH471" s="92"/>
      <c r="HL471" s="59"/>
    </row>
    <row r="472" spans="1:220">
      <c r="A472" s="24">
        <v>2</v>
      </c>
      <c r="B472" s="24" t="str">
        <f>VLOOKUP(Ruimtestaat[[#This Row],[Code]],Locaties[#All],2,FALSE)</f>
        <v>Het Stormink</v>
      </c>
      <c r="C472" s="24" t="str">
        <f>VLOOKUP(Ruimtestaat[[#This Row],[Code]],Locaties[#All],4,FALSE)</f>
        <v>Storminkstraat 1</v>
      </c>
      <c r="D472" s="24" t="str">
        <f>VLOOKUP(Ruimtestaat[[#This Row],[Code]],Locaties[#All],5,FALSE)</f>
        <v>7418 GH</v>
      </c>
      <c r="E472" s="24" t="str">
        <f>VLOOKUP(Ruimtestaat[[#This Row],[Code]],Locaties[#All],6,FALSE)</f>
        <v>Deventer</v>
      </c>
      <c r="F472" s="54"/>
      <c r="G472" s="24" t="s">
        <v>656</v>
      </c>
      <c r="H472" s="24" t="s">
        <v>899</v>
      </c>
      <c r="I472" s="4" t="s">
        <v>394</v>
      </c>
      <c r="J472" s="24">
        <v>22</v>
      </c>
      <c r="K472" s="54" t="str">
        <f>VLOOKUP(J472,Ruimtegroepen[],2,FALSE)</f>
        <v>Niet in onderhoud</v>
      </c>
      <c r="L472" s="24" t="s">
        <v>300</v>
      </c>
      <c r="M472" s="24" t="s">
        <v>157</v>
      </c>
      <c r="N472" s="83"/>
      <c r="O472" s="83">
        <v>12.3</v>
      </c>
      <c r="P472" s="93" t="str">
        <f>LEFT(VLOOKUP(Ruimtestaat[[#This Row],[Ruimte code]],Ruimtegroepen[#All],4,1),2)</f>
        <v/>
      </c>
      <c r="Q472" s="93"/>
      <c r="R472" s="84"/>
      <c r="S472" s="84"/>
      <c r="T472" s="85">
        <f>IF(R472&gt;0,IF(RIGHT(Ruimtestaat[[#This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72" s="85">
        <f>IF(T472&gt;0,VLOOKUP($J472,Ruimtegroepen[],3,FALSE)*VLOOKUP($L472,Vloersoorten[],3,FALSE)*VLOOKUP($S472,Frequenties[],3,FALSE)*VLOOKUP($A472,Locaties[],3,FALSE),0)</f>
        <v>0</v>
      </c>
      <c r="V472" s="86">
        <f>Ruimtestaat[[#This Row],[Uitvoeringen werkdagen]]*Ruimtestaat[[#This Row],[Oppervlak (netto)]]</f>
        <v>0</v>
      </c>
      <c r="W472" s="87">
        <f>IF(U472&gt;0,Ruimtestaat[[#This Row],[Prest. (m2 /jaar) werkdagen]]/Ruimtestaat[[#This Row],[Norm (m2/uur) werkdagen]],0)</f>
        <v>0</v>
      </c>
      <c r="X472" s="88">
        <f>Ruimtestaat[[#This Row],[uren / jaar werkdagen]]*Tariefsopbouw!$E$35</f>
        <v>0</v>
      </c>
      <c r="Y472" s="85"/>
      <c r="Z472" s="89">
        <f>IF(Ruimtestaat[[#This Row],[Frequentie weekend]]&gt;0,VALUE(LEFT(Y472,1))*R472,0)</f>
        <v>0</v>
      </c>
      <c r="AA472" s="85">
        <f>IF($Z472&gt;0,VLOOKUP($J472,Ruimtegroepen[],3,FALSE)*VLOOKUP($L472,Vloersoorten[],3,FALSE)*VLOOKUP($Y472,Frequenties[],3,FALSE)*VLOOKUP(#REF!,Locaties[],3,FALSE),0)</f>
        <v>0</v>
      </c>
      <c r="AB472" s="87">
        <f>Ruimtestaat[[#This Row],[Uitvoeringen weekend]]*Ruimtestaat[[#This Row],[Oppervlak (netto)]]</f>
        <v>0</v>
      </c>
      <c r="AC472" s="90">
        <f>IF(AB472&gt;0,Ruimtestaat[[#This Row],[Prest. (m2 /jaar) weekend]]/Ruimtestaat[[#This Row],[Norm (m2/uur) weekend]],0)</f>
        <v>0</v>
      </c>
      <c r="AD472" s="91">
        <f>Ruimtestaat[[#This Row],[uren / jaar weekend]]*Tariefsopbouw!$D$40</f>
        <v>0</v>
      </c>
      <c r="AE472" s="60">
        <f>Ruimtestaat[[#This Row],[Prest. (m2 /jaar) weekend]]+Ruimtestaat[[#This Row],[Prest. (m2 /jaar) werkdagen]]</f>
        <v>0</v>
      </c>
      <c r="AF472" s="60">
        <f>Ruimtestaat[[#This Row],[uren / jaar weekend]]+Ruimtestaat[[#This Row],[uren / jaar werkdagen]]</f>
        <v>0</v>
      </c>
      <c r="AG472" s="61">
        <f>Ruimtestaat[[#This Row],[kosten / jaar weekend]]+Ruimtestaat[[#This Row],[kosten / jaar werkdagen]]</f>
        <v>0</v>
      </c>
      <c r="AH472" s="92"/>
      <c r="HL472" s="59"/>
    </row>
    <row r="473" spans="1:220">
      <c r="A473" s="24">
        <v>2</v>
      </c>
      <c r="B473" s="24" t="str">
        <f>VLOOKUP(Ruimtestaat[[#This Row],[Code]],Locaties[#All],2,FALSE)</f>
        <v>Het Stormink</v>
      </c>
      <c r="C473" s="24" t="str">
        <f>VLOOKUP(Ruimtestaat[[#This Row],[Code]],Locaties[#All],4,FALSE)</f>
        <v>Storminkstraat 1</v>
      </c>
      <c r="D473" s="24" t="str">
        <f>VLOOKUP(Ruimtestaat[[#This Row],[Code]],Locaties[#All],5,FALSE)</f>
        <v>7418 GH</v>
      </c>
      <c r="E473" s="24" t="str">
        <f>VLOOKUP(Ruimtestaat[[#This Row],[Code]],Locaties[#All],6,FALSE)</f>
        <v>Deventer</v>
      </c>
      <c r="F473" s="54"/>
      <c r="G473" s="24" t="s">
        <v>656</v>
      </c>
      <c r="H473" s="24" t="s">
        <v>900</v>
      </c>
      <c r="I473" s="4" t="s">
        <v>864</v>
      </c>
      <c r="J473" s="24">
        <v>13</v>
      </c>
      <c r="K473" s="54" t="str">
        <f>VLOOKUP(J473,Ruimtegroepen[],2,FALSE)</f>
        <v>HV/Technieklokaal</v>
      </c>
      <c r="L473" s="24" t="s">
        <v>305</v>
      </c>
      <c r="M473" s="24" t="s">
        <v>865</v>
      </c>
      <c r="N473" s="83">
        <v>54.32</v>
      </c>
      <c r="O473" s="83"/>
      <c r="P473" s="93" t="str">
        <f>LEFT(VLOOKUP(Ruimtestaat[[#This Row],[Ruimte code]],Ruimtegroepen[#All],4,1),2)</f>
        <v>Le</v>
      </c>
      <c r="Q473" s="93"/>
      <c r="R473" s="84">
        <v>40</v>
      </c>
      <c r="S473" s="84" t="s">
        <v>318</v>
      </c>
      <c r="T473" s="85">
        <f>IF(R473&gt;0,IF(RIGHT(Ruimtestaat[[#This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3" s="85">
        <f>IF(T473&gt;0,VLOOKUP($J473,Ruimtegroepen[],3,FALSE)*VLOOKUP($L473,Vloersoorten[],3,FALSE)*VLOOKUP($S473,Frequenties[],3,FALSE)*VLOOKUP($A473,Locaties[],3,FALSE),0)</f>
        <v>0</v>
      </c>
      <c r="V473" s="86">
        <f>Ruimtestaat[[#This Row],[Uitvoeringen werkdagen]]*Ruimtestaat[[#This Row],[Oppervlak (netto)]]</f>
        <v>10864</v>
      </c>
      <c r="W473" s="87">
        <f>IF(U473&gt;0,Ruimtestaat[[#This Row],[Prest. (m2 /jaar) werkdagen]]/Ruimtestaat[[#This Row],[Norm (m2/uur) werkdagen]],0)</f>
        <v>0</v>
      </c>
      <c r="X473" s="88">
        <f>Ruimtestaat[[#This Row],[uren / jaar werkdagen]]*Tariefsopbouw!$E$35</f>
        <v>0</v>
      </c>
      <c r="Y473" s="85"/>
      <c r="Z473" s="89">
        <f>IF(Ruimtestaat[[#This Row],[Frequentie weekend]]&gt;0,VALUE(LEFT(Y473,1))*R473,0)</f>
        <v>0</v>
      </c>
      <c r="AA473" s="85">
        <f>IF($Z473&gt;0,VLOOKUP($J473,Ruimtegroepen[],3,FALSE)*VLOOKUP($L473,Vloersoorten[],3,FALSE)*VLOOKUP($Y473,Frequenties[],3,FALSE)*VLOOKUP(#REF!,Locaties[],3,FALSE),0)</f>
        <v>0</v>
      </c>
      <c r="AB473" s="87">
        <f>Ruimtestaat[[#This Row],[Uitvoeringen weekend]]*Ruimtestaat[[#This Row],[Oppervlak (netto)]]</f>
        <v>0</v>
      </c>
      <c r="AC473" s="90">
        <f>IF(AB473&gt;0,Ruimtestaat[[#This Row],[Prest. (m2 /jaar) weekend]]/Ruimtestaat[[#This Row],[Norm (m2/uur) weekend]],0)</f>
        <v>0</v>
      </c>
      <c r="AD473" s="91">
        <f>Ruimtestaat[[#This Row],[uren / jaar weekend]]*Tariefsopbouw!$D$40</f>
        <v>0</v>
      </c>
      <c r="AE473" s="60">
        <f>Ruimtestaat[[#This Row],[Prest. (m2 /jaar) weekend]]+Ruimtestaat[[#This Row],[Prest. (m2 /jaar) werkdagen]]</f>
        <v>10864</v>
      </c>
      <c r="AF473" s="60">
        <f>Ruimtestaat[[#This Row],[uren / jaar weekend]]+Ruimtestaat[[#This Row],[uren / jaar werkdagen]]</f>
        <v>0</v>
      </c>
      <c r="AG473" s="61">
        <f>Ruimtestaat[[#This Row],[kosten / jaar weekend]]+Ruimtestaat[[#This Row],[kosten / jaar werkdagen]]</f>
        <v>0</v>
      </c>
      <c r="AH473" s="92"/>
      <c r="HL473" s="59"/>
    </row>
    <row r="474" spans="1:220">
      <c r="A474" s="24">
        <v>2</v>
      </c>
      <c r="B474" s="24" t="str">
        <f>VLOOKUP(Ruimtestaat[[#This Row],[Code]],Locaties[#All],2,FALSE)</f>
        <v>Het Stormink</v>
      </c>
      <c r="C474" s="24" t="str">
        <f>VLOOKUP(Ruimtestaat[[#This Row],[Code]],Locaties[#All],4,FALSE)</f>
        <v>Storminkstraat 1</v>
      </c>
      <c r="D474" s="24" t="str">
        <f>VLOOKUP(Ruimtestaat[[#This Row],[Code]],Locaties[#All],5,FALSE)</f>
        <v>7418 GH</v>
      </c>
      <c r="E474" s="24" t="str">
        <f>VLOOKUP(Ruimtestaat[[#This Row],[Code]],Locaties[#All],6,FALSE)</f>
        <v>Deventer</v>
      </c>
      <c r="F474" s="54"/>
      <c r="G474" s="24" t="s">
        <v>656</v>
      </c>
      <c r="H474" s="24" t="s">
        <v>901</v>
      </c>
      <c r="I474" s="4" t="s">
        <v>709</v>
      </c>
      <c r="J474" s="24">
        <v>16</v>
      </c>
      <c r="K474" s="54" t="str">
        <f>VLOOKUP(J474,Ruimtegroepen[],2,FALSE)</f>
        <v>Leslokalen theorie</v>
      </c>
      <c r="L474" s="24" t="s">
        <v>305</v>
      </c>
      <c r="M474" s="24" t="s">
        <v>865</v>
      </c>
      <c r="N474" s="83">
        <v>56.21</v>
      </c>
      <c r="O474" s="83"/>
      <c r="P474" s="93" t="str">
        <f>LEFT(VLOOKUP(Ruimtestaat[[#This Row],[Ruimte code]],Ruimtegroepen[#All],4,1),2)</f>
        <v>Le</v>
      </c>
      <c r="Q474" s="93"/>
      <c r="R474" s="84">
        <v>40</v>
      </c>
      <c r="S474" s="84" t="s">
        <v>318</v>
      </c>
      <c r="T474" s="85">
        <f>IF(R474&gt;0,IF(RIGHT(Ruimtestaat[[#This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4" s="85">
        <f>IF(T474&gt;0,VLOOKUP($J474,Ruimtegroepen[],3,FALSE)*VLOOKUP($L474,Vloersoorten[],3,FALSE)*VLOOKUP($S474,Frequenties[],3,FALSE)*VLOOKUP($A474,Locaties[],3,FALSE),0)</f>
        <v>0</v>
      </c>
      <c r="V474" s="86">
        <f>Ruimtestaat[[#This Row],[Uitvoeringen werkdagen]]*Ruimtestaat[[#This Row],[Oppervlak (netto)]]</f>
        <v>11242</v>
      </c>
      <c r="W474" s="87">
        <f>IF(U474&gt;0,Ruimtestaat[[#This Row],[Prest. (m2 /jaar) werkdagen]]/Ruimtestaat[[#This Row],[Norm (m2/uur) werkdagen]],0)</f>
        <v>0</v>
      </c>
      <c r="X474" s="88">
        <f>Ruimtestaat[[#This Row],[uren / jaar werkdagen]]*Tariefsopbouw!$E$35</f>
        <v>0</v>
      </c>
      <c r="Y474" s="85"/>
      <c r="Z474" s="89">
        <f>IF(Ruimtestaat[[#This Row],[Frequentie weekend]]&gt;0,VALUE(LEFT(Y474,1))*R474,0)</f>
        <v>0</v>
      </c>
      <c r="AA474" s="85">
        <f>IF($Z474&gt;0,VLOOKUP($J474,Ruimtegroepen[],3,FALSE)*VLOOKUP($L474,Vloersoorten[],3,FALSE)*VLOOKUP($Y474,Frequenties[],3,FALSE)*VLOOKUP(#REF!,Locaties[],3,FALSE),0)</f>
        <v>0</v>
      </c>
      <c r="AB474" s="87">
        <f>Ruimtestaat[[#This Row],[Uitvoeringen weekend]]*Ruimtestaat[[#This Row],[Oppervlak (netto)]]</f>
        <v>0</v>
      </c>
      <c r="AC474" s="90">
        <f>IF(AB474&gt;0,Ruimtestaat[[#This Row],[Prest. (m2 /jaar) weekend]]/Ruimtestaat[[#This Row],[Norm (m2/uur) weekend]],0)</f>
        <v>0</v>
      </c>
      <c r="AD474" s="91">
        <f>Ruimtestaat[[#This Row],[uren / jaar weekend]]*Tariefsopbouw!$D$40</f>
        <v>0</v>
      </c>
      <c r="AE474" s="60">
        <f>Ruimtestaat[[#This Row],[Prest. (m2 /jaar) weekend]]+Ruimtestaat[[#This Row],[Prest. (m2 /jaar) werkdagen]]</f>
        <v>11242</v>
      </c>
      <c r="AF474" s="60">
        <f>Ruimtestaat[[#This Row],[uren / jaar weekend]]+Ruimtestaat[[#This Row],[uren / jaar werkdagen]]</f>
        <v>0</v>
      </c>
      <c r="AG474" s="61">
        <f>Ruimtestaat[[#This Row],[kosten / jaar weekend]]+Ruimtestaat[[#This Row],[kosten / jaar werkdagen]]</f>
        <v>0</v>
      </c>
      <c r="AH474" s="92"/>
      <c r="HL474" s="59"/>
    </row>
    <row r="475" spans="1:220">
      <c r="A475" s="24">
        <v>2</v>
      </c>
      <c r="B475" s="24" t="str">
        <f>VLOOKUP(Ruimtestaat[[#This Row],[Code]],Locaties[#All],2,FALSE)</f>
        <v>Het Stormink</v>
      </c>
      <c r="C475" s="24" t="str">
        <f>VLOOKUP(Ruimtestaat[[#This Row],[Code]],Locaties[#All],4,FALSE)</f>
        <v>Storminkstraat 1</v>
      </c>
      <c r="D475" s="24" t="str">
        <f>VLOOKUP(Ruimtestaat[[#This Row],[Code]],Locaties[#All],5,FALSE)</f>
        <v>7418 GH</v>
      </c>
      <c r="E475" s="24" t="str">
        <f>VLOOKUP(Ruimtestaat[[#This Row],[Code]],Locaties[#All],6,FALSE)</f>
        <v>Deventer</v>
      </c>
      <c r="F475" s="54"/>
      <c r="G475" s="24" t="s">
        <v>656</v>
      </c>
      <c r="H475" s="24" t="s">
        <v>902</v>
      </c>
      <c r="I475" s="4" t="s">
        <v>864</v>
      </c>
      <c r="J475" s="24">
        <v>13</v>
      </c>
      <c r="K475" s="54" t="str">
        <f>VLOOKUP(J475,Ruimtegroepen[],2,FALSE)</f>
        <v>HV/Technieklokaal</v>
      </c>
      <c r="L475" s="24" t="s">
        <v>305</v>
      </c>
      <c r="M475" s="24" t="s">
        <v>865</v>
      </c>
      <c r="N475" s="83">
        <v>54.32</v>
      </c>
      <c r="O475" s="83"/>
      <c r="P475" s="93" t="str">
        <f>LEFT(VLOOKUP(Ruimtestaat[[#This Row],[Ruimte code]],Ruimtegroepen[#All],4,1),2)</f>
        <v>Le</v>
      </c>
      <c r="Q475" s="93"/>
      <c r="R475" s="84">
        <v>40</v>
      </c>
      <c r="S475" s="84" t="s">
        <v>318</v>
      </c>
      <c r="T475" s="85">
        <f>IF(R475&gt;0,IF(RIGHT(Ruimtestaat[[#This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5" s="85">
        <f>IF(T475&gt;0,VLOOKUP($J475,Ruimtegroepen[],3,FALSE)*VLOOKUP($L475,Vloersoorten[],3,FALSE)*VLOOKUP($S475,Frequenties[],3,FALSE)*VLOOKUP($A475,Locaties[],3,FALSE),0)</f>
        <v>0</v>
      </c>
      <c r="V475" s="86">
        <f>Ruimtestaat[[#This Row],[Uitvoeringen werkdagen]]*Ruimtestaat[[#This Row],[Oppervlak (netto)]]</f>
        <v>10864</v>
      </c>
      <c r="W475" s="87">
        <f>IF(U475&gt;0,Ruimtestaat[[#This Row],[Prest. (m2 /jaar) werkdagen]]/Ruimtestaat[[#This Row],[Norm (m2/uur) werkdagen]],0)</f>
        <v>0</v>
      </c>
      <c r="X475" s="88">
        <f>Ruimtestaat[[#This Row],[uren / jaar werkdagen]]*Tariefsopbouw!$E$35</f>
        <v>0</v>
      </c>
      <c r="Y475" s="85"/>
      <c r="Z475" s="89">
        <f>IF(Ruimtestaat[[#This Row],[Frequentie weekend]]&gt;0,VALUE(LEFT(Y475,1))*R475,0)</f>
        <v>0</v>
      </c>
      <c r="AA475" s="85">
        <f>IF($Z475&gt;0,VLOOKUP($J475,Ruimtegroepen[],3,FALSE)*VLOOKUP($L475,Vloersoorten[],3,FALSE)*VLOOKUP($Y475,Frequenties[],3,FALSE)*VLOOKUP(#REF!,Locaties[],3,FALSE),0)</f>
        <v>0</v>
      </c>
      <c r="AB475" s="87">
        <f>Ruimtestaat[[#This Row],[Uitvoeringen weekend]]*Ruimtestaat[[#This Row],[Oppervlak (netto)]]</f>
        <v>0</v>
      </c>
      <c r="AC475" s="90">
        <f>IF(AB475&gt;0,Ruimtestaat[[#This Row],[Prest. (m2 /jaar) weekend]]/Ruimtestaat[[#This Row],[Norm (m2/uur) weekend]],0)</f>
        <v>0</v>
      </c>
      <c r="AD475" s="91">
        <f>Ruimtestaat[[#This Row],[uren / jaar weekend]]*Tariefsopbouw!$D$40</f>
        <v>0</v>
      </c>
      <c r="AE475" s="60">
        <f>Ruimtestaat[[#This Row],[Prest. (m2 /jaar) weekend]]+Ruimtestaat[[#This Row],[Prest. (m2 /jaar) werkdagen]]</f>
        <v>10864</v>
      </c>
      <c r="AF475" s="60">
        <f>Ruimtestaat[[#This Row],[uren / jaar weekend]]+Ruimtestaat[[#This Row],[uren / jaar werkdagen]]</f>
        <v>0</v>
      </c>
      <c r="AG475" s="61">
        <f>Ruimtestaat[[#This Row],[kosten / jaar weekend]]+Ruimtestaat[[#This Row],[kosten / jaar werkdagen]]</f>
        <v>0</v>
      </c>
      <c r="AH475" s="92"/>
      <c r="HL475" s="59"/>
    </row>
    <row r="476" spans="1:220">
      <c r="A476" s="24">
        <v>2</v>
      </c>
      <c r="B476" s="24" t="str">
        <f>VLOOKUP(Ruimtestaat[[#This Row],[Code]],Locaties[#All],2,FALSE)</f>
        <v>Het Stormink</v>
      </c>
      <c r="C476" s="24" t="str">
        <f>VLOOKUP(Ruimtestaat[[#This Row],[Code]],Locaties[#All],4,FALSE)</f>
        <v>Storminkstraat 1</v>
      </c>
      <c r="D476" s="24" t="str">
        <f>VLOOKUP(Ruimtestaat[[#This Row],[Code]],Locaties[#All],5,FALSE)</f>
        <v>7418 GH</v>
      </c>
      <c r="E476" s="24" t="str">
        <f>VLOOKUP(Ruimtestaat[[#This Row],[Code]],Locaties[#All],6,FALSE)</f>
        <v>Deventer</v>
      </c>
      <c r="F476" s="54"/>
      <c r="G476" s="24" t="s">
        <v>656</v>
      </c>
      <c r="H476" s="24" t="s">
        <v>903</v>
      </c>
      <c r="I476" s="4" t="s">
        <v>709</v>
      </c>
      <c r="J476" s="24">
        <v>16</v>
      </c>
      <c r="K476" s="54" t="str">
        <f>VLOOKUP(J476,Ruimtegroepen[],2,FALSE)</f>
        <v>Leslokalen theorie</v>
      </c>
      <c r="L476" s="24" t="s">
        <v>305</v>
      </c>
      <c r="M476" s="24" t="s">
        <v>865</v>
      </c>
      <c r="N476" s="83">
        <v>56.59</v>
      </c>
      <c r="O476" s="83"/>
      <c r="P476" s="93" t="str">
        <f>LEFT(VLOOKUP(Ruimtestaat[[#This Row],[Ruimte code]],Ruimtegroepen[#All],4,1),2)</f>
        <v>Le</v>
      </c>
      <c r="Q476" s="93"/>
      <c r="R476" s="84">
        <v>40</v>
      </c>
      <c r="S476" s="84" t="s">
        <v>318</v>
      </c>
      <c r="T476" s="85">
        <f>IF(R476&gt;0,IF(RIGHT(Ruimtestaat[[#This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6" s="85">
        <f>IF(T476&gt;0,VLOOKUP($J476,Ruimtegroepen[],3,FALSE)*VLOOKUP($L476,Vloersoorten[],3,FALSE)*VLOOKUP($S476,Frequenties[],3,FALSE)*VLOOKUP($A476,Locaties[],3,FALSE),0)</f>
        <v>0</v>
      </c>
      <c r="V476" s="86">
        <f>Ruimtestaat[[#This Row],[Uitvoeringen werkdagen]]*Ruimtestaat[[#This Row],[Oppervlak (netto)]]</f>
        <v>11318</v>
      </c>
      <c r="W476" s="87">
        <f>IF(U476&gt;0,Ruimtestaat[[#This Row],[Prest. (m2 /jaar) werkdagen]]/Ruimtestaat[[#This Row],[Norm (m2/uur) werkdagen]],0)</f>
        <v>0</v>
      </c>
      <c r="X476" s="88">
        <f>Ruimtestaat[[#This Row],[uren / jaar werkdagen]]*Tariefsopbouw!$E$35</f>
        <v>0</v>
      </c>
      <c r="Y476" s="85"/>
      <c r="Z476" s="89">
        <f>IF(Ruimtestaat[[#This Row],[Frequentie weekend]]&gt;0,VALUE(LEFT(Y476,1))*R476,0)</f>
        <v>0</v>
      </c>
      <c r="AA476" s="85">
        <f>IF($Z476&gt;0,VLOOKUP($J476,Ruimtegroepen[],3,FALSE)*VLOOKUP($L476,Vloersoorten[],3,FALSE)*VLOOKUP($Y476,Frequenties[],3,FALSE)*VLOOKUP(#REF!,Locaties[],3,FALSE),0)</f>
        <v>0</v>
      </c>
      <c r="AB476" s="87">
        <f>Ruimtestaat[[#This Row],[Uitvoeringen weekend]]*Ruimtestaat[[#This Row],[Oppervlak (netto)]]</f>
        <v>0</v>
      </c>
      <c r="AC476" s="90">
        <f>IF(AB476&gt;0,Ruimtestaat[[#This Row],[Prest. (m2 /jaar) weekend]]/Ruimtestaat[[#This Row],[Norm (m2/uur) weekend]],0)</f>
        <v>0</v>
      </c>
      <c r="AD476" s="91">
        <f>Ruimtestaat[[#This Row],[uren / jaar weekend]]*Tariefsopbouw!$D$40</f>
        <v>0</v>
      </c>
      <c r="AE476" s="60">
        <f>Ruimtestaat[[#This Row],[Prest. (m2 /jaar) weekend]]+Ruimtestaat[[#This Row],[Prest. (m2 /jaar) werkdagen]]</f>
        <v>11318</v>
      </c>
      <c r="AF476" s="60">
        <f>Ruimtestaat[[#This Row],[uren / jaar weekend]]+Ruimtestaat[[#This Row],[uren / jaar werkdagen]]</f>
        <v>0</v>
      </c>
      <c r="AG476" s="61">
        <f>Ruimtestaat[[#This Row],[kosten / jaar weekend]]+Ruimtestaat[[#This Row],[kosten / jaar werkdagen]]</f>
        <v>0</v>
      </c>
      <c r="AH476" s="92"/>
      <c r="HL476" s="59"/>
    </row>
    <row r="477" spans="1:220">
      <c r="A477" s="24">
        <v>2</v>
      </c>
      <c r="B477" s="24" t="str">
        <f>VLOOKUP(Ruimtestaat[[#This Row],[Code]],Locaties[#All],2,FALSE)</f>
        <v>Het Stormink</v>
      </c>
      <c r="C477" s="24" t="str">
        <f>VLOOKUP(Ruimtestaat[[#This Row],[Code]],Locaties[#All],4,FALSE)</f>
        <v>Storminkstraat 1</v>
      </c>
      <c r="D477" s="24" t="str">
        <f>VLOOKUP(Ruimtestaat[[#This Row],[Code]],Locaties[#All],5,FALSE)</f>
        <v>7418 GH</v>
      </c>
      <c r="E477" s="24" t="str">
        <f>VLOOKUP(Ruimtestaat[[#This Row],[Code]],Locaties[#All],6,FALSE)</f>
        <v>Deventer</v>
      </c>
      <c r="F477" s="54"/>
      <c r="G477" s="24" t="s">
        <v>656</v>
      </c>
      <c r="H477" s="24" t="s">
        <v>904</v>
      </c>
      <c r="I477" s="4" t="s">
        <v>709</v>
      </c>
      <c r="J477" s="24">
        <v>16</v>
      </c>
      <c r="K477" s="54" t="str">
        <f>VLOOKUP(J477,Ruimtegroepen[],2,FALSE)</f>
        <v>Leslokalen theorie</v>
      </c>
      <c r="L477" s="24" t="s">
        <v>305</v>
      </c>
      <c r="M477" s="24" t="s">
        <v>865</v>
      </c>
      <c r="N477" s="83">
        <v>56.47</v>
      </c>
      <c r="O477" s="83"/>
      <c r="P477" s="93" t="str">
        <f>LEFT(VLOOKUP(Ruimtestaat[[#This Row],[Ruimte code]],Ruimtegroepen[#All],4,1),2)</f>
        <v>Le</v>
      </c>
      <c r="Q477" s="93"/>
      <c r="R477" s="84">
        <v>40</v>
      </c>
      <c r="S477" s="84" t="s">
        <v>318</v>
      </c>
      <c r="T477" s="85">
        <f>IF(R477&gt;0,IF(RIGHT(Ruimtestaat[[#This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7" s="85">
        <f>IF(T477&gt;0,VLOOKUP($J477,Ruimtegroepen[],3,FALSE)*VLOOKUP($L477,Vloersoorten[],3,FALSE)*VLOOKUP($S477,Frequenties[],3,FALSE)*VLOOKUP($A477,Locaties[],3,FALSE),0)</f>
        <v>0</v>
      </c>
      <c r="V477" s="86">
        <f>Ruimtestaat[[#This Row],[Uitvoeringen werkdagen]]*Ruimtestaat[[#This Row],[Oppervlak (netto)]]</f>
        <v>11294</v>
      </c>
      <c r="W477" s="87">
        <f>IF(U477&gt;0,Ruimtestaat[[#This Row],[Prest. (m2 /jaar) werkdagen]]/Ruimtestaat[[#This Row],[Norm (m2/uur) werkdagen]],0)</f>
        <v>0</v>
      </c>
      <c r="X477" s="88">
        <f>Ruimtestaat[[#This Row],[uren / jaar werkdagen]]*Tariefsopbouw!$E$35</f>
        <v>0</v>
      </c>
      <c r="Y477" s="85"/>
      <c r="Z477" s="89">
        <f>IF(Ruimtestaat[[#This Row],[Frequentie weekend]]&gt;0,VALUE(LEFT(Y477,1))*R477,0)</f>
        <v>0</v>
      </c>
      <c r="AA477" s="85">
        <f>IF($Z477&gt;0,VLOOKUP($J477,Ruimtegroepen[],3,FALSE)*VLOOKUP($L477,Vloersoorten[],3,FALSE)*VLOOKUP($Y477,Frequenties[],3,FALSE)*VLOOKUP(#REF!,Locaties[],3,FALSE),0)</f>
        <v>0</v>
      </c>
      <c r="AB477" s="87">
        <f>Ruimtestaat[[#This Row],[Uitvoeringen weekend]]*Ruimtestaat[[#This Row],[Oppervlak (netto)]]</f>
        <v>0</v>
      </c>
      <c r="AC477" s="90">
        <f>IF(AB477&gt;0,Ruimtestaat[[#This Row],[Prest. (m2 /jaar) weekend]]/Ruimtestaat[[#This Row],[Norm (m2/uur) weekend]],0)</f>
        <v>0</v>
      </c>
      <c r="AD477" s="91">
        <f>Ruimtestaat[[#This Row],[uren / jaar weekend]]*Tariefsopbouw!$D$40</f>
        <v>0</v>
      </c>
      <c r="AE477" s="60">
        <f>Ruimtestaat[[#This Row],[Prest. (m2 /jaar) weekend]]+Ruimtestaat[[#This Row],[Prest. (m2 /jaar) werkdagen]]</f>
        <v>11294</v>
      </c>
      <c r="AF477" s="60">
        <f>Ruimtestaat[[#This Row],[uren / jaar weekend]]+Ruimtestaat[[#This Row],[uren / jaar werkdagen]]</f>
        <v>0</v>
      </c>
      <c r="AG477" s="61">
        <f>Ruimtestaat[[#This Row],[kosten / jaar weekend]]+Ruimtestaat[[#This Row],[kosten / jaar werkdagen]]</f>
        <v>0</v>
      </c>
      <c r="AH477" s="92"/>
      <c r="HL477" s="59"/>
    </row>
    <row r="478" spans="1:220">
      <c r="A478" s="24">
        <v>2</v>
      </c>
      <c r="B478" s="24" t="str">
        <f>VLOOKUP(Ruimtestaat[[#This Row],[Code]],Locaties[#All],2,FALSE)</f>
        <v>Het Stormink</v>
      </c>
      <c r="C478" s="24" t="str">
        <f>VLOOKUP(Ruimtestaat[[#This Row],[Code]],Locaties[#All],4,FALSE)</f>
        <v>Storminkstraat 1</v>
      </c>
      <c r="D478" s="24" t="str">
        <f>VLOOKUP(Ruimtestaat[[#This Row],[Code]],Locaties[#All],5,FALSE)</f>
        <v>7418 GH</v>
      </c>
      <c r="E478" s="24" t="str">
        <f>VLOOKUP(Ruimtestaat[[#This Row],[Code]],Locaties[#All],6,FALSE)</f>
        <v>Deventer</v>
      </c>
      <c r="F478" s="54"/>
      <c r="G478" s="24" t="s">
        <v>656</v>
      </c>
      <c r="H478" s="24" t="s">
        <v>905</v>
      </c>
      <c r="I478" s="4" t="s">
        <v>709</v>
      </c>
      <c r="J478" s="24">
        <v>16</v>
      </c>
      <c r="K478" s="54" t="str">
        <f>VLOOKUP(J478,Ruimtegroepen[],2,FALSE)</f>
        <v>Leslokalen theorie</v>
      </c>
      <c r="L478" s="24" t="s">
        <v>305</v>
      </c>
      <c r="M478" s="24" t="s">
        <v>865</v>
      </c>
      <c r="N478" s="83">
        <v>56.42</v>
      </c>
      <c r="O478" s="83"/>
      <c r="P478" s="93" t="str">
        <f>LEFT(VLOOKUP(Ruimtestaat[[#This Row],[Ruimte code]],Ruimtegroepen[#All],4,1),2)</f>
        <v>Le</v>
      </c>
      <c r="Q478" s="93"/>
      <c r="R478" s="84">
        <v>40</v>
      </c>
      <c r="S478" s="84" t="s">
        <v>318</v>
      </c>
      <c r="T478" s="85">
        <f>IF(R478&gt;0,IF(RIGHT(Ruimtestaat[[#This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8" s="85">
        <f>IF(T478&gt;0,VLOOKUP($J478,Ruimtegroepen[],3,FALSE)*VLOOKUP($L478,Vloersoorten[],3,FALSE)*VLOOKUP($S478,Frequenties[],3,FALSE)*VLOOKUP($A478,Locaties[],3,FALSE),0)</f>
        <v>0</v>
      </c>
      <c r="V478" s="86">
        <f>Ruimtestaat[[#This Row],[Uitvoeringen werkdagen]]*Ruimtestaat[[#This Row],[Oppervlak (netto)]]</f>
        <v>11284</v>
      </c>
      <c r="W478" s="87">
        <f>IF(U478&gt;0,Ruimtestaat[[#This Row],[Prest. (m2 /jaar) werkdagen]]/Ruimtestaat[[#This Row],[Norm (m2/uur) werkdagen]],0)</f>
        <v>0</v>
      </c>
      <c r="X478" s="88">
        <f>Ruimtestaat[[#This Row],[uren / jaar werkdagen]]*Tariefsopbouw!$E$35</f>
        <v>0</v>
      </c>
      <c r="Y478" s="85"/>
      <c r="Z478" s="89">
        <f>IF(Ruimtestaat[[#This Row],[Frequentie weekend]]&gt;0,VALUE(LEFT(Y478,1))*R478,0)</f>
        <v>0</v>
      </c>
      <c r="AA478" s="85">
        <f>IF($Z478&gt;0,VLOOKUP($J478,Ruimtegroepen[],3,FALSE)*VLOOKUP($L478,Vloersoorten[],3,FALSE)*VLOOKUP($Y478,Frequenties[],3,FALSE)*VLOOKUP(#REF!,Locaties[],3,FALSE),0)</f>
        <v>0</v>
      </c>
      <c r="AB478" s="87">
        <f>Ruimtestaat[[#This Row],[Uitvoeringen weekend]]*Ruimtestaat[[#This Row],[Oppervlak (netto)]]</f>
        <v>0</v>
      </c>
      <c r="AC478" s="90">
        <f>IF(AB478&gt;0,Ruimtestaat[[#This Row],[Prest. (m2 /jaar) weekend]]/Ruimtestaat[[#This Row],[Norm (m2/uur) weekend]],0)</f>
        <v>0</v>
      </c>
      <c r="AD478" s="91">
        <f>Ruimtestaat[[#This Row],[uren / jaar weekend]]*Tariefsopbouw!$D$40</f>
        <v>0</v>
      </c>
      <c r="AE478" s="60">
        <f>Ruimtestaat[[#This Row],[Prest. (m2 /jaar) weekend]]+Ruimtestaat[[#This Row],[Prest. (m2 /jaar) werkdagen]]</f>
        <v>11284</v>
      </c>
      <c r="AF478" s="60">
        <f>Ruimtestaat[[#This Row],[uren / jaar weekend]]+Ruimtestaat[[#This Row],[uren / jaar werkdagen]]</f>
        <v>0</v>
      </c>
      <c r="AG478" s="61">
        <f>Ruimtestaat[[#This Row],[kosten / jaar weekend]]+Ruimtestaat[[#This Row],[kosten / jaar werkdagen]]</f>
        <v>0</v>
      </c>
      <c r="AH478" s="92"/>
      <c r="HL478" s="59"/>
    </row>
    <row r="479" spans="1:220">
      <c r="A479" s="24">
        <v>2</v>
      </c>
      <c r="B479" s="24" t="str">
        <f>VLOOKUP(Ruimtestaat[[#This Row],[Code]],Locaties[#All],2,FALSE)</f>
        <v>Het Stormink</v>
      </c>
      <c r="C479" s="24" t="str">
        <f>VLOOKUP(Ruimtestaat[[#This Row],[Code]],Locaties[#All],4,FALSE)</f>
        <v>Storminkstraat 1</v>
      </c>
      <c r="D479" s="24" t="str">
        <f>VLOOKUP(Ruimtestaat[[#This Row],[Code]],Locaties[#All],5,FALSE)</f>
        <v>7418 GH</v>
      </c>
      <c r="E479" s="24" t="str">
        <f>VLOOKUP(Ruimtestaat[[#This Row],[Code]],Locaties[#All],6,FALSE)</f>
        <v>Deventer</v>
      </c>
      <c r="F479" s="54"/>
      <c r="G479" s="24" t="s">
        <v>656</v>
      </c>
      <c r="H479" s="24" t="s">
        <v>906</v>
      </c>
      <c r="I479" s="4" t="s">
        <v>709</v>
      </c>
      <c r="J479" s="24">
        <v>16</v>
      </c>
      <c r="K479" s="54" t="str">
        <f>VLOOKUP(J479,Ruimtegroepen[],2,FALSE)</f>
        <v>Leslokalen theorie</v>
      </c>
      <c r="L479" s="24" t="s">
        <v>305</v>
      </c>
      <c r="M479" s="24" t="s">
        <v>865</v>
      </c>
      <c r="N479" s="83">
        <v>56.59</v>
      </c>
      <c r="O479" s="83"/>
      <c r="P479" s="93" t="str">
        <f>LEFT(VLOOKUP(Ruimtestaat[[#This Row],[Ruimte code]],Ruimtegroepen[#All],4,1),2)</f>
        <v>Le</v>
      </c>
      <c r="Q479" s="93"/>
      <c r="R479" s="84">
        <v>40</v>
      </c>
      <c r="S479" s="84" t="s">
        <v>318</v>
      </c>
      <c r="T479" s="85">
        <f>IF(R479&gt;0,IF(RIGHT(Ruimtestaat[[#This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9" s="85">
        <f>IF(T479&gt;0,VLOOKUP($J479,Ruimtegroepen[],3,FALSE)*VLOOKUP($L479,Vloersoorten[],3,FALSE)*VLOOKUP($S479,Frequenties[],3,FALSE)*VLOOKUP($A479,Locaties[],3,FALSE),0)</f>
        <v>0</v>
      </c>
      <c r="V479" s="86">
        <f>Ruimtestaat[[#This Row],[Uitvoeringen werkdagen]]*Ruimtestaat[[#This Row],[Oppervlak (netto)]]</f>
        <v>11318</v>
      </c>
      <c r="W479" s="87">
        <f>IF(U479&gt;0,Ruimtestaat[[#This Row],[Prest. (m2 /jaar) werkdagen]]/Ruimtestaat[[#This Row],[Norm (m2/uur) werkdagen]],0)</f>
        <v>0</v>
      </c>
      <c r="X479" s="88">
        <f>Ruimtestaat[[#This Row],[uren / jaar werkdagen]]*Tariefsopbouw!$E$35</f>
        <v>0</v>
      </c>
      <c r="Y479" s="85"/>
      <c r="Z479" s="89">
        <f>IF(Ruimtestaat[[#This Row],[Frequentie weekend]]&gt;0,VALUE(LEFT(Y479,1))*R479,0)</f>
        <v>0</v>
      </c>
      <c r="AA479" s="85">
        <f>IF($Z479&gt;0,VLOOKUP($J479,Ruimtegroepen[],3,FALSE)*VLOOKUP($L479,Vloersoorten[],3,FALSE)*VLOOKUP($Y479,Frequenties[],3,FALSE)*VLOOKUP(#REF!,Locaties[],3,FALSE),0)</f>
        <v>0</v>
      </c>
      <c r="AB479" s="87">
        <f>Ruimtestaat[[#This Row],[Uitvoeringen weekend]]*Ruimtestaat[[#This Row],[Oppervlak (netto)]]</f>
        <v>0</v>
      </c>
      <c r="AC479" s="90">
        <f>IF(AB479&gt;0,Ruimtestaat[[#This Row],[Prest. (m2 /jaar) weekend]]/Ruimtestaat[[#This Row],[Norm (m2/uur) weekend]],0)</f>
        <v>0</v>
      </c>
      <c r="AD479" s="91">
        <f>Ruimtestaat[[#This Row],[uren / jaar weekend]]*Tariefsopbouw!$D$40</f>
        <v>0</v>
      </c>
      <c r="AE479" s="60">
        <f>Ruimtestaat[[#This Row],[Prest. (m2 /jaar) weekend]]+Ruimtestaat[[#This Row],[Prest. (m2 /jaar) werkdagen]]</f>
        <v>11318</v>
      </c>
      <c r="AF479" s="60">
        <f>Ruimtestaat[[#This Row],[uren / jaar weekend]]+Ruimtestaat[[#This Row],[uren / jaar werkdagen]]</f>
        <v>0</v>
      </c>
      <c r="AG479" s="61">
        <f>Ruimtestaat[[#This Row],[kosten / jaar weekend]]+Ruimtestaat[[#This Row],[kosten / jaar werkdagen]]</f>
        <v>0</v>
      </c>
      <c r="AH479" s="92"/>
      <c r="HL479" s="59"/>
    </row>
    <row r="480" spans="1:220">
      <c r="A480" s="24">
        <v>2</v>
      </c>
      <c r="B480" s="24" t="str">
        <f>VLOOKUP(Ruimtestaat[[#This Row],[Code]],Locaties[#All],2,FALSE)</f>
        <v>Het Stormink</v>
      </c>
      <c r="C480" s="24" t="str">
        <f>VLOOKUP(Ruimtestaat[[#This Row],[Code]],Locaties[#All],4,FALSE)</f>
        <v>Storminkstraat 1</v>
      </c>
      <c r="D480" s="24" t="str">
        <f>VLOOKUP(Ruimtestaat[[#This Row],[Code]],Locaties[#All],5,FALSE)</f>
        <v>7418 GH</v>
      </c>
      <c r="E480" s="24" t="str">
        <f>VLOOKUP(Ruimtestaat[[#This Row],[Code]],Locaties[#All],6,FALSE)</f>
        <v>Deventer</v>
      </c>
      <c r="F480" s="54"/>
      <c r="G480" s="24" t="s">
        <v>656</v>
      </c>
      <c r="H480" s="24" t="s">
        <v>907</v>
      </c>
      <c r="I480" s="4" t="s">
        <v>709</v>
      </c>
      <c r="J480" s="24">
        <v>16</v>
      </c>
      <c r="K480" s="54" t="str">
        <f>VLOOKUP(J480,Ruimtegroepen[],2,FALSE)</f>
        <v>Leslokalen theorie</v>
      </c>
      <c r="L480" s="24" t="s">
        <v>305</v>
      </c>
      <c r="M480" s="24" t="s">
        <v>865</v>
      </c>
      <c r="N480" s="83">
        <v>56.21</v>
      </c>
      <c r="O480" s="83"/>
      <c r="P480" s="93" t="str">
        <f>LEFT(VLOOKUP(Ruimtestaat[[#This Row],[Ruimte code]],Ruimtegroepen[#All],4,1),2)</f>
        <v>Le</v>
      </c>
      <c r="Q480" s="93"/>
      <c r="R480" s="84">
        <v>40</v>
      </c>
      <c r="S480" s="84" t="s">
        <v>318</v>
      </c>
      <c r="T480" s="85">
        <f>IF(R480&gt;0,IF(RIGHT(Ruimtestaat[[#This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0" s="85">
        <f>IF(T480&gt;0,VLOOKUP($J480,Ruimtegroepen[],3,FALSE)*VLOOKUP($L480,Vloersoorten[],3,FALSE)*VLOOKUP($S480,Frequenties[],3,FALSE)*VLOOKUP($A480,Locaties[],3,FALSE),0)</f>
        <v>0</v>
      </c>
      <c r="V480" s="86">
        <f>Ruimtestaat[[#This Row],[Uitvoeringen werkdagen]]*Ruimtestaat[[#This Row],[Oppervlak (netto)]]</f>
        <v>11242</v>
      </c>
      <c r="W480" s="87">
        <f>IF(U480&gt;0,Ruimtestaat[[#This Row],[Prest. (m2 /jaar) werkdagen]]/Ruimtestaat[[#This Row],[Norm (m2/uur) werkdagen]],0)</f>
        <v>0</v>
      </c>
      <c r="X480" s="88">
        <f>Ruimtestaat[[#This Row],[uren / jaar werkdagen]]*Tariefsopbouw!$E$35</f>
        <v>0</v>
      </c>
      <c r="Y480" s="85"/>
      <c r="Z480" s="89">
        <f>IF(Ruimtestaat[[#This Row],[Frequentie weekend]]&gt;0,VALUE(LEFT(Y480,1))*R480,0)</f>
        <v>0</v>
      </c>
      <c r="AA480" s="85">
        <f>IF($Z480&gt;0,VLOOKUP($J480,Ruimtegroepen[],3,FALSE)*VLOOKUP($L480,Vloersoorten[],3,FALSE)*VLOOKUP($Y480,Frequenties[],3,FALSE)*VLOOKUP(#REF!,Locaties[],3,FALSE),0)</f>
        <v>0</v>
      </c>
      <c r="AB480" s="87">
        <f>Ruimtestaat[[#This Row],[Uitvoeringen weekend]]*Ruimtestaat[[#This Row],[Oppervlak (netto)]]</f>
        <v>0</v>
      </c>
      <c r="AC480" s="90">
        <f>IF(AB480&gt;0,Ruimtestaat[[#This Row],[Prest. (m2 /jaar) weekend]]/Ruimtestaat[[#This Row],[Norm (m2/uur) weekend]],0)</f>
        <v>0</v>
      </c>
      <c r="AD480" s="91">
        <f>Ruimtestaat[[#This Row],[uren / jaar weekend]]*Tariefsopbouw!$D$40</f>
        <v>0</v>
      </c>
      <c r="AE480" s="60">
        <f>Ruimtestaat[[#This Row],[Prest. (m2 /jaar) weekend]]+Ruimtestaat[[#This Row],[Prest. (m2 /jaar) werkdagen]]</f>
        <v>11242</v>
      </c>
      <c r="AF480" s="60">
        <f>Ruimtestaat[[#This Row],[uren / jaar weekend]]+Ruimtestaat[[#This Row],[uren / jaar werkdagen]]</f>
        <v>0</v>
      </c>
      <c r="AG480" s="61">
        <f>Ruimtestaat[[#This Row],[kosten / jaar weekend]]+Ruimtestaat[[#This Row],[kosten / jaar werkdagen]]</f>
        <v>0</v>
      </c>
      <c r="AH480" s="92"/>
      <c r="HL480" s="59"/>
    </row>
    <row r="481" spans="1:220">
      <c r="A481" s="24">
        <v>2</v>
      </c>
      <c r="B481" s="24" t="str">
        <f>VLOOKUP(Ruimtestaat[[#This Row],[Code]],Locaties[#All],2,FALSE)</f>
        <v>Het Stormink</v>
      </c>
      <c r="C481" s="24" t="str">
        <f>VLOOKUP(Ruimtestaat[[#This Row],[Code]],Locaties[#All],4,FALSE)</f>
        <v>Storminkstraat 1</v>
      </c>
      <c r="D481" s="24" t="str">
        <f>VLOOKUP(Ruimtestaat[[#This Row],[Code]],Locaties[#All],5,FALSE)</f>
        <v>7418 GH</v>
      </c>
      <c r="E481" s="24" t="str">
        <f>VLOOKUP(Ruimtestaat[[#This Row],[Code]],Locaties[#All],6,FALSE)</f>
        <v>Deventer</v>
      </c>
      <c r="F481" s="54"/>
      <c r="G481" s="24" t="s">
        <v>656</v>
      </c>
      <c r="H481" s="24" t="s">
        <v>908</v>
      </c>
      <c r="I481" s="4" t="s">
        <v>487</v>
      </c>
      <c r="J481" s="24">
        <v>6</v>
      </c>
      <c r="K481" s="54" t="str">
        <f>VLOOKUP(J481,Ruimtegroepen[],2,FALSE)</f>
        <v>Gangen/hallen</v>
      </c>
      <c r="L481" s="24" t="s">
        <v>300</v>
      </c>
      <c r="M481" s="252" t="s">
        <v>909</v>
      </c>
      <c r="N481" s="83">
        <v>121.99</v>
      </c>
      <c r="O481" s="83"/>
      <c r="P481" s="93" t="str">
        <f>LEFT(VLOOKUP(Ruimtestaat[[#This Row],[Ruimte code]],Ruimtegroepen[#All],4,1),2)</f>
        <v>Ve</v>
      </c>
      <c r="Q481" s="93"/>
      <c r="R481" s="84">
        <v>40</v>
      </c>
      <c r="S481" s="84" t="s">
        <v>318</v>
      </c>
      <c r="T481" s="85">
        <f>IF(R481&gt;0,IF(RIGHT(Ruimtestaat[[#This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1" s="85">
        <f>IF(T481&gt;0,VLOOKUP($J481,Ruimtegroepen[],3,FALSE)*VLOOKUP($L481,Vloersoorten[],3,FALSE)*VLOOKUP($S481,Frequenties[],3,FALSE)*VLOOKUP($A481,Locaties[],3,FALSE),0)</f>
        <v>0</v>
      </c>
      <c r="V481" s="86">
        <f>Ruimtestaat[[#This Row],[Uitvoeringen werkdagen]]*Ruimtestaat[[#This Row],[Oppervlak (netto)]]</f>
        <v>24398</v>
      </c>
      <c r="W481" s="87">
        <f>IF(U481&gt;0,Ruimtestaat[[#This Row],[Prest. (m2 /jaar) werkdagen]]/Ruimtestaat[[#This Row],[Norm (m2/uur) werkdagen]],0)</f>
        <v>0</v>
      </c>
      <c r="X481" s="88">
        <f>Ruimtestaat[[#This Row],[uren / jaar werkdagen]]*Tariefsopbouw!$E$35</f>
        <v>0</v>
      </c>
      <c r="Y481" s="85"/>
      <c r="Z481" s="89">
        <f>IF(Ruimtestaat[[#This Row],[Frequentie weekend]]&gt;0,VALUE(LEFT(Y481,1))*R481,0)</f>
        <v>0</v>
      </c>
      <c r="AA481" s="85">
        <f>IF($Z481&gt;0,VLOOKUP($J481,Ruimtegroepen[],3,FALSE)*VLOOKUP($L481,Vloersoorten[],3,FALSE)*VLOOKUP($Y481,Frequenties[],3,FALSE)*VLOOKUP(#REF!,Locaties[],3,FALSE),0)</f>
        <v>0</v>
      </c>
      <c r="AB481" s="87">
        <f>Ruimtestaat[[#This Row],[Uitvoeringen weekend]]*Ruimtestaat[[#This Row],[Oppervlak (netto)]]</f>
        <v>0</v>
      </c>
      <c r="AC481" s="90">
        <f>IF(AB481&gt;0,Ruimtestaat[[#This Row],[Prest. (m2 /jaar) weekend]]/Ruimtestaat[[#This Row],[Norm (m2/uur) weekend]],0)</f>
        <v>0</v>
      </c>
      <c r="AD481" s="91">
        <f>Ruimtestaat[[#This Row],[uren / jaar weekend]]*Tariefsopbouw!$D$40</f>
        <v>0</v>
      </c>
      <c r="AE481" s="60">
        <f>Ruimtestaat[[#This Row],[Prest. (m2 /jaar) weekend]]+Ruimtestaat[[#This Row],[Prest. (m2 /jaar) werkdagen]]</f>
        <v>24398</v>
      </c>
      <c r="AF481" s="60">
        <f>Ruimtestaat[[#This Row],[uren / jaar weekend]]+Ruimtestaat[[#This Row],[uren / jaar werkdagen]]</f>
        <v>0</v>
      </c>
      <c r="AG481" s="61">
        <f>Ruimtestaat[[#This Row],[kosten / jaar weekend]]+Ruimtestaat[[#This Row],[kosten / jaar werkdagen]]</f>
        <v>0</v>
      </c>
      <c r="AH481" s="92"/>
      <c r="HL481" s="59"/>
    </row>
    <row r="482" spans="1:220">
      <c r="A482" s="24">
        <v>2</v>
      </c>
      <c r="B482" s="24" t="str">
        <f>VLOOKUP(Ruimtestaat[[#This Row],[Code]],Locaties[#All],2,FALSE)</f>
        <v>Het Stormink</v>
      </c>
      <c r="C482" s="24" t="str">
        <f>VLOOKUP(Ruimtestaat[[#This Row],[Code]],Locaties[#All],4,FALSE)</f>
        <v>Storminkstraat 1</v>
      </c>
      <c r="D482" s="24" t="str">
        <f>VLOOKUP(Ruimtestaat[[#This Row],[Code]],Locaties[#All],5,FALSE)</f>
        <v>7418 GH</v>
      </c>
      <c r="E482" s="24" t="str">
        <f>VLOOKUP(Ruimtestaat[[#This Row],[Code]],Locaties[#All],6,FALSE)</f>
        <v>Deventer</v>
      </c>
      <c r="F482" s="54"/>
      <c r="G482" s="24" t="s">
        <v>656</v>
      </c>
      <c r="H482" s="24" t="s">
        <v>910</v>
      </c>
      <c r="I482" s="4" t="s">
        <v>487</v>
      </c>
      <c r="J482" s="24">
        <v>6</v>
      </c>
      <c r="K482" s="54" t="str">
        <f>VLOOKUP(J482,Ruimtegroepen[],2,FALSE)</f>
        <v>Gangen/hallen</v>
      </c>
      <c r="L482" s="24" t="s">
        <v>300</v>
      </c>
      <c r="M482" s="24" t="s">
        <v>157</v>
      </c>
      <c r="N482" s="83">
        <v>44.54</v>
      </c>
      <c r="O482" s="83"/>
      <c r="P482" s="93" t="str">
        <f>LEFT(VLOOKUP(Ruimtestaat[[#This Row],[Ruimte code]],Ruimtegroepen[#All],4,1),2)</f>
        <v>Ve</v>
      </c>
      <c r="Q482" s="93"/>
      <c r="R482" s="84">
        <v>40</v>
      </c>
      <c r="S482" s="84" t="s">
        <v>318</v>
      </c>
      <c r="T482" s="85">
        <f>IF(R482&gt;0,IF(RIGHT(Ruimtestaat[[#This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2" s="85">
        <f>IF(T482&gt;0,VLOOKUP($J482,Ruimtegroepen[],3,FALSE)*VLOOKUP($L482,Vloersoorten[],3,FALSE)*VLOOKUP($S482,Frequenties[],3,FALSE)*VLOOKUP($A482,Locaties[],3,FALSE),0)</f>
        <v>0</v>
      </c>
      <c r="V482" s="86">
        <f>Ruimtestaat[[#This Row],[Uitvoeringen werkdagen]]*Ruimtestaat[[#This Row],[Oppervlak (netto)]]</f>
        <v>8908</v>
      </c>
      <c r="W482" s="87">
        <f>IF(U482&gt;0,Ruimtestaat[[#This Row],[Prest. (m2 /jaar) werkdagen]]/Ruimtestaat[[#This Row],[Norm (m2/uur) werkdagen]],0)</f>
        <v>0</v>
      </c>
      <c r="X482" s="88">
        <f>Ruimtestaat[[#This Row],[uren / jaar werkdagen]]*Tariefsopbouw!$E$35</f>
        <v>0</v>
      </c>
      <c r="Y482" s="85"/>
      <c r="Z482" s="89">
        <f>IF(Ruimtestaat[[#This Row],[Frequentie weekend]]&gt;0,VALUE(LEFT(Y482,1))*R482,0)</f>
        <v>0</v>
      </c>
      <c r="AA482" s="85">
        <f>IF($Z482&gt;0,VLOOKUP($J482,Ruimtegroepen[],3,FALSE)*VLOOKUP($L482,Vloersoorten[],3,FALSE)*VLOOKUP($Y482,Frequenties[],3,FALSE)*VLOOKUP(#REF!,Locaties[],3,FALSE),0)</f>
        <v>0</v>
      </c>
      <c r="AB482" s="87">
        <f>Ruimtestaat[[#This Row],[Uitvoeringen weekend]]*Ruimtestaat[[#This Row],[Oppervlak (netto)]]</f>
        <v>0</v>
      </c>
      <c r="AC482" s="90">
        <f>IF(AB482&gt;0,Ruimtestaat[[#This Row],[Prest. (m2 /jaar) weekend]]/Ruimtestaat[[#This Row],[Norm (m2/uur) weekend]],0)</f>
        <v>0</v>
      </c>
      <c r="AD482" s="91">
        <f>Ruimtestaat[[#This Row],[uren / jaar weekend]]*Tariefsopbouw!$D$40</f>
        <v>0</v>
      </c>
      <c r="AE482" s="60">
        <f>Ruimtestaat[[#This Row],[Prest. (m2 /jaar) weekend]]+Ruimtestaat[[#This Row],[Prest. (m2 /jaar) werkdagen]]</f>
        <v>8908</v>
      </c>
      <c r="AF482" s="60">
        <f>Ruimtestaat[[#This Row],[uren / jaar weekend]]+Ruimtestaat[[#This Row],[uren / jaar werkdagen]]</f>
        <v>0</v>
      </c>
      <c r="AG482" s="61">
        <f>Ruimtestaat[[#This Row],[kosten / jaar weekend]]+Ruimtestaat[[#This Row],[kosten / jaar werkdagen]]</f>
        <v>0</v>
      </c>
      <c r="AH482" s="92"/>
      <c r="HL482" s="59"/>
    </row>
    <row r="483" spans="1:220">
      <c r="A483" s="24">
        <v>2</v>
      </c>
      <c r="B483" s="24" t="str">
        <f>VLOOKUP(Ruimtestaat[[#This Row],[Code]],Locaties[#All],2,FALSE)</f>
        <v>Het Stormink</v>
      </c>
      <c r="C483" s="24" t="str">
        <f>VLOOKUP(Ruimtestaat[[#This Row],[Code]],Locaties[#All],4,FALSE)</f>
        <v>Storminkstraat 1</v>
      </c>
      <c r="D483" s="24" t="str">
        <f>VLOOKUP(Ruimtestaat[[#This Row],[Code]],Locaties[#All],5,FALSE)</f>
        <v>7418 GH</v>
      </c>
      <c r="E483" s="24" t="str">
        <f>VLOOKUP(Ruimtestaat[[#This Row],[Code]],Locaties[#All],6,FALSE)</f>
        <v>Deventer</v>
      </c>
      <c r="F483" s="54"/>
      <c r="G483" s="24" t="s">
        <v>656</v>
      </c>
      <c r="H483" s="24" t="s">
        <v>911</v>
      </c>
      <c r="I483" s="4" t="s">
        <v>487</v>
      </c>
      <c r="J483" s="24">
        <v>6</v>
      </c>
      <c r="K483" s="54" t="str">
        <f>VLOOKUP(J483,Ruimtegroepen[],2,FALSE)</f>
        <v>Gangen/hallen</v>
      </c>
      <c r="L483" s="24" t="s">
        <v>300</v>
      </c>
      <c r="M483" s="24" t="s">
        <v>157</v>
      </c>
      <c r="N483" s="83">
        <v>40.770000000000003</v>
      </c>
      <c r="O483" s="83"/>
      <c r="P483" s="93" t="str">
        <f>LEFT(VLOOKUP(Ruimtestaat[[#This Row],[Ruimte code]],Ruimtegroepen[#All],4,1),2)</f>
        <v>Ve</v>
      </c>
      <c r="Q483" s="93"/>
      <c r="R483" s="84">
        <v>40</v>
      </c>
      <c r="S483" s="84" t="s">
        <v>318</v>
      </c>
      <c r="T483" s="85">
        <f>IF(R483&gt;0,IF(RIGHT(Ruimtestaat[[#This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3" s="85">
        <f>IF(T483&gt;0,VLOOKUP($J483,Ruimtegroepen[],3,FALSE)*VLOOKUP($L483,Vloersoorten[],3,FALSE)*VLOOKUP($S483,Frequenties[],3,FALSE)*VLOOKUP($A483,Locaties[],3,FALSE),0)</f>
        <v>0</v>
      </c>
      <c r="V483" s="86">
        <f>Ruimtestaat[[#This Row],[Uitvoeringen werkdagen]]*Ruimtestaat[[#This Row],[Oppervlak (netto)]]</f>
        <v>8154.0000000000009</v>
      </c>
      <c r="W483" s="87">
        <f>IF(U483&gt;0,Ruimtestaat[[#This Row],[Prest. (m2 /jaar) werkdagen]]/Ruimtestaat[[#This Row],[Norm (m2/uur) werkdagen]],0)</f>
        <v>0</v>
      </c>
      <c r="X483" s="88">
        <f>Ruimtestaat[[#This Row],[uren / jaar werkdagen]]*Tariefsopbouw!$E$35</f>
        <v>0</v>
      </c>
      <c r="Y483" s="85"/>
      <c r="Z483" s="89">
        <f>IF(Ruimtestaat[[#This Row],[Frequentie weekend]]&gt;0,VALUE(LEFT(Y483,1))*R483,0)</f>
        <v>0</v>
      </c>
      <c r="AA483" s="85">
        <f>IF($Z483&gt;0,VLOOKUP($J483,Ruimtegroepen[],3,FALSE)*VLOOKUP($L483,Vloersoorten[],3,FALSE)*VLOOKUP($Y483,Frequenties[],3,FALSE)*VLOOKUP(#REF!,Locaties[],3,FALSE),0)</f>
        <v>0</v>
      </c>
      <c r="AB483" s="87">
        <f>Ruimtestaat[[#This Row],[Uitvoeringen weekend]]*Ruimtestaat[[#This Row],[Oppervlak (netto)]]</f>
        <v>0</v>
      </c>
      <c r="AC483" s="90">
        <f>IF(AB483&gt;0,Ruimtestaat[[#This Row],[Prest. (m2 /jaar) weekend]]/Ruimtestaat[[#This Row],[Norm (m2/uur) weekend]],0)</f>
        <v>0</v>
      </c>
      <c r="AD483" s="91">
        <f>Ruimtestaat[[#This Row],[uren / jaar weekend]]*Tariefsopbouw!$D$40</f>
        <v>0</v>
      </c>
      <c r="AE483" s="60">
        <f>Ruimtestaat[[#This Row],[Prest. (m2 /jaar) weekend]]+Ruimtestaat[[#This Row],[Prest. (m2 /jaar) werkdagen]]</f>
        <v>8154.0000000000009</v>
      </c>
      <c r="AF483" s="60">
        <f>Ruimtestaat[[#This Row],[uren / jaar weekend]]+Ruimtestaat[[#This Row],[uren / jaar werkdagen]]</f>
        <v>0</v>
      </c>
      <c r="AG483" s="61">
        <f>Ruimtestaat[[#This Row],[kosten / jaar weekend]]+Ruimtestaat[[#This Row],[kosten / jaar werkdagen]]</f>
        <v>0</v>
      </c>
      <c r="AH483" s="92"/>
      <c r="HL483" s="59"/>
    </row>
    <row r="484" spans="1:220">
      <c r="A484" s="24">
        <v>2</v>
      </c>
      <c r="B484" s="24" t="str">
        <f>VLOOKUP(Ruimtestaat[[#This Row],[Code]],Locaties[#All],2,FALSE)</f>
        <v>Het Stormink</v>
      </c>
      <c r="C484" s="24" t="str">
        <f>VLOOKUP(Ruimtestaat[[#This Row],[Code]],Locaties[#All],4,FALSE)</f>
        <v>Storminkstraat 1</v>
      </c>
      <c r="D484" s="24" t="str">
        <f>VLOOKUP(Ruimtestaat[[#This Row],[Code]],Locaties[#All],5,FALSE)</f>
        <v>7418 GH</v>
      </c>
      <c r="E484" s="24" t="str">
        <f>VLOOKUP(Ruimtestaat[[#This Row],[Code]],Locaties[#All],6,FALSE)</f>
        <v>Deventer</v>
      </c>
      <c r="F484" s="54"/>
      <c r="G484" s="24" t="s">
        <v>656</v>
      </c>
      <c r="H484" s="24" t="s">
        <v>912</v>
      </c>
      <c r="I484" s="4" t="s">
        <v>487</v>
      </c>
      <c r="J484" s="24">
        <v>6</v>
      </c>
      <c r="K484" s="54" t="str">
        <f>VLOOKUP(J484,Ruimtegroepen[],2,FALSE)</f>
        <v>Gangen/hallen</v>
      </c>
      <c r="L484" s="24" t="s">
        <v>300</v>
      </c>
      <c r="M484" s="24" t="s">
        <v>157</v>
      </c>
      <c r="N484" s="83">
        <v>174.73</v>
      </c>
      <c r="O484" s="83"/>
      <c r="P484" s="93" t="str">
        <f>LEFT(VLOOKUP(Ruimtestaat[[#This Row],[Ruimte code]],Ruimtegroepen[#All],4,1),2)</f>
        <v>Ve</v>
      </c>
      <c r="Q484" s="93"/>
      <c r="R484" s="84">
        <v>40</v>
      </c>
      <c r="S484" s="84" t="s">
        <v>318</v>
      </c>
      <c r="T484" s="85">
        <f>IF(R484&gt;0,IF(RIGHT(Ruimtestaat[[#This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4" s="85">
        <f>IF(T484&gt;0,VLOOKUP($J484,Ruimtegroepen[],3,FALSE)*VLOOKUP($L484,Vloersoorten[],3,FALSE)*VLOOKUP($S484,Frequenties[],3,FALSE)*VLOOKUP($A484,Locaties[],3,FALSE),0)</f>
        <v>0</v>
      </c>
      <c r="V484" s="86">
        <f>Ruimtestaat[[#This Row],[Uitvoeringen werkdagen]]*Ruimtestaat[[#This Row],[Oppervlak (netto)]]</f>
        <v>34946</v>
      </c>
      <c r="W484" s="87">
        <f>IF(U484&gt;0,Ruimtestaat[[#This Row],[Prest. (m2 /jaar) werkdagen]]/Ruimtestaat[[#This Row],[Norm (m2/uur) werkdagen]],0)</f>
        <v>0</v>
      </c>
      <c r="X484" s="88">
        <f>Ruimtestaat[[#This Row],[uren / jaar werkdagen]]*Tariefsopbouw!$E$35</f>
        <v>0</v>
      </c>
      <c r="Y484" s="85"/>
      <c r="Z484" s="89">
        <f>IF(Ruimtestaat[[#This Row],[Frequentie weekend]]&gt;0,VALUE(LEFT(Y484,1))*R484,0)</f>
        <v>0</v>
      </c>
      <c r="AA484" s="85">
        <f>IF($Z484&gt;0,VLOOKUP($J484,Ruimtegroepen[],3,FALSE)*VLOOKUP($L484,Vloersoorten[],3,FALSE)*VLOOKUP($Y484,Frequenties[],3,FALSE)*VLOOKUP(#REF!,Locaties[],3,FALSE),0)</f>
        <v>0</v>
      </c>
      <c r="AB484" s="87">
        <f>Ruimtestaat[[#This Row],[Uitvoeringen weekend]]*Ruimtestaat[[#This Row],[Oppervlak (netto)]]</f>
        <v>0</v>
      </c>
      <c r="AC484" s="90">
        <f>IF(AB484&gt;0,Ruimtestaat[[#This Row],[Prest. (m2 /jaar) weekend]]/Ruimtestaat[[#This Row],[Norm (m2/uur) weekend]],0)</f>
        <v>0</v>
      </c>
      <c r="AD484" s="91">
        <f>Ruimtestaat[[#This Row],[uren / jaar weekend]]*Tariefsopbouw!$D$40</f>
        <v>0</v>
      </c>
      <c r="AE484" s="60">
        <f>Ruimtestaat[[#This Row],[Prest. (m2 /jaar) weekend]]+Ruimtestaat[[#This Row],[Prest. (m2 /jaar) werkdagen]]</f>
        <v>34946</v>
      </c>
      <c r="AF484" s="60">
        <f>Ruimtestaat[[#This Row],[uren / jaar weekend]]+Ruimtestaat[[#This Row],[uren / jaar werkdagen]]</f>
        <v>0</v>
      </c>
      <c r="AG484" s="61">
        <f>Ruimtestaat[[#This Row],[kosten / jaar weekend]]+Ruimtestaat[[#This Row],[kosten / jaar werkdagen]]</f>
        <v>0</v>
      </c>
      <c r="AH484" s="92"/>
      <c r="HL484" s="59"/>
    </row>
    <row r="485" spans="1:220">
      <c r="A485" s="24">
        <v>2</v>
      </c>
      <c r="B485" s="24" t="str">
        <f>VLOOKUP(Ruimtestaat[[#This Row],[Code]],Locaties[#All],2,FALSE)</f>
        <v>Het Stormink</v>
      </c>
      <c r="C485" s="24" t="str">
        <f>VLOOKUP(Ruimtestaat[[#This Row],[Code]],Locaties[#All],4,FALSE)</f>
        <v>Storminkstraat 1</v>
      </c>
      <c r="D485" s="24" t="str">
        <f>VLOOKUP(Ruimtestaat[[#This Row],[Code]],Locaties[#All],5,FALSE)</f>
        <v>7418 GH</v>
      </c>
      <c r="E485" s="24" t="str">
        <f>VLOOKUP(Ruimtestaat[[#This Row],[Code]],Locaties[#All],6,FALSE)</f>
        <v>Deventer</v>
      </c>
      <c r="F485" s="54"/>
      <c r="G485" s="24" t="s">
        <v>656</v>
      </c>
      <c r="H485" s="24" t="s">
        <v>913</v>
      </c>
      <c r="I485" s="4" t="s">
        <v>103</v>
      </c>
      <c r="J485" s="24">
        <v>10</v>
      </c>
      <c r="K485" s="54" t="str">
        <f>VLOOKUP(J485,Ruimtegroepen[],2,FALSE)</f>
        <v>Trappenhuizen/lift</v>
      </c>
      <c r="L485" s="24" t="s">
        <v>300</v>
      </c>
      <c r="M485" s="24" t="s">
        <v>157</v>
      </c>
      <c r="N485" s="83">
        <v>5.37</v>
      </c>
      <c r="O485" s="83"/>
      <c r="P485" s="93" t="str">
        <f>LEFT(VLOOKUP(Ruimtestaat[[#This Row],[Ruimte code]],Ruimtegroepen[#All],4,1),2)</f>
        <v>Ve</v>
      </c>
      <c r="Q485" s="93"/>
      <c r="R485" s="84">
        <v>40</v>
      </c>
      <c r="S485" s="84" t="s">
        <v>318</v>
      </c>
      <c r="T485" s="85">
        <f>IF(R485&gt;0,IF(RIGHT(Ruimtestaat[[#This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5" s="85">
        <f>IF(T485&gt;0,VLOOKUP($J485,Ruimtegroepen[],3,FALSE)*VLOOKUP($L485,Vloersoorten[],3,FALSE)*VLOOKUP($S485,Frequenties[],3,FALSE)*VLOOKUP($A485,Locaties[],3,FALSE),0)</f>
        <v>0</v>
      </c>
      <c r="V485" s="86">
        <f>Ruimtestaat[[#This Row],[Uitvoeringen werkdagen]]*Ruimtestaat[[#This Row],[Oppervlak (netto)]]</f>
        <v>1074</v>
      </c>
      <c r="W485" s="87">
        <f>IF(U485&gt;0,Ruimtestaat[[#This Row],[Prest. (m2 /jaar) werkdagen]]/Ruimtestaat[[#This Row],[Norm (m2/uur) werkdagen]],0)</f>
        <v>0</v>
      </c>
      <c r="X485" s="88">
        <f>Ruimtestaat[[#This Row],[uren / jaar werkdagen]]*Tariefsopbouw!$E$35</f>
        <v>0</v>
      </c>
      <c r="Y485" s="85"/>
      <c r="Z485" s="89">
        <f>IF(Ruimtestaat[[#This Row],[Frequentie weekend]]&gt;0,VALUE(LEFT(Y485,1))*R485,0)</f>
        <v>0</v>
      </c>
      <c r="AA485" s="85">
        <f>IF($Z485&gt;0,VLOOKUP($J485,Ruimtegroepen[],3,FALSE)*VLOOKUP($L485,Vloersoorten[],3,FALSE)*VLOOKUP($Y485,Frequenties[],3,FALSE)*VLOOKUP(#REF!,Locaties[],3,FALSE),0)</f>
        <v>0</v>
      </c>
      <c r="AB485" s="87">
        <f>Ruimtestaat[[#This Row],[Uitvoeringen weekend]]*Ruimtestaat[[#This Row],[Oppervlak (netto)]]</f>
        <v>0</v>
      </c>
      <c r="AC485" s="90">
        <f>IF(AB485&gt;0,Ruimtestaat[[#This Row],[Prest. (m2 /jaar) weekend]]/Ruimtestaat[[#This Row],[Norm (m2/uur) weekend]],0)</f>
        <v>0</v>
      </c>
      <c r="AD485" s="91">
        <f>Ruimtestaat[[#This Row],[uren / jaar weekend]]*Tariefsopbouw!$D$40</f>
        <v>0</v>
      </c>
      <c r="AE485" s="60">
        <f>Ruimtestaat[[#This Row],[Prest. (m2 /jaar) weekend]]+Ruimtestaat[[#This Row],[Prest. (m2 /jaar) werkdagen]]</f>
        <v>1074</v>
      </c>
      <c r="AF485" s="60">
        <f>Ruimtestaat[[#This Row],[uren / jaar weekend]]+Ruimtestaat[[#This Row],[uren / jaar werkdagen]]</f>
        <v>0</v>
      </c>
      <c r="AG485" s="61">
        <f>Ruimtestaat[[#This Row],[kosten / jaar weekend]]+Ruimtestaat[[#This Row],[kosten / jaar werkdagen]]</f>
        <v>0</v>
      </c>
      <c r="AH485" s="92"/>
      <c r="HL485" s="59"/>
    </row>
    <row r="486" spans="1:220">
      <c r="A486" s="24">
        <v>2</v>
      </c>
      <c r="B486" s="24" t="str">
        <f>VLOOKUP(Ruimtestaat[[#This Row],[Code]],Locaties[#All],2,FALSE)</f>
        <v>Het Stormink</v>
      </c>
      <c r="C486" s="24" t="str">
        <f>VLOOKUP(Ruimtestaat[[#This Row],[Code]],Locaties[#All],4,FALSE)</f>
        <v>Storminkstraat 1</v>
      </c>
      <c r="D486" s="24" t="str">
        <f>VLOOKUP(Ruimtestaat[[#This Row],[Code]],Locaties[#All],5,FALSE)</f>
        <v>7418 GH</v>
      </c>
      <c r="E486" s="24" t="str">
        <f>VLOOKUP(Ruimtestaat[[#This Row],[Code]],Locaties[#All],6,FALSE)</f>
        <v>Deventer</v>
      </c>
      <c r="F486" s="54"/>
      <c r="G486" s="24" t="s">
        <v>656</v>
      </c>
      <c r="H486" s="24" t="s">
        <v>914</v>
      </c>
      <c r="I486" s="4" t="s">
        <v>709</v>
      </c>
      <c r="J486" s="24">
        <v>16</v>
      </c>
      <c r="K486" s="54" t="str">
        <f>VLOOKUP(J486,Ruimtegroepen[],2,FALSE)</f>
        <v>Leslokalen theorie</v>
      </c>
      <c r="L486" s="24" t="s">
        <v>300</v>
      </c>
      <c r="M486" s="24" t="s">
        <v>157</v>
      </c>
      <c r="N486" s="83">
        <v>58.8</v>
      </c>
      <c r="O486" s="83"/>
      <c r="P486" s="93" t="str">
        <f>LEFT(VLOOKUP(Ruimtestaat[[#This Row],[Ruimte code]],Ruimtegroepen[#All],4,1),2)</f>
        <v>Le</v>
      </c>
      <c r="Q486" s="93"/>
      <c r="R486" s="84">
        <v>40</v>
      </c>
      <c r="S486" s="84" t="s">
        <v>318</v>
      </c>
      <c r="T486" s="85">
        <f>IF(R486&gt;0,IF(RIGHT(Ruimtestaat[[#This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6" s="85">
        <f>IF(T486&gt;0,VLOOKUP($J486,Ruimtegroepen[],3,FALSE)*VLOOKUP($L486,Vloersoorten[],3,FALSE)*VLOOKUP($S486,Frequenties[],3,FALSE)*VLOOKUP($A486,Locaties[],3,FALSE),0)</f>
        <v>0</v>
      </c>
      <c r="V486" s="86">
        <f>Ruimtestaat[[#This Row],[Uitvoeringen werkdagen]]*Ruimtestaat[[#This Row],[Oppervlak (netto)]]</f>
        <v>11760</v>
      </c>
      <c r="W486" s="87">
        <f>IF(U486&gt;0,Ruimtestaat[[#This Row],[Prest. (m2 /jaar) werkdagen]]/Ruimtestaat[[#This Row],[Norm (m2/uur) werkdagen]],0)</f>
        <v>0</v>
      </c>
      <c r="X486" s="88">
        <f>Ruimtestaat[[#This Row],[uren / jaar werkdagen]]*Tariefsopbouw!$E$35</f>
        <v>0</v>
      </c>
      <c r="Y486" s="85"/>
      <c r="Z486" s="89">
        <f>IF(Ruimtestaat[[#This Row],[Frequentie weekend]]&gt;0,VALUE(LEFT(Y486,1))*R486,0)</f>
        <v>0</v>
      </c>
      <c r="AA486" s="85">
        <f>IF($Z486&gt;0,VLOOKUP($J486,Ruimtegroepen[],3,FALSE)*VLOOKUP($L486,Vloersoorten[],3,FALSE)*VLOOKUP($Y486,Frequenties[],3,FALSE)*VLOOKUP(#REF!,Locaties[],3,FALSE),0)</f>
        <v>0</v>
      </c>
      <c r="AB486" s="87">
        <f>Ruimtestaat[[#This Row],[Uitvoeringen weekend]]*Ruimtestaat[[#This Row],[Oppervlak (netto)]]</f>
        <v>0</v>
      </c>
      <c r="AC486" s="90">
        <f>IF(AB486&gt;0,Ruimtestaat[[#This Row],[Prest. (m2 /jaar) weekend]]/Ruimtestaat[[#This Row],[Norm (m2/uur) weekend]],0)</f>
        <v>0</v>
      </c>
      <c r="AD486" s="91">
        <f>Ruimtestaat[[#This Row],[uren / jaar weekend]]*Tariefsopbouw!$D$40</f>
        <v>0</v>
      </c>
      <c r="AE486" s="60">
        <f>Ruimtestaat[[#This Row],[Prest. (m2 /jaar) weekend]]+Ruimtestaat[[#This Row],[Prest. (m2 /jaar) werkdagen]]</f>
        <v>11760</v>
      </c>
      <c r="AF486" s="60">
        <f>Ruimtestaat[[#This Row],[uren / jaar weekend]]+Ruimtestaat[[#This Row],[uren / jaar werkdagen]]</f>
        <v>0</v>
      </c>
      <c r="AG486" s="61">
        <f>Ruimtestaat[[#This Row],[kosten / jaar weekend]]+Ruimtestaat[[#This Row],[kosten / jaar werkdagen]]</f>
        <v>0</v>
      </c>
      <c r="AH486" s="92"/>
      <c r="HL486" s="59"/>
    </row>
    <row r="487" spans="1:220">
      <c r="A487" s="24">
        <v>2</v>
      </c>
      <c r="B487" s="24" t="str">
        <f>VLOOKUP(Ruimtestaat[[#This Row],[Code]],Locaties[#All],2,FALSE)</f>
        <v>Het Stormink</v>
      </c>
      <c r="C487" s="24" t="str">
        <f>VLOOKUP(Ruimtestaat[[#This Row],[Code]],Locaties[#All],4,FALSE)</f>
        <v>Storminkstraat 1</v>
      </c>
      <c r="D487" s="24" t="str">
        <f>VLOOKUP(Ruimtestaat[[#This Row],[Code]],Locaties[#All],5,FALSE)</f>
        <v>7418 GH</v>
      </c>
      <c r="E487" s="24" t="str">
        <f>VLOOKUP(Ruimtestaat[[#This Row],[Code]],Locaties[#All],6,FALSE)</f>
        <v>Deventer</v>
      </c>
      <c r="F487" s="54"/>
      <c r="G487" s="24" t="s">
        <v>656</v>
      </c>
      <c r="H487" s="24" t="s">
        <v>915</v>
      </c>
      <c r="I487" s="4" t="s">
        <v>709</v>
      </c>
      <c r="J487" s="24">
        <v>16</v>
      </c>
      <c r="K487" s="54" t="str">
        <f>VLOOKUP(J487,Ruimtegroepen[],2,FALSE)</f>
        <v>Leslokalen theorie</v>
      </c>
      <c r="L487" s="24" t="s">
        <v>300</v>
      </c>
      <c r="M487" s="24" t="s">
        <v>157</v>
      </c>
      <c r="N487" s="83">
        <v>58.47</v>
      </c>
      <c r="O487" s="83"/>
      <c r="P487" s="93" t="str">
        <f>LEFT(VLOOKUP(Ruimtestaat[[#This Row],[Ruimte code]],Ruimtegroepen[#All],4,1),2)</f>
        <v>Le</v>
      </c>
      <c r="Q487" s="93"/>
      <c r="R487" s="84">
        <v>40</v>
      </c>
      <c r="S487" s="84" t="s">
        <v>318</v>
      </c>
      <c r="T487" s="85">
        <f>IF(R487&gt;0,IF(RIGHT(Ruimtestaat[[#This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7" s="85">
        <f>IF(T487&gt;0,VLOOKUP($J487,Ruimtegroepen[],3,FALSE)*VLOOKUP($L487,Vloersoorten[],3,FALSE)*VLOOKUP($S487,Frequenties[],3,FALSE)*VLOOKUP($A487,Locaties[],3,FALSE),0)</f>
        <v>0</v>
      </c>
      <c r="V487" s="86">
        <f>Ruimtestaat[[#This Row],[Uitvoeringen werkdagen]]*Ruimtestaat[[#This Row],[Oppervlak (netto)]]</f>
        <v>11694</v>
      </c>
      <c r="W487" s="87">
        <f>IF(U487&gt;0,Ruimtestaat[[#This Row],[Prest. (m2 /jaar) werkdagen]]/Ruimtestaat[[#This Row],[Norm (m2/uur) werkdagen]],0)</f>
        <v>0</v>
      </c>
      <c r="X487" s="88">
        <f>Ruimtestaat[[#This Row],[uren / jaar werkdagen]]*Tariefsopbouw!$E$35</f>
        <v>0</v>
      </c>
      <c r="Y487" s="85"/>
      <c r="Z487" s="89">
        <f>IF(Ruimtestaat[[#This Row],[Frequentie weekend]]&gt;0,VALUE(LEFT(Y487,1))*R487,0)</f>
        <v>0</v>
      </c>
      <c r="AA487" s="85">
        <f>IF($Z487&gt;0,VLOOKUP($J487,Ruimtegroepen[],3,FALSE)*VLOOKUP($L487,Vloersoorten[],3,FALSE)*VLOOKUP($Y487,Frequenties[],3,FALSE)*VLOOKUP(#REF!,Locaties[],3,FALSE),0)</f>
        <v>0</v>
      </c>
      <c r="AB487" s="87">
        <f>Ruimtestaat[[#This Row],[Uitvoeringen weekend]]*Ruimtestaat[[#This Row],[Oppervlak (netto)]]</f>
        <v>0</v>
      </c>
      <c r="AC487" s="90">
        <f>IF(AB487&gt;0,Ruimtestaat[[#This Row],[Prest. (m2 /jaar) weekend]]/Ruimtestaat[[#This Row],[Norm (m2/uur) weekend]],0)</f>
        <v>0</v>
      </c>
      <c r="AD487" s="91">
        <f>Ruimtestaat[[#This Row],[uren / jaar weekend]]*Tariefsopbouw!$D$40</f>
        <v>0</v>
      </c>
      <c r="AE487" s="60">
        <f>Ruimtestaat[[#This Row],[Prest. (m2 /jaar) weekend]]+Ruimtestaat[[#This Row],[Prest. (m2 /jaar) werkdagen]]</f>
        <v>11694</v>
      </c>
      <c r="AF487" s="60">
        <f>Ruimtestaat[[#This Row],[uren / jaar weekend]]+Ruimtestaat[[#This Row],[uren / jaar werkdagen]]</f>
        <v>0</v>
      </c>
      <c r="AG487" s="61">
        <f>Ruimtestaat[[#This Row],[kosten / jaar weekend]]+Ruimtestaat[[#This Row],[kosten / jaar werkdagen]]</f>
        <v>0</v>
      </c>
      <c r="AH487" s="92"/>
      <c r="HL487" s="59"/>
    </row>
    <row r="488" spans="1:220">
      <c r="A488" s="24">
        <v>2</v>
      </c>
      <c r="B488" s="24" t="str">
        <f>VLOOKUP(Ruimtestaat[[#This Row],[Code]],Locaties[#All],2,FALSE)</f>
        <v>Het Stormink</v>
      </c>
      <c r="C488" s="24" t="str">
        <f>VLOOKUP(Ruimtestaat[[#This Row],[Code]],Locaties[#All],4,FALSE)</f>
        <v>Storminkstraat 1</v>
      </c>
      <c r="D488" s="24" t="str">
        <f>VLOOKUP(Ruimtestaat[[#This Row],[Code]],Locaties[#All],5,FALSE)</f>
        <v>7418 GH</v>
      </c>
      <c r="E488" s="24" t="str">
        <f>VLOOKUP(Ruimtestaat[[#This Row],[Code]],Locaties[#All],6,FALSE)</f>
        <v>Deventer</v>
      </c>
      <c r="F488" s="54"/>
      <c r="G488" s="24" t="s">
        <v>656</v>
      </c>
      <c r="H488" s="24" t="s">
        <v>916</v>
      </c>
      <c r="I488" s="4" t="s">
        <v>709</v>
      </c>
      <c r="J488" s="24">
        <v>16</v>
      </c>
      <c r="K488" s="54" t="str">
        <f>VLOOKUP(J488,Ruimtegroepen[],2,FALSE)</f>
        <v>Leslokalen theorie</v>
      </c>
      <c r="L488" s="24" t="s">
        <v>300</v>
      </c>
      <c r="M488" s="24" t="s">
        <v>157</v>
      </c>
      <c r="N488" s="83">
        <v>57.93</v>
      </c>
      <c r="O488" s="83"/>
      <c r="P488" s="93" t="str">
        <f>LEFT(VLOOKUP(Ruimtestaat[[#This Row],[Ruimte code]],Ruimtegroepen[#All],4,1),2)</f>
        <v>Le</v>
      </c>
      <c r="Q488" s="93"/>
      <c r="R488" s="84">
        <v>40</v>
      </c>
      <c r="S488" s="84" t="s">
        <v>318</v>
      </c>
      <c r="T488" s="85">
        <f>IF(R488&gt;0,IF(RIGHT(Ruimtestaat[[#This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8" s="85">
        <f>IF(T488&gt;0,VLOOKUP($J488,Ruimtegroepen[],3,FALSE)*VLOOKUP($L488,Vloersoorten[],3,FALSE)*VLOOKUP($S488,Frequenties[],3,FALSE)*VLOOKUP($A488,Locaties[],3,FALSE),0)</f>
        <v>0</v>
      </c>
      <c r="V488" s="86">
        <f>Ruimtestaat[[#This Row],[Uitvoeringen werkdagen]]*Ruimtestaat[[#This Row],[Oppervlak (netto)]]</f>
        <v>11586</v>
      </c>
      <c r="W488" s="87">
        <f>IF(U488&gt;0,Ruimtestaat[[#This Row],[Prest. (m2 /jaar) werkdagen]]/Ruimtestaat[[#This Row],[Norm (m2/uur) werkdagen]],0)</f>
        <v>0</v>
      </c>
      <c r="X488" s="88">
        <f>Ruimtestaat[[#This Row],[uren / jaar werkdagen]]*Tariefsopbouw!$E$35</f>
        <v>0</v>
      </c>
      <c r="Y488" s="85"/>
      <c r="Z488" s="89">
        <f>IF(Ruimtestaat[[#This Row],[Frequentie weekend]]&gt;0,VALUE(LEFT(Y488,1))*R488,0)</f>
        <v>0</v>
      </c>
      <c r="AA488" s="85">
        <f>IF($Z488&gt;0,VLOOKUP($J488,Ruimtegroepen[],3,FALSE)*VLOOKUP($L488,Vloersoorten[],3,FALSE)*VLOOKUP($Y488,Frequenties[],3,FALSE)*VLOOKUP(#REF!,Locaties[],3,FALSE),0)</f>
        <v>0</v>
      </c>
      <c r="AB488" s="87">
        <f>Ruimtestaat[[#This Row],[Uitvoeringen weekend]]*Ruimtestaat[[#This Row],[Oppervlak (netto)]]</f>
        <v>0</v>
      </c>
      <c r="AC488" s="90">
        <f>IF(AB488&gt;0,Ruimtestaat[[#This Row],[Prest. (m2 /jaar) weekend]]/Ruimtestaat[[#This Row],[Norm (m2/uur) weekend]],0)</f>
        <v>0</v>
      </c>
      <c r="AD488" s="91">
        <f>Ruimtestaat[[#This Row],[uren / jaar weekend]]*Tariefsopbouw!$D$40</f>
        <v>0</v>
      </c>
      <c r="AE488" s="60">
        <f>Ruimtestaat[[#This Row],[Prest. (m2 /jaar) weekend]]+Ruimtestaat[[#This Row],[Prest. (m2 /jaar) werkdagen]]</f>
        <v>11586</v>
      </c>
      <c r="AF488" s="60">
        <f>Ruimtestaat[[#This Row],[uren / jaar weekend]]+Ruimtestaat[[#This Row],[uren / jaar werkdagen]]</f>
        <v>0</v>
      </c>
      <c r="AG488" s="61">
        <f>Ruimtestaat[[#This Row],[kosten / jaar weekend]]+Ruimtestaat[[#This Row],[kosten / jaar werkdagen]]</f>
        <v>0</v>
      </c>
      <c r="AH488" s="92"/>
      <c r="HL488" s="59"/>
    </row>
    <row r="489" spans="1:220">
      <c r="A489" s="24">
        <v>2</v>
      </c>
      <c r="B489" s="24" t="str">
        <f>VLOOKUP(Ruimtestaat[[#This Row],[Code]],Locaties[#All],2,FALSE)</f>
        <v>Het Stormink</v>
      </c>
      <c r="C489" s="24" t="str">
        <f>VLOOKUP(Ruimtestaat[[#This Row],[Code]],Locaties[#All],4,FALSE)</f>
        <v>Storminkstraat 1</v>
      </c>
      <c r="D489" s="24" t="str">
        <f>VLOOKUP(Ruimtestaat[[#This Row],[Code]],Locaties[#All],5,FALSE)</f>
        <v>7418 GH</v>
      </c>
      <c r="E489" s="24" t="str">
        <f>VLOOKUP(Ruimtestaat[[#This Row],[Code]],Locaties[#All],6,FALSE)</f>
        <v>Deventer</v>
      </c>
      <c r="F489" s="54"/>
      <c r="G489" s="24" t="s">
        <v>656</v>
      </c>
      <c r="H489" s="24" t="s">
        <v>917</v>
      </c>
      <c r="I489" s="4" t="s">
        <v>709</v>
      </c>
      <c r="J489" s="24">
        <v>16</v>
      </c>
      <c r="K489" s="54" t="str">
        <f>VLOOKUP(J489,Ruimtegroepen[],2,FALSE)</f>
        <v>Leslokalen theorie</v>
      </c>
      <c r="L489" s="24" t="s">
        <v>300</v>
      </c>
      <c r="M489" s="24" t="s">
        <v>157</v>
      </c>
      <c r="N489" s="83">
        <v>58.52</v>
      </c>
      <c r="O489" s="83"/>
      <c r="P489" s="93" t="str">
        <f>LEFT(VLOOKUP(Ruimtestaat[[#This Row],[Ruimte code]],Ruimtegroepen[#All],4,1),2)</f>
        <v>Le</v>
      </c>
      <c r="Q489" s="93"/>
      <c r="R489" s="84">
        <v>40</v>
      </c>
      <c r="S489" s="84" t="s">
        <v>318</v>
      </c>
      <c r="T489" s="85">
        <f>IF(R489&gt;0,IF(RIGHT(Ruimtestaat[[#This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9" s="85">
        <f>IF(T489&gt;0,VLOOKUP($J489,Ruimtegroepen[],3,FALSE)*VLOOKUP($L489,Vloersoorten[],3,FALSE)*VLOOKUP($S489,Frequenties[],3,FALSE)*VLOOKUP($A489,Locaties[],3,FALSE),0)</f>
        <v>0</v>
      </c>
      <c r="V489" s="86">
        <f>Ruimtestaat[[#This Row],[Uitvoeringen werkdagen]]*Ruimtestaat[[#This Row],[Oppervlak (netto)]]</f>
        <v>11704</v>
      </c>
      <c r="W489" s="87">
        <f>IF(U489&gt;0,Ruimtestaat[[#This Row],[Prest. (m2 /jaar) werkdagen]]/Ruimtestaat[[#This Row],[Norm (m2/uur) werkdagen]],0)</f>
        <v>0</v>
      </c>
      <c r="X489" s="88">
        <f>Ruimtestaat[[#This Row],[uren / jaar werkdagen]]*Tariefsopbouw!$E$35</f>
        <v>0</v>
      </c>
      <c r="Y489" s="85"/>
      <c r="Z489" s="89">
        <f>IF(Ruimtestaat[[#This Row],[Frequentie weekend]]&gt;0,VALUE(LEFT(Y489,1))*R489,0)</f>
        <v>0</v>
      </c>
      <c r="AA489" s="85">
        <f>IF($Z489&gt;0,VLOOKUP($J489,Ruimtegroepen[],3,FALSE)*VLOOKUP($L489,Vloersoorten[],3,FALSE)*VLOOKUP($Y489,Frequenties[],3,FALSE)*VLOOKUP(#REF!,Locaties[],3,FALSE),0)</f>
        <v>0</v>
      </c>
      <c r="AB489" s="87">
        <f>Ruimtestaat[[#This Row],[Uitvoeringen weekend]]*Ruimtestaat[[#This Row],[Oppervlak (netto)]]</f>
        <v>0</v>
      </c>
      <c r="AC489" s="90">
        <f>IF(AB489&gt;0,Ruimtestaat[[#This Row],[Prest. (m2 /jaar) weekend]]/Ruimtestaat[[#This Row],[Norm (m2/uur) weekend]],0)</f>
        <v>0</v>
      </c>
      <c r="AD489" s="91">
        <f>Ruimtestaat[[#This Row],[uren / jaar weekend]]*Tariefsopbouw!$D$40</f>
        <v>0</v>
      </c>
      <c r="AE489" s="60">
        <f>Ruimtestaat[[#This Row],[Prest. (m2 /jaar) weekend]]+Ruimtestaat[[#This Row],[Prest. (m2 /jaar) werkdagen]]</f>
        <v>11704</v>
      </c>
      <c r="AF489" s="60">
        <f>Ruimtestaat[[#This Row],[uren / jaar weekend]]+Ruimtestaat[[#This Row],[uren / jaar werkdagen]]</f>
        <v>0</v>
      </c>
      <c r="AG489" s="61">
        <f>Ruimtestaat[[#This Row],[kosten / jaar weekend]]+Ruimtestaat[[#This Row],[kosten / jaar werkdagen]]</f>
        <v>0</v>
      </c>
      <c r="AH489" s="92"/>
      <c r="HL489" s="59"/>
    </row>
    <row r="490" spans="1:220">
      <c r="A490" s="24">
        <v>2</v>
      </c>
      <c r="B490" s="24" t="str">
        <f>VLOOKUP(Ruimtestaat[[#This Row],[Code]],Locaties[#All],2,FALSE)</f>
        <v>Het Stormink</v>
      </c>
      <c r="C490" s="24" t="str">
        <f>VLOOKUP(Ruimtestaat[[#This Row],[Code]],Locaties[#All],4,FALSE)</f>
        <v>Storminkstraat 1</v>
      </c>
      <c r="D490" s="24" t="str">
        <f>VLOOKUP(Ruimtestaat[[#This Row],[Code]],Locaties[#All],5,FALSE)</f>
        <v>7418 GH</v>
      </c>
      <c r="E490" s="24" t="str">
        <f>VLOOKUP(Ruimtestaat[[#This Row],[Code]],Locaties[#All],6,FALSE)</f>
        <v>Deventer</v>
      </c>
      <c r="F490" s="54"/>
      <c r="G490" s="24" t="s">
        <v>656</v>
      </c>
      <c r="H490" s="24" t="s">
        <v>918</v>
      </c>
      <c r="I490" s="4" t="s">
        <v>709</v>
      </c>
      <c r="J490" s="24">
        <v>16</v>
      </c>
      <c r="K490" s="54" t="str">
        <f>VLOOKUP(J490,Ruimtegroepen[],2,FALSE)</f>
        <v>Leslokalen theorie</v>
      </c>
      <c r="L490" s="24" t="s">
        <v>300</v>
      </c>
      <c r="M490" s="24" t="s">
        <v>157</v>
      </c>
      <c r="N490" s="83">
        <v>58.85</v>
      </c>
      <c r="O490" s="83"/>
      <c r="P490" s="93" t="str">
        <f>LEFT(VLOOKUP(Ruimtestaat[[#This Row],[Ruimte code]],Ruimtegroepen[#All],4,1),2)</f>
        <v>Le</v>
      </c>
      <c r="Q490" s="93"/>
      <c r="R490" s="84">
        <v>40</v>
      </c>
      <c r="S490" s="84" t="s">
        <v>318</v>
      </c>
      <c r="T490" s="85">
        <f>IF(R490&gt;0,IF(RIGHT(Ruimtestaat[[#This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0" s="85">
        <f>IF(T490&gt;0,VLOOKUP($J490,Ruimtegroepen[],3,FALSE)*VLOOKUP($L490,Vloersoorten[],3,FALSE)*VLOOKUP($S490,Frequenties[],3,FALSE)*VLOOKUP($A490,Locaties[],3,FALSE),0)</f>
        <v>0</v>
      </c>
      <c r="V490" s="86">
        <f>Ruimtestaat[[#This Row],[Uitvoeringen werkdagen]]*Ruimtestaat[[#This Row],[Oppervlak (netto)]]</f>
        <v>11770</v>
      </c>
      <c r="W490" s="87">
        <f>IF(U490&gt;0,Ruimtestaat[[#This Row],[Prest. (m2 /jaar) werkdagen]]/Ruimtestaat[[#This Row],[Norm (m2/uur) werkdagen]],0)</f>
        <v>0</v>
      </c>
      <c r="X490" s="88">
        <f>Ruimtestaat[[#This Row],[uren / jaar werkdagen]]*Tariefsopbouw!$E$35</f>
        <v>0</v>
      </c>
      <c r="Y490" s="85"/>
      <c r="Z490" s="89">
        <f>IF(Ruimtestaat[[#This Row],[Frequentie weekend]]&gt;0,VALUE(LEFT(Y490,1))*R490,0)</f>
        <v>0</v>
      </c>
      <c r="AA490" s="85">
        <f>IF($Z490&gt;0,VLOOKUP($J490,Ruimtegroepen[],3,FALSE)*VLOOKUP($L490,Vloersoorten[],3,FALSE)*VLOOKUP($Y490,Frequenties[],3,FALSE)*VLOOKUP(#REF!,Locaties[],3,FALSE),0)</f>
        <v>0</v>
      </c>
      <c r="AB490" s="87">
        <f>Ruimtestaat[[#This Row],[Uitvoeringen weekend]]*Ruimtestaat[[#This Row],[Oppervlak (netto)]]</f>
        <v>0</v>
      </c>
      <c r="AC490" s="90">
        <f>IF(AB490&gt;0,Ruimtestaat[[#This Row],[Prest. (m2 /jaar) weekend]]/Ruimtestaat[[#This Row],[Norm (m2/uur) weekend]],0)</f>
        <v>0</v>
      </c>
      <c r="AD490" s="91">
        <f>Ruimtestaat[[#This Row],[uren / jaar weekend]]*Tariefsopbouw!$D$40</f>
        <v>0</v>
      </c>
      <c r="AE490" s="60">
        <f>Ruimtestaat[[#This Row],[Prest. (m2 /jaar) weekend]]+Ruimtestaat[[#This Row],[Prest. (m2 /jaar) werkdagen]]</f>
        <v>11770</v>
      </c>
      <c r="AF490" s="60">
        <f>Ruimtestaat[[#This Row],[uren / jaar weekend]]+Ruimtestaat[[#This Row],[uren / jaar werkdagen]]</f>
        <v>0</v>
      </c>
      <c r="AG490" s="61">
        <f>Ruimtestaat[[#This Row],[kosten / jaar weekend]]+Ruimtestaat[[#This Row],[kosten / jaar werkdagen]]</f>
        <v>0</v>
      </c>
      <c r="AH490" s="92"/>
      <c r="HL490" s="59"/>
    </row>
    <row r="491" spans="1:220">
      <c r="A491" s="24">
        <v>2</v>
      </c>
      <c r="B491" s="24" t="str">
        <f>VLOOKUP(Ruimtestaat[[#This Row],[Code]],Locaties[#All],2,FALSE)</f>
        <v>Het Stormink</v>
      </c>
      <c r="C491" s="24" t="str">
        <f>VLOOKUP(Ruimtestaat[[#This Row],[Code]],Locaties[#All],4,FALSE)</f>
        <v>Storminkstraat 1</v>
      </c>
      <c r="D491" s="24" t="str">
        <f>VLOOKUP(Ruimtestaat[[#This Row],[Code]],Locaties[#All],5,FALSE)</f>
        <v>7418 GH</v>
      </c>
      <c r="E491" s="24" t="str">
        <f>VLOOKUP(Ruimtestaat[[#This Row],[Code]],Locaties[#All],6,FALSE)</f>
        <v>Deventer</v>
      </c>
      <c r="F491" s="54"/>
      <c r="G491" s="24" t="s">
        <v>656</v>
      </c>
      <c r="H491" s="24" t="s">
        <v>919</v>
      </c>
      <c r="I491" s="4" t="s">
        <v>709</v>
      </c>
      <c r="J491" s="24">
        <v>16</v>
      </c>
      <c r="K491" s="54" t="str">
        <f>VLOOKUP(J491,Ruimtegroepen[],2,FALSE)</f>
        <v>Leslokalen theorie</v>
      </c>
      <c r="L491" s="24" t="s">
        <v>300</v>
      </c>
      <c r="M491" s="24" t="s">
        <v>157</v>
      </c>
      <c r="N491" s="83">
        <v>58.85</v>
      </c>
      <c r="O491" s="83"/>
      <c r="P491" s="93" t="str">
        <f>LEFT(VLOOKUP(Ruimtestaat[[#This Row],[Ruimte code]],Ruimtegroepen[#All],4,1),2)</f>
        <v>Le</v>
      </c>
      <c r="Q491" s="93"/>
      <c r="R491" s="84">
        <v>40</v>
      </c>
      <c r="S491" s="84" t="s">
        <v>318</v>
      </c>
      <c r="T491" s="85">
        <f>IF(R491&gt;0,IF(RIGHT(Ruimtestaat[[#This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1" s="85">
        <f>IF(T491&gt;0,VLOOKUP($J491,Ruimtegroepen[],3,FALSE)*VLOOKUP($L491,Vloersoorten[],3,FALSE)*VLOOKUP($S491,Frequenties[],3,FALSE)*VLOOKUP($A491,Locaties[],3,FALSE),0)</f>
        <v>0</v>
      </c>
      <c r="V491" s="86">
        <f>Ruimtestaat[[#This Row],[Uitvoeringen werkdagen]]*Ruimtestaat[[#This Row],[Oppervlak (netto)]]</f>
        <v>11770</v>
      </c>
      <c r="W491" s="87">
        <f>IF(U491&gt;0,Ruimtestaat[[#This Row],[Prest. (m2 /jaar) werkdagen]]/Ruimtestaat[[#This Row],[Norm (m2/uur) werkdagen]],0)</f>
        <v>0</v>
      </c>
      <c r="X491" s="88">
        <f>Ruimtestaat[[#This Row],[uren / jaar werkdagen]]*Tariefsopbouw!$E$35</f>
        <v>0</v>
      </c>
      <c r="Y491" s="85"/>
      <c r="Z491" s="89">
        <f>IF(Ruimtestaat[[#This Row],[Frequentie weekend]]&gt;0,VALUE(LEFT(Y491,1))*R491,0)</f>
        <v>0</v>
      </c>
      <c r="AA491" s="85">
        <f>IF($Z491&gt;0,VLOOKUP($J491,Ruimtegroepen[],3,FALSE)*VLOOKUP($L491,Vloersoorten[],3,FALSE)*VLOOKUP($Y491,Frequenties[],3,FALSE)*VLOOKUP(#REF!,Locaties[],3,FALSE),0)</f>
        <v>0</v>
      </c>
      <c r="AB491" s="87">
        <f>Ruimtestaat[[#This Row],[Uitvoeringen weekend]]*Ruimtestaat[[#This Row],[Oppervlak (netto)]]</f>
        <v>0</v>
      </c>
      <c r="AC491" s="90">
        <f>IF(AB491&gt;0,Ruimtestaat[[#This Row],[Prest. (m2 /jaar) weekend]]/Ruimtestaat[[#This Row],[Norm (m2/uur) weekend]],0)</f>
        <v>0</v>
      </c>
      <c r="AD491" s="91">
        <f>Ruimtestaat[[#This Row],[uren / jaar weekend]]*Tariefsopbouw!$D$40</f>
        <v>0</v>
      </c>
      <c r="AE491" s="60">
        <f>Ruimtestaat[[#This Row],[Prest. (m2 /jaar) weekend]]+Ruimtestaat[[#This Row],[Prest. (m2 /jaar) werkdagen]]</f>
        <v>11770</v>
      </c>
      <c r="AF491" s="60">
        <f>Ruimtestaat[[#This Row],[uren / jaar weekend]]+Ruimtestaat[[#This Row],[uren / jaar werkdagen]]</f>
        <v>0</v>
      </c>
      <c r="AG491" s="61">
        <f>Ruimtestaat[[#This Row],[kosten / jaar weekend]]+Ruimtestaat[[#This Row],[kosten / jaar werkdagen]]</f>
        <v>0</v>
      </c>
      <c r="AH491" s="92"/>
      <c r="HL491" s="59"/>
    </row>
    <row r="492" spans="1:220">
      <c r="A492" s="24">
        <v>2</v>
      </c>
      <c r="B492" s="24" t="str">
        <f>VLOOKUP(Ruimtestaat[[#This Row],[Code]],Locaties[#All],2,FALSE)</f>
        <v>Het Stormink</v>
      </c>
      <c r="C492" s="24" t="str">
        <f>VLOOKUP(Ruimtestaat[[#This Row],[Code]],Locaties[#All],4,FALSE)</f>
        <v>Storminkstraat 1</v>
      </c>
      <c r="D492" s="24" t="str">
        <f>VLOOKUP(Ruimtestaat[[#This Row],[Code]],Locaties[#All],5,FALSE)</f>
        <v>7418 GH</v>
      </c>
      <c r="E492" s="24" t="str">
        <f>VLOOKUP(Ruimtestaat[[#This Row],[Code]],Locaties[#All],6,FALSE)</f>
        <v>Deventer</v>
      </c>
      <c r="F492" s="54"/>
      <c r="G492" s="24" t="s">
        <v>656</v>
      </c>
      <c r="H492" s="24" t="s">
        <v>920</v>
      </c>
      <c r="I492" s="4" t="s">
        <v>709</v>
      </c>
      <c r="J492" s="24">
        <v>16</v>
      </c>
      <c r="K492" s="54" t="str">
        <f>VLOOKUP(J492,Ruimtegroepen[],2,FALSE)</f>
        <v>Leslokalen theorie</v>
      </c>
      <c r="L492" s="24" t="s">
        <v>300</v>
      </c>
      <c r="M492" s="24" t="s">
        <v>157</v>
      </c>
      <c r="N492" s="83">
        <v>58.47</v>
      </c>
      <c r="O492" s="83"/>
      <c r="P492" s="93" t="str">
        <f>LEFT(VLOOKUP(Ruimtestaat[[#This Row],[Ruimte code]],Ruimtegroepen[#All],4,1),2)</f>
        <v>Le</v>
      </c>
      <c r="Q492" s="93"/>
      <c r="R492" s="84">
        <v>40</v>
      </c>
      <c r="S492" s="84" t="s">
        <v>318</v>
      </c>
      <c r="T492" s="85">
        <f>IF(R492&gt;0,IF(RIGHT(Ruimtestaat[[#This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2" s="85">
        <f>IF(T492&gt;0,VLOOKUP($J492,Ruimtegroepen[],3,FALSE)*VLOOKUP($L492,Vloersoorten[],3,FALSE)*VLOOKUP($S492,Frequenties[],3,FALSE)*VLOOKUP($A492,Locaties[],3,FALSE),0)</f>
        <v>0</v>
      </c>
      <c r="V492" s="86">
        <f>Ruimtestaat[[#This Row],[Uitvoeringen werkdagen]]*Ruimtestaat[[#This Row],[Oppervlak (netto)]]</f>
        <v>11694</v>
      </c>
      <c r="W492" s="87">
        <f>IF(U492&gt;0,Ruimtestaat[[#This Row],[Prest. (m2 /jaar) werkdagen]]/Ruimtestaat[[#This Row],[Norm (m2/uur) werkdagen]],0)</f>
        <v>0</v>
      </c>
      <c r="X492" s="88">
        <f>Ruimtestaat[[#This Row],[uren / jaar werkdagen]]*Tariefsopbouw!$E$35</f>
        <v>0</v>
      </c>
      <c r="Y492" s="85"/>
      <c r="Z492" s="89">
        <f>IF(Ruimtestaat[[#This Row],[Frequentie weekend]]&gt;0,VALUE(LEFT(Y492,1))*R492,0)</f>
        <v>0</v>
      </c>
      <c r="AA492" s="85">
        <f>IF($Z492&gt;0,VLOOKUP($J492,Ruimtegroepen[],3,FALSE)*VLOOKUP($L492,Vloersoorten[],3,FALSE)*VLOOKUP($Y492,Frequenties[],3,FALSE)*VLOOKUP(#REF!,Locaties[],3,FALSE),0)</f>
        <v>0</v>
      </c>
      <c r="AB492" s="87">
        <f>Ruimtestaat[[#This Row],[Uitvoeringen weekend]]*Ruimtestaat[[#This Row],[Oppervlak (netto)]]</f>
        <v>0</v>
      </c>
      <c r="AC492" s="90">
        <f>IF(AB492&gt;0,Ruimtestaat[[#This Row],[Prest. (m2 /jaar) weekend]]/Ruimtestaat[[#This Row],[Norm (m2/uur) weekend]],0)</f>
        <v>0</v>
      </c>
      <c r="AD492" s="91">
        <f>Ruimtestaat[[#This Row],[uren / jaar weekend]]*Tariefsopbouw!$D$40</f>
        <v>0</v>
      </c>
      <c r="AE492" s="60">
        <f>Ruimtestaat[[#This Row],[Prest. (m2 /jaar) weekend]]+Ruimtestaat[[#This Row],[Prest. (m2 /jaar) werkdagen]]</f>
        <v>11694</v>
      </c>
      <c r="AF492" s="60">
        <f>Ruimtestaat[[#This Row],[uren / jaar weekend]]+Ruimtestaat[[#This Row],[uren / jaar werkdagen]]</f>
        <v>0</v>
      </c>
      <c r="AG492" s="61">
        <f>Ruimtestaat[[#This Row],[kosten / jaar weekend]]+Ruimtestaat[[#This Row],[kosten / jaar werkdagen]]</f>
        <v>0</v>
      </c>
      <c r="AH492" s="92"/>
      <c r="HL492" s="59"/>
    </row>
    <row r="493" spans="1:220">
      <c r="A493" s="24">
        <v>2</v>
      </c>
      <c r="B493" s="24" t="str">
        <f>VLOOKUP(Ruimtestaat[[#This Row],[Code]],Locaties[#All],2,FALSE)</f>
        <v>Het Stormink</v>
      </c>
      <c r="C493" s="24" t="str">
        <f>VLOOKUP(Ruimtestaat[[#This Row],[Code]],Locaties[#All],4,FALSE)</f>
        <v>Storminkstraat 1</v>
      </c>
      <c r="D493" s="24" t="str">
        <f>VLOOKUP(Ruimtestaat[[#This Row],[Code]],Locaties[#All],5,FALSE)</f>
        <v>7418 GH</v>
      </c>
      <c r="E493" s="24" t="str">
        <f>VLOOKUP(Ruimtestaat[[#This Row],[Code]],Locaties[#All],6,FALSE)</f>
        <v>Deventer</v>
      </c>
      <c r="F493" s="54"/>
      <c r="G493" s="24" t="s">
        <v>656</v>
      </c>
      <c r="H493" s="24" t="s">
        <v>921</v>
      </c>
      <c r="I493" s="4" t="s">
        <v>716</v>
      </c>
      <c r="J493" s="24">
        <v>10</v>
      </c>
      <c r="K493" s="54" t="str">
        <f>VLOOKUP(J493,Ruimtegroepen[],2,FALSE)</f>
        <v>Trappenhuizen/lift</v>
      </c>
      <c r="L493" s="24" t="s">
        <v>300</v>
      </c>
      <c r="M493" s="24" t="s">
        <v>157</v>
      </c>
      <c r="N493" s="83">
        <v>23.54</v>
      </c>
      <c r="O493" s="83"/>
      <c r="P493" s="93" t="str">
        <f>LEFT(VLOOKUP(Ruimtestaat[[#This Row],[Ruimte code]],Ruimtegroepen[#All],4,1),2)</f>
        <v>Ve</v>
      </c>
      <c r="Q493" s="93"/>
      <c r="R493" s="84">
        <v>40</v>
      </c>
      <c r="S493" s="84" t="s">
        <v>318</v>
      </c>
      <c r="T493" s="85">
        <f>IF(R493&gt;0,IF(RIGHT(Ruimtestaat[[#This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3" s="85">
        <f>IF(T493&gt;0,VLOOKUP($J493,Ruimtegroepen[],3,FALSE)*VLOOKUP($L493,Vloersoorten[],3,FALSE)*VLOOKUP($S493,Frequenties[],3,FALSE)*VLOOKUP($A493,Locaties[],3,FALSE),0)</f>
        <v>0</v>
      </c>
      <c r="V493" s="86">
        <f>Ruimtestaat[[#This Row],[Uitvoeringen werkdagen]]*Ruimtestaat[[#This Row],[Oppervlak (netto)]]</f>
        <v>4708</v>
      </c>
      <c r="W493" s="87">
        <f>IF(U493&gt;0,Ruimtestaat[[#This Row],[Prest. (m2 /jaar) werkdagen]]/Ruimtestaat[[#This Row],[Norm (m2/uur) werkdagen]],0)</f>
        <v>0</v>
      </c>
      <c r="X493" s="88">
        <f>Ruimtestaat[[#This Row],[uren / jaar werkdagen]]*Tariefsopbouw!$E$35</f>
        <v>0</v>
      </c>
      <c r="Y493" s="85"/>
      <c r="Z493" s="89">
        <f>IF(Ruimtestaat[[#This Row],[Frequentie weekend]]&gt;0,VALUE(LEFT(Y493,1))*R493,0)</f>
        <v>0</v>
      </c>
      <c r="AA493" s="85">
        <f>IF($Z493&gt;0,VLOOKUP($J493,Ruimtegroepen[],3,FALSE)*VLOOKUP($L493,Vloersoorten[],3,FALSE)*VLOOKUP($Y493,Frequenties[],3,FALSE)*VLOOKUP(#REF!,Locaties[],3,FALSE),0)</f>
        <v>0</v>
      </c>
      <c r="AB493" s="87">
        <f>Ruimtestaat[[#This Row],[Uitvoeringen weekend]]*Ruimtestaat[[#This Row],[Oppervlak (netto)]]</f>
        <v>0</v>
      </c>
      <c r="AC493" s="90">
        <f>IF(AB493&gt;0,Ruimtestaat[[#This Row],[Prest. (m2 /jaar) weekend]]/Ruimtestaat[[#This Row],[Norm (m2/uur) weekend]],0)</f>
        <v>0</v>
      </c>
      <c r="AD493" s="91">
        <f>Ruimtestaat[[#This Row],[uren / jaar weekend]]*Tariefsopbouw!$D$40</f>
        <v>0</v>
      </c>
      <c r="AE493" s="60">
        <f>Ruimtestaat[[#This Row],[Prest. (m2 /jaar) weekend]]+Ruimtestaat[[#This Row],[Prest. (m2 /jaar) werkdagen]]</f>
        <v>4708</v>
      </c>
      <c r="AF493" s="60">
        <f>Ruimtestaat[[#This Row],[uren / jaar weekend]]+Ruimtestaat[[#This Row],[uren / jaar werkdagen]]</f>
        <v>0</v>
      </c>
      <c r="AG493" s="61">
        <f>Ruimtestaat[[#This Row],[kosten / jaar weekend]]+Ruimtestaat[[#This Row],[kosten / jaar werkdagen]]</f>
        <v>0</v>
      </c>
      <c r="AH493" s="92"/>
      <c r="HL493" s="59"/>
    </row>
    <row r="494" spans="1:220">
      <c r="A494" s="24">
        <v>2</v>
      </c>
      <c r="B494" s="24" t="str">
        <f>VLOOKUP(Ruimtestaat[[#This Row],[Code]],Locaties[#All],2,FALSE)</f>
        <v>Het Stormink</v>
      </c>
      <c r="C494" s="24" t="str">
        <f>VLOOKUP(Ruimtestaat[[#This Row],[Code]],Locaties[#All],4,FALSE)</f>
        <v>Storminkstraat 1</v>
      </c>
      <c r="D494" s="24" t="str">
        <f>VLOOKUP(Ruimtestaat[[#This Row],[Code]],Locaties[#All],5,FALSE)</f>
        <v>7418 GH</v>
      </c>
      <c r="E494" s="24" t="str">
        <f>VLOOKUP(Ruimtestaat[[#This Row],[Code]],Locaties[#All],6,FALSE)</f>
        <v>Deventer</v>
      </c>
      <c r="F494" s="54"/>
      <c r="G494" s="24" t="s">
        <v>656</v>
      </c>
      <c r="H494" s="24" t="s">
        <v>922</v>
      </c>
      <c r="I494" s="4" t="s">
        <v>716</v>
      </c>
      <c r="J494" s="24">
        <v>10</v>
      </c>
      <c r="K494" s="54" t="str">
        <f>VLOOKUP(J494,Ruimtegroepen[],2,FALSE)</f>
        <v>Trappenhuizen/lift</v>
      </c>
      <c r="L494" s="24" t="s">
        <v>300</v>
      </c>
      <c r="M494" s="24" t="s">
        <v>157</v>
      </c>
      <c r="N494" s="83">
        <v>23.47</v>
      </c>
      <c r="O494" s="83"/>
      <c r="P494" s="93" t="str">
        <f>LEFT(VLOOKUP(Ruimtestaat[[#This Row],[Ruimte code]],Ruimtegroepen[#All],4,1),2)</f>
        <v>Ve</v>
      </c>
      <c r="Q494" s="93"/>
      <c r="R494" s="84">
        <v>40</v>
      </c>
      <c r="S494" s="84" t="s">
        <v>318</v>
      </c>
      <c r="T494" s="85">
        <f>IF(R494&gt;0,IF(RIGHT(Ruimtestaat[[#This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4" s="85">
        <f>IF(T494&gt;0,VLOOKUP($J494,Ruimtegroepen[],3,FALSE)*VLOOKUP($L494,Vloersoorten[],3,FALSE)*VLOOKUP($S494,Frequenties[],3,FALSE)*VLOOKUP($A494,Locaties[],3,FALSE),0)</f>
        <v>0</v>
      </c>
      <c r="V494" s="86">
        <f>Ruimtestaat[[#This Row],[Uitvoeringen werkdagen]]*Ruimtestaat[[#This Row],[Oppervlak (netto)]]</f>
        <v>4694</v>
      </c>
      <c r="W494" s="87">
        <f>IF(U494&gt;0,Ruimtestaat[[#This Row],[Prest. (m2 /jaar) werkdagen]]/Ruimtestaat[[#This Row],[Norm (m2/uur) werkdagen]],0)</f>
        <v>0</v>
      </c>
      <c r="X494" s="88">
        <f>Ruimtestaat[[#This Row],[uren / jaar werkdagen]]*Tariefsopbouw!$E$35</f>
        <v>0</v>
      </c>
      <c r="Y494" s="85"/>
      <c r="Z494" s="89">
        <f>IF(Ruimtestaat[[#This Row],[Frequentie weekend]]&gt;0,VALUE(LEFT(Y494,1))*R494,0)</f>
        <v>0</v>
      </c>
      <c r="AA494" s="85">
        <f>IF($Z494&gt;0,VLOOKUP($J494,Ruimtegroepen[],3,FALSE)*VLOOKUP($L494,Vloersoorten[],3,FALSE)*VLOOKUP($Y494,Frequenties[],3,FALSE)*VLOOKUP(#REF!,Locaties[],3,FALSE),0)</f>
        <v>0</v>
      </c>
      <c r="AB494" s="87">
        <f>Ruimtestaat[[#This Row],[Uitvoeringen weekend]]*Ruimtestaat[[#This Row],[Oppervlak (netto)]]</f>
        <v>0</v>
      </c>
      <c r="AC494" s="90">
        <f>IF(AB494&gt;0,Ruimtestaat[[#This Row],[Prest. (m2 /jaar) weekend]]/Ruimtestaat[[#This Row],[Norm (m2/uur) weekend]],0)</f>
        <v>0</v>
      </c>
      <c r="AD494" s="91">
        <f>Ruimtestaat[[#This Row],[uren / jaar weekend]]*Tariefsopbouw!$D$40</f>
        <v>0</v>
      </c>
      <c r="AE494" s="60">
        <f>Ruimtestaat[[#This Row],[Prest. (m2 /jaar) weekend]]+Ruimtestaat[[#This Row],[Prest. (m2 /jaar) werkdagen]]</f>
        <v>4694</v>
      </c>
      <c r="AF494" s="60">
        <f>Ruimtestaat[[#This Row],[uren / jaar weekend]]+Ruimtestaat[[#This Row],[uren / jaar werkdagen]]</f>
        <v>0</v>
      </c>
      <c r="AG494" s="61">
        <f>Ruimtestaat[[#This Row],[kosten / jaar weekend]]+Ruimtestaat[[#This Row],[kosten / jaar werkdagen]]</f>
        <v>0</v>
      </c>
      <c r="AH494" s="92"/>
      <c r="HL494" s="59"/>
    </row>
    <row r="495" spans="1:220">
      <c r="A495" s="24">
        <v>2</v>
      </c>
      <c r="B495" s="24" t="str">
        <f>VLOOKUP(Ruimtestaat[[#This Row],[Code]],Locaties[#All],2,FALSE)</f>
        <v>Het Stormink</v>
      </c>
      <c r="C495" s="24" t="str">
        <f>VLOOKUP(Ruimtestaat[[#This Row],[Code]],Locaties[#All],4,FALSE)</f>
        <v>Storminkstraat 1</v>
      </c>
      <c r="D495" s="24" t="str">
        <f>VLOOKUP(Ruimtestaat[[#This Row],[Code]],Locaties[#All],5,FALSE)</f>
        <v>7418 GH</v>
      </c>
      <c r="E495" s="24" t="str">
        <f>VLOOKUP(Ruimtestaat[[#This Row],[Code]],Locaties[#All],6,FALSE)</f>
        <v>Deventer</v>
      </c>
      <c r="F495" s="54"/>
      <c r="G495" s="24" t="s">
        <v>656</v>
      </c>
      <c r="H495" s="24" t="s">
        <v>923</v>
      </c>
      <c r="I495" s="4" t="s">
        <v>716</v>
      </c>
      <c r="J495" s="24">
        <v>10</v>
      </c>
      <c r="K495" s="54" t="str">
        <f>VLOOKUP(J495,Ruimtegroepen[],2,FALSE)</f>
        <v>Trappenhuizen/lift</v>
      </c>
      <c r="L495" s="24" t="s">
        <v>300</v>
      </c>
      <c r="M495" s="24" t="s">
        <v>157</v>
      </c>
      <c r="N495" s="83">
        <v>13.14</v>
      </c>
      <c r="O495" s="83"/>
      <c r="P495" s="93" t="str">
        <f>LEFT(VLOOKUP(Ruimtestaat[[#This Row],[Ruimte code]],Ruimtegroepen[#All],4,1),2)</f>
        <v>Ve</v>
      </c>
      <c r="Q495" s="93"/>
      <c r="R495" s="84">
        <v>40</v>
      </c>
      <c r="S495" s="84" t="s">
        <v>318</v>
      </c>
      <c r="T495" s="85">
        <f>IF(R495&gt;0,IF(RIGHT(Ruimtestaat[[#This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5" s="85">
        <f>IF(T495&gt;0,VLOOKUP($J495,Ruimtegroepen[],3,FALSE)*VLOOKUP($L495,Vloersoorten[],3,FALSE)*VLOOKUP($S495,Frequenties[],3,FALSE)*VLOOKUP($A495,Locaties[],3,FALSE),0)</f>
        <v>0</v>
      </c>
      <c r="V495" s="86">
        <f>Ruimtestaat[[#This Row],[Uitvoeringen werkdagen]]*Ruimtestaat[[#This Row],[Oppervlak (netto)]]</f>
        <v>2628</v>
      </c>
      <c r="W495" s="87">
        <f>IF(U495&gt;0,Ruimtestaat[[#This Row],[Prest. (m2 /jaar) werkdagen]]/Ruimtestaat[[#This Row],[Norm (m2/uur) werkdagen]],0)</f>
        <v>0</v>
      </c>
      <c r="X495" s="88">
        <f>Ruimtestaat[[#This Row],[uren / jaar werkdagen]]*Tariefsopbouw!$E$35</f>
        <v>0</v>
      </c>
      <c r="Y495" s="85"/>
      <c r="Z495" s="89">
        <f>IF(Ruimtestaat[[#This Row],[Frequentie weekend]]&gt;0,VALUE(LEFT(Y495,1))*R495,0)</f>
        <v>0</v>
      </c>
      <c r="AA495" s="85">
        <f>IF($Z495&gt;0,VLOOKUP($J495,Ruimtegroepen[],3,FALSE)*VLOOKUP($L495,Vloersoorten[],3,FALSE)*VLOOKUP($Y495,Frequenties[],3,FALSE)*VLOOKUP(#REF!,Locaties[],3,FALSE),0)</f>
        <v>0</v>
      </c>
      <c r="AB495" s="87">
        <f>Ruimtestaat[[#This Row],[Uitvoeringen weekend]]*Ruimtestaat[[#This Row],[Oppervlak (netto)]]</f>
        <v>0</v>
      </c>
      <c r="AC495" s="90">
        <f>IF(AB495&gt;0,Ruimtestaat[[#This Row],[Prest. (m2 /jaar) weekend]]/Ruimtestaat[[#This Row],[Norm (m2/uur) weekend]],0)</f>
        <v>0</v>
      </c>
      <c r="AD495" s="91">
        <f>Ruimtestaat[[#This Row],[uren / jaar weekend]]*Tariefsopbouw!$D$40</f>
        <v>0</v>
      </c>
      <c r="AE495" s="60">
        <f>Ruimtestaat[[#This Row],[Prest. (m2 /jaar) weekend]]+Ruimtestaat[[#This Row],[Prest. (m2 /jaar) werkdagen]]</f>
        <v>2628</v>
      </c>
      <c r="AF495" s="60">
        <f>Ruimtestaat[[#This Row],[uren / jaar weekend]]+Ruimtestaat[[#This Row],[uren / jaar werkdagen]]</f>
        <v>0</v>
      </c>
      <c r="AG495" s="61">
        <f>Ruimtestaat[[#This Row],[kosten / jaar weekend]]+Ruimtestaat[[#This Row],[kosten / jaar werkdagen]]</f>
        <v>0</v>
      </c>
      <c r="AH495" s="92"/>
      <c r="HL495" s="59"/>
    </row>
    <row r="496" spans="1:220">
      <c r="A496" s="24">
        <v>4</v>
      </c>
      <c r="B496" s="24" t="str">
        <f>VLOOKUP(Ruimtestaat[[#This Row],[Code]],Locaties[#All],2,FALSE)</f>
        <v>Zwaluwenburg 10</v>
      </c>
      <c r="C496" s="24" t="str">
        <f>VLOOKUP(Ruimtestaat[[#This Row],[Code]],Locaties[#All],4,FALSE)</f>
        <v>De Zwaluwenburg 10</v>
      </c>
      <c r="D496" s="24" t="str">
        <f>VLOOKUP(Ruimtestaat[[#This Row],[Code]],Locaties[#All],5,FALSE)</f>
        <v>7423 DS</v>
      </c>
      <c r="E496" s="24" t="str">
        <f>VLOOKUP(Ruimtestaat[[#This Row],[Code]],Locaties[#All],6,FALSE)</f>
        <v>Deventer</v>
      </c>
      <c r="F496" s="54"/>
      <c r="G496" s="24" t="s">
        <v>367</v>
      </c>
      <c r="H496" s="24" t="s">
        <v>924</v>
      </c>
      <c r="I496" s="4" t="s">
        <v>925</v>
      </c>
      <c r="J496" s="24">
        <v>6</v>
      </c>
      <c r="K496" s="54" t="str">
        <f>VLOOKUP(J496,Ruimtegroepen[],2,FALSE)</f>
        <v>Gangen/hallen</v>
      </c>
      <c r="L496" s="24" t="s">
        <v>300</v>
      </c>
      <c r="M496" s="24" t="s">
        <v>926</v>
      </c>
      <c r="N496" s="83">
        <v>14.24</v>
      </c>
      <c r="O496" s="83"/>
      <c r="P496" s="93" t="str">
        <f>LEFT(VLOOKUP(Ruimtestaat[[#This Row],[Ruimte code]],Ruimtegroepen[#All],4,1),2)</f>
        <v>Ve</v>
      </c>
      <c r="Q496" s="93"/>
      <c r="R496" s="84">
        <v>40</v>
      </c>
      <c r="S496" s="84" t="s">
        <v>318</v>
      </c>
      <c r="T496" s="85">
        <f>IF(R496&gt;0,IF(RIGHT(Ruimtestaat[[#This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6" s="85">
        <f>IF(T496&gt;0,VLOOKUP($J496,Ruimtegroepen[],3,FALSE)*VLOOKUP($L496,Vloersoorten[],3,FALSE)*VLOOKUP($S496,Frequenties[],3,FALSE)*VLOOKUP($A496,Locaties[],3,FALSE),0)</f>
        <v>0</v>
      </c>
      <c r="V496" s="86">
        <f>Ruimtestaat[[#This Row],[Uitvoeringen werkdagen]]*Ruimtestaat[[#This Row],[Oppervlak (netto)]]</f>
        <v>2848</v>
      </c>
      <c r="W496" s="87">
        <f>IF(U496&gt;0,Ruimtestaat[[#This Row],[Prest. (m2 /jaar) werkdagen]]/Ruimtestaat[[#This Row],[Norm (m2/uur) werkdagen]],0)</f>
        <v>0</v>
      </c>
      <c r="X496" s="88">
        <f>Ruimtestaat[[#This Row],[uren / jaar werkdagen]]*Tariefsopbouw!$E$35</f>
        <v>0</v>
      </c>
      <c r="Y496" s="85"/>
      <c r="Z496" s="89">
        <f>IF(Ruimtestaat[[#This Row],[Frequentie weekend]]&gt;0,VALUE(LEFT(Y496,1))*R496,0)</f>
        <v>0</v>
      </c>
      <c r="AA496" s="85">
        <f>IF($Z496&gt;0,VLOOKUP($J496,Ruimtegroepen[],3,FALSE)*VLOOKUP($L496,Vloersoorten[],3,FALSE)*VLOOKUP($Y496,Frequenties[],3,FALSE)*VLOOKUP(#REF!,Locaties[],3,FALSE),0)</f>
        <v>0</v>
      </c>
      <c r="AB496" s="87">
        <f>Ruimtestaat[[#This Row],[Uitvoeringen weekend]]*Ruimtestaat[[#This Row],[Oppervlak (netto)]]</f>
        <v>0</v>
      </c>
      <c r="AC496" s="90">
        <f>IF(AB496&gt;0,Ruimtestaat[[#This Row],[Prest. (m2 /jaar) weekend]]/Ruimtestaat[[#This Row],[Norm (m2/uur) weekend]],0)</f>
        <v>0</v>
      </c>
      <c r="AD496" s="91">
        <f>Ruimtestaat[[#This Row],[uren / jaar weekend]]*Tariefsopbouw!$D$40</f>
        <v>0</v>
      </c>
      <c r="AE496" s="60">
        <f>Ruimtestaat[[#This Row],[Prest. (m2 /jaar) weekend]]+Ruimtestaat[[#This Row],[Prest. (m2 /jaar) werkdagen]]</f>
        <v>2848</v>
      </c>
      <c r="AF496" s="60">
        <f>Ruimtestaat[[#This Row],[uren / jaar weekend]]+Ruimtestaat[[#This Row],[uren / jaar werkdagen]]</f>
        <v>0</v>
      </c>
      <c r="AG496" s="61">
        <f>Ruimtestaat[[#This Row],[kosten / jaar weekend]]+Ruimtestaat[[#This Row],[kosten / jaar werkdagen]]</f>
        <v>0</v>
      </c>
      <c r="AH496" s="92"/>
      <c r="HL496" s="59"/>
    </row>
    <row r="497" spans="1:220">
      <c r="A497" s="24">
        <v>4</v>
      </c>
      <c r="B497" s="24" t="str">
        <f>VLOOKUP(Ruimtestaat[[#This Row],[Code]],Locaties[#All],2,FALSE)</f>
        <v>Zwaluwenburg 10</v>
      </c>
      <c r="C497" s="24" t="str">
        <f>VLOOKUP(Ruimtestaat[[#This Row],[Code]],Locaties[#All],4,FALSE)</f>
        <v>De Zwaluwenburg 10</v>
      </c>
      <c r="D497" s="24" t="str">
        <f>VLOOKUP(Ruimtestaat[[#This Row],[Code]],Locaties[#All],5,FALSE)</f>
        <v>7423 DS</v>
      </c>
      <c r="E497" s="24" t="str">
        <f>VLOOKUP(Ruimtestaat[[#This Row],[Code]],Locaties[#All],6,FALSE)</f>
        <v>Deventer</v>
      </c>
      <c r="F497" s="54"/>
      <c r="G497" s="24" t="s">
        <v>367</v>
      </c>
      <c r="H497" s="24" t="s">
        <v>927</v>
      </c>
      <c r="I497" s="4" t="s">
        <v>394</v>
      </c>
      <c r="J497" s="24">
        <v>22</v>
      </c>
      <c r="K497" s="54" t="str">
        <f>VLOOKUP(J497,Ruimtegroepen[],2,FALSE)</f>
        <v>Niet in onderhoud</v>
      </c>
      <c r="M497" s="24"/>
      <c r="N497" s="83"/>
      <c r="O497" s="83">
        <v>1.08</v>
      </c>
      <c r="P497" s="93" t="str">
        <f>LEFT(VLOOKUP(Ruimtestaat[[#This Row],[Ruimte code]],Ruimtegroepen[#All],4,1),2)</f>
        <v/>
      </c>
      <c r="Q497" s="93"/>
      <c r="R497" s="84"/>
      <c r="S497" s="84"/>
      <c r="T497" s="85">
        <f>IF(R497&gt;0,IF(RIGHT(Ruimtestaat[[#This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97" s="85">
        <f>IF(T497&gt;0,VLOOKUP($J497,Ruimtegroepen[],3,FALSE)*VLOOKUP($L497,Vloersoorten[],3,FALSE)*VLOOKUP($S497,Frequenties[],3,FALSE)*VLOOKUP($A497,Locaties[],3,FALSE),0)</f>
        <v>0</v>
      </c>
      <c r="V497" s="86">
        <f>Ruimtestaat[[#This Row],[Uitvoeringen werkdagen]]*Ruimtestaat[[#This Row],[Oppervlak (netto)]]</f>
        <v>0</v>
      </c>
      <c r="W497" s="87">
        <f>IF(U497&gt;0,Ruimtestaat[[#This Row],[Prest. (m2 /jaar) werkdagen]]/Ruimtestaat[[#This Row],[Norm (m2/uur) werkdagen]],0)</f>
        <v>0</v>
      </c>
      <c r="X497" s="88">
        <f>Ruimtestaat[[#This Row],[uren / jaar werkdagen]]*Tariefsopbouw!$E$35</f>
        <v>0</v>
      </c>
      <c r="Y497" s="85"/>
      <c r="Z497" s="89">
        <f>IF(Ruimtestaat[[#This Row],[Frequentie weekend]]&gt;0,VALUE(LEFT(Y497,1))*R497,0)</f>
        <v>0</v>
      </c>
      <c r="AA497" s="85">
        <f>IF($Z497&gt;0,VLOOKUP($J497,Ruimtegroepen[],3,FALSE)*VLOOKUP($L497,Vloersoorten[],3,FALSE)*VLOOKUP($Y497,Frequenties[],3,FALSE)*VLOOKUP(#REF!,Locaties[],3,FALSE),0)</f>
        <v>0</v>
      </c>
      <c r="AB497" s="87">
        <f>Ruimtestaat[[#This Row],[Uitvoeringen weekend]]*Ruimtestaat[[#This Row],[Oppervlak (netto)]]</f>
        <v>0</v>
      </c>
      <c r="AC497" s="90">
        <f>IF(AB497&gt;0,Ruimtestaat[[#This Row],[Prest. (m2 /jaar) weekend]]/Ruimtestaat[[#This Row],[Norm (m2/uur) weekend]],0)</f>
        <v>0</v>
      </c>
      <c r="AD497" s="91">
        <f>Ruimtestaat[[#This Row],[uren / jaar weekend]]*Tariefsopbouw!$D$40</f>
        <v>0</v>
      </c>
      <c r="AE497" s="60">
        <f>Ruimtestaat[[#This Row],[Prest. (m2 /jaar) weekend]]+Ruimtestaat[[#This Row],[Prest. (m2 /jaar) werkdagen]]</f>
        <v>0</v>
      </c>
      <c r="AF497" s="60">
        <f>Ruimtestaat[[#This Row],[uren / jaar weekend]]+Ruimtestaat[[#This Row],[uren / jaar werkdagen]]</f>
        <v>0</v>
      </c>
      <c r="AG497" s="61">
        <f>Ruimtestaat[[#This Row],[kosten / jaar weekend]]+Ruimtestaat[[#This Row],[kosten / jaar werkdagen]]</f>
        <v>0</v>
      </c>
      <c r="AH497" s="92"/>
      <c r="HL497" s="59"/>
    </row>
    <row r="498" spans="1:220">
      <c r="A498" s="24">
        <v>4</v>
      </c>
      <c r="B498" s="24" t="str">
        <f>VLOOKUP(Ruimtestaat[[#This Row],[Code]],Locaties[#All],2,FALSE)</f>
        <v>Zwaluwenburg 10</v>
      </c>
      <c r="C498" s="24" t="str">
        <f>VLOOKUP(Ruimtestaat[[#This Row],[Code]],Locaties[#All],4,FALSE)</f>
        <v>De Zwaluwenburg 10</v>
      </c>
      <c r="D498" s="24" t="str">
        <f>VLOOKUP(Ruimtestaat[[#This Row],[Code]],Locaties[#All],5,FALSE)</f>
        <v>7423 DS</v>
      </c>
      <c r="E498" s="24" t="str">
        <f>VLOOKUP(Ruimtestaat[[#This Row],[Code]],Locaties[#All],6,FALSE)</f>
        <v>Deventer</v>
      </c>
      <c r="F498" s="54"/>
      <c r="G498" s="24" t="s">
        <v>367</v>
      </c>
      <c r="H498" s="24" t="s">
        <v>928</v>
      </c>
      <c r="I498" s="4" t="s">
        <v>466</v>
      </c>
      <c r="J498" s="24">
        <v>5</v>
      </c>
      <c r="K498" s="54" t="str">
        <f>VLOOKUP(J498,Ruimtegroepen[],2,FALSE)</f>
        <v>Sanitair</v>
      </c>
      <c r="L498" s="24" t="s">
        <v>305</v>
      </c>
      <c r="M498" s="252" t="s">
        <v>929</v>
      </c>
      <c r="N498" s="83">
        <v>1.38</v>
      </c>
      <c r="O498" s="83"/>
      <c r="P498" s="93" t="str">
        <f>LEFT(VLOOKUP(Ruimtestaat[[#This Row],[Ruimte code]],Ruimtegroepen[#All],4,1),2)</f>
        <v>Sa</v>
      </c>
      <c r="Q498" s="93"/>
      <c r="R498" s="84">
        <v>40</v>
      </c>
      <c r="S498" s="84" t="s">
        <v>316</v>
      </c>
      <c r="T498" s="85">
        <f>IF(R498&gt;0,IF(RIGHT(Ruimtestaat[[#This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498" s="85">
        <f>IF(T498&gt;0,VLOOKUP($J498,Ruimtegroepen[],3,FALSE)*VLOOKUP($L498,Vloersoorten[],3,FALSE)*VLOOKUP($S498,Frequenties[],3,FALSE)*VLOOKUP($A498,Locaties[],3,FALSE),0)</f>
        <v>0</v>
      </c>
      <c r="V498" s="86">
        <f>Ruimtestaat[[#This Row],[Uitvoeringen werkdagen]]*Ruimtestaat[[#This Row],[Oppervlak (netto)]]</f>
        <v>552</v>
      </c>
      <c r="W498" s="87">
        <f>IF(U498&gt;0,Ruimtestaat[[#This Row],[Prest. (m2 /jaar) werkdagen]]/Ruimtestaat[[#This Row],[Norm (m2/uur) werkdagen]],0)</f>
        <v>0</v>
      </c>
      <c r="X498" s="88">
        <f>Ruimtestaat[[#This Row],[uren / jaar werkdagen]]*Tariefsopbouw!$E$35</f>
        <v>0</v>
      </c>
      <c r="Y498" s="85"/>
      <c r="Z498" s="89">
        <f>IF(Ruimtestaat[[#This Row],[Frequentie weekend]]&gt;0,VALUE(LEFT(Y498,1))*R498,0)</f>
        <v>0</v>
      </c>
      <c r="AA498" s="85">
        <f>IF($Z498&gt;0,VLOOKUP($J498,Ruimtegroepen[],3,FALSE)*VLOOKUP($L498,Vloersoorten[],3,FALSE)*VLOOKUP($Y498,Frequenties[],3,FALSE)*VLOOKUP(#REF!,Locaties[],3,FALSE),0)</f>
        <v>0</v>
      </c>
      <c r="AB498" s="87">
        <f>Ruimtestaat[[#This Row],[Uitvoeringen weekend]]*Ruimtestaat[[#This Row],[Oppervlak (netto)]]</f>
        <v>0</v>
      </c>
      <c r="AC498" s="90">
        <f>IF(AB498&gt;0,Ruimtestaat[[#This Row],[Prest. (m2 /jaar) weekend]]/Ruimtestaat[[#This Row],[Norm (m2/uur) weekend]],0)</f>
        <v>0</v>
      </c>
      <c r="AD498" s="91">
        <f>Ruimtestaat[[#This Row],[uren / jaar weekend]]*Tariefsopbouw!$D$40</f>
        <v>0</v>
      </c>
      <c r="AE498" s="60">
        <f>Ruimtestaat[[#This Row],[Prest. (m2 /jaar) weekend]]+Ruimtestaat[[#This Row],[Prest. (m2 /jaar) werkdagen]]</f>
        <v>552</v>
      </c>
      <c r="AF498" s="60">
        <f>Ruimtestaat[[#This Row],[uren / jaar weekend]]+Ruimtestaat[[#This Row],[uren / jaar werkdagen]]</f>
        <v>0</v>
      </c>
      <c r="AG498" s="61">
        <f>Ruimtestaat[[#This Row],[kosten / jaar weekend]]+Ruimtestaat[[#This Row],[kosten / jaar werkdagen]]</f>
        <v>0</v>
      </c>
      <c r="AH498" s="92"/>
      <c r="HL498" s="59"/>
    </row>
    <row r="499" spans="1:220">
      <c r="A499" s="24">
        <v>4</v>
      </c>
      <c r="B499" s="24" t="str">
        <f>VLOOKUP(Ruimtestaat[[#This Row],[Code]],Locaties[#All],2,FALSE)</f>
        <v>Zwaluwenburg 10</v>
      </c>
      <c r="C499" s="24" t="str">
        <f>VLOOKUP(Ruimtestaat[[#This Row],[Code]],Locaties[#All],4,FALSE)</f>
        <v>De Zwaluwenburg 10</v>
      </c>
      <c r="D499" s="24" t="str">
        <f>VLOOKUP(Ruimtestaat[[#This Row],[Code]],Locaties[#All],5,FALSE)</f>
        <v>7423 DS</v>
      </c>
      <c r="E499" s="24" t="str">
        <f>VLOOKUP(Ruimtestaat[[#This Row],[Code]],Locaties[#All],6,FALSE)</f>
        <v>Deventer</v>
      </c>
      <c r="F499" s="54"/>
      <c r="G499" s="24" t="s">
        <v>367</v>
      </c>
      <c r="H499" s="24" t="s">
        <v>930</v>
      </c>
      <c r="I499" s="4" t="s">
        <v>487</v>
      </c>
      <c r="J499" s="24">
        <v>6</v>
      </c>
      <c r="K499" s="54" t="str">
        <f>VLOOKUP(J499,Ruimtegroepen[],2,FALSE)</f>
        <v>Gangen/hallen</v>
      </c>
      <c r="L499" s="24" t="s">
        <v>300</v>
      </c>
      <c r="M499" s="24" t="s">
        <v>926</v>
      </c>
      <c r="N499" s="83">
        <v>4.21</v>
      </c>
      <c r="O499" s="83"/>
      <c r="P499" s="93" t="str">
        <f>LEFT(VLOOKUP(Ruimtestaat[[#This Row],[Ruimte code]],Ruimtegroepen[#All],4,1),2)</f>
        <v>Ve</v>
      </c>
      <c r="Q499" s="93"/>
      <c r="R499" s="84">
        <v>40</v>
      </c>
      <c r="S499" s="84" t="s">
        <v>318</v>
      </c>
      <c r="T499" s="85">
        <f>IF(R499&gt;0,IF(RIGHT(Ruimtestaat[[#This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9" s="85">
        <f>IF(T499&gt;0,VLOOKUP($J499,Ruimtegroepen[],3,FALSE)*VLOOKUP($L499,Vloersoorten[],3,FALSE)*VLOOKUP($S499,Frequenties[],3,FALSE)*VLOOKUP($A499,Locaties[],3,FALSE),0)</f>
        <v>0</v>
      </c>
      <c r="V499" s="86">
        <f>Ruimtestaat[[#This Row],[Uitvoeringen werkdagen]]*Ruimtestaat[[#This Row],[Oppervlak (netto)]]</f>
        <v>842</v>
      </c>
      <c r="W499" s="87">
        <f>IF(U499&gt;0,Ruimtestaat[[#This Row],[Prest. (m2 /jaar) werkdagen]]/Ruimtestaat[[#This Row],[Norm (m2/uur) werkdagen]],0)</f>
        <v>0</v>
      </c>
      <c r="X499" s="88">
        <f>Ruimtestaat[[#This Row],[uren / jaar werkdagen]]*Tariefsopbouw!$E$35</f>
        <v>0</v>
      </c>
      <c r="Y499" s="85"/>
      <c r="Z499" s="89">
        <f>IF(Ruimtestaat[[#This Row],[Frequentie weekend]]&gt;0,VALUE(LEFT(Y499,1))*R499,0)</f>
        <v>0</v>
      </c>
      <c r="AA499" s="85">
        <f>IF($Z499&gt;0,VLOOKUP($J499,Ruimtegroepen[],3,FALSE)*VLOOKUP($L499,Vloersoorten[],3,FALSE)*VLOOKUP($Y499,Frequenties[],3,FALSE)*VLOOKUP(#REF!,Locaties[],3,FALSE),0)</f>
        <v>0</v>
      </c>
      <c r="AB499" s="87">
        <f>Ruimtestaat[[#This Row],[Uitvoeringen weekend]]*Ruimtestaat[[#This Row],[Oppervlak (netto)]]</f>
        <v>0</v>
      </c>
      <c r="AC499" s="90">
        <f>IF(AB499&gt;0,Ruimtestaat[[#This Row],[Prest. (m2 /jaar) weekend]]/Ruimtestaat[[#This Row],[Norm (m2/uur) weekend]],0)</f>
        <v>0</v>
      </c>
      <c r="AD499" s="91">
        <f>Ruimtestaat[[#This Row],[uren / jaar weekend]]*Tariefsopbouw!$D$40</f>
        <v>0</v>
      </c>
      <c r="AE499" s="60">
        <f>Ruimtestaat[[#This Row],[Prest. (m2 /jaar) weekend]]+Ruimtestaat[[#This Row],[Prest. (m2 /jaar) werkdagen]]</f>
        <v>842</v>
      </c>
      <c r="AF499" s="60">
        <f>Ruimtestaat[[#This Row],[uren / jaar weekend]]+Ruimtestaat[[#This Row],[uren / jaar werkdagen]]</f>
        <v>0</v>
      </c>
      <c r="AG499" s="61">
        <f>Ruimtestaat[[#This Row],[kosten / jaar weekend]]+Ruimtestaat[[#This Row],[kosten / jaar werkdagen]]</f>
        <v>0</v>
      </c>
      <c r="AH499" s="92"/>
      <c r="HL499" s="59"/>
    </row>
    <row r="500" spans="1:220">
      <c r="A500" s="24">
        <v>4</v>
      </c>
      <c r="B500" s="24" t="str">
        <f>VLOOKUP(Ruimtestaat[[#This Row],[Code]],Locaties[#All],2,FALSE)</f>
        <v>Zwaluwenburg 10</v>
      </c>
      <c r="C500" s="24" t="str">
        <f>VLOOKUP(Ruimtestaat[[#This Row],[Code]],Locaties[#All],4,FALSE)</f>
        <v>De Zwaluwenburg 10</v>
      </c>
      <c r="D500" s="24" t="str">
        <f>VLOOKUP(Ruimtestaat[[#This Row],[Code]],Locaties[#All],5,FALSE)</f>
        <v>7423 DS</v>
      </c>
      <c r="E500" s="24" t="str">
        <f>VLOOKUP(Ruimtestaat[[#This Row],[Code]],Locaties[#All],6,FALSE)</f>
        <v>Deventer</v>
      </c>
      <c r="F500" s="54"/>
      <c r="G500" s="24" t="s">
        <v>367</v>
      </c>
      <c r="H500" s="24" t="s">
        <v>931</v>
      </c>
      <c r="I500" s="4" t="s">
        <v>487</v>
      </c>
      <c r="J500" s="24">
        <v>6</v>
      </c>
      <c r="K500" s="54" t="str">
        <f>VLOOKUP(J500,Ruimtegroepen[],2,FALSE)</f>
        <v>Gangen/hallen</v>
      </c>
      <c r="L500" s="24" t="s">
        <v>300</v>
      </c>
      <c r="M500" s="24" t="s">
        <v>926</v>
      </c>
      <c r="N500" s="83">
        <v>82.18</v>
      </c>
      <c r="O500" s="83"/>
      <c r="P500" s="93" t="str">
        <f>LEFT(VLOOKUP(Ruimtestaat[[#This Row],[Ruimte code]],Ruimtegroepen[#All],4,1),2)</f>
        <v>Ve</v>
      </c>
      <c r="Q500" s="93"/>
      <c r="R500" s="84">
        <v>40</v>
      </c>
      <c r="S500" s="84" t="s">
        <v>318</v>
      </c>
      <c r="T500" s="85">
        <f>IF(R500&gt;0,IF(RIGHT(Ruimtestaat[[#This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0" s="85">
        <f>IF(T500&gt;0,VLOOKUP($J500,Ruimtegroepen[],3,FALSE)*VLOOKUP($L500,Vloersoorten[],3,FALSE)*VLOOKUP($S500,Frequenties[],3,FALSE)*VLOOKUP($A500,Locaties[],3,FALSE),0)</f>
        <v>0</v>
      </c>
      <c r="V500" s="86">
        <f>Ruimtestaat[[#This Row],[Uitvoeringen werkdagen]]*Ruimtestaat[[#This Row],[Oppervlak (netto)]]</f>
        <v>16436</v>
      </c>
      <c r="W500" s="87">
        <f>IF(U500&gt;0,Ruimtestaat[[#This Row],[Prest. (m2 /jaar) werkdagen]]/Ruimtestaat[[#This Row],[Norm (m2/uur) werkdagen]],0)</f>
        <v>0</v>
      </c>
      <c r="X500" s="88">
        <f>Ruimtestaat[[#This Row],[uren / jaar werkdagen]]*Tariefsopbouw!$E$35</f>
        <v>0</v>
      </c>
      <c r="Y500" s="85"/>
      <c r="Z500" s="89">
        <f>IF(Ruimtestaat[[#This Row],[Frequentie weekend]]&gt;0,VALUE(LEFT(Y500,1))*R500,0)</f>
        <v>0</v>
      </c>
      <c r="AA500" s="85">
        <f>IF($Z500&gt;0,VLOOKUP($J500,Ruimtegroepen[],3,FALSE)*VLOOKUP($L500,Vloersoorten[],3,FALSE)*VLOOKUP($Y500,Frequenties[],3,FALSE)*VLOOKUP(#REF!,Locaties[],3,FALSE),0)</f>
        <v>0</v>
      </c>
      <c r="AB500" s="87">
        <f>Ruimtestaat[[#This Row],[Uitvoeringen weekend]]*Ruimtestaat[[#This Row],[Oppervlak (netto)]]</f>
        <v>0</v>
      </c>
      <c r="AC500" s="90">
        <f>IF(AB500&gt;0,Ruimtestaat[[#This Row],[Prest. (m2 /jaar) weekend]]/Ruimtestaat[[#This Row],[Norm (m2/uur) weekend]],0)</f>
        <v>0</v>
      </c>
      <c r="AD500" s="91">
        <f>Ruimtestaat[[#This Row],[uren / jaar weekend]]*Tariefsopbouw!$D$40</f>
        <v>0</v>
      </c>
      <c r="AE500" s="60">
        <f>Ruimtestaat[[#This Row],[Prest. (m2 /jaar) weekend]]+Ruimtestaat[[#This Row],[Prest. (m2 /jaar) werkdagen]]</f>
        <v>16436</v>
      </c>
      <c r="AF500" s="60">
        <f>Ruimtestaat[[#This Row],[uren / jaar weekend]]+Ruimtestaat[[#This Row],[uren / jaar werkdagen]]</f>
        <v>0</v>
      </c>
      <c r="AG500" s="61">
        <f>Ruimtestaat[[#This Row],[kosten / jaar weekend]]+Ruimtestaat[[#This Row],[kosten / jaar werkdagen]]</f>
        <v>0</v>
      </c>
      <c r="AH500" s="92"/>
      <c r="HL500" s="59"/>
    </row>
    <row r="501" spans="1:220">
      <c r="A501" s="24">
        <v>4</v>
      </c>
      <c r="B501" s="24" t="str">
        <f>VLOOKUP(Ruimtestaat[[#This Row],[Code]],Locaties[#All],2,FALSE)</f>
        <v>Zwaluwenburg 10</v>
      </c>
      <c r="C501" s="24" t="str">
        <f>VLOOKUP(Ruimtestaat[[#This Row],[Code]],Locaties[#All],4,FALSE)</f>
        <v>De Zwaluwenburg 10</v>
      </c>
      <c r="D501" s="24" t="str">
        <f>VLOOKUP(Ruimtestaat[[#This Row],[Code]],Locaties[#All],5,FALSE)</f>
        <v>7423 DS</v>
      </c>
      <c r="E501" s="24" t="str">
        <f>VLOOKUP(Ruimtestaat[[#This Row],[Code]],Locaties[#All],6,FALSE)</f>
        <v>Deventer</v>
      </c>
      <c r="F501" s="54"/>
      <c r="G501" s="24" t="s">
        <v>367</v>
      </c>
      <c r="H501" s="24" t="s">
        <v>932</v>
      </c>
      <c r="I501" s="4" t="s">
        <v>487</v>
      </c>
      <c r="J501" s="24">
        <v>6</v>
      </c>
      <c r="K501" s="54" t="str">
        <f>VLOOKUP(J501,Ruimtegroepen[],2,FALSE)</f>
        <v>Gangen/hallen</v>
      </c>
      <c r="L501" s="24" t="s">
        <v>300</v>
      </c>
      <c r="M501" s="24" t="s">
        <v>926</v>
      </c>
      <c r="N501" s="83">
        <v>55.15</v>
      </c>
      <c r="O501" s="83"/>
      <c r="P501" s="93" t="str">
        <f>LEFT(VLOOKUP(Ruimtestaat[[#This Row],[Ruimte code]],Ruimtegroepen[#All],4,1),2)</f>
        <v>Ve</v>
      </c>
      <c r="Q501" s="93"/>
      <c r="R501" s="84">
        <v>40</v>
      </c>
      <c r="S501" s="84" t="s">
        <v>318</v>
      </c>
      <c r="T501" s="85">
        <f>IF(R501&gt;0,IF(RIGHT(Ruimtestaat[[#This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1" s="85">
        <f>IF(T501&gt;0,VLOOKUP($J501,Ruimtegroepen[],3,FALSE)*VLOOKUP($L501,Vloersoorten[],3,FALSE)*VLOOKUP($S501,Frequenties[],3,FALSE)*VLOOKUP($A501,Locaties[],3,FALSE),0)</f>
        <v>0</v>
      </c>
      <c r="V501" s="86">
        <f>Ruimtestaat[[#This Row],[Uitvoeringen werkdagen]]*Ruimtestaat[[#This Row],[Oppervlak (netto)]]</f>
        <v>11030</v>
      </c>
      <c r="W501" s="87">
        <f>IF(U501&gt;0,Ruimtestaat[[#This Row],[Prest. (m2 /jaar) werkdagen]]/Ruimtestaat[[#This Row],[Norm (m2/uur) werkdagen]],0)</f>
        <v>0</v>
      </c>
      <c r="X501" s="88">
        <f>Ruimtestaat[[#This Row],[uren / jaar werkdagen]]*Tariefsopbouw!$E$35</f>
        <v>0</v>
      </c>
      <c r="Y501" s="85"/>
      <c r="Z501" s="89">
        <f>IF(Ruimtestaat[[#This Row],[Frequentie weekend]]&gt;0,VALUE(LEFT(Y501,1))*R501,0)</f>
        <v>0</v>
      </c>
      <c r="AA501" s="85">
        <f>IF($Z501&gt;0,VLOOKUP($J501,Ruimtegroepen[],3,FALSE)*VLOOKUP($L501,Vloersoorten[],3,FALSE)*VLOOKUP($Y501,Frequenties[],3,FALSE)*VLOOKUP(#REF!,Locaties[],3,FALSE),0)</f>
        <v>0</v>
      </c>
      <c r="AB501" s="87">
        <f>Ruimtestaat[[#This Row],[Uitvoeringen weekend]]*Ruimtestaat[[#This Row],[Oppervlak (netto)]]</f>
        <v>0</v>
      </c>
      <c r="AC501" s="90">
        <f>IF(AB501&gt;0,Ruimtestaat[[#This Row],[Prest. (m2 /jaar) weekend]]/Ruimtestaat[[#This Row],[Norm (m2/uur) weekend]],0)</f>
        <v>0</v>
      </c>
      <c r="AD501" s="91">
        <f>Ruimtestaat[[#This Row],[uren / jaar weekend]]*Tariefsopbouw!$D$40</f>
        <v>0</v>
      </c>
      <c r="AE501" s="60">
        <f>Ruimtestaat[[#This Row],[Prest. (m2 /jaar) weekend]]+Ruimtestaat[[#This Row],[Prest. (m2 /jaar) werkdagen]]</f>
        <v>11030</v>
      </c>
      <c r="AF501" s="60">
        <f>Ruimtestaat[[#This Row],[uren / jaar weekend]]+Ruimtestaat[[#This Row],[uren / jaar werkdagen]]</f>
        <v>0</v>
      </c>
      <c r="AG501" s="61">
        <f>Ruimtestaat[[#This Row],[kosten / jaar weekend]]+Ruimtestaat[[#This Row],[kosten / jaar werkdagen]]</f>
        <v>0</v>
      </c>
      <c r="AH501" s="92"/>
      <c r="HL501" s="59"/>
    </row>
    <row r="502" spans="1:220">
      <c r="A502" s="24">
        <v>4</v>
      </c>
      <c r="B502" s="24" t="str">
        <f>VLOOKUP(Ruimtestaat[[#This Row],[Code]],Locaties[#All],2,FALSE)</f>
        <v>Zwaluwenburg 10</v>
      </c>
      <c r="C502" s="24" t="str">
        <f>VLOOKUP(Ruimtestaat[[#This Row],[Code]],Locaties[#All],4,FALSE)</f>
        <v>De Zwaluwenburg 10</v>
      </c>
      <c r="D502" s="24" t="str">
        <f>VLOOKUP(Ruimtestaat[[#This Row],[Code]],Locaties[#All],5,FALSE)</f>
        <v>7423 DS</v>
      </c>
      <c r="E502" s="24" t="str">
        <f>VLOOKUP(Ruimtestaat[[#This Row],[Code]],Locaties[#All],6,FALSE)</f>
        <v>Deventer</v>
      </c>
      <c r="F502" s="54"/>
      <c r="G502" s="24" t="s">
        <v>367</v>
      </c>
      <c r="H502" s="24" t="s">
        <v>933</v>
      </c>
      <c r="I502" s="4" t="s">
        <v>487</v>
      </c>
      <c r="J502" s="24">
        <v>6</v>
      </c>
      <c r="K502" s="54" t="str">
        <f>VLOOKUP(J502,Ruimtegroepen[],2,FALSE)</f>
        <v>Gangen/hallen</v>
      </c>
      <c r="L502" s="24" t="s">
        <v>300</v>
      </c>
      <c r="M502" s="24" t="s">
        <v>926</v>
      </c>
      <c r="N502" s="83">
        <v>17.14</v>
      </c>
      <c r="O502" s="83"/>
      <c r="P502" s="93" t="str">
        <f>LEFT(VLOOKUP(Ruimtestaat[[#This Row],[Ruimte code]],Ruimtegroepen[#All],4,1),2)</f>
        <v>Ve</v>
      </c>
      <c r="Q502" s="93"/>
      <c r="R502" s="84">
        <v>40</v>
      </c>
      <c r="S502" s="84" t="s">
        <v>318</v>
      </c>
      <c r="T502" s="85">
        <f>IF(R502&gt;0,IF(RIGHT(Ruimtestaat[[#This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2" s="85">
        <f>IF(T502&gt;0,VLOOKUP($J502,Ruimtegroepen[],3,FALSE)*VLOOKUP($L502,Vloersoorten[],3,FALSE)*VLOOKUP($S502,Frequenties[],3,FALSE)*VLOOKUP($A502,Locaties[],3,FALSE),0)</f>
        <v>0</v>
      </c>
      <c r="V502" s="86">
        <f>Ruimtestaat[[#This Row],[Uitvoeringen werkdagen]]*Ruimtestaat[[#This Row],[Oppervlak (netto)]]</f>
        <v>3428</v>
      </c>
      <c r="W502" s="87">
        <f>IF(U502&gt;0,Ruimtestaat[[#This Row],[Prest. (m2 /jaar) werkdagen]]/Ruimtestaat[[#This Row],[Norm (m2/uur) werkdagen]],0)</f>
        <v>0</v>
      </c>
      <c r="X502" s="88">
        <f>Ruimtestaat[[#This Row],[uren / jaar werkdagen]]*Tariefsopbouw!$E$35</f>
        <v>0</v>
      </c>
      <c r="Y502" s="85"/>
      <c r="Z502" s="89">
        <f>IF(Ruimtestaat[[#This Row],[Frequentie weekend]]&gt;0,VALUE(LEFT(Y502,1))*R502,0)</f>
        <v>0</v>
      </c>
      <c r="AA502" s="85">
        <f>IF($Z502&gt;0,VLOOKUP($J502,Ruimtegroepen[],3,FALSE)*VLOOKUP($L502,Vloersoorten[],3,FALSE)*VLOOKUP($Y502,Frequenties[],3,FALSE)*VLOOKUP(#REF!,Locaties[],3,FALSE),0)</f>
        <v>0</v>
      </c>
      <c r="AB502" s="87">
        <f>Ruimtestaat[[#This Row],[Uitvoeringen weekend]]*Ruimtestaat[[#This Row],[Oppervlak (netto)]]</f>
        <v>0</v>
      </c>
      <c r="AC502" s="90">
        <f>IF(AB502&gt;0,Ruimtestaat[[#This Row],[Prest. (m2 /jaar) weekend]]/Ruimtestaat[[#This Row],[Norm (m2/uur) weekend]],0)</f>
        <v>0</v>
      </c>
      <c r="AD502" s="91">
        <f>Ruimtestaat[[#This Row],[uren / jaar weekend]]*Tariefsopbouw!$D$40</f>
        <v>0</v>
      </c>
      <c r="AE502" s="60">
        <f>Ruimtestaat[[#This Row],[Prest. (m2 /jaar) weekend]]+Ruimtestaat[[#This Row],[Prest. (m2 /jaar) werkdagen]]</f>
        <v>3428</v>
      </c>
      <c r="AF502" s="60">
        <f>Ruimtestaat[[#This Row],[uren / jaar weekend]]+Ruimtestaat[[#This Row],[uren / jaar werkdagen]]</f>
        <v>0</v>
      </c>
      <c r="AG502" s="61">
        <f>Ruimtestaat[[#This Row],[kosten / jaar weekend]]+Ruimtestaat[[#This Row],[kosten / jaar werkdagen]]</f>
        <v>0</v>
      </c>
      <c r="AH502" s="92"/>
      <c r="HL502" s="59"/>
    </row>
    <row r="503" spans="1:220">
      <c r="A503" s="24">
        <v>4</v>
      </c>
      <c r="B503" s="24" t="str">
        <f>VLOOKUP(Ruimtestaat[[#This Row],[Code]],Locaties[#All],2,FALSE)</f>
        <v>Zwaluwenburg 10</v>
      </c>
      <c r="C503" s="24" t="str">
        <f>VLOOKUP(Ruimtestaat[[#This Row],[Code]],Locaties[#All],4,FALSE)</f>
        <v>De Zwaluwenburg 10</v>
      </c>
      <c r="D503" s="24" t="str">
        <f>VLOOKUP(Ruimtestaat[[#This Row],[Code]],Locaties[#All],5,FALSE)</f>
        <v>7423 DS</v>
      </c>
      <c r="E503" s="24" t="str">
        <f>VLOOKUP(Ruimtestaat[[#This Row],[Code]],Locaties[#All],6,FALSE)</f>
        <v>Deventer</v>
      </c>
      <c r="F503" s="54"/>
      <c r="G503" s="24" t="s">
        <v>367</v>
      </c>
      <c r="H503" s="24" t="s">
        <v>934</v>
      </c>
      <c r="I503" s="4" t="s">
        <v>394</v>
      </c>
      <c r="J503" s="24">
        <v>22</v>
      </c>
      <c r="K503" s="54" t="str">
        <f>VLOOKUP(J503,Ruimtegroepen[],2,FALSE)</f>
        <v>Niet in onderhoud</v>
      </c>
      <c r="M503" s="24"/>
      <c r="N503" s="83"/>
      <c r="O503" s="83">
        <v>4.76</v>
      </c>
      <c r="P503" s="93" t="str">
        <f>LEFT(VLOOKUP(Ruimtestaat[[#This Row],[Ruimte code]],Ruimtegroepen[#All],4,1),2)</f>
        <v/>
      </c>
      <c r="Q503" s="93"/>
      <c r="R503" s="84"/>
      <c r="S503" s="84"/>
      <c r="T503" s="85">
        <f>IF(R503&gt;0,IF(RIGHT(Ruimtestaat[[#This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03" s="85">
        <f>IF(T503&gt;0,VLOOKUP($J503,Ruimtegroepen[],3,FALSE)*VLOOKUP($L503,Vloersoorten[],3,FALSE)*VLOOKUP($S503,Frequenties[],3,FALSE)*VLOOKUP($A503,Locaties[],3,FALSE),0)</f>
        <v>0</v>
      </c>
      <c r="V503" s="86">
        <f>Ruimtestaat[[#This Row],[Uitvoeringen werkdagen]]*Ruimtestaat[[#This Row],[Oppervlak (netto)]]</f>
        <v>0</v>
      </c>
      <c r="W503" s="87">
        <f>IF(U503&gt;0,Ruimtestaat[[#This Row],[Prest. (m2 /jaar) werkdagen]]/Ruimtestaat[[#This Row],[Norm (m2/uur) werkdagen]],0)</f>
        <v>0</v>
      </c>
      <c r="X503" s="88">
        <f>Ruimtestaat[[#This Row],[uren / jaar werkdagen]]*Tariefsopbouw!$E$35</f>
        <v>0</v>
      </c>
      <c r="Y503" s="85"/>
      <c r="Z503" s="89">
        <f>IF(Ruimtestaat[[#This Row],[Frequentie weekend]]&gt;0,VALUE(LEFT(Y503,1))*R503,0)</f>
        <v>0</v>
      </c>
      <c r="AA503" s="85">
        <f>IF($Z503&gt;0,VLOOKUP($J503,Ruimtegroepen[],3,FALSE)*VLOOKUP($L503,Vloersoorten[],3,FALSE)*VLOOKUP($Y503,Frequenties[],3,FALSE)*VLOOKUP(#REF!,Locaties[],3,FALSE),0)</f>
        <v>0</v>
      </c>
      <c r="AB503" s="87">
        <f>Ruimtestaat[[#This Row],[Uitvoeringen weekend]]*Ruimtestaat[[#This Row],[Oppervlak (netto)]]</f>
        <v>0</v>
      </c>
      <c r="AC503" s="90">
        <f>IF(AB503&gt;0,Ruimtestaat[[#This Row],[Prest. (m2 /jaar) weekend]]/Ruimtestaat[[#This Row],[Norm (m2/uur) weekend]],0)</f>
        <v>0</v>
      </c>
      <c r="AD503" s="91">
        <f>Ruimtestaat[[#This Row],[uren / jaar weekend]]*Tariefsopbouw!$D$40</f>
        <v>0</v>
      </c>
      <c r="AE503" s="60">
        <f>Ruimtestaat[[#This Row],[Prest. (m2 /jaar) weekend]]+Ruimtestaat[[#This Row],[Prest. (m2 /jaar) werkdagen]]</f>
        <v>0</v>
      </c>
      <c r="AF503" s="60">
        <f>Ruimtestaat[[#This Row],[uren / jaar weekend]]+Ruimtestaat[[#This Row],[uren / jaar werkdagen]]</f>
        <v>0</v>
      </c>
      <c r="AG503" s="61">
        <f>Ruimtestaat[[#This Row],[kosten / jaar weekend]]+Ruimtestaat[[#This Row],[kosten / jaar werkdagen]]</f>
        <v>0</v>
      </c>
      <c r="AH503" s="92"/>
      <c r="HL503" s="59"/>
    </row>
    <row r="504" spans="1:220">
      <c r="A504" s="24">
        <v>4</v>
      </c>
      <c r="B504" s="24" t="str">
        <f>VLOOKUP(Ruimtestaat[[#This Row],[Code]],Locaties[#All],2,FALSE)</f>
        <v>Zwaluwenburg 10</v>
      </c>
      <c r="C504" s="24" t="str">
        <f>VLOOKUP(Ruimtestaat[[#This Row],[Code]],Locaties[#All],4,FALSE)</f>
        <v>De Zwaluwenburg 10</v>
      </c>
      <c r="D504" s="24" t="str">
        <f>VLOOKUP(Ruimtestaat[[#This Row],[Code]],Locaties[#All],5,FALSE)</f>
        <v>7423 DS</v>
      </c>
      <c r="E504" s="24" t="str">
        <f>VLOOKUP(Ruimtestaat[[#This Row],[Code]],Locaties[#All],6,FALSE)</f>
        <v>Deventer</v>
      </c>
      <c r="F504" s="54"/>
      <c r="G504" s="24" t="s">
        <v>367</v>
      </c>
      <c r="H504" s="24" t="s">
        <v>935</v>
      </c>
      <c r="I504" s="4" t="s">
        <v>394</v>
      </c>
      <c r="J504" s="24">
        <v>22</v>
      </c>
      <c r="K504" s="54" t="str">
        <f>VLOOKUP(J504,Ruimtegroepen[],2,FALSE)</f>
        <v>Niet in onderhoud</v>
      </c>
      <c r="M504" s="24"/>
      <c r="N504" s="83"/>
      <c r="O504" s="83">
        <v>4.79</v>
      </c>
      <c r="P504" s="93" t="str">
        <f>LEFT(VLOOKUP(Ruimtestaat[[#This Row],[Ruimte code]],Ruimtegroepen[#All],4,1),2)</f>
        <v/>
      </c>
      <c r="Q504" s="93"/>
      <c r="R504" s="84"/>
      <c r="S504" s="84"/>
      <c r="T504" s="85">
        <f>IF(R504&gt;0,IF(RIGHT(Ruimtestaat[[#This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04" s="85">
        <f>IF(T504&gt;0,VLOOKUP($J504,Ruimtegroepen[],3,FALSE)*VLOOKUP($L504,Vloersoorten[],3,FALSE)*VLOOKUP($S504,Frequenties[],3,FALSE)*VLOOKUP($A504,Locaties[],3,FALSE),0)</f>
        <v>0</v>
      </c>
      <c r="V504" s="86">
        <f>Ruimtestaat[[#This Row],[Uitvoeringen werkdagen]]*Ruimtestaat[[#This Row],[Oppervlak (netto)]]</f>
        <v>0</v>
      </c>
      <c r="W504" s="87">
        <f>IF(U504&gt;0,Ruimtestaat[[#This Row],[Prest. (m2 /jaar) werkdagen]]/Ruimtestaat[[#This Row],[Norm (m2/uur) werkdagen]],0)</f>
        <v>0</v>
      </c>
      <c r="X504" s="88">
        <f>Ruimtestaat[[#This Row],[uren / jaar werkdagen]]*Tariefsopbouw!$E$35</f>
        <v>0</v>
      </c>
      <c r="Y504" s="85"/>
      <c r="Z504" s="89">
        <f>IF(Ruimtestaat[[#This Row],[Frequentie weekend]]&gt;0,VALUE(LEFT(Y504,1))*R504,0)</f>
        <v>0</v>
      </c>
      <c r="AA504" s="85">
        <f>IF($Z504&gt;0,VLOOKUP($J504,Ruimtegroepen[],3,FALSE)*VLOOKUP($L504,Vloersoorten[],3,FALSE)*VLOOKUP($Y504,Frequenties[],3,FALSE)*VLOOKUP(#REF!,Locaties[],3,FALSE),0)</f>
        <v>0</v>
      </c>
      <c r="AB504" s="87">
        <f>Ruimtestaat[[#This Row],[Uitvoeringen weekend]]*Ruimtestaat[[#This Row],[Oppervlak (netto)]]</f>
        <v>0</v>
      </c>
      <c r="AC504" s="90">
        <f>IF(AB504&gt;0,Ruimtestaat[[#This Row],[Prest. (m2 /jaar) weekend]]/Ruimtestaat[[#This Row],[Norm (m2/uur) weekend]],0)</f>
        <v>0</v>
      </c>
      <c r="AD504" s="91">
        <f>Ruimtestaat[[#This Row],[uren / jaar weekend]]*Tariefsopbouw!$D$40</f>
        <v>0</v>
      </c>
      <c r="AE504" s="60">
        <f>Ruimtestaat[[#This Row],[Prest. (m2 /jaar) weekend]]+Ruimtestaat[[#This Row],[Prest. (m2 /jaar) werkdagen]]</f>
        <v>0</v>
      </c>
      <c r="AF504" s="60">
        <f>Ruimtestaat[[#This Row],[uren / jaar weekend]]+Ruimtestaat[[#This Row],[uren / jaar werkdagen]]</f>
        <v>0</v>
      </c>
      <c r="AG504" s="61">
        <f>Ruimtestaat[[#This Row],[kosten / jaar weekend]]+Ruimtestaat[[#This Row],[kosten / jaar werkdagen]]</f>
        <v>0</v>
      </c>
      <c r="AH504" s="92"/>
      <c r="HL504" s="59"/>
    </row>
    <row r="505" spans="1:220">
      <c r="A505" s="24">
        <v>4</v>
      </c>
      <c r="B505" s="24" t="str">
        <f>VLOOKUP(Ruimtestaat[[#This Row],[Code]],Locaties[#All],2,FALSE)</f>
        <v>Zwaluwenburg 10</v>
      </c>
      <c r="C505" s="24" t="str">
        <f>VLOOKUP(Ruimtestaat[[#This Row],[Code]],Locaties[#All],4,FALSE)</f>
        <v>De Zwaluwenburg 10</v>
      </c>
      <c r="D505" s="24" t="str">
        <f>VLOOKUP(Ruimtestaat[[#This Row],[Code]],Locaties[#All],5,FALSE)</f>
        <v>7423 DS</v>
      </c>
      <c r="E505" s="24" t="str">
        <f>VLOOKUP(Ruimtestaat[[#This Row],[Code]],Locaties[#All],6,FALSE)</f>
        <v>Deventer</v>
      </c>
      <c r="F505" s="54"/>
      <c r="G505" s="24" t="s">
        <v>367</v>
      </c>
      <c r="H505" s="24" t="s">
        <v>936</v>
      </c>
      <c r="I505" s="4" t="s">
        <v>394</v>
      </c>
      <c r="J505" s="24">
        <v>22</v>
      </c>
      <c r="K505" s="54" t="str">
        <f>VLOOKUP(J505,Ruimtegroepen[],2,FALSE)</f>
        <v>Niet in onderhoud</v>
      </c>
      <c r="M505" s="24"/>
      <c r="N505" s="83"/>
      <c r="O505" s="83">
        <v>1.38</v>
      </c>
      <c r="P505" s="93" t="str">
        <f>LEFT(VLOOKUP(Ruimtestaat[[#This Row],[Ruimte code]],Ruimtegroepen[#All],4,1),2)</f>
        <v/>
      </c>
      <c r="Q505" s="93"/>
      <c r="R505" s="84"/>
      <c r="S505" s="84"/>
      <c r="T505" s="85">
        <f>IF(R505&gt;0,IF(RIGHT(Ruimtestaat[[#This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05" s="85">
        <f>IF(T505&gt;0,VLOOKUP($J505,Ruimtegroepen[],3,FALSE)*VLOOKUP($L505,Vloersoorten[],3,FALSE)*VLOOKUP($S505,Frequenties[],3,FALSE)*VLOOKUP($A505,Locaties[],3,FALSE),0)</f>
        <v>0</v>
      </c>
      <c r="V505" s="86">
        <f>Ruimtestaat[[#This Row],[Uitvoeringen werkdagen]]*Ruimtestaat[[#This Row],[Oppervlak (netto)]]</f>
        <v>0</v>
      </c>
      <c r="W505" s="87">
        <f>IF(U505&gt;0,Ruimtestaat[[#This Row],[Prest. (m2 /jaar) werkdagen]]/Ruimtestaat[[#This Row],[Norm (m2/uur) werkdagen]],0)</f>
        <v>0</v>
      </c>
      <c r="X505" s="88">
        <f>Ruimtestaat[[#This Row],[uren / jaar werkdagen]]*Tariefsopbouw!$E$35</f>
        <v>0</v>
      </c>
      <c r="Y505" s="85"/>
      <c r="Z505" s="89">
        <f>IF(Ruimtestaat[[#This Row],[Frequentie weekend]]&gt;0,VALUE(LEFT(Y505,1))*R505,0)</f>
        <v>0</v>
      </c>
      <c r="AA505" s="85">
        <f>IF($Z505&gt;0,VLOOKUP($J505,Ruimtegroepen[],3,FALSE)*VLOOKUP($L505,Vloersoorten[],3,FALSE)*VLOOKUP($Y505,Frequenties[],3,FALSE)*VLOOKUP(#REF!,Locaties[],3,FALSE),0)</f>
        <v>0</v>
      </c>
      <c r="AB505" s="87">
        <f>Ruimtestaat[[#This Row],[Uitvoeringen weekend]]*Ruimtestaat[[#This Row],[Oppervlak (netto)]]</f>
        <v>0</v>
      </c>
      <c r="AC505" s="90">
        <f>IF(AB505&gt;0,Ruimtestaat[[#This Row],[Prest. (m2 /jaar) weekend]]/Ruimtestaat[[#This Row],[Norm (m2/uur) weekend]],0)</f>
        <v>0</v>
      </c>
      <c r="AD505" s="91">
        <f>Ruimtestaat[[#This Row],[uren / jaar weekend]]*Tariefsopbouw!$D$40</f>
        <v>0</v>
      </c>
      <c r="AE505" s="60">
        <f>Ruimtestaat[[#This Row],[Prest. (m2 /jaar) weekend]]+Ruimtestaat[[#This Row],[Prest. (m2 /jaar) werkdagen]]</f>
        <v>0</v>
      </c>
      <c r="AF505" s="60">
        <f>Ruimtestaat[[#This Row],[uren / jaar weekend]]+Ruimtestaat[[#This Row],[uren / jaar werkdagen]]</f>
        <v>0</v>
      </c>
      <c r="AG505" s="61">
        <f>Ruimtestaat[[#This Row],[kosten / jaar weekend]]+Ruimtestaat[[#This Row],[kosten / jaar werkdagen]]</f>
        <v>0</v>
      </c>
      <c r="AH505" s="92"/>
      <c r="HL505" s="59"/>
    </row>
    <row r="506" spans="1:220">
      <c r="A506" s="24">
        <v>4</v>
      </c>
      <c r="B506" s="24" t="str">
        <f>VLOOKUP(Ruimtestaat[[#This Row],[Code]],Locaties[#All],2,FALSE)</f>
        <v>Zwaluwenburg 10</v>
      </c>
      <c r="C506" s="24" t="str">
        <f>VLOOKUP(Ruimtestaat[[#This Row],[Code]],Locaties[#All],4,FALSE)</f>
        <v>De Zwaluwenburg 10</v>
      </c>
      <c r="D506" s="24" t="str">
        <f>VLOOKUP(Ruimtestaat[[#This Row],[Code]],Locaties[#All],5,FALSE)</f>
        <v>7423 DS</v>
      </c>
      <c r="E506" s="24" t="str">
        <f>VLOOKUP(Ruimtestaat[[#This Row],[Code]],Locaties[#All],6,FALSE)</f>
        <v>Deventer</v>
      </c>
      <c r="F506" s="54"/>
      <c r="G506" s="24" t="s">
        <v>367</v>
      </c>
      <c r="H506" s="24" t="s">
        <v>937</v>
      </c>
      <c r="I506" s="4" t="s">
        <v>394</v>
      </c>
      <c r="J506" s="24">
        <v>22</v>
      </c>
      <c r="K506" s="54" t="str">
        <f>VLOOKUP(J506,Ruimtegroepen[],2,FALSE)</f>
        <v>Niet in onderhoud</v>
      </c>
      <c r="M506" s="24"/>
      <c r="N506" s="83"/>
      <c r="O506" s="83">
        <v>4.9000000000000004</v>
      </c>
      <c r="P506" s="93" t="str">
        <f>LEFT(VLOOKUP(Ruimtestaat[[#This Row],[Ruimte code]],Ruimtegroepen[#All],4,1),2)</f>
        <v/>
      </c>
      <c r="Q506" s="93"/>
      <c r="R506" s="84"/>
      <c r="S506" s="84"/>
      <c r="T506" s="85">
        <f>IF(R506&gt;0,IF(RIGHT(Ruimtestaat[[#This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06" s="85">
        <f>IF(T506&gt;0,VLOOKUP($J506,Ruimtegroepen[],3,FALSE)*VLOOKUP($L506,Vloersoorten[],3,FALSE)*VLOOKUP($S506,Frequenties[],3,FALSE)*VLOOKUP($A506,Locaties[],3,FALSE),0)</f>
        <v>0</v>
      </c>
      <c r="V506" s="86">
        <f>Ruimtestaat[[#This Row],[Uitvoeringen werkdagen]]*Ruimtestaat[[#This Row],[Oppervlak (netto)]]</f>
        <v>0</v>
      </c>
      <c r="W506" s="87">
        <f>IF(U506&gt;0,Ruimtestaat[[#This Row],[Prest. (m2 /jaar) werkdagen]]/Ruimtestaat[[#This Row],[Norm (m2/uur) werkdagen]],0)</f>
        <v>0</v>
      </c>
      <c r="X506" s="88">
        <f>Ruimtestaat[[#This Row],[uren / jaar werkdagen]]*Tariefsopbouw!$E$35</f>
        <v>0</v>
      </c>
      <c r="Y506" s="85"/>
      <c r="Z506" s="89">
        <f>IF(Ruimtestaat[[#This Row],[Frequentie weekend]]&gt;0,VALUE(LEFT(Y506,1))*R506,0)</f>
        <v>0</v>
      </c>
      <c r="AA506" s="85">
        <f>IF($Z506&gt;0,VLOOKUP($J506,Ruimtegroepen[],3,FALSE)*VLOOKUP($L506,Vloersoorten[],3,FALSE)*VLOOKUP($Y506,Frequenties[],3,FALSE)*VLOOKUP(#REF!,Locaties[],3,FALSE),0)</f>
        <v>0</v>
      </c>
      <c r="AB506" s="87">
        <f>Ruimtestaat[[#This Row],[Uitvoeringen weekend]]*Ruimtestaat[[#This Row],[Oppervlak (netto)]]</f>
        <v>0</v>
      </c>
      <c r="AC506" s="90">
        <f>IF(AB506&gt;0,Ruimtestaat[[#This Row],[Prest. (m2 /jaar) weekend]]/Ruimtestaat[[#This Row],[Norm (m2/uur) weekend]],0)</f>
        <v>0</v>
      </c>
      <c r="AD506" s="91">
        <f>Ruimtestaat[[#This Row],[uren / jaar weekend]]*Tariefsopbouw!$D$40</f>
        <v>0</v>
      </c>
      <c r="AE506" s="60">
        <f>Ruimtestaat[[#This Row],[Prest. (m2 /jaar) weekend]]+Ruimtestaat[[#This Row],[Prest. (m2 /jaar) werkdagen]]</f>
        <v>0</v>
      </c>
      <c r="AF506" s="60">
        <f>Ruimtestaat[[#This Row],[uren / jaar weekend]]+Ruimtestaat[[#This Row],[uren / jaar werkdagen]]</f>
        <v>0</v>
      </c>
      <c r="AG506" s="61">
        <f>Ruimtestaat[[#This Row],[kosten / jaar weekend]]+Ruimtestaat[[#This Row],[kosten / jaar werkdagen]]</f>
        <v>0</v>
      </c>
      <c r="AH506" s="92"/>
      <c r="HL506" s="59"/>
    </row>
    <row r="507" spans="1:220">
      <c r="A507" s="24">
        <v>4</v>
      </c>
      <c r="B507" s="24" t="str">
        <f>VLOOKUP(Ruimtestaat[[#This Row],[Code]],Locaties[#All],2,FALSE)</f>
        <v>Zwaluwenburg 10</v>
      </c>
      <c r="C507" s="24" t="str">
        <f>VLOOKUP(Ruimtestaat[[#This Row],[Code]],Locaties[#All],4,FALSE)</f>
        <v>De Zwaluwenburg 10</v>
      </c>
      <c r="D507" s="24" t="str">
        <f>VLOOKUP(Ruimtestaat[[#This Row],[Code]],Locaties[#All],5,FALSE)</f>
        <v>7423 DS</v>
      </c>
      <c r="E507" s="24" t="str">
        <f>VLOOKUP(Ruimtestaat[[#This Row],[Code]],Locaties[#All],6,FALSE)</f>
        <v>Deventer</v>
      </c>
      <c r="F507" s="54"/>
      <c r="G507" s="24" t="s">
        <v>367</v>
      </c>
      <c r="H507" s="24" t="s">
        <v>512</v>
      </c>
      <c r="I507" s="4" t="s">
        <v>938</v>
      </c>
      <c r="J507" s="24">
        <v>18</v>
      </c>
      <c r="K507" s="54" t="str">
        <f>VLOOKUP(J507,Ruimtegroepen[],2,FALSE)</f>
        <v>Gymzaal</v>
      </c>
      <c r="L507" s="24" t="s">
        <v>300</v>
      </c>
      <c r="M507" s="24" t="s">
        <v>926</v>
      </c>
      <c r="N507" s="83">
        <v>97.31</v>
      </c>
      <c r="O507" s="83"/>
      <c r="P507" s="93" t="str">
        <f>LEFT(VLOOKUP(Ruimtestaat[[#This Row],[Ruimte code]],Ruimtegroepen[#All],4,1),2)</f>
        <v>Sp</v>
      </c>
      <c r="Q507" s="93"/>
      <c r="R507" s="84">
        <v>40</v>
      </c>
      <c r="S507" s="84" t="s">
        <v>318</v>
      </c>
      <c r="T507" s="85">
        <f>IF(R507&gt;0,IF(RIGHT(Ruimtestaat[[#This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7" s="85">
        <f>IF(T507&gt;0,VLOOKUP($J507,Ruimtegroepen[],3,FALSE)*VLOOKUP($L507,Vloersoorten[],3,FALSE)*VLOOKUP($S507,Frequenties[],3,FALSE)*VLOOKUP($A507,Locaties[],3,FALSE),0)</f>
        <v>0</v>
      </c>
      <c r="V507" s="86">
        <f>Ruimtestaat[[#This Row],[Uitvoeringen werkdagen]]*Ruimtestaat[[#This Row],[Oppervlak (netto)]]</f>
        <v>19462</v>
      </c>
      <c r="W507" s="87">
        <f>IF(U507&gt;0,Ruimtestaat[[#This Row],[Prest. (m2 /jaar) werkdagen]]/Ruimtestaat[[#This Row],[Norm (m2/uur) werkdagen]],0)</f>
        <v>0</v>
      </c>
      <c r="X507" s="88">
        <f>Ruimtestaat[[#This Row],[uren / jaar werkdagen]]*Tariefsopbouw!$E$35</f>
        <v>0</v>
      </c>
      <c r="Y507" s="85"/>
      <c r="Z507" s="89">
        <f>IF(Ruimtestaat[[#This Row],[Frequentie weekend]]&gt;0,VALUE(LEFT(Y507,1))*R507,0)</f>
        <v>0</v>
      </c>
      <c r="AA507" s="85">
        <f>IF($Z507&gt;0,VLOOKUP($J507,Ruimtegroepen[],3,FALSE)*VLOOKUP($L507,Vloersoorten[],3,FALSE)*VLOOKUP($Y507,Frequenties[],3,FALSE)*VLOOKUP(#REF!,Locaties[],3,FALSE),0)</f>
        <v>0</v>
      </c>
      <c r="AB507" s="87">
        <f>Ruimtestaat[[#This Row],[Uitvoeringen weekend]]*Ruimtestaat[[#This Row],[Oppervlak (netto)]]</f>
        <v>0</v>
      </c>
      <c r="AC507" s="90">
        <f>IF(AB507&gt;0,Ruimtestaat[[#This Row],[Prest. (m2 /jaar) weekend]]/Ruimtestaat[[#This Row],[Norm (m2/uur) weekend]],0)</f>
        <v>0</v>
      </c>
      <c r="AD507" s="91">
        <f>Ruimtestaat[[#This Row],[uren / jaar weekend]]*Tariefsopbouw!$D$40</f>
        <v>0</v>
      </c>
      <c r="AE507" s="60">
        <f>Ruimtestaat[[#This Row],[Prest. (m2 /jaar) weekend]]+Ruimtestaat[[#This Row],[Prest. (m2 /jaar) werkdagen]]</f>
        <v>19462</v>
      </c>
      <c r="AF507" s="60">
        <f>Ruimtestaat[[#This Row],[uren / jaar weekend]]+Ruimtestaat[[#This Row],[uren / jaar werkdagen]]</f>
        <v>0</v>
      </c>
      <c r="AG507" s="61">
        <f>Ruimtestaat[[#This Row],[kosten / jaar weekend]]+Ruimtestaat[[#This Row],[kosten / jaar werkdagen]]</f>
        <v>0</v>
      </c>
      <c r="AH507" s="92"/>
      <c r="HL507" s="59"/>
    </row>
    <row r="508" spans="1:220">
      <c r="A508" s="24">
        <v>4</v>
      </c>
      <c r="B508" s="24" t="str">
        <f>VLOOKUP(Ruimtestaat[[#This Row],[Code]],Locaties[#All],2,FALSE)</f>
        <v>Zwaluwenburg 10</v>
      </c>
      <c r="C508" s="24" t="str">
        <f>VLOOKUP(Ruimtestaat[[#This Row],[Code]],Locaties[#All],4,FALSE)</f>
        <v>De Zwaluwenburg 10</v>
      </c>
      <c r="D508" s="24" t="str">
        <f>VLOOKUP(Ruimtestaat[[#This Row],[Code]],Locaties[#All],5,FALSE)</f>
        <v>7423 DS</v>
      </c>
      <c r="E508" s="24" t="str">
        <f>VLOOKUP(Ruimtestaat[[#This Row],[Code]],Locaties[#All],6,FALSE)</f>
        <v>Deventer</v>
      </c>
      <c r="F508" s="54"/>
      <c r="G508" s="24" t="s">
        <v>367</v>
      </c>
      <c r="H508" s="24" t="s">
        <v>569</v>
      </c>
      <c r="I508" s="4" t="s">
        <v>939</v>
      </c>
      <c r="J508" s="24">
        <v>2</v>
      </c>
      <c r="K508" s="54" t="str">
        <f>VLOOKUP(J508,Ruimtegroepen[],2,FALSE)</f>
        <v>Kantoren</v>
      </c>
      <c r="L508" s="24" t="s">
        <v>300</v>
      </c>
      <c r="M508" s="24" t="s">
        <v>926</v>
      </c>
      <c r="N508" s="83">
        <v>5.9</v>
      </c>
      <c r="O508" s="83"/>
      <c r="P508" s="93" t="str">
        <f>LEFT(VLOOKUP(Ruimtestaat[[#This Row],[Ruimte code]],Ruimtegroepen[#All],4,1),2)</f>
        <v>Bu</v>
      </c>
      <c r="Q508" s="93"/>
      <c r="R508" s="84">
        <v>42</v>
      </c>
      <c r="S508" s="84" t="s">
        <v>322</v>
      </c>
      <c r="T508" s="85">
        <f>IF(R508&gt;0,IF(RIGHT(Ruimtestaat[[#This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08" s="85">
        <f>IF(T508&gt;0,VLOOKUP($J508,Ruimtegroepen[],3,FALSE)*VLOOKUP($L508,Vloersoorten[],3,FALSE)*VLOOKUP($S508,Frequenties[],3,FALSE)*VLOOKUP($A508,Locaties[],3,FALSE),0)</f>
        <v>0</v>
      </c>
      <c r="V508" s="86">
        <f>Ruimtestaat[[#This Row],[Uitvoeringen werkdagen]]*Ruimtestaat[[#This Row],[Oppervlak (netto)]]</f>
        <v>743.40000000000009</v>
      </c>
      <c r="W508" s="87">
        <f>IF(U508&gt;0,Ruimtestaat[[#This Row],[Prest. (m2 /jaar) werkdagen]]/Ruimtestaat[[#This Row],[Norm (m2/uur) werkdagen]],0)</f>
        <v>0</v>
      </c>
      <c r="X508" s="88">
        <f>Ruimtestaat[[#This Row],[uren / jaar werkdagen]]*Tariefsopbouw!$E$35</f>
        <v>0</v>
      </c>
      <c r="Y508" s="85"/>
      <c r="Z508" s="89">
        <f>IF(Ruimtestaat[[#This Row],[Frequentie weekend]]&gt;0,VALUE(LEFT(Y508,1))*R508,0)</f>
        <v>0</v>
      </c>
      <c r="AA508" s="85">
        <f>IF($Z508&gt;0,VLOOKUP($J508,Ruimtegroepen[],3,FALSE)*VLOOKUP($L508,Vloersoorten[],3,FALSE)*VLOOKUP($Y508,Frequenties[],3,FALSE)*VLOOKUP(#REF!,Locaties[],3,FALSE),0)</f>
        <v>0</v>
      </c>
      <c r="AB508" s="87">
        <f>Ruimtestaat[[#This Row],[Uitvoeringen weekend]]*Ruimtestaat[[#This Row],[Oppervlak (netto)]]</f>
        <v>0</v>
      </c>
      <c r="AC508" s="90">
        <f>IF(AB508&gt;0,Ruimtestaat[[#This Row],[Prest. (m2 /jaar) weekend]]/Ruimtestaat[[#This Row],[Norm (m2/uur) weekend]],0)</f>
        <v>0</v>
      </c>
      <c r="AD508" s="91">
        <f>Ruimtestaat[[#This Row],[uren / jaar weekend]]*Tariefsopbouw!$D$40</f>
        <v>0</v>
      </c>
      <c r="AE508" s="60">
        <f>Ruimtestaat[[#This Row],[Prest. (m2 /jaar) weekend]]+Ruimtestaat[[#This Row],[Prest. (m2 /jaar) werkdagen]]</f>
        <v>743.40000000000009</v>
      </c>
      <c r="AF508" s="60">
        <f>Ruimtestaat[[#This Row],[uren / jaar weekend]]+Ruimtestaat[[#This Row],[uren / jaar werkdagen]]</f>
        <v>0</v>
      </c>
      <c r="AG508" s="61">
        <f>Ruimtestaat[[#This Row],[kosten / jaar weekend]]+Ruimtestaat[[#This Row],[kosten / jaar werkdagen]]</f>
        <v>0</v>
      </c>
      <c r="AH508" s="92"/>
      <c r="HL508" s="59"/>
    </row>
    <row r="509" spans="1:220">
      <c r="A509" s="24">
        <v>4</v>
      </c>
      <c r="B509" s="24" t="str">
        <f>VLOOKUP(Ruimtestaat[[#This Row],[Code]],Locaties[#All],2,FALSE)</f>
        <v>Zwaluwenburg 10</v>
      </c>
      <c r="C509" s="24" t="str">
        <f>VLOOKUP(Ruimtestaat[[#This Row],[Code]],Locaties[#All],4,FALSE)</f>
        <v>De Zwaluwenburg 10</v>
      </c>
      <c r="D509" s="24" t="str">
        <f>VLOOKUP(Ruimtestaat[[#This Row],[Code]],Locaties[#All],5,FALSE)</f>
        <v>7423 DS</v>
      </c>
      <c r="E509" s="24" t="str">
        <f>VLOOKUP(Ruimtestaat[[#This Row],[Code]],Locaties[#All],6,FALSE)</f>
        <v>Deventer</v>
      </c>
      <c r="F509" s="54"/>
      <c r="G509" s="24" t="s">
        <v>367</v>
      </c>
      <c r="H509" s="24" t="s">
        <v>599</v>
      </c>
      <c r="I509" s="4" t="s">
        <v>283</v>
      </c>
      <c r="J509" s="24">
        <v>12</v>
      </c>
      <c r="K509" s="54" t="str">
        <f>VLOOKUP(J509,Ruimtegroepen[],2,FALSE)</f>
        <v>Kantine</v>
      </c>
      <c r="L509" s="24" t="s">
        <v>300</v>
      </c>
      <c r="M509" s="24" t="s">
        <v>926</v>
      </c>
      <c r="N509" s="83">
        <v>57.05</v>
      </c>
      <c r="O509" s="83"/>
      <c r="P509" s="93" t="str">
        <f>LEFT(VLOOKUP(Ruimtestaat[[#This Row],[Ruimte code]],Ruimtegroepen[#All],4,1),2)</f>
        <v>Ve</v>
      </c>
      <c r="Q509" s="93"/>
      <c r="R509" s="84">
        <v>40</v>
      </c>
      <c r="S509" s="84" t="s">
        <v>318</v>
      </c>
      <c r="T509" s="85">
        <f>IF(R509&gt;0,IF(RIGHT(Ruimtestaat[[#This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9" s="85">
        <f>IF(T509&gt;0,VLOOKUP($J509,Ruimtegroepen[],3,FALSE)*VLOOKUP($L509,Vloersoorten[],3,FALSE)*VLOOKUP($S509,Frequenties[],3,FALSE)*VLOOKUP($A509,Locaties[],3,FALSE),0)</f>
        <v>0</v>
      </c>
      <c r="V509" s="86">
        <f>Ruimtestaat[[#This Row],[Uitvoeringen werkdagen]]*Ruimtestaat[[#This Row],[Oppervlak (netto)]]</f>
        <v>11410</v>
      </c>
      <c r="W509" s="87">
        <f>IF(U509&gt;0,Ruimtestaat[[#This Row],[Prest. (m2 /jaar) werkdagen]]/Ruimtestaat[[#This Row],[Norm (m2/uur) werkdagen]],0)</f>
        <v>0</v>
      </c>
      <c r="X509" s="88">
        <f>Ruimtestaat[[#This Row],[uren / jaar werkdagen]]*Tariefsopbouw!$E$35</f>
        <v>0</v>
      </c>
      <c r="Y509" s="85"/>
      <c r="Z509" s="89">
        <f>IF(Ruimtestaat[[#This Row],[Frequentie weekend]]&gt;0,VALUE(LEFT(Y509,1))*R509,0)</f>
        <v>0</v>
      </c>
      <c r="AA509" s="85">
        <f>IF($Z509&gt;0,VLOOKUP($J509,Ruimtegroepen[],3,FALSE)*VLOOKUP($L509,Vloersoorten[],3,FALSE)*VLOOKUP($Y509,Frequenties[],3,FALSE)*VLOOKUP(#REF!,Locaties[],3,FALSE),0)</f>
        <v>0</v>
      </c>
      <c r="AB509" s="87">
        <f>Ruimtestaat[[#This Row],[Uitvoeringen weekend]]*Ruimtestaat[[#This Row],[Oppervlak (netto)]]</f>
        <v>0</v>
      </c>
      <c r="AC509" s="90">
        <f>IF(AB509&gt;0,Ruimtestaat[[#This Row],[Prest. (m2 /jaar) weekend]]/Ruimtestaat[[#This Row],[Norm (m2/uur) weekend]],0)</f>
        <v>0</v>
      </c>
      <c r="AD509" s="91">
        <f>Ruimtestaat[[#This Row],[uren / jaar weekend]]*Tariefsopbouw!$D$40</f>
        <v>0</v>
      </c>
      <c r="AE509" s="60">
        <f>Ruimtestaat[[#This Row],[Prest. (m2 /jaar) weekend]]+Ruimtestaat[[#This Row],[Prest. (m2 /jaar) werkdagen]]</f>
        <v>11410</v>
      </c>
      <c r="AF509" s="60">
        <f>Ruimtestaat[[#This Row],[uren / jaar weekend]]+Ruimtestaat[[#This Row],[uren / jaar werkdagen]]</f>
        <v>0</v>
      </c>
      <c r="AG509" s="61">
        <f>Ruimtestaat[[#This Row],[kosten / jaar weekend]]+Ruimtestaat[[#This Row],[kosten / jaar werkdagen]]</f>
        <v>0</v>
      </c>
      <c r="AH509" s="92"/>
      <c r="HL509" s="59"/>
    </row>
    <row r="510" spans="1:220">
      <c r="A510" s="24">
        <v>4</v>
      </c>
      <c r="B510" s="24" t="str">
        <f>VLOOKUP(Ruimtestaat[[#This Row],[Code]],Locaties[#All],2,FALSE)</f>
        <v>Zwaluwenburg 10</v>
      </c>
      <c r="C510" s="24" t="str">
        <f>VLOOKUP(Ruimtestaat[[#This Row],[Code]],Locaties[#All],4,FALSE)</f>
        <v>De Zwaluwenburg 10</v>
      </c>
      <c r="D510" s="24" t="str">
        <f>VLOOKUP(Ruimtestaat[[#This Row],[Code]],Locaties[#All],5,FALSE)</f>
        <v>7423 DS</v>
      </c>
      <c r="E510" s="24" t="str">
        <f>VLOOKUP(Ruimtestaat[[#This Row],[Code]],Locaties[#All],6,FALSE)</f>
        <v>Deventer</v>
      </c>
      <c r="F510" s="54"/>
      <c r="G510" s="24" t="s">
        <v>367</v>
      </c>
      <c r="H510" s="24" t="s">
        <v>656</v>
      </c>
      <c r="I510" s="4" t="s">
        <v>283</v>
      </c>
      <c r="J510" s="24">
        <v>12</v>
      </c>
      <c r="K510" s="54" t="str">
        <f>VLOOKUP(J510,Ruimtegroepen[],2,FALSE)</f>
        <v>Kantine</v>
      </c>
      <c r="L510" s="24" t="s">
        <v>300</v>
      </c>
      <c r="M510" s="24" t="s">
        <v>926</v>
      </c>
      <c r="N510" s="83">
        <v>64.069999999999993</v>
      </c>
      <c r="O510" s="83"/>
      <c r="P510" s="93" t="str">
        <f>LEFT(VLOOKUP(Ruimtestaat[[#This Row],[Ruimte code]],Ruimtegroepen[#All],4,1),2)</f>
        <v>Ve</v>
      </c>
      <c r="Q510" s="93"/>
      <c r="R510" s="84">
        <v>40</v>
      </c>
      <c r="S510" s="84" t="s">
        <v>318</v>
      </c>
      <c r="T510" s="85">
        <f>IF(R510&gt;0,IF(RIGHT(Ruimtestaat[[#This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0" s="85">
        <f>IF(T510&gt;0,VLOOKUP($J510,Ruimtegroepen[],3,FALSE)*VLOOKUP($L510,Vloersoorten[],3,FALSE)*VLOOKUP($S510,Frequenties[],3,FALSE)*VLOOKUP($A510,Locaties[],3,FALSE),0)</f>
        <v>0</v>
      </c>
      <c r="V510" s="86">
        <f>Ruimtestaat[[#This Row],[Uitvoeringen werkdagen]]*Ruimtestaat[[#This Row],[Oppervlak (netto)]]</f>
        <v>12813.999999999998</v>
      </c>
      <c r="W510" s="87">
        <f>IF(U510&gt;0,Ruimtestaat[[#This Row],[Prest. (m2 /jaar) werkdagen]]/Ruimtestaat[[#This Row],[Norm (m2/uur) werkdagen]],0)</f>
        <v>0</v>
      </c>
      <c r="X510" s="88">
        <f>Ruimtestaat[[#This Row],[uren / jaar werkdagen]]*Tariefsopbouw!$E$35</f>
        <v>0</v>
      </c>
      <c r="Y510" s="85"/>
      <c r="Z510" s="89">
        <f>IF(Ruimtestaat[[#This Row],[Frequentie weekend]]&gt;0,VALUE(LEFT(Y510,1))*R510,0)</f>
        <v>0</v>
      </c>
      <c r="AA510" s="85">
        <f>IF($Z510&gt;0,VLOOKUP($J510,Ruimtegroepen[],3,FALSE)*VLOOKUP($L510,Vloersoorten[],3,FALSE)*VLOOKUP($Y510,Frequenties[],3,FALSE)*VLOOKUP(#REF!,Locaties[],3,FALSE),0)</f>
        <v>0</v>
      </c>
      <c r="AB510" s="87">
        <f>Ruimtestaat[[#This Row],[Uitvoeringen weekend]]*Ruimtestaat[[#This Row],[Oppervlak (netto)]]</f>
        <v>0</v>
      </c>
      <c r="AC510" s="90">
        <f>IF(AB510&gt;0,Ruimtestaat[[#This Row],[Prest. (m2 /jaar) weekend]]/Ruimtestaat[[#This Row],[Norm (m2/uur) weekend]],0)</f>
        <v>0</v>
      </c>
      <c r="AD510" s="91">
        <f>Ruimtestaat[[#This Row],[uren / jaar weekend]]*Tariefsopbouw!$D$40</f>
        <v>0</v>
      </c>
      <c r="AE510" s="60">
        <f>Ruimtestaat[[#This Row],[Prest. (m2 /jaar) weekend]]+Ruimtestaat[[#This Row],[Prest. (m2 /jaar) werkdagen]]</f>
        <v>12813.999999999998</v>
      </c>
      <c r="AF510" s="60">
        <f>Ruimtestaat[[#This Row],[uren / jaar weekend]]+Ruimtestaat[[#This Row],[uren / jaar werkdagen]]</f>
        <v>0</v>
      </c>
      <c r="AG510" s="61">
        <f>Ruimtestaat[[#This Row],[kosten / jaar weekend]]+Ruimtestaat[[#This Row],[kosten / jaar werkdagen]]</f>
        <v>0</v>
      </c>
      <c r="AH510" s="92"/>
      <c r="HL510" s="59"/>
    </row>
    <row r="511" spans="1:220">
      <c r="A511" s="24">
        <v>4</v>
      </c>
      <c r="B511" s="24" t="str">
        <f>VLOOKUP(Ruimtestaat[[#This Row],[Code]],Locaties[#All],2,FALSE)</f>
        <v>Zwaluwenburg 10</v>
      </c>
      <c r="C511" s="24" t="str">
        <f>VLOOKUP(Ruimtestaat[[#This Row],[Code]],Locaties[#All],4,FALSE)</f>
        <v>De Zwaluwenburg 10</v>
      </c>
      <c r="D511" s="24" t="str">
        <f>VLOOKUP(Ruimtestaat[[#This Row],[Code]],Locaties[#All],5,FALSE)</f>
        <v>7423 DS</v>
      </c>
      <c r="E511" s="24" t="str">
        <f>VLOOKUP(Ruimtestaat[[#This Row],[Code]],Locaties[#All],6,FALSE)</f>
        <v>Deventer</v>
      </c>
      <c r="F511" s="54"/>
      <c r="G511" s="24" t="s">
        <v>367</v>
      </c>
      <c r="H511" s="24" t="s">
        <v>657</v>
      </c>
      <c r="I511" s="4" t="s">
        <v>940</v>
      </c>
      <c r="J511" s="24">
        <v>21</v>
      </c>
      <c r="K511" s="54" t="str">
        <f>VLOOKUP(J511,Ruimtegroepen[],2,FALSE)</f>
        <v>Personeelskamer</v>
      </c>
      <c r="L511" s="24" t="s">
        <v>300</v>
      </c>
      <c r="M511" s="24" t="s">
        <v>926</v>
      </c>
      <c r="N511" s="83">
        <v>24.87</v>
      </c>
      <c r="O511" s="83"/>
      <c r="P511" s="93" t="str">
        <f>LEFT(VLOOKUP(Ruimtestaat[[#This Row],[Ruimte code]],Ruimtegroepen[#All],4,1),2)</f>
        <v>Ve</v>
      </c>
      <c r="Q511" s="93"/>
      <c r="R511" s="84">
        <v>40</v>
      </c>
      <c r="S511" s="84" t="s">
        <v>318</v>
      </c>
      <c r="T511" s="85">
        <f>IF(R511&gt;0,IF(RIGHT(Ruimtestaat[[#This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1" s="85">
        <f>IF(T511&gt;0,VLOOKUP($J511,Ruimtegroepen[],3,FALSE)*VLOOKUP($L511,Vloersoorten[],3,FALSE)*VLOOKUP($S511,Frequenties[],3,FALSE)*VLOOKUP($A511,Locaties[],3,FALSE),0)</f>
        <v>0</v>
      </c>
      <c r="V511" s="86">
        <f>Ruimtestaat[[#This Row],[Uitvoeringen werkdagen]]*Ruimtestaat[[#This Row],[Oppervlak (netto)]]</f>
        <v>4974</v>
      </c>
      <c r="W511" s="87">
        <f>IF(U511&gt;0,Ruimtestaat[[#This Row],[Prest. (m2 /jaar) werkdagen]]/Ruimtestaat[[#This Row],[Norm (m2/uur) werkdagen]],0)</f>
        <v>0</v>
      </c>
      <c r="X511" s="88">
        <f>Ruimtestaat[[#This Row],[uren / jaar werkdagen]]*Tariefsopbouw!$E$35</f>
        <v>0</v>
      </c>
      <c r="Y511" s="85"/>
      <c r="Z511" s="89">
        <f>IF(Ruimtestaat[[#This Row],[Frequentie weekend]]&gt;0,VALUE(LEFT(Y511,1))*R511,0)</f>
        <v>0</v>
      </c>
      <c r="AA511" s="85">
        <f>IF($Z511&gt;0,VLOOKUP($J511,Ruimtegroepen[],3,FALSE)*VLOOKUP($L511,Vloersoorten[],3,FALSE)*VLOOKUP($Y511,Frequenties[],3,FALSE)*VLOOKUP(#REF!,Locaties[],3,FALSE),0)</f>
        <v>0</v>
      </c>
      <c r="AB511" s="87">
        <f>Ruimtestaat[[#This Row],[Uitvoeringen weekend]]*Ruimtestaat[[#This Row],[Oppervlak (netto)]]</f>
        <v>0</v>
      </c>
      <c r="AC511" s="90">
        <f>IF(AB511&gt;0,Ruimtestaat[[#This Row],[Prest. (m2 /jaar) weekend]]/Ruimtestaat[[#This Row],[Norm (m2/uur) weekend]],0)</f>
        <v>0</v>
      </c>
      <c r="AD511" s="91">
        <f>Ruimtestaat[[#This Row],[uren / jaar weekend]]*Tariefsopbouw!$D$40</f>
        <v>0</v>
      </c>
      <c r="AE511" s="60">
        <f>Ruimtestaat[[#This Row],[Prest. (m2 /jaar) weekend]]+Ruimtestaat[[#This Row],[Prest. (m2 /jaar) werkdagen]]</f>
        <v>4974</v>
      </c>
      <c r="AF511" s="60">
        <f>Ruimtestaat[[#This Row],[uren / jaar weekend]]+Ruimtestaat[[#This Row],[uren / jaar werkdagen]]</f>
        <v>0</v>
      </c>
      <c r="AG511" s="61">
        <f>Ruimtestaat[[#This Row],[kosten / jaar weekend]]+Ruimtestaat[[#This Row],[kosten / jaar werkdagen]]</f>
        <v>0</v>
      </c>
      <c r="AH511" s="92"/>
      <c r="HL511" s="59"/>
    </row>
    <row r="512" spans="1:220">
      <c r="A512" s="24">
        <v>4</v>
      </c>
      <c r="B512" s="24" t="str">
        <f>VLOOKUP(Ruimtestaat[[#This Row],[Code]],Locaties[#All],2,FALSE)</f>
        <v>Zwaluwenburg 10</v>
      </c>
      <c r="C512" s="24" t="str">
        <f>VLOOKUP(Ruimtestaat[[#This Row],[Code]],Locaties[#All],4,FALSE)</f>
        <v>De Zwaluwenburg 10</v>
      </c>
      <c r="D512" s="24" t="str">
        <f>VLOOKUP(Ruimtestaat[[#This Row],[Code]],Locaties[#All],5,FALSE)</f>
        <v>7423 DS</v>
      </c>
      <c r="E512" s="24" t="str">
        <f>VLOOKUP(Ruimtestaat[[#This Row],[Code]],Locaties[#All],6,FALSE)</f>
        <v>Deventer</v>
      </c>
      <c r="F512" s="54"/>
      <c r="G512" s="24" t="s">
        <v>367</v>
      </c>
      <c r="H512" s="24" t="s">
        <v>658</v>
      </c>
      <c r="I512" s="4" t="s">
        <v>941</v>
      </c>
      <c r="J512" s="24">
        <v>2</v>
      </c>
      <c r="K512" s="54" t="str">
        <f>VLOOKUP(J512,Ruimtegroepen[],2,FALSE)</f>
        <v>Kantoren</v>
      </c>
      <c r="L512" s="24" t="s">
        <v>303</v>
      </c>
      <c r="M512" s="252" t="s">
        <v>387</v>
      </c>
      <c r="N512" s="83">
        <v>16.5</v>
      </c>
      <c r="O512" s="83"/>
      <c r="P512" s="93" t="str">
        <f>LEFT(VLOOKUP(Ruimtestaat[[#This Row],[Ruimte code]],Ruimtegroepen[#All],4,1),2)</f>
        <v>Bu</v>
      </c>
      <c r="Q512" s="93"/>
      <c r="R512" s="84">
        <v>42</v>
      </c>
      <c r="S512" s="84" t="s">
        <v>322</v>
      </c>
      <c r="T512" s="85">
        <f>IF(R512&gt;0,IF(RIGHT(Ruimtestaat[[#This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12" s="85">
        <f>IF(T512&gt;0,VLOOKUP($J512,Ruimtegroepen[],3,FALSE)*VLOOKUP($L512,Vloersoorten[],3,FALSE)*VLOOKUP($S512,Frequenties[],3,FALSE)*VLOOKUP($A512,Locaties[],3,FALSE),0)</f>
        <v>0</v>
      </c>
      <c r="V512" s="86">
        <f>Ruimtestaat[[#This Row],[Uitvoeringen werkdagen]]*Ruimtestaat[[#This Row],[Oppervlak (netto)]]</f>
        <v>2079</v>
      </c>
      <c r="W512" s="87">
        <f>IF(U512&gt;0,Ruimtestaat[[#This Row],[Prest. (m2 /jaar) werkdagen]]/Ruimtestaat[[#This Row],[Norm (m2/uur) werkdagen]],0)</f>
        <v>0</v>
      </c>
      <c r="X512" s="88">
        <f>Ruimtestaat[[#This Row],[uren / jaar werkdagen]]*Tariefsopbouw!$E$35</f>
        <v>0</v>
      </c>
      <c r="Y512" s="85"/>
      <c r="Z512" s="89">
        <f>IF(Ruimtestaat[[#This Row],[Frequentie weekend]]&gt;0,VALUE(LEFT(Y512,1))*R512,0)</f>
        <v>0</v>
      </c>
      <c r="AA512" s="85">
        <f>IF($Z512&gt;0,VLOOKUP($J512,Ruimtegroepen[],3,FALSE)*VLOOKUP($L512,Vloersoorten[],3,FALSE)*VLOOKUP($Y512,Frequenties[],3,FALSE)*VLOOKUP(#REF!,Locaties[],3,FALSE),0)</f>
        <v>0</v>
      </c>
      <c r="AB512" s="87">
        <f>Ruimtestaat[[#This Row],[Uitvoeringen weekend]]*Ruimtestaat[[#This Row],[Oppervlak (netto)]]</f>
        <v>0</v>
      </c>
      <c r="AC512" s="90">
        <f>IF(AB512&gt;0,Ruimtestaat[[#This Row],[Prest. (m2 /jaar) weekend]]/Ruimtestaat[[#This Row],[Norm (m2/uur) weekend]],0)</f>
        <v>0</v>
      </c>
      <c r="AD512" s="91">
        <f>Ruimtestaat[[#This Row],[uren / jaar weekend]]*Tariefsopbouw!$D$40</f>
        <v>0</v>
      </c>
      <c r="AE512" s="60">
        <f>Ruimtestaat[[#This Row],[Prest. (m2 /jaar) weekend]]+Ruimtestaat[[#This Row],[Prest. (m2 /jaar) werkdagen]]</f>
        <v>2079</v>
      </c>
      <c r="AF512" s="60">
        <f>Ruimtestaat[[#This Row],[uren / jaar weekend]]+Ruimtestaat[[#This Row],[uren / jaar werkdagen]]</f>
        <v>0</v>
      </c>
      <c r="AG512" s="61">
        <f>Ruimtestaat[[#This Row],[kosten / jaar weekend]]+Ruimtestaat[[#This Row],[kosten / jaar werkdagen]]</f>
        <v>0</v>
      </c>
      <c r="AH512" s="92"/>
      <c r="HL512" s="59"/>
    </row>
    <row r="513" spans="1:220">
      <c r="A513" s="24">
        <v>4</v>
      </c>
      <c r="B513" s="24" t="str">
        <f>VLOOKUP(Ruimtestaat[[#This Row],[Code]],Locaties[#All],2,FALSE)</f>
        <v>Zwaluwenburg 10</v>
      </c>
      <c r="C513" s="24" t="str">
        <f>VLOOKUP(Ruimtestaat[[#This Row],[Code]],Locaties[#All],4,FALSE)</f>
        <v>De Zwaluwenburg 10</v>
      </c>
      <c r="D513" s="24" t="str">
        <f>VLOOKUP(Ruimtestaat[[#This Row],[Code]],Locaties[#All],5,FALSE)</f>
        <v>7423 DS</v>
      </c>
      <c r="E513" s="24" t="str">
        <f>VLOOKUP(Ruimtestaat[[#This Row],[Code]],Locaties[#All],6,FALSE)</f>
        <v>Deventer</v>
      </c>
      <c r="F513" s="54"/>
      <c r="G513" s="24" t="s">
        <v>367</v>
      </c>
      <c r="H513" s="24" t="s">
        <v>659</v>
      </c>
      <c r="I513" s="4" t="s">
        <v>449</v>
      </c>
      <c r="J513" s="24">
        <v>15</v>
      </c>
      <c r="K513" s="54" t="str">
        <f>VLOOKUP(J513,Ruimtegroepen[],2,FALSE)</f>
        <v>Keuken/pantry</v>
      </c>
      <c r="L513" s="24" t="s">
        <v>300</v>
      </c>
      <c r="M513" s="24" t="s">
        <v>926</v>
      </c>
      <c r="N513" s="83">
        <v>6.42</v>
      </c>
      <c r="O513" s="83"/>
      <c r="P513" s="93" t="str">
        <f>LEFT(VLOOKUP(Ruimtestaat[[#This Row],[Ruimte code]],Ruimtegroepen[#All],4,1),2)</f>
        <v>Ve</v>
      </c>
      <c r="Q513" s="93"/>
      <c r="R513" s="84">
        <v>40</v>
      </c>
      <c r="S513" s="84" t="s">
        <v>318</v>
      </c>
      <c r="T513" s="85">
        <f>IF(R513&gt;0,IF(RIGHT(Ruimtestaat[[#This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3" s="85">
        <f>IF(T513&gt;0,VLOOKUP($J513,Ruimtegroepen[],3,FALSE)*VLOOKUP($L513,Vloersoorten[],3,FALSE)*VLOOKUP($S513,Frequenties[],3,FALSE)*VLOOKUP($A513,Locaties[],3,FALSE),0)</f>
        <v>0</v>
      </c>
      <c r="V513" s="86">
        <f>Ruimtestaat[[#This Row],[Uitvoeringen werkdagen]]*Ruimtestaat[[#This Row],[Oppervlak (netto)]]</f>
        <v>1284</v>
      </c>
      <c r="W513" s="87">
        <f>IF(U513&gt;0,Ruimtestaat[[#This Row],[Prest. (m2 /jaar) werkdagen]]/Ruimtestaat[[#This Row],[Norm (m2/uur) werkdagen]],0)</f>
        <v>0</v>
      </c>
      <c r="X513" s="88">
        <f>Ruimtestaat[[#This Row],[uren / jaar werkdagen]]*Tariefsopbouw!$E$35</f>
        <v>0</v>
      </c>
      <c r="Y513" s="85"/>
      <c r="Z513" s="89">
        <f>IF(Ruimtestaat[[#This Row],[Frequentie weekend]]&gt;0,VALUE(LEFT(Y513,1))*R513,0)</f>
        <v>0</v>
      </c>
      <c r="AA513" s="85">
        <f>IF($Z513&gt;0,VLOOKUP($J513,Ruimtegroepen[],3,FALSE)*VLOOKUP($L513,Vloersoorten[],3,FALSE)*VLOOKUP($Y513,Frequenties[],3,FALSE)*VLOOKUP(#REF!,Locaties[],3,FALSE),0)</f>
        <v>0</v>
      </c>
      <c r="AB513" s="87">
        <f>Ruimtestaat[[#This Row],[Uitvoeringen weekend]]*Ruimtestaat[[#This Row],[Oppervlak (netto)]]</f>
        <v>0</v>
      </c>
      <c r="AC513" s="90">
        <f>IF(AB513&gt;0,Ruimtestaat[[#This Row],[Prest. (m2 /jaar) weekend]]/Ruimtestaat[[#This Row],[Norm (m2/uur) weekend]],0)</f>
        <v>0</v>
      </c>
      <c r="AD513" s="91">
        <f>Ruimtestaat[[#This Row],[uren / jaar weekend]]*Tariefsopbouw!$D$40</f>
        <v>0</v>
      </c>
      <c r="AE513" s="60">
        <f>Ruimtestaat[[#This Row],[Prest. (m2 /jaar) weekend]]+Ruimtestaat[[#This Row],[Prest. (m2 /jaar) werkdagen]]</f>
        <v>1284</v>
      </c>
      <c r="AF513" s="60">
        <f>Ruimtestaat[[#This Row],[uren / jaar weekend]]+Ruimtestaat[[#This Row],[uren / jaar werkdagen]]</f>
        <v>0</v>
      </c>
      <c r="AG513" s="61">
        <f>Ruimtestaat[[#This Row],[kosten / jaar weekend]]+Ruimtestaat[[#This Row],[kosten / jaar werkdagen]]</f>
        <v>0</v>
      </c>
      <c r="AH513" s="92"/>
      <c r="HL513" s="59"/>
    </row>
    <row r="514" spans="1:220">
      <c r="A514" s="24">
        <v>4</v>
      </c>
      <c r="B514" s="24" t="str">
        <f>VLOOKUP(Ruimtestaat[[#This Row],[Code]],Locaties[#All],2,FALSE)</f>
        <v>Zwaluwenburg 10</v>
      </c>
      <c r="C514" s="24" t="str">
        <f>VLOOKUP(Ruimtestaat[[#This Row],[Code]],Locaties[#All],4,FALSE)</f>
        <v>De Zwaluwenburg 10</v>
      </c>
      <c r="D514" s="24" t="str">
        <f>VLOOKUP(Ruimtestaat[[#This Row],[Code]],Locaties[#All],5,FALSE)</f>
        <v>7423 DS</v>
      </c>
      <c r="E514" s="24" t="str">
        <f>VLOOKUP(Ruimtestaat[[#This Row],[Code]],Locaties[#All],6,FALSE)</f>
        <v>Deventer</v>
      </c>
      <c r="F514" s="54"/>
      <c r="G514" s="24" t="s">
        <v>367</v>
      </c>
      <c r="H514" s="24" t="s">
        <v>660</v>
      </c>
      <c r="I514" s="4" t="s">
        <v>384</v>
      </c>
      <c r="J514" s="24">
        <v>4</v>
      </c>
      <c r="K514" s="54" t="str">
        <f>VLOOKUP(J514,Ruimtegroepen[],2,FALSE)</f>
        <v>Vergader/spreekkamers</v>
      </c>
      <c r="L514" s="24" t="s">
        <v>303</v>
      </c>
      <c r="M514" s="252" t="s">
        <v>387</v>
      </c>
      <c r="N514" s="83">
        <v>8.89</v>
      </c>
      <c r="O514" s="83"/>
      <c r="P514" s="93" t="str">
        <f>LEFT(VLOOKUP(Ruimtestaat[[#This Row],[Ruimte code]],Ruimtegroepen[#All],4,1),2)</f>
        <v>Bu</v>
      </c>
      <c r="Q514" s="93"/>
      <c r="R514" s="84">
        <v>40</v>
      </c>
      <c r="S514" s="84" t="s">
        <v>322</v>
      </c>
      <c r="T514" s="85">
        <f>IF(R514&gt;0,IF(RIGHT(Ruimtestaat[[#This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14" s="85">
        <f>IF(T514&gt;0,VLOOKUP($J514,Ruimtegroepen[],3,FALSE)*VLOOKUP($L514,Vloersoorten[],3,FALSE)*VLOOKUP($S514,Frequenties[],3,FALSE)*VLOOKUP($A514,Locaties[],3,FALSE),0)</f>
        <v>0</v>
      </c>
      <c r="V514" s="86">
        <f>Ruimtestaat[[#This Row],[Uitvoeringen werkdagen]]*Ruimtestaat[[#This Row],[Oppervlak (netto)]]</f>
        <v>1066.8000000000002</v>
      </c>
      <c r="W514" s="87">
        <f>IF(U514&gt;0,Ruimtestaat[[#This Row],[Prest. (m2 /jaar) werkdagen]]/Ruimtestaat[[#This Row],[Norm (m2/uur) werkdagen]],0)</f>
        <v>0</v>
      </c>
      <c r="X514" s="88">
        <f>Ruimtestaat[[#This Row],[uren / jaar werkdagen]]*Tariefsopbouw!$E$35</f>
        <v>0</v>
      </c>
      <c r="Y514" s="85"/>
      <c r="Z514" s="89">
        <f>IF(Ruimtestaat[[#This Row],[Frequentie weekend]]&gt;0,VALUE(LEFT(Y514,1))*R514,0)</f>
        <v>0</v>
      </c>
      <c r="AA514" s="85">
        <f>IF($Z514&gt;0,VLOOKUP($J514,Ruimtegroepen[],3,FALSE)*VLOOKUP($L514,Vloersoorten[],3,FALSE)*VLOOKUP($Y514,Frequenties[],3,FALSE)*VLOOKUP(#REF!,Locaties[],3,FALSE),0)</f>
        <v>0</v>
      </c>
      <c r="AB514" s="87">
        <f>Ruimtestaat[[#This Row],[Uitvoeringen weekend]]*Ruimtestaat[[#This Row],[Oppervlak (netto)]]</f>
        <v>0</v>
      </c>
      <c r="AC514" s="90">
        <f>IF(AB514&gt;0,Ruimtestaat[[#This Row],[Prest. (m2 /jaar) weekend]]/Ruimtestaat[[#This Row],[Norm (m2/uur) weekend]],0)</f>
        <v>0</v>
      </c>
      <c r="AD514" s="91">
        <f>Ruimtestaat[[#This Row],[uren / jaar weekend]]*Tariefsopbouw!$D$40</f>
        <v>0</v>
      </c>
      <c r="AE514" s="60">
        <f>Ruimtestaat[[#This Row],[Prest. (m2 /jaar) weekend]]+Ruimtestaat[[#This Row],[Prest. (m2 /jaar) werkdagen]]</f>
        <v>1066.8000000000002</v>
      </c>
      <c r="AF514" s="60">
        <f>Ruimtestaat[[#This Row],[uren / jaar weekend]]+Ruimtestaat[[#This Row],[uren / jaar werkdagen]]</f>
        <v>0</v>
      </c>
      <c r="AG514" s="61">
        <f>Ruimtestaat[[#This Row],[kosten / jaar weekend]]+Ruimtestaat[[#This Row],[kosten / jaar werkdagen]]</f>
        <v>0</v>
      </c>
      <c r="AH514" s="92"/>
      <c r="HL514" s="59"/>
    </row>
    <row r="515" spans="1:220">
      <c r="A515" s="24">
        <v>4</v>
      </c>
      <c r="B515" s="24" t="str">
        <f>VLOOKUP(Ruimtestaat[[#This Row],[Code]],Locaties[#All],2,FALSE)</f>
        <v>Zwaluwenburg 10</v>
      </c>
      <c r="C515" s="24" t="str">
        <f>VLOOKUP(Ruimtestaat[[#This Row],[Code]],Locaties[#All],4,FALSE)</f>
        <v>De Zwaluwenburg 10</v>
      </c>
      <c r="D515" s="24" t="str">
        <f>VLOOKUP(Ruimtestaat[[#This Row],[Code]],Locaties[#All],5,FALSE)</f>
        <v>7423 DS</v>
      </c>
      <c r="E515" s="24" t="str">
        <f>VLOOKUP(Ruimtestaat[[#This Row],[Code]],Locaties[#All],6,FALSE)</f>
        <v>Deventer</v>
      </c>
      <c r="F515" s="54"/>
      <c r="G515" s="24" t="s">
        <v>367</v>
      </c>
      <c r="H515" s="24" t="s">
        <v>942</v>
      </c>
      <c r="I515" s="4" t="s">
        <v>394</v>
      </c>
      <c r="J515" s="24">
        <v>22</v>
      </c>
      <c r="K515" s="54" t="str">
        <f>VLOOKUP(J515,Ruimtegroepen[],2,FALSE)</f>
        <v>Niet in onderhoud</v>
      </c>
      <c r="M515" s="24"/>
      <c r="N515" s="83"/>
      <c r="O515" s="83">
        <v>4.54</v>
      </c>
      <c r="P515" s="93" t="str">
        <f>LEFT(VLOOKUP(Ruimtestaat[[#This Row],[Ruimte code]],Ruimtegroepen[#All],4,1),2)</f>
        <v/>
      </c>
      <c r="Q515" s="93"/>
      <c r="R515" s="84"/>
      <c r="S515" s="84"/>
      <c r="T515" s="85">
        <f>IF(R515&gt;0,IF(RIGHT(Ruimtestaat[[#This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15" s="85">
        <f>IF(T515&gt;0,VLOOKUP($J515,Ruimtegroepen[],3,FALSE)*VLOOKUP($L515,Vloersoorten[],3,FALSE)*VLOOKUP($S515,Frequenties[],3,FALSE)*VLOOKUP($A515,Locaties[],3,FALSE),0)</f>
        <v>0</v>
      </c>
      <c r="V515" s="86">
        <f>Ruimtestaat[[#This Row],[Uitvoeringen werkdagen]]*Ruimtestaat[[#This Row],[Oppervlak (netto)]]</f>
        <v>0</v>
      </c>
      <c r="W515" s="87">
        <f>IF(U515&gt;0,Ruimtestaat[[#This Row],[Prest. (m2 /jaar) werkdagen]]/Ruimtestaat[[#This Row],[Norm (m2/uur) werkdagen]],0)</f>
        <v>0</v>
      </c>
      <c r="X515" s="88">
        <f>Ruimtestaat[[#This Row],[uren / jaar werkdagen]]*Tariefsopbouw!$E$35</f>
        <v>0</v>
      </c>
      <c r="Y515" s="85"/>
      <c r="Z515" s="89">
        <f>IF(Ruimtestaat[[#This Row],[Frequentie weekend]]&gt;0,VALUE(LEFT(Y515,1))*R515,0)</f>
        <v>0</v>
      </c>
      <c r="AA515" s="85">
        <f>IF($Z515&gt;0,VLOOKUP($J515,Ruimtegroepen[],3,FALSE)*VLOOKUP($L515,Vloersoorten[],3,FALSE)*VLOOKUP($Y515,Frequenties[],3,FALSE)*VLOOKUP(#REF!,Locaties[],3,FALSE),0)</f>
        <v>0</v>
      </c>
      <c r="AB515" s="87">
        <f>Ruimtestaat[[#This Row],[Uitvoeringen weekend]]*Ruimtestaat[[#This Row],[Oppervlak (netto)]]</f>
        <v>0</v>
      </c>
      <c r="AC515" s="90">
        <f>IF(AB515&gt;0,Ruimtestaat[[#This Row],[Prest. (m2 /jaar) weekend]]/Ruimtestaat[[#This Row],[Norm (m2/uur) weekend]],0)</f>
        <v>0</v>
      </c>
      <c r="AD515" s="91">
        <f>Ruimtestaat[[#This Row],[uren / jaar weekend]]*Tariefsopbouw!$D$40</f>
        <v>0</v>
      </c>
      <c r="AE515" s="60">
        <f>Ruimtestaat[[#This Row],[Prest. (m2 /jaar) weekend]]+Ruimtestaat[[#This Row],[Prest. (m2 /jaar) werkdagen]]</f>
        <v>0</v>
      </c>
      <c r="AF515" s="60">
        <f>Ruimtestaat[[#This Row],[uren / jaar weekend]]+Ruimtestaat[[#This Row],[uren / jaar werkdagen]]</f>
        <v>0</v>
      </c>
      <c r="AG515" s="61">
        <f>Ruimtestaat[[#This Row],[kosten / jaar weekend]]+Ruimtestaat[[#This Row],[kosten / jaar werkdagen]]</f>
        <v>0</v>
      </c>
      <c r="AH515" s="92"/>
      <c r="HL515" s="59"/>
    </row>
    <row r="516" spans="1:220">
      <c r="A516" s="24">
        <v>4</v>
      </c>
      <c r="B516" s="24" t="str">
        <f>VLOOKUP(Ruimtestaat[[#This Row],[Code]],Locaties[#All],2,FALSE)</f>
        <v>Zwaluwenburg 10</v>
      </c>
      <c r="C516" s="24" t="str">
        <f>VLOOKUP(Ruimtestaat[[#This Row],[Code]],Locaties[#All],4,FALSE)</f>
        <v>De Zwaluwenburg 10</v>
      </c>
      <c r="D516" s="24" t="str">
        <f>VLOOKUP(Ruimtestaat[[#This Row],[Code]],Locaties[#All],5,FALSE)</f>
        <v>7423 DS</v>
      </c>
      <c r="E516" s="24" t="str">
        <f>VLOOKUP(Ruimtestaat[[#This Row],[Code]],Locaties[#All],6,FALSE)</f>
        <v>Deventer</v>
      </c>
      <c r="F516" s="54"/>
      <c r="G516" s="24" t="s">
        <v>367</v>
      </c>
      <c r="H516" s="24" t="s">
        <v>943</v>
      </c>
      <c r="I516" s="4" t="s">
        <v>394</v>
      </c>
      <c r="J516" s="24">
        <v>22</v>
      </c>
      <c r="K516" s="54" t="str">
        <f>VLOOKUP(J516,Ruimtegroepen[],2,FALSE)</f>
        <v>Niet in onderhoud</v>
      </c>
      <c r="M516" s="24"/>
      <c r="N516" s="83"/>
      <c r="O516" s="83">
        <v>5.97</v>
      </c>
      <c r="P516" s="93" t="str">
        <f>LEFT(VLOOKUP(Ruimtestaat[[#This Row],[Ruimte code]],Ruimtegroepen[#All],4,1),2)</f>
        <v/>
      </c>
      <c r="Q516" s="93"/>
      <c r="R516" s="84"/>
      <c r="S516" s="84"/>
      <c r="T516" s="85">
        <f>IF(R516&gt;0,IF(RIGHT(Ruimtestaat[[#This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16" s="85">
        <f>IF(T516&gt;0,VLOOKUP($J516,Ruimtegroepen[],3,FALSE)*VLOOKUP($L516,Vloersoorten[],3,FALSE)*VLOOKUP($S516,Frequenties[],3,FALSE)*VLOOKUP($A516,Locaties[],3,FALSE),0)</f>
        <v>0</v>
      </c>
      <c r="V516" s="86">
        <f>Ruimtestaat[[#This Row],[Uitvoeringen werkdagen]]*Ruimtestaat[[#This Row],[Oppervlak (netto)]]</f>
        <v>0</v>
      </c>
      <c r="W516" s="87">
        <f>IF(U516&gt;0,Ruimtestaat[[#This Row],[Prest. (m2 /jaar) werkdagen]]/Ruimtestaat[[#This Row],[Norm (m2/uur) werkdagen]],0)</f>
        <v>0</v>
      </c>
      <c r="X516" s="88">
        <f>Ruimtestaat[[#This Row],[uren / jaar werkdagen]]*Tariefsopbouw!$E$35</f>
        <v>0</v>
      </c>
      <c r="Y516" s="85"/>
      <c r="Z516" s="89">
        <f>IF(Ruimtestaat[[#This Row],[Frequentie weekend]]&gt;0,VALUE(LEFT(Y516,1))*R516,0)</f>
        <v>0</v>
      </c>
      <c r="AA516" s="85">
        <f>IF($Z516&gt;0,VLOOKUP($J516,Ruimtegroepen[],3,FALSE)*VLOOKUP($L516,Vloersoorten[],3,FALSE)*VLOOKUP($Y516,Frequenties[],3,FALSE)*VLOOKUP(#REF!,Locaties[],3,FALSE),0)</f>
        <v>0</v>
      </c>
      <c r="AB516" s="87">
        <f>Ruimtestaat[[#This Row],[Uitvoeringen weekend]]*Ruimtestaat[[#This Row],[Oppervlak (netto)]]</f>
        <v>0</v>
      </c>
      <c r="AC516" s="90">
        <f>IF(AB516&gt;0,Ruimtestaat[[#This Row],[Prest. (m2 /jaar) weekend]]/Ruimtestaat[[#This Row],[Norm (m2/uur) weekend]],0)</f>
        <v>0</v>
      </c>
      <c r="AD516" s="91">
        <f>Ruimtestaat[[#This Row],[uren / jaar weekend]]*Tariefsopbouw!$D$40</f>
        <v>0</v>
      </c>
      <c r="AE516" s="60">
        <f>Ruimtestaat[[#This Row],[Prest. (m2 /jaar) weekend]]+Ruimtestaat[[#This Row],[Prest. (m2 /jaar) werkdagen]]</f>
        <v>0</v>
      </c>
      <c r="AF516" s="60">
        <f>Ruimtestaat[[#This Row],[uren / jaar weekend]]+Ruimtestaat[[#This Row],[uren / jaar werkdagen]]</f>
        <v>0</v>
      </c>
      <c r="AG516" s="61">
        <f>Ruimtestaat[[#This Row],[kosten / jaar weekend]]+Ruimtestaat[[#This Row],[kosten / jaar werkdagen]]</f>
        <v>0</v>
      </c>
      <c r="AH516" s="92"/>
      <c r="HL516" s="59"/>
    </row>
    <row r="517" spans="1:220">
      <c r="A517" s="24">
        <v>4</v>
      </c>
      <c r="B517" s="24" t="str">
        <f>VLOOKUP(Ruimtestaat[[#This Row],[Code]],Locaties[#All],2,FALSE)</f>
        <v>Zwaluwenburg 10</v>
      </c>
      <c r="C517" s="24" t="str">
        <f>VLOOKUP(Ruimtestaat[[#This Row],[Code]],Locaties[#All],4,FALSE)</f>
        <v>De Zwaluwenburg 10</v>
      </c>
      <c r="D517" s="24" t="str">
        <f>VLOOKUP(Ruimtestaat[[#This Row],[Code]],Locaties[#All],5,FALSE)</f>
        <v>7423 DS</v>
      </c>
      <c r="E517" s="24" t="str">
        <f>VLOOKUP(Ruimtestaat[[#This Row],[Code]],Locaties[#All],6,FALSE)</f>
        <v>Deventer</v>
      </c>
      <c r="F517" s="54"/>
      <c r="G517" s="24" t="s">
        <v>367</v>
      </c>
      <c r="H517" s="24" t="s">
        <v>944</v>
      </c>
      <c r="I517" s="4" t="s">
        <v>394</v>
      </c>
      <c r="J517" s="24">
        <v>22</v>
      </c>
      <c r="K517" s="54" t="str">
        <f>VLOOKUP(J517,Ruimtegroepen[],2,FALSE)</f>
        <v>Niet in onderhoud</v>
      </c>
      <c r="M517" s="24"/>
      <c r="N517" s="83"/>
      <c r="O517" s="83">
        <v>12.48</v>
      </c>
      <c r="P517" s="93" t="str">
        <f>LEFT(VLOOKUP(Ruimtestaat[[#This Row],[Ruimte code]],Ruimtegroepen[#All],4,1),2)</f>
        <v/>
      </c>
      <c r="Q517" s="93"/>
      <c r="R517" s="84"/>
      <c r="S517" s="84"/>
      <c r="T517" s="85">
        <f>IF(R517&gt;0,IF(RIGHT(Ruimtestaat[[#This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17" s="85">
        <f>IF(T517&gt;0,VLOOKUP($J517,Ruimtegroepen[],3,FALSE)*VLOOKUP($L517,Vloersoorten[],3,FALSE)*VLOOKUP($S517,Frequenties[],3,FALSE)*VLOOKUP($A517,Locaties[],3,FALSE),0)</f>
        <v>0</v>
      </c>
      <c r="V517" s="86">
        <f>Ruimtestaat[[#This Row],[Uitvoeringen werkdagen]]*Ruimtestaat[[#This Row],[Oppervlak (netto)]]</f>
        <v>0</v>
      </c>
      <c r="W517" s="87">
        <f>IF(U517&gt;0,Ruimtestaat[[#This Row],[Prest. (m2 /jaar) werkdagen]]/Ruimtestaat[[#This Row],[Norm (m2/uur) werkdagen]],0)</f>
        <v>0</v>
      </c>
      <c r="X517" s="88">
        <f>Ruimtestaat[[#This Row],[uren / jaar werkdagen]]*Tariefsopbouw!$E$35</f>
        <v>0</v>
      </c>
      <c r="Y517" s="85"/>
      <c r="Z517" s="89">
        <f>IF(Ruimtestaat[[#This Row],[Frequentie weekend]]&gt;0,VALUE(LEFT(Y517,1))*R517,0)</f>
        <v>0</v>
      </c>
      <c r="AA517" s="85">
        <f>IF($Z517&gt;0,VLOOKUP($J517,Ruimtegroepen[],3,FALSE)*VLOOKUP($L517,Vloersoorten[],3,FALSE)*VLOOKUP($Y517,Frequenties[],3,FALSE)*VLOOKUP(#REF!,Locaties[],3,FALSE),0)</f>
        <v>0</v>
      </c>
      <c r="AB517" s="87">
        <f>Ruimtestaat[[#This Row],[Uitvoeringen weekend]]*Ruimtestaat[[#This Row],[Oppervlak (netto)]]</f>
        <v>0</v>
      </c>
      <c r="AC517" s="90">
        <f>IF(AB517&gt;0,Ruimtestaat[[#This Row],[Prest. (m2 /jaar) weekend]]/Ruimtestaat[[#This Row],[Norm (m2/uur) weekend]],0)</f>
        <v>0</v>
      </c>
      <c r="AD517" s="91">
        <f>Ruimtestaat[[#This Row],[uren / jaar weekend]]*Tariefsopbouw!$D$40</f>
        <v>0</v>
      </c>
      <c r="AE517" s="60">
        <f>Ruimtestaat[[#This Row],[Prest. (m2 /jaar) weekend]]+Ruimtestaat[[#This Row],[Prest. (m2 /jaar) werkdagen]]</f>
        <v>0</v>
      </c>
      <c r="AF517" s="60">
        <f>Ruimtestaat[[#This Row],[uren / jaar weekend]]+Ruimtestaat[[#This Row],[uren / jaar werkdagen]]</f>
        <v>0</v>
      </c>
      <c r="AG517" s="61">
        <f>Ruimtestaat[[#This Row],[kosten / jaar weekend]]+Ruimtestaat[[#This Row],[kosten / jaar werkdagen]]</f>
        <v>0</v>
      </c>
      <c r="AH517" s="92"/>
      <c r="HL517" s="59"/>
    </row>
    <row r="518" spans="1:220">
      <c r="A518" s="24">
        <v>4</v>
      </c>
      <c r="B518" s="24" t="str">
        <f>VLOOKUP(Ruimtestaat[[#This Row],[Code]],Locaties[#All],2,FALSE)</f>
        <v>Zwaluwenburg 10</v>
      </c>
      <c r="C518" s="24" t="str">
        <f>VLOOKUP(Ruimtestaat[[#This Row],[Code]],Locaties[#All],4,FALSE)</f>
        <v>De Zwaluwenburg 10</v>
      </c>
      <c r="D518" s="24" t="str">
        <f>VLOOKUP(Ruimtestaat[[#This Row],[Code]],Locaties[#All],5,FALSE)</f>
        <v>7423 DS</v>
      </c>
      <c r="E518" s="24" t="str">
        <f>VLOOKUP(Ruimtestaat[[#This Row],[Code]],Locaties[#All],6,FALSE)</f>
        <v>Deventer</v>
      </c>
      <c r="F518" s="54"/>
      <c r="G518" s="24" t="s">
        <v>367</v>
      </c>
      <c r="H518" s="24" t="s">
        <v>945</v>
      </c>
      <c r="I518" s="4" t="s">
        <v>394</v>
      </c>
      <c r="J518" s="24">
        <v>22</v>
      </c>
      <c r="K518" s="54" t="str">
        <f>VLOOKUP(J518,Ruimtegroepen[],2,FALSE)</f>
        <v>Niet in onderhoud</v>
      </c>
      <c r="M518" s="24"/>
      <c r="N518" s="83"/>
      <c r="O518" s="83">
        <v>13.6</v>
      </c>
      <c r="P518" s="93" t="str">
        <f>LEFT(VLOOKUP(Ruimtestaat[[#This Row],[Ruimte code]],Ruimtegroepen[#All],4,1),2)</f>
        <v/>
      </c>
      <c r="Q518" s="93"/>
      <c r="R518" s="84"/>
      <c r="S518" s="84"/>
      <c r="T518" s="85">
        <f>IF(R518&gt;0,IF(RIGHT(Ruimtestaat[[#This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18" s="85">
        <f>IF(T518&gt;0,VLOOKUP($J518,Ruimtegroepen[],3,FALSE)*VLOOKUP($L518,Vloersoorten[],3,FALSE)*VLOOKUP($S518,Frequenties[],3,FALSE)*VLOOKUP($A518,Locaties[],3,FALSE),0)</f>
        <v>0</v>
      </c>
      <c r="V518" s="86">
        <f>Ruimtestaat[[#This Row],[Uitvoeringen werkdagen]]*Ruimtestaat[[#This Row],[Oppervlak (netto)]]</f>
        <v>0</v>
      </c>
      <c r="W518" s="87">
        <f>IF(U518&gt;0,Ruimtestaat[[#This Row],[Prest. (m2 /jaar) werkdagen]]/Ruimtestaat[[#This Row],[Norm (m2/uur) werkdagen]],0)</f>
        <v>0</v>
      </c>
      <c r="X518" s="88">
        <f>Ruimtestaat[[#This Row],[uren / jaar werkdagen]]*Tariefsopbouw!$E$35</f>
        <v>0</v>
      </c>
      <c r="Y518" s="85"/>
      <c r="Z518" s="89">
        <f>IF(Ruimtestaat[[#This Row],[Frequentie weekend]]&gt;0,VALUE(LEFT(Y518,1))*R518,0)</f>
        <v>0</v>
      </c>
      <c r="AA518" s="85">
        <f>IF($Z518&gt;0,VLOOKUP($J518,Ruimtegroepen[],3,FALSE)*VLOOKUP($L518,Vloersoorten[],3,FALSE)*VLOOKUP($Y518,Frequenties[],3,FALSE)*VLOOKUP(#REF!,Locaties[],3,FALSE),0)</f>
        <v>0</v>
      </c>
      <c r="AB518" s="87">
        <f>Ruimtestaat[[#This Row],[Uitvoeringen weekend]]*Ruimtestaat[[#This Row],[Oppervlak (netto)]]</f>
        <v>0</v>
      </c>
      <c r="AC518" s="90">
        <f>IF(AB518&gt;0,Ruimtestaat[[#This Row],[Prest. (m2 /jaar) weekend]]/Ruimtestaat[[#This Row],[Norm (m2/uur) weekend]],0)</f>
        <v>0</v>
      </c>
      <c r="AD518" s="91">
        <f>Ruimtestaat[[#This Row],[uren / jaar weekend]]*Tariefsopbouw!$D$40</f>
        <v>0</v>
      </c>
      <c r="AE518" s="60">
        <f>Ruimtestaat[[#This Row],[Prest. (m2 /jaar) weekend]]+Ruimtestaat[[#This Row],[Prest. (m2 /jaar) werkdagen]]</f>
        <v>0</v>
      </c>
      <c r="AF518" s="60">
        <f>Ruimtestaat[[#This Row],[uren / jaar weekend]]+Ruimtestaat[[#This Row],[uren / jaar werkdagen]]</f>
        <v>0</v>
      </c>
      <c r="AG518" s="61">
        <f>Ruimtestaat[[#This Row],[kosten / jaar weekend]]+Ruimtestaat[[#This Row],[kosten / jaar werkdagen]]</f>
        <v>0</v>
      </c>
      <c r="AH518" s="92"/>
      <c r="HL518" s="59"/>
    </row>
    <row r="519" spans="1:220">
      <c r="A519" s="24">
        <v>4</v>
      </c>
      <c r="B519" s="24" t="str">
        <f>VLOOKUP(Ruimtestaat[[#This Row],[Code]],Locaties[#All],2,FALSE)</f>
        <v>Zwaluwenburg 10</v>
      </c>
      <c r="C519" s="24" t="str">
        <f>VLOOKUP(Ruimtestaat[[#This Row],[Code]],Locaties[#All],4,FALSE)</f>
        <v>De Zwaluwenburg 10</v>
      </c>
      <c r="D519" s="24" t="str">
        <f>VLOOKUP(Ruimtestaat[[#This Row],[Code]],Locaties[#All],5,FALSE)</f>
        <v>7423 DS</v>
      </c>
      <c r="E519" s="24" t="str">
        <f>VLOOKUP(Ruimtestaat[[#This Row],[Code]],Locaties[#All],6,FALSE)</f>
        <v>Deventer</v>
      </c>
      <c r="F519" s="54"/>
      <c r="G519" s="24" t="s">
        <v>367</v>
      </c>
      <c r="H519" s="24" t="s">
        <v>946</v>
      </c>
      <c r="I519" s="4" t="s">
        <v>947</v>
      </c>
      <c r="J519" s="24">
        <v>16</v>
      </c>
      <c r="K519" s="54" t="str">
        <f>VLOOKUP(J519,Ruimtegroepen[],2,FALSE)</f>
        <v>Leslokalen theorie</v>
      </c>
      <c r="L519" s="24" t="s">
        <v>300</v>
      </c>
      <c r="M519" s="24" t="s">
        <v>926</v>
      </c>
      <c r="N519" s="83">
        <v>56.23</v>
      </c>
      <c r="O519" s="83"/>
      <c r="P519" s="93" t="str">
        <f>LEFT(VLOOKUP(Ruimtestaat[[#This Row],[Ruimte code]],Ruimtegroepen[#All],4,1),2)</f>
        <v>Le</v>
      </c>
      <c r="Q519" s="93"/>
      <c r="R519" s="84">
        <v>40</v>
      </c>
      <c r="S519" s="84" t="s">
        <v>318</v>
      </c>
      <c r="T519" s="85">
        <f>IF(R519&gt;0,IF(RIGHT(Ruimtestaat[[#This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9" s="85">
        <f>IF(T519&gt;0,VLOOKUP($J519,Ruimtegroepen[],3,FALSE)*VLOOKUP($L519,Vloersoorten[],3,FALSE)*VLOOKUP($S519,Frequenties[],3,FALSE)*VLOOKUP($A519,Locaties[],3,FALSE),0)</f>
        <v>0</v>
      </c>
      <c r="V519" s="86">
        <f>Ruimtestaat[[#This Row],[Uitvoeringen werkdagen]]*Ruimtestaat[[#This Row],[Oppervlak (netto)]]</f>
        <v>11246</v>
      </c>
      <c r="W519" s="87">
        <f>IF(U519&gt;0,Ruimtestaat[[#This Row],[Prest. (m2 /jaar) werkdagen]]/Ruimtestaat[[#This Row],[Norm (m2/uur) werkdagen]],0)</f>
        <v>0</v>
      </c>
      <c r="X519" s="88">
        <f>Ruimtestaat[[#This Row],[uren / jaar werkdagen]]*Tariefsopbouw!$E$35</f>
        <v>0</v>
      </c>
      <c r="Y519" s="85"/>
      <c r="Z519" s="89">
        <f>IF(Ruimtestaat[[#This Row],[Frequentie weekend]]&gt;0,VALUE(LEFT(Y519,1))*R519,0)</f>
        <v>0</v>
      </c>
      <c r="AA519" s="85">
        <f>IF($Z519&gt;0,VLOOKUP($J519,Ruimtegroepen[],3,FALSE)*VLOOKUP($L519,Vloersoorten[],3,FALSE)*VLOOKUP($Y519,Frequenties[],3,FALSE)*VLOOKUP(#REF!,Locaties[],3,FALSE),0)</f>
        <v>0</v>
      </c>
      <c r="AB519" s="87">
        <f>Ruimtestaat[[#This Row],[Uitvoeringen weekend]]*Ruimtestaat[[#This Row],[Oppervlak (netto)]]</f>
        <v>0</v>
      </c>
      <c r="AC519" s="90">
        <f>IF(AB519&gt;0,Ruimtestaat[[#This Row],[Prest. (m2 /jaar) weekend]]/Ruimtestaat[[#This Row],[Norm (m2/uur) weekend]],0)</f>
        <v>0</v>
      </c>
      <c r="AD519" s="91">
        <f>Ruimtestaat[[#This Row],[uren / jaar weekend]]*Tariefsopbouw!$D$40</f>
        <v>0</v>
      </c>
      <c r="AE519" s="60">
        <f>Ruimtestaat[[#This Row],[Prest. (m2 /jaar) weekend]]+Ruimtestaat[[#This Row],[Prest. (m2 /jaar) werkdagen]]</f>
        <v>11246</v>
      </c>
      <c r="AF519" s="60">
        <f>Ruimtestaat[[#This Row],[uren / jaar weekend]]+Ruimtestaat[[#This Row],[uren / jaar werkdagen]]</f>
        <v>0</v>
      </c>
      <c r="AG519" s="61">
        <f>Ruimtestaat[[#This Row],[kosten / jaar weekend]]+Ruimtestaat[[#This Row],[kosten / jaar werkdagen]]</f>
        <v>0</v>
      </c>
      <c r="AH519" s="92"/>
      <c r="HL519" s="59"/>
    </row>
    <row r="520" spans="1:220">
      <c r="A520" s="24">
        <v>4</v>
      </c>
      <c r="B520" s="24" t="str">
        <f>VLOOKUP(Ruimtestaat[[#This Row],[Code]],Locaties[#All],2,FALSE)</f>
        <v>Zwaluwenburg 10</v>
      </c>
      <c r="C520" s="24" t="str">
        <f>VLOOKUP(Ruimtestaat[[#This Row],[Code]],Locaties[#All],4,FALSE)</f>
        <v>De Zwaluwenburg 10</v>
      </c>
      <c r="D520" s="24" t="str">
        <f>VLOOKUP(Ruimtestaat[[#This Row],[Code]],Locaties[#All],5,FALSE)</f>
        <v>7423 DS</v>
      </c>
      <c r="E520" s="24" t="str">
        <f>VLOOKUP(Ruimtestaat[[#This Row],[Code]],Locaties[#All],6,FALSE)</f>
        <v>Deventer</v>
      </c>
      <c r="F520" s="54"/>
      <c r="G520" s="24" t="s">
        <v>367</v>
      </c>
      <c r="H520" s="24" t="s">
        <v>948</v>
      </c>
      <c r="I520" s="4" t="s">
        <v>949</v>
      </c>
      <c r="J520" s="24">
        <v>16</v>
      </c>
      <c r="K520" s="54" t="str">
        <f>VLOOKUP(J520,Ruimtegroepen[],2,FALSE)</f>
        <v>Leslokalen theorie</v>
      </c>
      <c r="L520" s="24" t="s">
        <v>300</v>
      </c>
      <c r="M520" s="24" t="s">
        <v>926</v>
      </c>
      <c r="N520" s="83">
        <v>56.26</v>
      </c>
      <c r="O520" s="83"/>
      <c r="P520" s="93" t="str">
        <f>LEFT(VLOOKUP(Ruimtestaat[[#This Row],[Ruimte code]],Ruimtegroepen[#All],4,1),2)</f>
        <v>Le</v>
      </c>
      <c r="Q520" s="93"/>
      <c r="R520" s="84">
        <v>40</v>
      </c>
      <c r="S520" s="84" t="s">
        <v>318</v>
      </c>
      <c r="T520" s="85">
        <f>IF(R520&gt;0,IF(RIGHT(Ruimtestaat[[#This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0" s="85">
        <f>IF(T520&gt;0,VLOOKUP($J520,Ruimtegroepen[],3,FALSE)*VLOOKUP($L520,Vloersoorten[],3,FALSE)*VLOOKUP($S520,Frequenties[],3,FALSE)*VLOOKUP($A520,Locaties[],3,FALSE),0)</f>
        <v>0</v>
      </c>
      <c r="V520" s="86">
        <f>Ruimtestaat[[#This Row],[Uitvoeringen werkdagen]]*Ruimtestaat[[#This Row],[Oppervlak (netto)]]</f>
        <v>11252</v>
      </c>
      <c r="W520" s="87">
        <f>IF(U520&gt;0,Ruimtestaat[[#This Row],[Prest. (m2 /jaar) werkdagen]]/Ruimtestaat[[#This Row],[Norm (m2/uur) werkdagen]],0)</f>
        <v>0</v>
      </c>
      <c r="X520" s="88">
        <f>Ruimtestaat[[#This Row],[uren / jaar werkdagen]]*Tariefsopbouw!$E$35</f>
        <v>0</v>
      </c>
      <c r="Y520" s="85"/>
      <c r="Z520" s="89">
        <f>IF(Ruimtestaat[[#This Row],[Frequentie weekend]]&gt;0,VALUE(LEFT(Y520,1))*R520,0)</f>
        <v>0</v>
      </c>
      <c r="AA520" s="85">
        <f>IF($Z520&gt;0,VLOOKUP($J520,Ruimtegroepen[],3,FALSE)*VLOOKUP($L520,Vloersoorten[],3,FALSE)*VLOOKUP($Y520,Frequenties[],3,FALSE)*VLOOKUP(#REF!,Locaties[],3,FALSE),0)</f>
        <v>0</v>
      </c>
      <c r="AB520" s="87">
        <f>Ruimtestaat[[#This Row],[Uitvoeringen weekend]]*Ruimtestaat[[#This Row],[Oppervlak (netto)]]</f>
        <v>0</v>
      </c>
      <c r="AC520" s="90">
        <f>IF(AB520&gt;0,Ruimtestaat[[#This Row],[Prest. (m2 /jaar) weekend]]/Ruimtestaat[[#This Row],[Norm (m2/uur) weekend]],0)</f>
        <v>0</v>
      </c>
      <c r="AD520" s="91">
        <f>Ruimtestaat[[#This Row],[uren / jaar weekend]]*Tariefsopbouw!$D$40</f>
        <v>0</v>
      </c>
      <c r="AE520" s="60">
        <f>Ruimtestaat[[#This Row],[Prest. (m2 /jaar) weekend]]+Ruimtestaat[[#This Row],[Prest. (m2 /jaar) werkdagen]]</f>
        <v>11252</v>
      </c>
      <c r="AF520" s="60">
        <f>Ruimtestaat[[#This Row],[uren / jaar weekend]]+Ruimtestaat[[#This Row],[uren / jaar werkdagen]]</f>
        <v>0</v>
      </c>
      <c r="AG520" s="61">
        <f>Ruimtestaat[[#This Row],[kosten / jaar weekend]]+Ruimtestaat[[#This Row],[kosten / jaar werkdagen]]</f>
        <v>0</v>
      </c>
      <c r="AH520" s="92"/>
      <c r="HL520" s="59"/>
    </row>
    <row r="521" spans="1:220">
      <c r="A521" s="24">
        <v>4</v>
      </c>
      <c r="B521" s="24" t="str">
        <f>VLOOKUP(Ruimtestaat[[#This Row],[Code]],Locaties[#All],2,FALSE)</f>
        <v>Zwaluwenburg 10</v>
      </c>
      <c r="C521" s="24" t="str">
        <f>VLOOKUP(Ruimtestaat[[#This Row],[Code]],Locaties[#All],4,FALSE)</f>
        <v>De Zwaluwenburg 10</v>
      </c>
      <c r="D521" s="24" t="str">
        <f>VLOOKUP(Ruimtestaat[[#This Row],[Code]],Locaties[#All],5,FALSE)</f>
        <v>7423 DS</v>
      </c>
      <c r="E521" s="24" t="str">
        <f>VLOOKUP(Ruimtestaat[[#This Row],[Code]],Locaties[#All],6,FALSE)</f>
        <v>Deventer</v>
      </c>
      <c r="F521" s="54"/>
      <c r="G521" s="24" t="s">
        <v>367</v>
      </c>
      <c r="H521" s="24" t="s">
        <v>950</v>
      </c>
      <c r="I521" s="4" t="s">
        <v>951</v>
      </c>
      <c r="J521" s="24">
        <v>14</v>
      </c>
      <c r="K521" s="54" t="str">
        <f>VLOOKUP(J521,Ruimtegroepen[],2,FALSE)</f>
        <v>Praktijklokalen binas/zorg</v>
      </c>
      <c r="L521" s="24" t="s">
        <v>300</v>
      </c>
      <c r="M521" s="24" t="s">
        <v>926</v>
      </c>
      <c r="N521" s="83">
        <v>56.2</v>
      </c>
      <c r="O521" s="83"/>
      <c r="P521" s="93" t="str">
        <f>LEFT(VLOOKUP(Ruimtestaat[[#This Row],[Ruimte code]],Ruimtegroepen[#All],4,1),2)</f>
        <v>Le</v>
      </c>
      <c r="Q521" s="93"/>
      <c r="R521" s="84">
        <v>40</v>
      </c>
      <c r="S521" s="84" t="s">
        <v>318</v>
      </c>
      <c r="T521" s="85">
        <f>IF(R521&gt;0,IF(RIGHT(Ruimtestaat[[#This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1" s="85">
        <f>IF(T521&gt;0,VLOOKUP($J521,Ruimtegroepen[],3,FALSE)*VLOOKUP($L521,Vloersoorten[],3,FALSE)*VLOOKUP($S521,Frequenties[],3,FALSE)*VLOOKUP($A521,Locaties[],3,FALSE),0)</f>
        <v>0</v>
      </c>
      <c r="V521" s="86">
        <f>Ruimtestaat[[#This Row],[Uitvoeringen werkdagen]]*Ruimtestaat[[#This Row],[Oppervlak (netto)]]</f>
        <v>11240</v>
      </c>
      <c r="W521" s="87">
        <f>IF(U521&gt;0,Ruimtestaat[[#This Row],[Prest. (m2 /jaar) werkdagen]]/Ruimtestaat[[#This Row],[Norm (m2/uur) werkdagen]],0)</f>
        <v>0</v>
      </c>
      <c r="X521" s="88">
        <f>Ruimtestaat[[#This Row],[uren / jaar werkdagen]]*Tariefsopbouw!$E$35</f>
        <v>0</v>
      </c>
      <c r="Y521" s="85"/>
      <c r="Z521" s="89">
        <f>IF(Ruimtestaat[[#This Row],[Frequentie weekend]]&gt;0,VALUE(LEFT(Y521,1))*R521,0)</f>
        <v>0</v>
      </c>
      <c r="AA521" s="85">
        <f>IF($Z521&gt;0,VLOOKUP($J521,Ruimtegroepen[],3,FALSE)*VLOOKUP($L521,Vloersoorten[],3,FALSE)*VLOOKUP($Y521,Frequenties[],3,FALSE)*VLOOKUP(#REF!,Locaties[],3,FALSE),0)</f>
        <v>0</v>
      </c>
      <c r="AB521" s="87">
        <f>Ruimtestaat[[#This Row],[Uitvoeringen weekend]]*Ruimtestaat[[#This Row],[Oppervlak (netto)]]</f>
        <v>0</v>
      </c>
      <c r="AC521" s="90">
        <f>IF(AB521&gt;0,Ruimtestaat[[#This Row],[Prest. (m2 /jaar) weekend]]/Ruimtestaat[[#This Row],[Norm (m2/uur) weekend]],0)</f>
        <v>0</v>
      </c>
      <c r="AD521" s="91">
        <f>Ruimtestaat[[#This Row],[uren / jaar weekend]]*Tariefsopbouw!$D$40</f>
        <v>0</v>
      </c>
      <c r="AE521" s="60">
        <f>Ruimtestaat[[#This Row],[Prest. (m2 /jaar) weekend]]+Ruimtestaat[[#This Row],[Prest. (m2 /jaar) werkdagen]]</f>
        <v>11240</v>
      </c>
      <c r="AF521" s="60">
        <f>Ruimtestaat[[#This Row],[uren / jaar weekend]]+Ruimtestaat[[#This Row],[uren / jaar werkdagen]]</f>
        <v>0</v>
      </c>
      <c r="AG521" s="61">
        <f>Ruimtestaat[[#This Row],[kosten / jaar weekend]]+Ruimtestaat[[#This Row],[kosten / jaar werkdagen]]</f>
        <v>0</v>
      </c>
      <c r="AH521" s="92"/>
      <c r="HL521" s="59"/>
    </row>
    <row r="522" spans="1:220">
      <c r="A522" s="24">
        <v>4</v>
      </c>
      <c r="B522" s="24" t="str">
        <f>VLOOKUP(Ruimtestaat[[#This Row],[Code]],Locaties[#All],2,FALSE)</f>
        <v>Zwaluwenburg 10</v>
      </c>
      <c r="C522" s="24" t="str">
        <f>VLOOKUP(Ruimtestaat[[#This Row],[Code]],Locaties[#All],4,FALSE)</f>
        <v>De Zwaluwenburg 10</v>
      </c>
      <c r="D522" s="24" t="str">
        <f>VLOOKUP(Ruimtestaat[[#This Row],[Code]],Locaties[#All],5,FALSE)</f>
        <v>7423 DS</v>
      </c>
      <c r="E522" s="24" t="str">
        <f>VLOOKUP(Ruimtestaat[[#This Row],[Code]],Locaties[#All],6,FALSE)</f>
        <v>Deventer</v>
      </c>
      <c r="F522" s="54"/>
      <c r="G522" s="24" t="s">
        <v>367</v>
      </c>
      <c r="H522" s="24" t="s">
        <v>952</v>
      </c>
      <c r="I522" s="4" t="s">
        <v>953</v>
      </c>
      <c r="J522" s="24">
        <v>16</v>
      </c>
      <c r="K522" s="54" t="str">
        <f>VLOOKUP(J522,Ruimtegroepen[],2,FALSE)</f>
        <v>Leslokalen theorie</v>
      </c>
      <c r="L522" s="24" t="s">
        <v>300</v>
      </c>
      <c r="M522" s="24" t="s">
        <v>926</v>
      </c>
      <c r="N522" s="83">
        <v>56.38</v>
      </c>
      <c r="O522" s="83"/>
      <c r="P522" s="93" t="str">
        <f>LEFT(VLOOKUP(Ruimtestaat[[#This Row],[Ruimte code]],Ruimtegroepen[#All],4,1),2)</f>
        <v>Le</v>
      </c>
      <c r="Q522" s="93"/>
      <c r="R522" s="84">
        <v>40</v>
      </c>
      <c r="S522" s="84" t="s">
        <v>318</v>
      </c>
      <c r="T522" s="85">
        <f>IF(R522&gt;0,IF(RIGHT(Ruimtestaat[[#This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2" s="85">
        <f>IF(T522&gt;0,VLOOKUP($J522,Ruimtegroepen[],3,FALSE)*VLOOKUP($L522,Vloersoorten[],3,FALSE)*VLOOKUP($S522,Frequenties[],3,FALSE)*VLOOKUP($A522,Locaties[],3,FALSE),0)</f>
        <v>0</v>
      </c>
      <c r="V522" s="86">
        <f>Ruimtestaat[[#This Row],[Uitvoeringen werkdagen]]*Ruimtestaat[[#This Row],[Oppervlak (netto)]]</f>
        <v>11276</v>
      </c>
      <c r="W522" s="87">
        <f>IF(U522&gt;0,Ruimtestaat[[#This Row],[Prest. (m2 /jaar) werkdagen]]/Ruimtestaat[[#This Row],[Norm (m2/uur) werkdagen]],0)</f>
        <v>0</v>
      </c>
      <c r="X522" s="88">
        <f>Ruimtestaat[[#This Row],[uren / jaar werkdagen]]*Tariefsopbouw!$E$35</f>
        <v>0</v>
      </c>
      <c r="Y522" s="85"/>
      <c r="Z522" s="89">
        <f>IF(Ruimtestaat[[#This Row],[Frequentie weekend]]&gt;0,VALUE(LEFT(Y522,1))*R522,0)</f>
        <v>0</v>
      </c>
      <c r="AA522" s="85">
        <f>IF($Z522&gt;0,VLOOKUP($J522,Ruimtegroepen[],3,FALSE)*VLOOKUP($L522,Vloersoorten[],3,FALSE)*VLOOKUP($Y522,Frequenties[],3,FALSE)*VLOOKUP(#REF!,Locaties[],3,FALSE),0)</f>
        <v>0</v>
      </c>
      <c r="AB522" s="87">
        <f>Ruimtestaat[[#This Row],[Uitvoeringen weekend]]*Ruimtestaat[[#This Row],[Oppervlak (netto)]]</f>
        <v>0</v>
      </c>
      <c r="AC522" s="90">
        <f>IF(AB522&gt;0,Ruimtestaat[[#This Row],[Prest. (m2 /jaar) weekend]]/Ruimtestaat[[#This Row],[Norm (m2/uur) weekend]],0)</f>
        <v>0</v>
      </c>
      <c r="AD522" s="91">
        <f>Ruimtestaat[[#This Row],[uren / jaar weekend]]*Tariefsopbouw!$D$40</f>
        <v>0</v>
      </c>
      <c r="AE522" s="60">
        <f>Ruimtestaat[[#This Row],[Prest. (m2 /jaar) weekend]]+Ruimtestaat[[#This Row],[Prest. (m2 /jaar) werkdagen]]</f>
        <v>11276</v>
      </c>
      <c r="AF522" s="60">
        <f>Ruimtestaat[[#This Row],[uren / jaar weekend]]+Ruimtestaat[[#This Row],[uren / jaar werkdagen]]</f>
        <v>0</v>
      </c>
      <c r="AG522" s="61">
        <f>Ruimtestaat[[#This Row],[kosten / jaar weekend]]+Ruimtestaat[[#This Row],[kosten / jaar werkdagen]]</f>
        <v>0</v>
      </c>
      <c r="AH522" s="92"/>
      <c r="HL522" s="59"/>
    </row>
    <row r="523" spans="1:220">
      <c r="A523" s="24">
        <v>4</v>
      </c>
      <c r="B523" s="24" t="str">
        <f>VLOOKUP(Ruimtestaat[[#This Row],[Code]],Locaties[#All],2,FALSE)</f>
        <v>Zwaluwenburg 10</v>
      </c>
      <c r="C523" s="24" t="str">
        <f>VLOOKUP(Ruimtestaat[[#This Row],[Code]],Locaties[#All],4,FALSE)</f>
        <v>De Zwaluwenburg 10</v>
      </c>
      <c r="D523" s="24" t="str">
        <f>VLOOKUP(Ruimtestaat[[#This Row],[Code]],Locaties[#All],5,FALSE)</f>
        <v>7423 DS</v>
      </c>
      <c r="E523" s="24" t="str">
        <f>VLOOKUP(Ruimtestaat[[#This Row],[Code]],Locaties[#All],6,FALSE)</f>
        <v>Deventer</v>
      </c>
      <c r="F523" s="54"/>
      <c r="G523" s="24" t="s">
        <v>367</v>
      </c>
      <c r="H523" s="24" t="s">
        <v>954</v>
      </c>
      <c r="I523" s="4" t="s">
        <v>955</v>
      </c>
      <c r="J523" s="24">
        <v>16</v>
      </c>
      <c r="K523" s="54" t="str">
        <f>VLOOKUP(J523,Ruimtegroepen[],2,FALSE)</f>
        <v>Leslokalen theorie</v>
      </c>
      <c r="L523" s="24" t="s">
        <v>300</v>
      </c>
      <c r="M523" s="24" t="s">
        <v>926</v>
      </c>
      <c r="N523" s="83">
        <v>56.38</v>
      </c>
      <c r="O523" s="83"/>
      <c r="P523" s="93" t="str">
        <f>LEFT(VLOOKUP(Ruimtestaat[[#This Row],[Ruimte code]],Ruimtegroepen[#All],4,1),2)</f>
        <v>Le</v>
      </c>
      <c r="Q523" s="93"/>
      <c r="R523" s="84">
        <v>40</v>
      </c>
      <c r="S523" s="84" t="s">
        <v>318</v>
      </c>
      <c r="T523" s="85">
        <f>IF(R523&gt;0,IF(RIGHT(Ruimtestaat[[#This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3" s="85">
        <f>IF(T523&gt;0,VLOOKUP($J523,Ruimtegroepen[],3,FALSE)*VLOOKUP($L523,Vloersoorten[],3,FALSE)*VLOOKUP($S523,Frequenties[],3,FALSE)*VLOOKUP($A523,Locaties[],3,FALSE),0)</f>
        <v>0</v>
      </c>
      <c r="V523" s="86">
        <f>Ruimtestaat[[#This Row],[Uitvoeringen werkdagen]]*Ruimtestaat[[#This Row],[Oppervlak (netto)]]</f>
        <v>11276</v>
      </c>
      <c r="W523" s="87">
        <f>IF(U523&gt;0,Ruimtestaat[[#This Row],[Prest. (m2 /jaar) werkdagen]]/Ruimtestaat[[#This Row],[Norm (m2/uur) werkdagen]],0)</f>
        <v>0</v>
      </c>
      <c r="X523" s="88">
        <f>Ruimtestaat[[#This Row],[uren / jaar werkdagen]]*Tariefsopbouw!$E$35</f>
        <v>0</v>
      </c>
      <c r="Y523" s="85"/>
      <c r="Z523" s="89">
        <f>IF(Ruimtestaat[[#This Row],[Frequentie weekend]]&gt;0,VALUE(LEFT(Y523,1))*R523,0)</f>
        <v>0</v>
      </c>
      <c r="AA523" s="85">
        <f>IF($Z523&gt;0,VLOOKUP($J523,Ruimtegroepen[],3,FALSE)*VLOOKUP($L523,Vloersoorten[],3,FALSE)*VLOOKUP($Y523,Frequenties[],3,FALSE)*VLOOKUP(#REF!,Locaties[],3,FALSE),0)</f>
        <v>0</v>
      </c>
      <c r="AB523" s="87">
        <f>Ruimtestaat[[#This Row],[Uitvoeringen weekend]]*Ruimtestaat[[#This Row],[Oppervlak (netto)]]</f>
        <v>0</v>
      </c>
      <c r="AC523" s="90">
        <f>IF(AB523&gt;0,Ruimtestaat[[#This Row],[Prest. (m2 /jaar) weekend]]/Ruimtestaat[[#This Row],[Norm (m2/uur) weekend]],0)</f>
        <v>0</v>
      </c>
      <c r="AD523" s="91">
        <f>Ruimtestaat[[#This Row],[uren / jaar weekend]]*Tariefsopbouw!$D$40</f>
        <v>0</v>
      </c>
      <c r="AE523" s="60">
        <f>Ruimtestaat[[#This Row],[Prest. (m2 /jaar) weekend]]+Ruimtestaat[[#This Row],[Prest. (m2 /jaar) werkdagen]]</f>
        <v>11276</v>
      </c>
      <c r="AF523" s="60">
        <f>Ruimtestaat[[#This Row],[uren / jaar weekend]]+Ruimtestaat[[#This Row],[uren / jaar werkdagen]]</f>
        <v>0</v>
      </c>
      <c r="AG523" s="61">
        <f>Ruimtestaat[[#This Row],[kosten / jaar weekend]]+Ruimtestaat[[#This Row],[kosten / jaar werkdagen]]</f>
        <v>0</v>
      </c>
      <c r="AH523" s="92"/>
      <c r="HL523" s="59"/>
    </row>
    <row r="524" spans="1:220">
      <c r="A524" s="24">
        <v>4</v>
      </c>
      <c r="B524" s="24" t="str">
        <f>VLOOKUP(Ruimtestaat[[#This Row],[Code]],Locaties[#All],2,FALSE)</f>
        <v>Zwaluwenburg 10</v>
      </c>
      <c r="C524" s="24" t="str">
        <f>VLOOKUP(Ruimtestaat[[#This Row],[Code]],Locaties[#All],4,FALSE)</f>
        <v>De Zwaluwenburg 10</v>
      </c>
      <c r="D524" s="24" t="str">
        <f>VLOOKUP(Ruimtestaat[[#This Row],[Code]],Locaties[#All],5,FALSE)</f>
        <v>7423 DS</v>
      </c>
      <c r="E524" s="24" t="str">
        <f>VLOOKUP(Ruimtestaat[[#This Row],[Code]],Locaties[#All],6,FALSE)</f>
        <v>Deventer</v>
      </c>
      <c r="F524" s="54"/>
      <c r="G524" s="24" t="s">
        <v>367</v>
      </c>
      <c r="H524" s="24" t="s">
        <v>956</v>
      </c>
      <c r="I524" s="4" t="s">
        <v>957</v>
      </c>
      <c r="J524" s="24">
        <v>5</v>
      </c>
      <c r="K524" s="54" t="str">
        <f>VLOOKUP(J524,Ruimtegroepen[],2,FALSE)</f>
        <v>Sanitair</v>
      </c>
      <c r="L524" s="24" t="s">
        <v>305</v>
      </c>
      <c r="M524" s="24" t="s">
        <v>929</v>
      </c>
      <c r="N524" s="83">
        <v>3.58</v>
      </c>
      <c r="O524" s="83"/>
      <c r="P524" s="93" t="str">
        <f>LEFT(VLOOKUP(Ruimtestaat[[#This Row],[Ruimte code]],Ruimtegroepen[#All],4,1),2)</f>
        <v>Sa</v>
      </c>
      <c r="Q524" s="93"/>
      <c r="R524" s="84">
        <v>42</v>
      </c>
      <c r="S524" s="84" t="s">
        <v>316</v>
      </c>
      <c r="T524" s="85">
        <f>IF(R524&gt;0,IF(RIGHT(Ruimtestaat[[#This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24" s="85">
        <f>IF(T524&gt;0,VLOOKUP($J524,Ruimtegroepen[],3,FALSE)*VLOOKUP($L524,Vloersoorten[],3,FALSE)*VLOOKUP($S524,Frequenties[],3,FALSE)*VLOOKUP($A524,Locaties[],3,FALSE),0)</f>
        <v>0</v>
      </c>
      <c r="V524" s="86">
        <f>Ruimtestaat[[#This Row],[Uitvoeringen werkdagen]]*Ruimtestaat[[#This Row],[Oppervlak (netto)]]</f>
        <v>1503.6000000000001</v>
      </c>
      <c r="W524" s="87">
        <f>IF(U524&gt;0,Ruimtestaat[[#This Row],[Prest. (m2 /jaar) werkdagen]]/Ruimtestaat[[#This Row],[Norm (m2/uur) werkdagen]],0)</f>
        <v>0</v>
      </c>
      <c r="X524" s="88">
        <f>Ruimtestaat[[#This Row],[uren / jaar werkdagen]]*Tariefsopbouw!$E$35</f>
        <v>0</v>
      </c>
      <c r="Y524" s="85"/>
      <c r="Z524" s="89">
        <f>IF(Ruimtestaat[[#This Row],[Frequentie weekend]]&gt;0,VALUE(LEFT(Y524,1))*R524,0)</f>
        <v>0</v>
      </c>
      <c r="AA524" s="85">
        <f>IF($Z524&gt;0,VLOOKUP($J524,Ruimtegroepen[],3,FALSE)*VLOOKUP($L524,Vloersoorten[],3,FALSE)*VLOOKUP($Y524,Frequenties[],3,FALSE)*VLOOKUP(#REF!,Locaties[],3,FALSE),0)</f>
        <v>0</v>
      </c>
      <c r="AB524" s="87">
        <f>Ruimtestaat[[#This Row],[Uitvoeringen weekend]]*Ruimtestaat[[#This Row],[Oppervlak (netto)]]</f>
        <v>0</v>
      </c>
      <c r="AC524" s="90">
        <f>IF(AB524&gt;0,Ruimtestaat[[#This Row],[Prest. (m2 /jaar) weekend]]/Ruimtestaat[[#This Row],[Norm (m2/uur) weekend]],0)</f>
        <v>0</v>
      </c>
      <c r="AD524" s="91">
        <f>Ruimtestaat[[#This Row],[uren / jaar weekend]]*Tariefsopbouw!$D$40</f>
        <v>0</v>
      </c>
      <c r="AE524" s="60">
        <f>Ruimtestaat[[#This Row],[Prest. (m2 /jaar) weekend]]+Ruimtestaat[[#This Row],[Prest. (m2 /jaar) werkdagen]]</f>
        <v>1503.6000000000001</v>
      </c>
      <c r="AF524" s="60">
        <f>Ruimtestaat[[#This Row],[uren / jaar weekend]]+Ruimtestaat[[#This Row],[uren / jaar werkdagen]]</f>
        <v>0</v>
      </c>
      <c r="AG524" s="61">
        <f>Ruimtestaat[[#This Row],[kosten / jaar weekend]]+Ruimtestaat[[#This Row],[kosten / jaar werkdagen]]</f>
        <v>0</v>
      </c>
      <c r="AH524" s="92"/>
      <c r="HL524" s="59"/>
    </row>
    <row r="525" spans="1:220">
      <c r="A525" s="24">
        <v>4</v>
      </c>
      <c r="B525" s="24" t="str">
        <f>VLOOKUP(Ruimtestaat[[#This Row],[Code]],Locaties[#All],2,FALSE)</f>
        <v>Zwaluwenburg 10</v>
      </c>
      <c r="C525" s="24" t="str">
        <f>VLOOKUP(Ruimtestaat[[#This Row],[Code]],Locaties[#All],4,FALSE)</f>
        <v>De Zwaluwenburg 10</v>
      </c>
      <c r="D525" s="24" t="str">
        <f>VLOOKUP(Ruimtestaat[[#This Row],[Code]],Locaties[#All],5,FALSE)</f>
        <v>7423 DS</v>
      </c>
      <c r="E525" s="24" t="str">
        <f>VLOOKUP(Ruimtestaat[[#This Row],[Code]],Locaties[#All],6,FALSE)</f>
        <v>Deventer</v>
      </c>
      <c r="F525" s="54"/>
      <c r="G525" s="24" t="s">
        <v>367</v>
      </c>
      <c r="H525" s="24" t="s">
        <v>958</v>
      </c>
      <c r="I525" s="4" t="s">
        <v>959</v>
      </c>
      <c r="J525" s="24">
        <v>5</v>
      </c>
      <c r="K525" s="54" t="str">
        <f>VLOOKUP(J525,Ruimtegroepen[],2,FALSE)</f>
        <v>Sanitair</v>
      </c>
      <c r="L525" s="24" t="s">
        <v>305</v>
      </c>
      <c r="M525" s="24" t="s">
        <v>929</v>
      </c>
      <c r="N525" s="83">
        <v>4.79</v>
      </c>
      <c r="O525" s="83"/>
      <c r="P525" s="93" t="str">
        <f>LEFT(VLOOKUP(Ruimtestaat[[#This Row],[Ruimte code]],Ruimtegroepen[#All],4,1),2)</f>
        <v>Sa</v>
      </c>
      <c r="Q525" s="93"/>
      <c r="R525" s="84">
        <v>42</v>
      </c>
      <c r="S525" s="84" t="s">
        <v>316</v>
      </c>
      <c r="T525" s="85">
        <f>IF(R525&gt;0,IF(RIGHT(Ruimtestaat[[#This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25" s="85">
        <f>IF(T525&gt;0,VLOOKUP($J525,Ruimtegroepen[],3,FALSE)*VLOOKUP($L525,Vloersoorten[],3,FALSE)*VLOOKUP($S525,Frequenties[],3,FALSE)*VLOOKUP($A525,Locaties[],3,FALSE),0)</f>
        <v>0</v>
      </c>
      <c r="V525" s="86">
        <f>Ruimtestaat[[#This Row],[Uitvoeringen werkdagen]]*Ruimtestaat[[#This Row],[Oppervlak (netto)]]</f>
        <v>2011.8</v>
      </c>
      <c r="W525" s="87">
        <f>IF(U525&gt;0,Ruimtestaat[[#This Row],[Prest. (m2 /jaar) werkdagen]]/Ruimtestaat[[#This Row],[Norm (m2/uur) werkdagen]],0)</f>
        <v>0</v>
      </c>
      <c r="X525" s="88">
        <f>Ruimtestaat[[#This Row],[uren / jaar werkdagen]]*Tariefsopbouw!$E$35</f>
        <v>0</v>
      </c>
      <c r="Y525" s="85"/>
      <c r="Z525" s="89">
        <f>IF(Ruimtestaat[[#This Row],[Frequentie weekend]]&gt;0,VALUE(LEFT(Y525,1))*R525,0)</f>
        <v>0</v>
      </c>
      <c r="AA525" s="85">
        <f>IF($Z525&gt;0,VLOOKUP($J525,Ruimtegroepen[],3,FALSE)*VLOOKUP($L525,Vloersoorten[],3,FALSE)*VLOOKUP($Y525,Frequenties[],3,FALSE)*VLOOKUP(#REF!,Locaties[],3,FALSE),0)</f>
        <v>0</v>
      </c>
      <c r="AB525" s="87">
        <f>Ruimtestaat[[#This Row],[Uitvoeringen weekend]]*Ruimtestaat[[#This Row],[Oppervlak (netto)]]</f>
        <v>0</v>
      </c>
      <c r="AC525" s="90">
        <f>IF(AB525&gt;0,Ruimtestaat[[#This Row],[Prest. (m2 /jaar) weekend]]/Ruimtestaat[[#This Row],[Norm (m2/uur) weekend]],0)</f>
        <v>0</v>
      </c>
      <c r="AD525" s="91">
        <f>Ruimtestaat[[#This Row],[uren / jaar weekend]]*Tariefsopbouw!$D$40</f>
        <v>0</v>
      </c>
      <c r="AE525" s="60">
        <f>Ruimtestaat[[#This Row],[Prest. (m2 /jaar) weekend]]+Ruimtestaat[[#This Row],[Prest. (m2 /jaar) werkdagen]]</f>
        <v>2011.8</v>
      </c>
      <c r="AF525" s="60">
        <f>Ruimtestaat[[#This Row],[uren / jaar weekend]]+Ruimtestaat[[#This Row],[uren / jaar werkdagen]]</f>
        <v>0</v>
      </c>
      <c r="AG525" s="61">
        <f>Ruimtestaat[[#This Row],[kosten / jaar weekend]]+Ruimtestaat[[#This Row],[kosten / jaar werkdagen]]</f>
        <v>0</v>
      </c>
      <c r="AH525" s="92"/>
      <c r="HL525" s="59"/>
    </row>
    <row r="526" spans="1:220">
      <c r="A526" s="24">
        <v>4</v>
      </c>
      <c r="B526" s="24" t="str">
        <f>VLOOKUP(Ruimtestaat[[#This Row],[Code]],Locaties[#All],2,FALSE)</f>
        <v>Zwaluwenburg 10</v>
      </c>
      <c r="C526" s="24" t="str">
        <f>VLOOKUP(Ruimtestaat[[#This Row],[Code]],Locaties[#All],4,FALSE)</f>
        <v>De Zwaluwenburg 10</v>
      </c>
      <c r="D526" s="24" t="str">
        <f>VLOOKUP(Ruimtestaat[[#This Row],[Code]],Locaties[#All],5,FALSE)</f>
        <v>7423 DS</v>
      </c>
      <c r="E526" s="24" t="str">
        <f>VLOOKUP(Ruimtestaat[[#This Row],[Code]],Locaties[#All],6,FALSE)</f>
        <v>Deventer</v>
      </c>
      <c r="F526" s="54"/>
      <c r="G526" s="24" t="s">
        <v>367</v>
      </c>
      <c r="H526" s="24" t="s">
        <v>807</v>
      </c>
      <c r="I526" s="4" t="s">
        <v>960</v>
      </c>
      <c r="J526" s="24">
        <v>5</v>
      </c>
      <c r="K526" s="54" t="str">
        <f>VLOOKUP(J526,Ruimtegroepen[],2,FALSE)</f>
        <v>Sanitair</v>
      </c>
      <c r="L526" s="24" t="s">
        <v>305</v>
      </c>
      <c r="M526" s="24" t="s">
        <v>929</v>
      </c>
      <c r="N526" s="83">
        <v>4.78</v>
      </c>
      <c r="O526" s="83"/>
      <c r="P526" s="93" t="str">
        <f>LEFT(VLOOKUP(Ruimtestaat[[#This Row],[Ruimte code]],Ruimtegroepen[#All],4,1),2)</f>
        <v>Sa</v>
      </c>
      <c r="Q526" s="93"/>
      <c r="R526" s="84">
        <v>42</v>
      </c>
      <c r="S526" s="84" t="s">
        <v>316</v>
      </c>
      <c r="T526" s="85">
        <f>IF(R526&gt;0,IF(RIGHT(Ruimtestaat[[#This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26" s="85">
        <f>IF(T526&gt;0,VLOOKUP($J526,Ruimtegroepen[],3,FALSE)*VLOOKUP($L526,Vloersoorten[],3,FALSE)*VLOOKUP($S526,Frequenties[],3,FALSE)*VLOOKUP($A526,Locaties[],3,FALSE),0)</f>
        <v>0</v>
      </c>
      <c r="V526" s="86">
        <f>Ruimtestaat[[#This Row],[Uitvoeringen werkdagen]]*Ruimtestaat[[#This Row],[Oppervlak (netto)]]</f>
        <v>2007.6000000000001</v>
      </c>
      <c r="W526" s="87">
        <f>IF(U526&gt;0,Ruimtestaat[[#This Row],[Prest. (m2 /jaar) werkdagen]]/Ruimtestaat[[#This Row],[Norm (m2/uur) werkdagen]],0)</f>
        <v>0</v>
      </c>
      <c r="X526" s="88">
        <f>Ruimtestaat[[#This Row],[uren / jaar werkdagen]]*Tariefsopbouw!$E$35</f>
        <v>0</v>
      </c>
      <c r="Y526" s="85"/>
      <c r="Z526" s="89">
        <f>IF(Ruimtestaat[[#This Row],[Frequentie weekend]]&gt;0,VALUE(LEFT(Y526,1))*R526,0)</f>
        <v>0</v>
      </c>
      <c r="AA526" s="85">
        <f>IF($Z526&gt;0,VLOOKUP($J526,Ruimtegroepen[],3,FALSE)*VLOOKUP($L526,Vloersoorten[],3,FALSE)*VLOOKUP($Y526,Frequenties[],3,FALSE)*VLOOKUP(#REF!,Locaties[],3,FALSE),0)</f>
        <v>0</v>
      </c>
      <c r="AB526" s="87">
        <f>Ruimtestaat[[#This Row],[Uitvoeringen weekend]]*Ruimtestaat[[#This Row],[Oppervlak (netto)]]</f>
        <v>0</v>
      </c>
      <c r="AC526" s="90">
        <f>IF(AB526&gt;0,Ruimtestaat[[#This Row],[Prest. (m2 /jaar) weekend]]/Ruimtestaat[[#This Row],[Norm (m2/uur) weekend]],0)</f>
        <v>0</v>
      </c>
      <c r="AD526" s="91">
        <f>Ruimtestaat[[#This Row],[uren / jaar weekend]]*Tariefsopbouw!$D$40</f>
        <v>0</v>
      </c>
      <c r="AE526" s="60">
        <f>Ruimtestaat[[#This Row],[Prest. (m2 /jaar) weekend]]+Ruimtestaat[[#This Row],[Prest. (m2 /jaar) werkdagen]]</f>
        <v>2007.6000000000001</v>
      </c>
      <c r="AF526" s="60">
        <f>Ruimtestaat[[#This Row],[uren / jaar weekend]]+Ruimtestaat[[#This Row],[uren / jaar werkdagen]]</f>
        <v>0</v>
      </c>
      <c r="AG526" s="61">
        <f>Ruimtestaat[[#This Row],[kosten / jaar weekend]]+Ruimtestaat[[#This Row],[kosten / jaar werkdagen]]</f>
        <v>0</v>
      </c>
      <c r="AH526" s="92"/>
      <c r="HL526" s="59"/>
    </row>
    <row r="527" spans="1:220">
      <c r="A527" s="24">
        <v>4</v>
      </c>
      <c r="B527" s="24" t="str">
        <f>VLOOKUP(Ruimtestaat[[#This Row],[Code]],Locaties[#All],2,FALSE)</f>
        <v>Zwaluwenburg 10</v>
      </c>
      <c r="C527" s="24" t="str">
        <f>VLOOKUP(Ruimtestaat[[#This Row],[Code]],Locaties[#All],4,FALSE)</f>
        <v>De Zwaluwenburg 10</v>
      </c>
      <c r="D527" s="24" t="str">
        <f>VLOOKUP(Ruimtestaat[[#This Row],[Code]],Locaties[#All],5,FALSE)</f>
        <v>7423 DS</v>
      </c>
      <c r="E527" s="24" t="str">
        <f>VLOOKUP(Ruimtestaat[[#This Row],[Code]],Locaties[#All],6,FALSE)</f>
        <v>Deventer</v>
      </c>
      <c r="F527" s="54"/>
      <c r="G527" s="24" t="s">
        <v>367</v>
      </c>
      <c r="H527" s="24" t="s">
        <v>961</v>
      </c>
      <c r="I527" s="4" t="s">
        <v>962</v>
      </c>
      <c r="J527" s="24">
        <v>5</v>
      </c>
      <c r="K527" s="54" t="str">
        <f>VLOOKUP(J527,Ruimtegroepen[],2,FALSE)</f>
        <v>Sanitair</v>
      </c>
      <c r="L527" s="24" t="s">
        <v>305</v>
      </c>
      <c r="M527" s="24" t="s">
        <v>929</v>
      </c>
      <c r="N527" s="83">
        <v>4.59</v>
      </c>
      <c r="O527" s="83"/>
      <c r="P527" s="93" t="str">
        <f>LEFT(VLOOKUP(Ruimtestaat[[#This Row],[Ruimte code]],Ruimtegroepen[#All],4,1),2)</f>
        <v>Sa</v>
      </c>
      <c r="Q527" s="93"/>
      <c r="R527" s="84">
        <v>42</v>
      </c>
      <c r="S527" s="84" t="s">
        <v>316</v>
      </c>
      <c r="T527" s="85">
        <f>IF(R527&gt;0,IF(RIGHT(Ruimtestaat[[#This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27" s="85">
        <f>IF(T527&gt;0,VLOOKUP($J527,Ruimtegroepen[],3,FALSE)*VLOOKUP($L527,Vloersoorten[],3,FALSE)*VLOOKUP($S527,Frequenties[],3,FALSE)*VLOOKUP($A527,Locaties[],3,FALSE),0)</f>
        <v>0</v>
      </c>
      <c r="V527" s="86">
        <f>Ruimtestaat[[#This Row],[Uitvoeringen werkdagen]]*Ruimtestaat[[#This Row],[Oppervlak (netto)]]</f>
        <v>1927.8</v>
      </c>
      <c r="W527" s="87">
        <f>IF(U527&gt;0,Ruimtestaat[[#This Row],[Prest. (m2 /jaar) werkdagen]]/Ruimtestaat[[#This Row],[Norm (m2/uur) werkdagen]],0)</f>
        <v>0</v>
      </c>
      <c r="X527" s="88">
        <f>Ruimtestaat[[#This Row],[uren / jaar werkdagen]]*Tariefsopbouw!$E$35</f>
        <v>0</v>
      </c>
      <c r="Y527" s="85"/>
      <c r="Z527" s="89">
        <f>IF(Ruimtestaat[[#This Row],[Frequentie weekend]]&gt;0,VALUE(LEFT(Y527,1))*R527,0)</f>
        <v>0</v>
      </c>
      <c r="AA527" s="85">
        <f>IF($Z527&gt;0,VLOOKUP($J527,Ruimtegroepen[],3,FALSE)*VLOOKUP($L527,Vloersoorten[],3,FALSE)*VLOOKUP($Y527,Frequenties[],3,FALSE)*VLOOKUP(#REF!,Locaties[],3,FALSE),0)</f>
        <v>0</v>
      </c>
      <c r="AB527" s="87">
        <f>Ruimtestaat[[#This Row],[Uitvoeringen weekend]]*Ruimtestaat[[#This Row],[Oppervlak (netto)]]</f>
        <v>0</v>
      </c>
      <c r="AC527" s="90">
        <f>IF(AB527&gt;0,Ruimtestaat[[#This Row],[Prest. (m2 /jaar) weekend]]/Ruimtestaat[[#This Row],[Norm (m2/uur) weekend]],0)</f>
        <v>0</v>
      </c>
      <c r="AD527" s="91">
        <f>Ruimtestaat[[#This Row],[uren / jaar weekend]]*Tariefsopbouw!$D$40</f>
        <v>0</v>
      </c>
      <c r="AE527" s="60">
        <f>Ruimtestaat[[#This Row],[Prest. (m2 /jaar) weekend]]+Ruimtestaat[[#This Row],[Prest. (m2 /jaar) werkdagen]]</f>
        <v>1927.8</v>
      </c>
      <c r="AF527" s="60">
        <f>Ruimtestaat[[#This Row],[uren / jaar weekend]]+Ruimtestaat[[#This Row],[uren / jaar werkdagen]]</f>
        <v>0</v>
      </c>
      <c r="AG527" s="61">
        <f>Ruimtestaat[[#This Row],[kosten / jaar weekend]]+Ruimtestaat[[#This Row],[kosten / jaar werkdagen]]</f>
        <v>0</v>
      </c>
      <c r="AH527" s="92"/>
      <c r="HL527" s="59"/>
    </row>
    <row r="528" spans="1:220">
      <c r="A528" s="24">
        <v>4</v>
      </c>
      <c r="B528" s="24" t="str">
        <f>VLOOKUP(Ruimtestaat[[#This Row],[Code]],Locaties[#All],2,FALSE)</f>
        <v>Zwaluwenburg 10</v>
      </c>
      <c r="C528" s="24" t="str">
        <f>VLOOKUP(Ruimtestaat[[#This Row],[Code]],Locaties[#All],4,FALSE)</f>
        <v>De Zwaluwenburg 10</v>
      </c>
      <c r="D528" s="24" t="str">
        <f>VLOOKUP(Ruimtestaat[[#This Row],[Code]],Locaties[#All],5,FALSE)</f>
        <v>7423 DS</v>
      </c>
      <c r="E528" s="24" t="str">
        <f>VLOOKUP(Ruimtestaat[[#This Row],[Code]],Locaties[#All],6,FALSE)</f>
        <v>Deventer</v>
      </c>
      <c r="F528" s="54"/>
      <c r="G528" s="24" t="s">
        <v>512</v>
      </c>
      <c r="H528" s="24" t="s">
        <v>661</v>
      </c>
      <c r="I528" s="4" t="s">
        <v>963</v>
      </c>
      <c r="J528" s="24">
        <v>13</v>
      </c>
      <c r="K528" s="54" t="str">
        <f>VLOOKUP(J528,Ruimtegroepen[],2,FALSE)</f>
        <v>HV/Technieklokaal</v>
      </c>
      <c r="L528" s="24" t="s">
        <v>300</v>
      </c>
      <c r="M528" s="24" t="s">
        <v>926</v>
      </c>
      <c r="N528" s="83">
        <v>30.87</v>
      </c>
      <c r="O528" s="83"/>
      <c r="P528" s="93" t="str">
        <f>LEFT(VLOOKUP(Ruimtestaat[[#This Row],[Ruimte code]],Ruimtegroepen[#All],4,1),2)</f>
        <v>Le</v>
      </c>
      <c r="Q528" s="93"/>
      <c r="R528" s="84">
        <v>40</v>
      </c>
      <c r="S528" s="84" t="s">
        <v>318</v>
      </c>
      <c r="T528" s="85">
        <f>IF(R528&gt;0,IF(RIGHT(Ruimtestaat[[#This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8" s="85">
        <f>IF(T528&gt;0,VLOOKUP($J528,Ruimtegroepen[],3,FALSE)*VLOOKUP($L528,Vloersoorten[],3,FALSE)*VLOOKUP($S528,Frequenties[],3,FALSE)*VLOOKUP($A528,Locaties[],3,FALSE),0)</f>
        <v>0</v>
      </c>
      <c r="V528" s="86">
        <f>Ruimtestaat[[#This Row],[Uitvoeringen werkdagen]]*Ruimtestaat[[#This Row],[Oppervlak (netto)]]</f>
        <v>6174</v>
      </c>
      <c r="W528" s="87">
        <f>IF(U528&gt;0,Ruimtestaat[[#This Row],[Prest. (m2 /jaar) werkdagen]]/Ruimtestaat[[#This Row],[Norm (m2/uur) werkdagen]],0)</f>
        <v>0</v>
      </c>
      <c r="X528" s="88">
        <f>Ruimtestaat[[#This Row],[uren / jaar werkdagen]]*Tariefsopbouw!$E$35</f>
        <v>0</v>
      </c>
      <c r="Y528" s="85"/>
      <c r="Z528" s="89">
        <f>IF(Ruimtestaat[[#This Row],[Frequentie weekend]]&gt;0,VALUE(LEFT(Y528,1))*R528,0)</f>
        <v>0</v>
      </c>
      <c r="AA528" s="85">
        <f>IF($Z528&gt;0,VLOOKUP($J528,Ruimtegroepen[],3,FALSE)*VLOOKUP($L528,Vloersoorten[],3,FALSE)*VLOOKUP($Y528,Frequenties[],3,FALSE)*VLOOKUP(#REF!,Locaties[],3,FALSE),0)</f>
        <v>0</v>
      </c>
      <c r="AB528" s="87">
        <f>Ruimtestaat[[#This Row],[Uitvoeringen weekend]]*Ruimtestaat[[#This Row],[Oppervlak (netto)]]</f>
        <v>0</v>
      </c>
      <c r="AC528" s="90">
        <f>IF(AB528&gt;0,Ruimtestaat[[#This Row],[Prest. (m2 /jaar) weekend]]/Ruimtestaat[[#This Row],[Norm (m2/uur) weekend]],0)</f>
        <v>0</v>
      </c>
      <c r="AD528" s="91">
        <f>Ruimtestaat[[#This Row],[uren / jaar weekend]]*Tariefsopbouw!$D$40</f>
        <v>0</v>
      </c>
      <c r="AE528" s="60">
        <f>Ruimtestaat[[#This Row],[Prest. (m2 /jaar) weekend]]+Ruimtestaat[[#This Row],[Prest. (m2 /jaar) werkdagen]]</f>
        <v>6174</v>
      </c>
      <c r="AF528" s="60">
        <f>Ruimtestaat[[#This Row],[uren / jaar weekend]]+Ruimtestaat[[#This Row],[uren / jaar werkdagen]]</f>
        <v>0</v>
      </c>
      <c r="AG528" s="61">
        <f>Ruimtestaat[[#This Row],[kosten / jaar weekend]]+Ruimtestaat[[#This Row],[kosten / jaar werkdagen]]</f>
        <v>0</v>
      </c>
      <c r="AH528" s="92"/>
      <c r="HL528" s="59"/>
    </row>
    <row r="529" spans="1:220">
      <c r="A529" s="24">
        <v>4</v>
      </c>
      <c r="B529" s="24" t="str">
        <f>VLOOKUP(Ruimtestaat[[#This Row],[Code]],Locaties[#All],2,FALSE)</f>
        <v>Zwaluwenburg 10</v>
      </c>
      <c r="C529" s="24" t="str">
        <f>VLOOKUP(Ruimtestaat[[#This Row],[Code]],Locaties[#All],4,FALSE)</f>
        <v>De Zwaluwenburg 10</v>
      </c>
      <c r="D529" s="24" t="str">
        <f>VLOOKUP(Ruimtestaat[[#This Row],[Code]],Locaties[#All],5,FALSE)</f>
        <v>7423 DS</v>
      </c>
      <c r="E529" s="24" t="str">
        <f>VLOOKUP(Ruimtestaat[[#This Row],[Code]],Locaties[#All],6,FALSE)</f>
        <v>Deventer</v>
      </c>
      <c r="F529" s="54"/>
      <c r="G529" s="24" t="s">
        <v>512</v>
      </c>
      <c r="H529" s="24" t="s">
        <v>964</v>
      </c>
      <c r="I529" s="4" t="s">
        <v>487</v>
      </c>
      <c r="J529" s="24">
        <v>6</v>
      </c>
      <c r="K529" s="54" t="str">
        <f>VLOOKUP(J529,Ruimtegroepen[],2,FALSE)</f>
        <v>Gangen/hallen</v>
      </c>
      <c r="L529" s="24" t="s">
        <v>300</v>
      </c>
      <c r="M529" s="24" t="s">
        <v>926</v>
      </c>
      <c r="N529" s="83">
        <v>68.63</v>
      </c>
      <c r="O529" s="83"/>
      <c r="P529" s="93" t="str">
        <f>LEFT(VLOOKUP(Ruimtestaat[[#This Row],[Ruimte code]],Ruimtegroepen[#All],4,1),2)</f>
        <v>Ve</v>
      </c>
      <c r="Q529" s="93"/>
      <c r="R529" s="84">
        <v>40</v>
      </c>
      <c r="S529" s="84" t="s">
        <v>318</v>
      </c>
      <c r="T529" s="85">
        <f>IF(R529&gt;0,IF(RIGHT(Ruimtestaat[[#This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9" s="85">
        <f>IF(T529&gt;0,VLOOKUP($J529,Ruimtegroepen[],3,FALSE)*VLOOKUP($L529,Vloersoorten[],3,FALSE)*VLOOKUP($S529,Frequenties[],3,FALSE)*VLOOKUP($A529,Locaties[],3,FALSE),0)</f>
        <v>0</v>
      </c>
      <c r="V529" s="86">
        <f>Ruimtestaat[[#This Row],[Uitvoeringen werkdagen]]*Ruimtestaat[[#This Row],[Oppervlak (netto)]]</f>
        <v>13726</v>
      </c>
      <c r="W529" s="87">
        <f>IF(U529&gt;0,Ruimtestaat[[#This Row],[Prest. (m2 /jaar) werkdagen]]/Ruimtestaat[[#This Row],[Norm (m2/uur) werkdagen]],0)</f>
        <v>0</v>
      </c>
      <c r="X529" s="88">
        <f>Ruimtestaat[[#This Row],[uren / jaar werkdagen]]*Tariefsopbouw!$E$35</f>
        <v>0</v>
      </c>
      <c r="Y529" s="85"/>
      <c r="Z529" s="89">
        <f>IF(Ruimtestaat[[#This Row],[Frequentie weekend]]&gt;0,VALUE(LEFT(Y529,1))*R529,0)</f>
        <v>0</v>
      </c>
      <c r="AA529" s="85">
        <f>IF($Z529&gt;0,VLOOKUP($J529,Ruimtegroepen[],3,FALSE)*VLOOKUP($L529,Vloersoorten[],3,FALSE)*VLOOKUP($Y529,Frequenties[],3,FALSE)*VLOOKUP(#REF!,Locaties[],3,FALSE),0)</f>
        <v>0</v>
      </c>
      <c r="AB529" s="87">
        <f>Ruimtestaat[[#This Row],[Uitvoeringen weekend]]*Ruimtestaat[[#This Row],[Oppervlak (netto)]]</f>
        <v>0</v>
      </c>
      <c r="AC529" s="90">
        <f>IF(AB529&gt;0,Ruimtestaat[[#This Row],[Prest. (m2 /jaar) weekend]]/Ruimtestaat[[#This Row],[Norm (m2/uur) weekend]],0)</f>
        <v>0</v>
      </c>
      <c r="AD529" s="91">
        <f>Ruimtestaat[[#This Row],[uren / jaar weekend]]*Tariefsopbouw!$D$40</f>
        <v>0</v>
      </c>
      <c r="AE529" s="60">
        <f>Ruimtestaat[[#This Row],[Prest. (m2 /jaar) weekend]]+Ruimtestaat[[#This Row],[Prest. (m2 /jaar) werkdagen]]</f>
        <v>13726</v>
      </c>
      <c r="AF529" s="60">
        <f>Ruimtestaat[[#This Row],[uren / jaar weekend]]+Ruimtestaat[[#This Row],[uren / jaar werkdagen]]</f>
        <v>0</v>
      </c>
      <c r="AG529" s="61">
        <f>Ruimtestaat[[#This Row],[kosten / jaar weekend]]+Ruimtestaat[[#This Row],[kosten / jaar werkdagen]]</f>
        <v>0</v>
      </c>
      <c r="AH529" s="92"/>
      <c r="HL529" s="59"/>
    </row>
    <row r="530" spans="1:220">
      <c r="A530" s="24">
        <v>4</v>
      </c>
      <c r="B530" s="24" t="str">
        <f>VLOOKUP(Ruimtestaat[[#This Row],[Code]],Locaties[#All],2,FALSE)</f>
        <v>Zwaluwenburg 10</v>
      </c>
      <c r="C530" s="24" t="str">
        <f>VLOOKUP(Ruimtestaat[[#This Row],[Code]],Locaties[#All],4,FALSE)</f>
        <v>De Zwaluwenburg 10</v>
      </c>
      <c r="D530" s="24" t="str">
        <f>VLOOKUP(Ruimtestaat[[#This Row],[Code]],Locaties[#All],5,FALSE)</f>
        <v>7423 DS</v>
      </c>
      <c r="E530" s="24" t="str">
        <f>VLOOKUP(Ruimtestaat[[#This Row],[Code]],Locaties[#All],6,FALSE)</f>
        <v>Deventer</v>
      </c>
      <c r="F530" s="54"/>
      <c r="G530" s="24" t="s">
        <v>512</v>
      </c>
      <c r="H530" s="24" t="s">
        <v>965</v>
      </c>
      <c r="I530" s="4" t="s">
        <v>394</v>
      </c>
      <c r="J530" s="24">
        <v>22</v>
      </c>
      <c r="K530" s="54" t="str">
        <f>VLOOKUP(J530,Ruimtegroepen[],2,FALSE)</f>
        <v>Niet in onderhoud</v>
      </c>
      <c r="M530" s="24"/>
      <c r="N530" s="83"/>
      <c r="O530" s="83">
        <v>4.88</v>
      </c>
      <c r="P530" s="93" t="str">
        <f>LEFT(VLOOKUP(Ruimtestaat[[#This Row],[Ruimte code]],Ruimtegroepen[#All],4,1),2)</f>
        <v/>
      </c>
      <c r="Q530" s="93"/>
      <c r="R530" s="84"/>
      <c r="S530" s="84"/>
      <c r="T530" s="85">
        <f>IF(R530&gt;0,IF(RIGHT(Ruimtestaat[[#This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30" s="85">
        <f>IF(T530&gt;0,VLOOKUP($J530,Ruimtegroepen[],3,FALSE)*VLOOKUP($L530,Vloersoorten[],3,FALSE)*VLOOKUP($S530,Frequenties[],3,FALSE)*VLOOKUP($A530,Locaties[],3,FALSE),0)</f>
        <v>0</v>
      </c>
      <c r="V530" s="86">
        <f>Ruimtestaat[[#This Row],[Uitvoeringen werkdagen]]*Ruimtestaat[[#This Row],[Oppervlak (netto)]]</f>
        <v>0</v>
      </c>
      <c r="W530" s="87">
        <f>IF(U530&gt;0,Ruimtestaat[[#This Row],[Prest. (m2 /jaar) werkdagen]]/Ruimtestaat[[#This Row],[Norm (m2/uur) werkdagen]],0)</f>
        <v>0</v>
      </c>
      <c r="X530" s="88">
        <f>Ruimtestaat[[#This Row],[uren / jaar werkdagen]]*Tariefsopbouw!$E$35</f>
        <v>0</v>
      </c>
      <c r="Y530" s="85"/>
      <c r="Z530" s="89">
        <f>IF(Ruimtestaat[[#This Row],[Frequentie weekend]]&gt;0,VALUE(LEFT(Y530,1))*R530,0)</f>
        <v>0</v>
      </c>
      <c r="AA530" s="85">
        <f>IF($Z530&gt;0,VLOOKUP($J530,Ruimtegroepen[],3,FALSE)*VLOOKUP($L530,Vloersoorten[],3,FALSE)*VLOOKUP($Y530,Frequenties[],3,FALSE)*VLOOKUP(#REF!,Locaties[],3,FALSE),0)</f>
        <v>0</v>
      </c>
      <c r="AB530" s="87">
        <f>Ruimtestaat[[#This Row],[Uitvoeringen weekend]]*Ruimtestaat[[#This Row],[Oppervlak (netto)]]</f>
        <v>0</v>
      </c>
      <c r="AC530" s="90">
        <f>IF(AB530&gt;0,Ruimtestaat[[#This Row],[Prest. (m2 /jaar) weekend]]/Ruimtestaat[[#This Row],[Norm (m2/uur) weekend]],0)</f>
        <v>0</v>
      </c>
      <c r="AD530" s="91">
        <f>Ruimtestaat[[#This Row],[uren / jaar weekend]]*Tariefsopbouw!$D$40</f>
        <v>0</v>
      </c>
      <c r="AE530" s="60">
        <f>Ruimtestaat[[#This Row],[Prest. (m2 /jaar) weekend]]+Ruimtestaat[[#This Row],[Prest. (m2 /jaar) werkdagen]]</f>
        <v>0</v>
      </c>
      <c r="AF530" s="60">
        <f>Ruimtestaat[[#This Row],[uren / jaar weekend]]+Ruimtestaat[[#This Row],[uren / jaar werkdagen]]</f>
        <v>0</v>
      </c>
      <c r="AG530" s="61">
        <f>Ruimtestaat[[#This Row],[kosten / jaar weekend]]+Ruimtestaat[[#This Row],[kosten / jaar werkdagen]]</f>
        <v>0</v>
      </c>
      <c r="AH530" s="92"/>
      <c r="HL530" s="59"/>
    </row>
    <row r="531" spans="1:220">
      <c r="A531" s="24">
        <v>4</v>
      </c>
      <c r="B531" s="24" t="str">
        <f>VLOOKUP(Ruimtestaat[[#This Row],[Code]],Locaties[#All],2,FALSE)</f>
        <v>Zwaluwenburg 10</v>
      </c>
      <c r="C531" s="24" t="str">
        <f>VLOOKUP(Ruimtestaat[[#This Row],[Code]],Locaties[#All],4,FALSE)</f>
        <v>De Zwaluwenburg 10</v>
      </c>
      <c r="D531" s="24" t="str">
        <f>VLOOKUP(Ruimtestaat[[#This Row],[Code]],Locaties[#All],5,FALSE)</f>
        <v>7423 DS</v>
      </c>
      <c r="E531" s="24" t="str">
        <f>VLOOKUP(Ruimtestaat[[#This Row],[Code]],Locaties[#All],6,FALSE)</f>
        <v>Deventer</v>
      </c>
      <c r="F531" s="54"/>
      <c r="G531" s="24" t="s">
        <v>512</v>
      </c>
      <c r="H531" s="24" t="s">
        <v>966</v>
      </c>
      <c r="I531" s="4" t="s">
        <v>394</v>
      </c>
      <c r="J531" s="24">
        <v>22</v>
      </c>
      <c r="K531" s="54" t="str">
        <f>VLOOKUP(J531,Ruimtegroepen[],2,FALSE)</f>
        <v>Niet in onderhoud</v>
      </c>
      <c r="M531" s="24"/>
      <c r="N531" s="83"/>
      <c r="O531" s="83">
        <v>5.24</v>
      </c>
      <c r="P531" s="93" t="str">
        <f>LEFT(VLOOKUP(Ruimtestaat[[#This Row],[Ruimte code]],Ruimtegroepen[#All],4,1),2)</f>
        <v/>
      </c>
      <c r="Q531" s="93"/>
      <c r="R531" s="84"/>
      <c r="S531" s="84"/>
      <c r="T531" s="85">
        <f>IF(R531&gt;0,IF(RIGHT(Ruimtestaat[[#This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31" s="85">
        <f>IF(T531&gt;0,VLOOKUP($J531,Ruimtegroepen[],3,FALSE)*VLOOKUP($L531,Vloersoorten[],3,FALSE)*VLOOKUP($S531,Frequenties[],3,FALSE)*VLOOKUP($A531,Locaties[],3,FALSE),0)</f>
        <v>0</v>
      </c>
      <c r="V531" s="86">
        <f>Ruimtestaat[[#This Row],[Uitvoeringen werkdagen]]*Ruimtestaat[[#This Row],[Oppervlak (netto)]]</f>
        <v>0</v>
      </c>
      <c r="W531" s="87">
        <f>IF(U531&gt;0,Ruimtestaat[[#This Row],[Prest. (m2 /jaar) werkdagen]]/Ruimtestaat[[#This Row],[Norm (m2/uur) werkdagen]],0)</f>
        <v>0</v>
      </c>
      <c r="X531" s="88">
        <f>Ruimtestaat[[#This Row],[uren / jaar werkdagen]]*Tariefsopbouw!$E$35</f>
        <v>0</v>
      </c>
      <c r="Y531" s="85"/>
      <c r="Z531" s="89">
        <f>IF(Ruimtestaat[[#This Row],[Frequentie weekend]]&gt;0,VALUE(LEFT(Y531,1))*R531,0)</f>
        <v>0</v>
      </c>
      <c r="AA531" s="85">
        <f>IF($Z531&gt;0,VLOOKUP($J531,Ruimtegroepen[],3,FALSE)*VLOOKUP($L531,Vloersoorten[],3,FALSE)*VLOOKUP($Y531,Frequenties[],3,FALSE)*VLOOKUP(#REF!,Locaties[],3,FALSE),0)</f>
        <v>0</v>
      </c>
      <c r="AB531" s="87">
        <f>Ruimtestaat[[#This Row],[Uitvoeringen weekend]]*Ruimtestaat[[#This Row],[Oppervlak (netto)]]</f>
        <v>0</v>
      </c>
      <c r="AC531" s="90">
        <f>IF(AB531&gt;0,Ruimtestaat[[#This Row],[Prest. (m2 /jaar) weekend]]/Ruimtestaat[[#This Row],[Norm (m2/uur) weekend]],0)</f>
        <v>0</v>
      </c>
      <c r="AD531" s="91">
        <f>Ruimtestaat[[#This Row],[uren / jaar weekend]]*Tariefsopbouw!$D$40</f>
        <v>0</v>
      </c>
      <c r="AE531" s="60">
        <f>Ruimtestaat[[#This Row],[Prest. (m2 /jaar) weekend]]+Ruimtestaat[[#This Row],[Prest. (m2 /jaar) werkdagen]]</f>
        <v>0</v>
      </c>
      <c r="AF531" s="60">
        <f>Ruimtestaat[[#This Row],[uren / jaar weekend]]+Ruimtestaat[[#This Row],[uren / jaar werkdagen]]</f>
        <v>0</v>
      </c>
      <c r="AG531" s="61">
        <f>Ruimtestaat[[#This Row],[kosten / jaar weekend]]+Ruimtestaat[[#This Row],[kosten / jaar werkdagen]]</f>
        <v>0</v>
      </c>
      <c r="AH531" s="92"/>
      <c r="HL531" s="59"/>
    </row>
    <row r="532" spans="1:220">
      <c r="A532" s="24">
        <v>4</v>
      </c>
      <c r="B532" s="24" t="str">
        <f>VLOOKUP(Ruimtestaat[[#This Row],[Code]],Locaties[#All],2,FALSE)</f>
        <v>Zwaluwenburg 10</v>
      </c>
      <c r="C532" s="24" t="str">
        <f>VLOOKUP(Ruimtestaat[[#This Row],[Code]],Locaties[#All],4,FALSE)</f>
        <v>De Zwaluwenburg 10</v>
      </c>
      <c r="D532" s="24" t="str">
        <f>VLOOKUP(Ruimtestaat[[#This Row],[Code]],Locaties[#All],5,FALSE)</f>
        <v>7423 DS</v>
      </c>
      <c r="E532" s="24" t="str">
        <f>VLOOKUP(Ruimtestaat[[#This Row],[Code]],Locaties[#All],6,FALSE)</f>
        <v>Deventer</v>
      </c>
      <c r="F532" s="54"/>
      <c r="G532" s="24" t="s">
        <v>512</v>
      </c>
      <c r="H532" s="24" t="s">
        <v>967</v>
      </c>
      <c r="I532" s="4" t="s">
        <v>691</v>
      </c>
      <c r="J532" s="24">
        <v>22</v>
      </c>
      <c r="K532" s="54" t="str">
        <f>VLOOKUP(J532,Ruimtegroepen[],2,FALSE)</f>
        <v>Niet in onderhoud</v>
      </c>
      <c r="M532" s="24"/>
      <c r="N532" s="83"/>
      <c r="O532" s="83">
        <v>1.81</v>
      </c>
      <c r="P532" s="93" t="str">
        <f>LEFT(VLOOKUP(Ruimtestaat[[#This Row],[Ruimte code]],Ruimtegroepen[#All],4,1),2)</f>
        <v/>
      </c>
      <c r="Q532" s="93"/>
      <c r="R532" s="84"/>
      <c r="S532" s="84"/>
      <c r="T532" s="85">
        <f>IF(R532&gt;0,IF(RIGHT(Ruimtestaat[[#This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32" s="85">
        <f>IF(T532&gt;0,VLOOKUP($J532,Ruimtegroepen[],3,FALSE)*VLOOKUP($L532,Vloersoorten[],3,FALSE)*VLOOKUP($S532,Frequenties[],3,FALSE)*VLOOKUP($A532,Locaties[],3,FALSE),0)</f>
        <v>0</v>
      </c>
      <c r="V532" s="86">
        <f>Ruimtestaat[[#This Row],[Uitvoeringen werkdagen]]*Ruimtestaat[[#This Row],[Oppervlak (netto)]]</f>
        <v>0</v>
      </c>
      <c r="W532" s="87">
        <f>IF(U532&gt;0,Ruimtestaat[[#This Row],[Prest. (m2 /jaar) werkdagen]]/Ruimtestaat[[#This Row],[Norm (m2/uur) werkdagen]],0)</f>
        <v>0</v>
      </c>
      <c r="X532" s="88">
        <f>Ruimtestaat[[#This Row],[uren / jaar werkdagen]]*Tariefsopbouw!$E$35</f>
        <v>0</v>
      </c>
      <c r="Y532" s="85"/>
      <c r="Z532" s="89">
        <f>IF(Ruimtestaat[[#This Row],[Frequentie weekend]]&gt;0,VALUE(LEFT(Y532,1))*R532,0)</f>
        <v>0</v>
      </c>
      <c r="AA532" s="85">
        <f>IF($Z532&gt;0,VLOOKUP($J532,Ruimtegroepen[],3,FALSE)*VLOOKUP($L532,Vloersoorten[],3,FALSE)*VLOOKUP($Y532,Frequenties[],3,FALSE)*VLOOKUP(#REF!,Locaties[],3,FALSE),0)</f>
        <v>0</v>
      </c>
      <c r="AB532" s="87">
        <f>Ruimtestaat[[#This Row],[Uitvoeringen weekend]]*Ruimtestaat[[#This Row],[Oppervlak (netto)]]</f>
        <v>0</v>
      </c>
      <c r="AC532" s="90">
        <f>IF(AB532&gt;0,Ruimtestaat[[#This Row],[Prest. (m2 /jaar) weekend]]/Ruimtestaat[[#This Row],[Norm (m2/uur) weekend]],0)</f>
        <v>0</v>
      </c>
      <c r="AD532" s="91">
        <f>Ruimtestaat[[#This Row],[uren / jaar weekend]]*Tariefsopbouw!$D$40</f>
        <v>0</v>
      </c>
      <c r="AE532" s="60">
        <f>Ruimtestaat[[#This Row],[Prest. (m2 /jaar) weekend]]+Ruimtestaat[[#This Row],[Prest. (m2 /jaar) werkdagen]]</f>
        <v>0</v>
      </c>
      <c r="AF532" s="60">
        <f>Ruimtestaat[[#This Row],[uren / jaar weekend]]+Ruimtestaat[[#This Row],[uren / jaar werkdagen]]</f>
        <v>0</v>
      </c>
      <c r="AG532" s="61">
        <f>Ruimtestaat[[#This Row],[kosten / jaar weekend]]+Ruimtestaat[[#This Row],[kosten / jaar werkdagen]]</f>
        <v>0</v>
      </c>
      <c r="AH532" s="92"/>
      <c r="HL532" s="59"/>
    </row>
    <row r="533" spans="1:220">
      <c r="A533" s="24">
        <v>4</v>
      </c>
      <c r="B533" s="24" t="str">
        <f>VLOOKUP(Ruimtestaat[[#This Row],[Code]],Locaties[#All],2,FALSE)</f>
        <v>Zwaluwenburg 10</v>
      </c>
      <c r="C533" s="24" t="str">
        <f>VLOOKUP(Ruimtestaat[[#This Row],[Code]],Locaties[#All],4,FALSE)</f>
        <v>De Zwaluwenburg 10</v>
      </c>
      <c r="D533" s="24" t="str">
        <f>VLOOKUP(Ruimtestaat[[#This Row],[Code]],Locaties[#All],5,FALSE)</f>
        <v>7423 DS</v>
      </c>
      <c r="E533" s="24" t="str">
        <f>VLOOKUP(Ruimtestaat[[#This Row],[Code]],Locaties[#All],6,FALSE)</f>
        <v>Deventer</v>
      </c>
      <c r="F533" s="54"/>
      <c r="G533" s="24" t="s">
        <v>512</v>
      </c>
      <c r="H533" s="24" t="s">
        <v>968</v>
      </c>
      <c r="I533" s="4" t="s">
        <v>372</v>
      </c>
      <c r="J533" s="24">
        <v>10</v>
      </c>
      <c r="K533" s="54" t="str">
        <f>VLOOKUP(J533,Ruimtegroepen[],2,FALSE)</f>
        <v>Trappenhuizen/lift</v>
      </c>
      <c r="L533" s="24" t="s">
        <v>305</v>
      </c>
      <c r="M533" s="252" t="s">
        <v>929</v>
      </c>
      <c r="N533" s="83">
        <v>1.91</v>
      </c>
      <c r="O533" s="83"/>
      <c r="P533" s="93" t="str">
        <f>LEFT(VLOOKUP(Ruimtestaat[[#This Row],[Ruimte code]],Ruimtegroepen[#All],4,1),2)</f>
        <v>Ve</v>
      </c>
      <c r="Q533" s="93"/>
      <c r="R533" s="84">
        <v>40</v>
      </c>
      <c r="S533" s="84" t="s">
        <v>318</v>
      </c>
      <c r="T533" s="85">
        <f>IF(R533&gt;0,IF(RIGHT(Ruimtestaat[[#This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3" s="85">
        <f>IF(T533&gt;0,VLOOKUP($J533,Ruimtegroepen[],3,FALSE)*VLOOKUP($L533,Vloersoorten[],3,FALSE)*VLOOKUP($S533,Frequenties[],3,FALSE)*VLOOKUP($A533,Locaties[],3,FALSE),0)</f>
        <v>0</v>
      </c>
      <c r="V533" s="86">
        <f>Ruimtestaat[[#This Row],[Uitvoeringen werkdagen]]*Ruimtestaat[[#This Row],[Oppervlak (netto)]]</f>
        <v>382</v>
      </c>
      <c r="W533" s="87">
        <f>IF(U533&gt;0,Ruimtestaat[[#This Row],[Prest. (m2 /jaar) werkdagen]]/Ruimtestaat[[#This Row],[Norm (m2/uur) werkdagen]],0)</f>
        <v>0</v>
      </c>
      <c r="X533" s="88">
        <f>Ruimtestaat[[#This Row],[uren / jaar werkdagen]]*Tariefsopbouw!$E$35</f>
        <v>0</v>
      </c>
      <c r="Y533" s="85"/>
      <c r="Z533" s="89">
        <f>IF(Ruimtestaat[[#This Row],[Frequentie weekend]]&gt;0,VALUE(LEFT(Y533,1))*R533,0)</f>
        <v>0</v>
      </c>
      <c r="AA533" s="85">
        <f>IF($Z533&gt;0,VLOOKUP($J533,Ruimtegroepen[],3,FALSE)*VLOOKUP($L533,Vloersoorten[],3,FALSE)*VLOOKUP($Y533,Frequenties[],3,FALSE)*VLOOKUP(#REF!,Locaties[],3,FALSE),0)</f>
        <v>0</v>
      </c>
      <c r="AB533" s="87">
        <f>Ruimtestaat[[#This Row],[Uitvoeringen weekend]]*Ruimtestaat[[#This Row],[Oppervlak (netto)]]</f>
        <v>0</v>
      </c>
      <c r="AC533" s="90">
        <f>IF(AB533&gt;0,Ruimtestaat[[#This Row],[Prest. (m2 /jaar) weekend]]/Ruimtestaat[[#This Row],[Norm (m2/uur) weekend]],0)</f>
        <v>0</v>
      </c>
      <c r="AD533" s="91">
        <f>Ruimtestaat[[#This Row],[uren / jaar weekend]]*Tariefsopbouw!$D$40</f>
        <v>0</v>
      </c>
      <c r="AE533" s="60">
        <f>Ruimtestaat[[#This Row],[Prest. (m2 /jaar) weekend]]+Ruimtestaat[[#This Row],[Prest. (m2 /jaar) werkdagen]]</f>
        <v>382</v>
      </c>
      <c r="AF533" s="60">
        <f>Ruimtestaat[[#This Row],[uren / jaar weekend]]+Ruimtestaat[[#This Row],[uren / jaar werkdagen]]</f>
        <v>0</v>
      </c>
      <c r="AG533" s="61">
        <f>Ruimtestaat[[#This Row],[kosten / jaar weekend]]+Ruimtestaat[[#This Row],[kosten / jaar werkdagen]]</f>
        <v>0</v>
      </c>
      <c r="AH533" s="92"/>
      <c r="HL533" s="59"/>
    </row>
    <row r="534" spans="1:220">
      <c r="A534" s="24">
        <v>4</v>
      </c>
      <c r="B534" s="24" t="str">
        <f>VLOOKUP(Ruimtestaat[[#This Row],[Code]],Locaties[#All],2,FALSE)</f>
        <v>Zwaluwenburg 10</v>
      </c>
      <c r="C534" s="24" t="str">
        <f>VLOOKUP(Ruimtestaat[[#This Row],[Code]],Locaties[#All],4,FALSE)</f>
        <v>De Zwaluwenburg 10</v>
      </c>
      <c r="D534" s="24" t="str">
        <f>VLOOKUP(Ruimtestaat[[#This Row],[Code]],Locaties[#All],5,FALSE)</f>
        <v>7423 DS</v>
      </c>
      <c r="E534" s="24" t="str">
        <f>VLOOKUP(Ruimtestaat[[#This Row],[Code]],Locaties[#All],6,FALSE)</f>
        <v>Deventer</v>
      </c>
      <c r="F534" s="54"/>
      <c r="G534" s="24" t="s">
        <v>512</v>
      </c>
      <c r="H534" s="24" t="s">
        <v>969</v>
      </c>
      <c r="I534" s="4" t="s">
        <v>394</v>
      </c>
      <c r="J534" s="24">
        <v>22</v>
      </c>
      <c r="K534" s="54" t="str">
        <f>VLOOKUP(J534,Ruimtegroepen[],2,FALSE)</f>
        <v>Niet in onderhoud</v>
      </c>
      <c r="M534" s="24"/>
      <c r="N534" s="83"/>
      <c r="O534" s="83">
        <v>4.99</v>
      </c>
      <c r="P534" s="93" t="str">
        <f>LEFT(VLOOKUP(Ruimtestaat[[#This Row],[Ruimte code]],Ruimtegroepen[#All],4,1),2)</f>
        <v/>
      </c>
      <c r="Q534" s="93"/>
      <c r="R534" s="84"/>
      <c r="S534" s="84"/>
      <c r="T534" s="85">
        <f>IF(R534&gt;0,IF(RIGHT(Ruimtestaat[[#This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34" s="85">
        <f>IF(T534&gt;0,VLOOKUP($J534,Ruimtegroepen[],3,FALSE)*VLOOKUP($L534,Vloersoorten[],3,FALSE)*VLOOKUP($S534,Frequenties[],3,FALSE)*VLOOKUP($A534,Locaties[],3,FALSE),0)</f>
        <v>0</v>
      </c>
      <c r="V534" s="86">
        <f>Ruimtestaat[[#This Row],[Uitvoeringen werkdagen]]*Ruimtestaat[[#This Row],[Oppervlak (netto)]]</f>
        <v>0</v>
      </c>
      <c r="W534" s="87">
        <f>IF(U534&gt;0,Ruimtestaat[[#This Row],[Prest. (m2 /jaar) werkdagen]]/Ruimtestaat[[#This Row],[Norm (m2/uur) werkdagen]],0)</f>
        <v>0</v>
      </c>
      <c r="X534" s="88">
        <f>Ruimtestaat[[#This Row],[uren / jaar werkdagen]]*Tariefsopbouw!$E$35</f>
        <v>0</v>
      </c>
      <c r="Y534" s="85"/>
      <c r="Z534" s="89">
        <f>IF(Ruimtestaat[[#This Row],[Frequentie weekend]]&gt;0,VALUE(LEFT(Y534,1))*R534,0)</f>
        <v>0</v>
      </c>
      <c r="AA534" s="85">
        <f>IF($Z534&gt;0,VLOOKUP($J534,Ruimtegroepen[],3,FALSE)*VLOOKUP($L534,Vloersoorten[],3,FALSE)*VLOOKUP($Y534,Frequenties[],3,FALSE)*VLOOKUP(#REF!,Locaties[],3,FALSE),0)</f>
        <v>0</v>
      </c>
      <c r="AB534" s="87">
        <f>Ruimtestaat[[#This Row],[Uitvoeringen weekend]]*Ruimtestaat[[#This Row],[Oppervlak (netto)]]</f>
        <v>0</v>
      </c>
      <c r="AC534" s="90">
        <f>IF(AB534&gt;0,Ruimtestaat[[#This Row],[Prest. (m2 /jaar) weekend]]/Ruimtestaat[[#This Row],[Norm (m2/uur) weekend]],0)</f>
        <v>0</v>
      </c>
      <c r="AD534" s="91">
        <f>Ruimtestaat[[#This Row],[uren / jaar weekend]]*Tariefsopbouw!$D$40</f>
        <v>0</v>
      </c>
      <c r="AE534" s="60">
        <f>Ruimtestaat[[#This Row],[Prest. (m2 /jaar) weekend]]+Ruimtestaat[[#This Row],[Prest. (m2 /jaar) werkdagen]]</f>
        <v>0</v>
      </c>
      <c r="AF534" s="60">
        <f>Ruimtestaat[[#This Row],[uren / jaar weekend]]+Ruimtestaat[[#This Row],[uren / jaar werkdagen]]</f>
        <v>0</v>
      </c>
      <c r="AG534" s="61">
        <f>Ruimtestaat[[#This Row],[kosten / jaar weekend]]+Ruimtestaat[[#This Row],[kosten / jaar werkdagen]]</f>
        <v>0</v>
      </c>
      <c r="AH534" s="92"/>
      <c r="HL534" s="59"/>
    </row>
    <row r="535" spans="1:220">
      <c r="A535" s="24">
        <v>4</v>
      </c>
      <c r="B535" s="24" t="str">
        <f>VLOOKUP(Ruimtestaat[[#This Row],[Code]],Locaties[#All],2,FALSE)</f>
        <v>Zwaluwenburg 10</v>
      </c>
      <c r="C535" s="24" t="str">
        <f>VLOOKUP(Ruimtestaat[[#This Row],[Code]],Locaties[#All],4,FALSE)</f>
        <v>De Zwaluwenburg 10</v>
      </c>
      <c r="D535" s="24" t="str">
        <f>VLOOKUP(Ruimtestaat[[#This Row],[Code]],Locaties[#All],5,FALSE)</f>
        <v>7423 DS</v>
      </c>
      <c r="E535" s="24" t="str">
        <f>VLOOKUP(Ruimtestaat[[#This Row],[Code]],Locaties[#All],6,FALSE)</f>
        <v>Deventer</v>
      </c>
      <c r="F535" s="54"/>
      <c r="G535" s="24" t="s">
        <v>512</v>
      </c>
      <c r="H535" s="24" t="s">
        <v>970</v>
      </c>
      <c r="I535" s="4" t="s">
        <v>971</v>
      </c>
      <c r="J535" s="24">
        <v>13</v>
      </c>
      <c r="K535" s="54" t="str">
        <f>VLOOKUP(J535,Ruimtegroepen[],2,FALSE)</f>
        <v>HV/Technieklokaal</v>
      </c>
      <c r="L535" s="24" t="s">
        <v>300</v>
      </c>
      <c r="M535" s="24" t="s">
        <v>926</v>
      </c>
      <c r="N535" s="83">
        <v>55.95</v>
      </c>
      <c r="O535" s="83"/>
      <c r="P535" s="93" t="str">
        <f>LEFT(VLOOKUP(Ruimtestaat[[#This Row],[Ruimte code]],Ruimtegroepen[#All],4,1),2)</f>
        <v>Le</v>
      </c>
      <c r="Q535" s="93"/>
      <c r="R535" s="84">
        <v>40</v>
      </c>
      <c r="S535" s="84" t="s">
        <v>318</v>
      </c>
      <c r="T535" s="85">
        <f>IF(R535&gt;0,IF(RIGHT(Ruimtestaat[[#This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5" s="85">
        <f>IF(T535&gt;0,VLOOKUP($J535,Ruimtegroepen[],3,FALSE)*VLOOKUP($L535,Vloersoorten[],3,FALSE)*VLOOKUP($S535,Frequenties[],3,FALSE)*VLOOKUP($A535,Locaties[],3,FALSE),0)</f>
        <v>0</v>
      </c>
      <c r="V535" s="86">
        <f>Ruimtestaat[[#This Row],[Uitvoeringen werkdagen]]*Ruimtestaat[[#This Row],[Oppervlak (netto)]]</f>
        <v>11190</v>
      </c>
      <c r="W535" s="87">
        <f>IF(U535&gt;0,Ruimtestaat[[#This Row],[Prest. (m2 /jaar) werkdagen]]/Ruimtestaat[[#This Row],[Norm (m2/uur) werkdagen]],0)</f>
        <v>0</v>
      </c>
      <c r="X535" s="88">
        <f>Ruimtestaat[[#This Row],[uren / jaar werkdagen]]*Tariefsopbouw!$E$35</f>
        <v>0</v>
      </c>
      <c r="Y535" s="85"/>
      <c r="Z535" s="89">
        <f>IF(Ruimtestaat[[#This Row],[Frequentie weekend]]&gt;0,VALUE(LEFT(Y535,1))*R535,0)</f>
        <v>0</v>
      </c>
      <c r="AA535" s="85">
        <f>IF($Z535&gt;0,VLOOKUP($J535,Ruimtegroepen[],3,FALSE)*VLOOKUP($L535,Vloersoorten[],3,FALSE)*VLOOKUP($Y535,Frequenties[],3,FALSE)*VLOOKUP(#REF!,Locaties[],3,FALSE),0)</f>
        <v>0</v>
      </c>
      <c r="AB535" s="87">
        <f>Ruimtestaat[[#This Row],[Uitvoeringen weekend]]*Ruimtestaat[[#This Row],[Oppervlak (netto)]]</f>
        <v>0</v>
      </c>
      <c r="AC535" s="90">
        <f>IF(AB535&gt;0,Ruimtestaat[[#This Row],[Prest. (m2 /jaar) weekend]]/Ruimtestaat[[#This Row],[Norm (m2/uur) weekend]],0)</f>
        <v>0</v>
      </c>
      <c r="AD535" s="91">
        <f>Ruimtestaat[[#This Row],[uren / jaar weekend]]*Tariefsopbouw!$D$40</f>
        <v>0</v>
      </c>
      <c r="AE535" s="60">
        <f>Ruimtestaat[[#This Row],[Prest. (m2 /jaar) weekend]]+Ruimtestaat[[#This Row],[Prest. (m2 /jaar) werkdagen]]</f>
        <v>11190</v>
      </c>
      <c r="AF535" s="60">
        <f>Ruimtestaat[[#This Row],[uren / jaar weekend]]+Ruimtestaat[[#This Row],[uren / jaar werkdagen]]</f>
        <v>0</v>
      </c>
      <c r="AG535" s="61">
        <f>Ruimtestaat[[#This Row],[kosten / jaar weekend]]+Ruimtestaat[[#This Row],[kosten / jaar werkdagen]]</f>
        <v>0</v>
      </c>
      <c r="AH535" s="92"/>
      <c r="HL535" s="59"/>
    </row>
    <row r="536" spans="1:220">
      <c r="A536" s="24">
        <v>4</v>
      </c>
      <c r="B536" s="24" t="str">
        <f>VLOOKUP(Ruimtestaat[[#This Row],[Code]],Locaties[#All],2,FALSE)</f>
        <v>Zwaluwenburg 10</v>
      </c>
      <c r="C536" s="24" t="str">
        <f>VLOOKUP(Ruimtestaat[[#This Row],[Code]],Locaties[#All],4,FALSE)</f>
        <v>De Zwaluwenburg 10</v>
      </c>
      <c r="D536" s="24" t="str">
        <f>VLOOKUP(Ruimtestaat[[#This Row],[Code]],Locaties[#All],5,FALSE)</f>
        <v>7423 DS</v>
      </c>
      <c r="E536" s="24" t="str">
        <f>VLOOKUP(Ruimtestaat[[#This Row],[Code]],Locaties[#All],6,FALSE)</f>
        <v>Deventer</v>
      </c>
      <c r="F536" s="54"/>
      <c r="G536" s="24" t="s">
        <v>512</v>
      </c>
      <c r="H536" s="24" t="s">
        <v>972</v>
      </c>
      <c r="I536" s="4" t="s">
        <v>973</v>
      </c>
      <c r="J536" s="24">
        <v>16</v>
      </c>
      <c r="K536" s="54" t="str">
        <f>VLOOKUP(J536,Ruimtegroepen[],2,FALSE)</f>
        <v>Leslokalen theorie</v>
      </c>
      <c r="L536" s="24" t="s">
        <v>300</v>
      </c>
      <c r="M536" s="24" t="s">
        <v>926</v>
      </c>
      <c r="N536" s="83">
        <v>56.22</v>
      </c>
      <c r="O536" s="83"/>
      <c r="P536" s="93" t="str">
        <f>LEFT(VLOOKUP(Ruimtestaat[[#This Row],[Ruimte code]],Ruimtegroepen[#All],4,1),2)</f>
        <v>Le</v>
      </c>
      <c r="Q536" s="93"/>
      <c r="R536" s="84">
        <v>40</v>
      </c>
      <c r="S536" s="84" t="s">
        <v>318</v>
      </c>
      <c r="T536" s="85">
        <f>IF(R536&gt;0,IF(RIGHT(Ruimtestaat[[#This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6" s="85">
        <f>IF(T536&gt;0,VLOOKUP($J536,Ruimtegroepen[],3,FALSE)*VLOOKUP($L536,Vloersoorten[],3,FALSE)*VLOOKUP($S536,Frequenties[],3,FALSE)*VLOOKUP($A536,Locaties[],3,FALSE),0)</f>
        <v>0</v>
      </c>
      <c r="V536" s="86">
        <f>Ruimtestaat[[#This Row],[Uitvoeringen werkdagen]]*Ruimtestaat[[#This Row],[Oppervlak (netto)]]</f>
        <v>11244</v>
      </c>
      <c r="W536" s="87">
        <f>IF(U536&gt;0,Ruimtestaat[[#This Row],[Prest. (m2 /jaar) werkdagen]]/Ruimtestaat[[#This Row],[Norm (m2/uur) werkdagen]],0)</f>
        <v>0</v>
      </c>
      <c r="X536" s="88">
        <f>Ruimtestaat[[#This Row],[uren / jaar werkdagen]]*Tariefsopbouw!$E$35</f>
        <v>0</v>
      </c>
      <c r="Y536" s="85"/>
      <c r="Z536" s="89">
        <f>IF(Ruimtestaat[[#This Row],[Frequentie weekend]]&gt;0,VALUE(LEFT(Y536,1))*R536,0)</f>
        <v>0</v>
      </c>
      <c r="AA536" s="85">
        <f>IF($Z536&gt;0,VLOOKUP($J536,Ruimtegroepen[],3,FALSE)*VLOOKUP($L536,Vloersoorten[],3,FALSE)*VLOOKUP($Y536,Frequenties[],3,FALSE)*VLOOKUP(#REF!,Locaties[],3,FALSE),0)</f>
        <v>0</v>
      </c>
      <c r="AB536" s="87">
        <f>Ruimtestaat[[#This Row],[Uitvoeringen weekend]]*Ruimtestaat[[#This Row],[Oppervlak (netto)]]</f>
        <v>0</v>
      </c>
      <c r="AC536" s="90">
        <f>IF(AB536&gt;0,Ruimtestaat[[#This Row],[Prest. (m2 /jaar) weekend]]/Ruimtestaat[[#This Row],[Norm (m2/uur) weekend]],0)</f>
        <v>0</v>
      </c>
      <c r="AD536" s="91">
        <f>Ruimtestaat[[#This Row],[uren / jaar weekend]]*Tariefsopbouw!$D$40</f>
        <v>0</v>
      </c>
      <c r="AE536" s="60">
        <f>Ruimtestaat[[#This Row],[Prest. (m2 /jaar) weekend]]+Ruimtestaat[[#This Row],[Prest. (m2 /jaar) werkdagen]]</f>
        <v>11244</v>
      </c>
      <c r="AF536" s="60">
        <f>Ruimtestaat[[#This Row],[uren / jaar weekend]]+Ruimtestaat[[#This Row],[uren / jaar werkdagen]]</f>
        <v>0</v>
      </c>
      <c r="AG536" s="61">
        <f>Ruimtestaat[[#This Row],[kosten / jaar weekend]]+Ruimtestaat[[#This Row],[kosten / jaar werkdagen]]</f>
        <v>0</v>
      </c>
      <c r="AH536" s="92"/>
      <c r="HL536" s="59"/>
    </row>
    <row r="537" spans="1:220">
      <c r="A537" s="24">
        <v>4</v>
      </c>
      <c r="B537" s="24" t="str">
        <f>VLOOKUP(Ruimtestaat[[#This Row],[Code]],Locaties[#All],2,FALSE)</f>
        <v>Zwaluwenburg 10</v>
      </c>
      <c r="C537" s="24" t="str">
        <f>VLOOKUP(Ruimtestaat[[#This Row],[Code]],Locaties[#All],4,FALSE)</f>
        <v>De Zwaluwenburg 10</v>
      </c>
      <c r="D537" s="24" t="str">
        <f>VLOOKUP(Ruimtestaat[[#This Row],[Code]],Locaties[#All],5,FALSE)</f>
        <v>7423 DS</v>
      </c>
      <c r="E537" s="24" t="str">
        <f>VLOOKUP(Ruimtestaat[[#This Row],[Code]],Locaties[#All],6,FALSE)</f>
        <v>Deventer</v>
      </c>
      <c r="F537" s="54"/>
      <c r="G537" s="24" t="s">
        <v>512</v>
      </c>
      <c r="H537" s="24" t="s">
        <v>974</v>
      </c>
      <c r="I537" s="4" t="s">
        <v>975</v>
      </c>
      <c r="J537" s="24">
        <v>16</v>
      </c>
      <c r="K537" s="54" t="str">
        <f>VLOOKUP(J537,Ruimtegroepen[],2,FALSE)</f>
        <v>Leslokalen theorie</v>
      </c>
      <c r="L537" s="24" t="s">
        <v>300</v>
      </c>
      <c r="M537" s="24" t="s">
        <v>926</v>
      </c>
      <c r="N537" s="83">
        <v>56.49</v>
      </c>
      <c r="O537" s="83"/>
      <c r="P537" s="93" t="str">
        <f>LEFT(VLOOKUP(Ruimtestaat[[#This Row],[Ruimte code]],Ruimtegroepen[#All],4,1),2)</f>
        <v>Le</v>
      </c>
      <c r="Q537" s="93"/>
      <c r="R537" s="84">
        <v>40</v>
      </c>
      <c r="S537" s="84" t="s">
        <v>318</v>
      </c>
      <c r="T537" s="85">
        <f>IF(R537&gt;0,IF(RIGHT(Ruimtestaat[[#This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7" s="85">
        <f>IF(T537&gt;0,VLOOKUP($J537,Ruimtegroepen[],3,FALSE)*VLOOKUP($L537,Vloersoorten[],3,FALSE)*VLOOKUP($S537,Frequenties[],3,FALSE)*VLOOKUP($A537,Locaties[],3,FALSE),0)</f>
        <v>0</v>
      </c>
      <c r="V537" s="86">
        <f>Ruimtestaat[[#This Row],[Uitvoeringen werkdagen]]*Ruimtestaat[[#This Row],[Oppervlak (netto)]]</f>
        <v>11298</v>
      </c>
      <c r="W537" s="87">
        <f>IF(U537&gt;0,Ruimtestaat[[#This Row],[Prest. (m2 /jaar) werkdagen]]/Ruimtestaat[[#This Row],[Norm (m2/uur) werkdagen]],0)</f>
        <v>0</v>
      </c>
      <c r="X537" s="88">
        <f>Ruimtestaat[[#This Row],[uren / jaar werkdagen]]*Tariefsopbouw!$E$35</f>
        <v>0</v>
      </c>
      <c r="Y537" s="85"/>
      <c r="Z537" s="89">
        <f>IF(Ruimtestaat[[#This Row],[Frequentie weekend]]&gt;0,VALUE(LEFT(Y537,1))*R537,0)</f>
        <v>0</v>
      </c>
      <c r="AA537" s="85">
        <f>IF($Z537&gt;0,VLOOKUP($J537,Ruimtegroepen[],3,FALSE)*VLOOKUP($L537,Vloersoorten[],3,FALSE)*VLOOKUP($Y537,Frequenties[],3,FALSE)*VLOOKUP(#REF!,Locaties[],3,FALSE),0)</f>
        <v>0</v>
      </c>
      <c r="AB537" s="87">
        <f>Ruimtestaat[[#This Row],[Uitvoeringen weekend]]*Ruimtestaat[[#This Row],[Oppervlak (netto)]]</f>
        <v>0</v>
      </c>
      <c r="AC537" s="90">
        <f>IF(AB537&gt;0,Ruimtestaat[[#This Row],[Prest. (m2 /jaar) weekend]]/Ruimtestaat[[#This Row],[Norm (m2/uur) weekend]],0)</f>
        <v>0</v>
      </c>
      <c r="AD537" s="91">
        <f>Ruimtestaat[[#This Row],[uren / jaar weekend]]*Tariefsopbouw!$D$40</f>
        <v>0</v>
      </c>
      <c r="AE537" s="60">
        <f>Ruimtestaat[[#This Row],[Prest. (m2 /jaar) weekend]]+Ruimtestaat[[#This Row],[Prest. (m2 /jaar) werkdagen]]</f>
        <v>11298</v>
      </c>
      <c r="AF537" s="60">
        <f>Ruimtestaat[[#This Row],[uren / jaar weekend]]+Ruimtestaat[[#This Row],[uren / jaar werkdagen]]</f>
        <v>0</v>
      </c>
      <c r="AG537" s="61">
        <f>Ruimtestaat[[#This Row],[kosten / jaar weekend]]+Ruimtestaat[[#This Row],[kosten / jaar werkdagen]]</f>
        <v>0</v>
      </c>
      <c r="AH537" s="92"/>
      <c r="HL537" s="59"/>
    </row>
    <row r="538" spans="1:220">
      <c r="A538" s="24">
        <v>4</v>
      </c>
      <c r="B538" s="24" t="str">
        <f>VLOOKUP(Ruimtestaat[[#This Row],[Code]],Locaties[#All],2,FALSE)</f>
        <v>Zwaluwenburg 10</v>
      </c>
      <c r="C538" s="24" t="str">
        <f>VLOOKUP(Ruimtestaat[[#This Row],[Code]],Locaties[#All],4,FALSE)</f>
        <v>De Zwaluwenburg 10</v>
      </c>
      <c r="D538" s="24" t="str">
        <f>VLOOKUP(Ruimtestaat[[#This Row],[Code]],Locaties[#All],5,FALSE)</f>
        <v>7423 DS</v>
      </c>
      <c r="E538" s="24" t="str">
        <f>VLOOKUP(Ruimtestaat[[#This Row],[Code]],Locaties[#All],6,FALSE)</f>
        <v>Deventer</v>
      </c>
      <c r="F538" s="54"/>
      <c r="G538" s="24" t="s">
        <v>512</v>
      </c>
      <c r="H538" s="24" t="s">
        <v>976</v>
      </c>
      <c r="I538" s="4" t="s">
        <v>977</v>
      </c>
      <c r="J538" s="24">
        <v>13</v>
      </c>
      <c r="K538" s="54" t="str">
        <f>VLOOKUP(J538,Ruimtegroepen[],2,FALSE)</f>
        <v>HV/Technieklokaal</v>
      </c>
      <c r="L538" s="24" t="s">
        <v>300</v>
      </c>
      <c r="M538" s="24" t="s">
        <v>926</v>
      </c>
      <c r="N538" s="83">
        <v>56.44</v>
      </c>
      <c r="O538" s="83"/>
      <c r="P538" s="93" t="str">
        <f>LEFT(VLOOKUP(Ruimtestaat[[#This Row],[Ruimte code]],Ruimtegroepen[#All],4,1),2)</f>
        <v>Le</v>
      </c>
      <c r="Q538" s="93"/>
      <c r="R538" s="84">
        <v>40</v>
      </c>
      <c r="S538" s="84" t="s">
        <v>318</v>
      </c>
      <c r="T538" s="85">
        <f>IF(R538&gt;0,IF(RIGHT(Ruimtestaat[[#This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8" s="85">
        <f>IF(T538&gt;0,VLOOKUP($J538,Ruimtegroepen[],3,FALSE)*VLOOKUP($L538,Vloersoorten[],3,FALSE)*VLOOKUP($S538,Frequenties[],3,FALSE)*VLOOKUP($A538,Locaties[],3,FALSE),0)</f>
        <v>0</v>
      </c>
      <c r="V538" s="86">
        <f>Ruimtestaat[[#This Row],[Uitvoeringen werkdagen]]*Ruimtestaat[[#This Row],[Oppervlak (netto)]]</f>
        <v>11288</v>
      </c>
      <c r="W538" s="87">
        <f>IF(U538&gt;0,Ruimtestaat[[#This Row],[Prest. (m2 /jaar) werkdagen]]/Ruimtestaat[[#This Row],[Norm (m2/uur) werkdagen]],0)</f>
        <v>0</v>
      </c>
      <c r="X538" s="88">
        <f>Ruimtestaat[[#This Row],[uren / jaar werkdagen]]*Tariefsopbouw!$E$35</f>
        <v>0</v>
      </c>
      <c r="Y538" s="85"/>
      <c r="Z538" s="89">
        <f>IF(Ruimtestaat[[#This Row],[Frequentie weekend]]&gt;0,VALUE(LEFT(Y538,1))*R538,0)</f>
        <v>0</v>
      </c>
      <c r="AA538" s="85">
        <f>IF($Z538&gt;0,VLOOKUP($J538,Ruimtegroepen[],3,FALSE)*VLOOKUP($L538,Vloersoorten[],3,FALSE)*VLOOKUP($Y538,Frequenties[],3,FALSE)*VLOOKUP(#REF!,Locaties[],3,FALSE),0)</f>
        <v>0</v>
      </c>
      <c r="AB538" s="87">
        <f>Ruimtestaat[[#This Row],[Uitvoeringen weekend]]*Ruimtestaat[[#This Row],[Oppervlak (netto)]]</f>
        <v>0</v>
      </c>
      <c r="AC538" s="90">
        <f>IF(AB538&gt;0,Ruimtestaat[[#This Row],[Prest. (m2 /jaar) weekend]]/Ruimtestaat[[#This Row],[Norm (m2/uur) weekend]],0)</f>
        <v>0</v>
      </c>
      <c r="AD538" s="91">
        <f>Ruimtestaat[[#This Row],[uren / jaar weekend]]*Tariefsopbouw!$D$40</f>
        <v>0</v>
      </c>
      <c r="AE538" s="60">
        <f>Ruimtestaat[[#This Row],[Prest. (m2 /jaar) weekend]]+Ruimtestaat[[#This Row],[Prest. (m2 /jaar) werkdagen]]</f>
        <v>11288</v>
      </c>
      <c r="AF538" s="60">
        <f>Ruimtestaat[[#This Row],[uren / jaar weekend]]+Ruimtestaat[[#This Row],[uren / jaar werkdagen]]</f>
        <v>0</v>
      </c>
      <c r="AG538" s="61">
        <f>Ruimtestaat[[#This Row],[kosten / jaar weekend]]+Ruimtestaat[[#This Row],[kosten / jaar werkdagen]]</f>
        <v>0</v>
      </c>
      <c r="AH538" s="92"/>
      <c r="HL538" s="59"/>
    </row>
    <row r="539" spans="1:220">
      <c r="A539" s="24">
        <v>4</v>
      </c>
      <c r="B539" s="24" t="str">
        <f>VLOOKUP(Ruimtestaat[[#This Row],[Code]],Locaties[#All],2,FALSE)</f>
        <v>Zwaluwenburg 10</v>
      </c>
      <c r="C539" s="24" t="str">
        <f>VLOOKUP(Ruimtestaat[[#This Row],[Code]],Locaties[#All],4,FALSE)</f>
        <v>De Zwaluwenburg 10</v>
      </c>
      <c r="D539" s="24" t="str">
        <f>VLOOKUP(Ruimtestaat[[#This Row],[Code]],Locaties[#All],5,FALSE)</f>
        <v>7423 DS</v>
      </c>
      <c r="E539" s="24" t="str">
        <f>VLOOKUP(Ruimtestaat[[#This Row],[Code]],Locaties[#All],6,FALSE)</f>
        <v>Deventer</v>
      </c>
      <c r="F539" s="54"/>
      <c r="G539" s="24" t="s">
        <v>512</v>
      </c>
      <c r="H539" s="24" t="s">
        <v>978</v>
      </c>
      <c r="I539" s="4" t="s">
        <v>979</v>
      </c>
      <c r="J539" s="24">
        <v>16</v>
      </c>
      <c r="K539" s="54" t="str">
        <f>VLOOKUP(J539,Ruimtegroepen[],2,FALSE)</f>
        <v>Leslokalen theorie</v>
      </c>
      <c r="L539" s="24" t="s">
        <v>300</v>
      </c>
      <c r="M539" s="24" t="s">
        <v>926</v>
      </c>
      <c r="N539" s="83">
        <v>56.17</v>
      </c>
      <c r="O539" s="83"/>
      <c r="P539" s="93" t="str">
        <f>LEFT(VLOOKUP(Ruimtestaat[[#This Row],[Ruimte code]],Ruimtegroepen[#All],4,1),2)</f>
        <v>Le</v>
      </c>
      <c r="Q539" s="93"/>
      <c r="R539" s="84">
        <v>40</v>
      </c>
      <c r="S539" s="84" t="s">
        <v>318</v>
      </c>
      <c r="T539" s="85">
        <f>IF(R539&gt;0,IF(RIGHT(Ruimtestaat[[#This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9" s="85">
        <f>IF(T539&gt;0,VLOOKUP($J539,Ruimtegroepen[],3,FALSE)*VLOOKUP($L539,Vloersoorten[],3,FALSE)*VLOOKUP($S539,Frequenties[],3,FALSE)*VLOOKUP($A539,Locaties[],3,FALSE),0)</f>
        <v>0</v>
      </c>
      <c r="V539" s="86">
        <f>Ruimtestaat[[#This Row],[Uitvoeringen werkdagen]]*Ruimtestaat[[#This Row],[Oppervlak (netto)]]</f>
        <v>11234</v>
      </c>
      <c r="W539" s="87">
        <f>IF(U539&gt;0,Ruimtestaat[[#This Row],[Prest. (m2 /jaar) werkdagen]]/Ruimtestaat[[#This Row],[Norm (m2/uur) werkdagen]],0)</f>
        <v>0</v>
      </c>
      <c r="X539" s="88">
        <f>Ruimtestaat[[#This Row],[uren / jaar werkdagen]]*Tariefsopbouw!$E$35</f>
        <v>0</v>
      </c>
      <c r="Y539" s="85"/>
      <c r="Z539" s="89">
        <f>IF(Ruimtestaat[[#This Row],[Frequentie weekend]]&gt;0,VALUE(LEFT(Y539,1))*R539,0)</f>
        <v>0</v>
      </c>
      <c r="AA539" s="85">
        <f>IF($Z539&gt;0,VLOOKUP($J539,Ruimtegroepen[],3,FALSE)*VLOOKUP($L539,Vloersoorten[],3,FALSE)*VLOOKUP($Y539,Frequenties[],3,FALSE)*VLOOKUP(#REF!,Locaties[],3,FALSE),0)</f>
        <v>0</v>
      </c>
      <c r="AB539" s="87">
        <f>Ruimtestaat[[#This Row],[Uitvoeringen weekend]]*Ruimtestaat[[#This Row],[Oppervlak (netto)]]</f>
        <v>0</v>
      </c>
      <c r="AC539" s="90">
        <f>IF(AB539&gt;0,Ruimtestaat[[#This Row],[Prest. (m2 /jaar) weekend]]/Ruimtestaat[[#This Row],[Norm (m2/uur) weekend]],0)</f>
        <v>0</v>
      </c>
      <c r="AD539" s="91">
        <f>Ruimtestaat[[#This Row],[uren / jaar weekend]]*Tariefsopbouw!$D$40</f>
        <v>0</v>
      </c>
      <c r="AE539" s="60">
        <f>Ruimtestaat[[#This Row],[Prest. (m2 /jaar) weekend]]+Ruimtestaat[[#This Row],[Prest. (m2 /jaar) werkdagen]]</f>
        <v>11234</v>
      </c>
      <c r="AF539" s="60">
        <f>Ruimtestaat[[#This Row],[uren / jaar weekend]]+Ruimtestaat[[#This Row],[uren / jaar werkdagen]]</f>
        <v>0</v>
      </c>
      <c r="AG539" s="61">
        <f>Ruimtestaat[[#This Row],[kosten / jaar weekend]]+Ruimtestaat[[#This Row],[kosten / jaar werkdagen]]</f>
        <v>0</v>
      </c>
      <c r="AH539" s="92"/>
      <c r="HL539" s="59"/>
    </row>
    <row r="540" spans="1:220">
      <c r="A540" s="24">
        <v>4</v>
      </c>
      <c r="B540" s="24" t="str">
        <f>VLOOKUP(Ruimtestaat[[#This Row],[Code]],Locaties[#All],2,FALSE)</f>
        <v>Zwaluwenburg 10</v>
      </c>
      <c r="C540" s="24" t="str">
        <f>VLOOKUP(Ruimtestaat[[#This Row],[Code]],Locaties[#All],4,FALSE)</f>
        <v>De Zwaluwenburg 10</v>
      </c>
      <c r="D540" s="24" t="str">
        <f>VLOOKUP(Ruimtestaat[[#This Row],[Code]],Locaties[#All],5,FALSE)</f>
        <v>7423 DS</v>
      </c>
      <c r="E540" s="24" t="str">
        <f>VLOOKUP(Ruimtestaat[[#This Row],[Code]],Locaties[#All],6,FALSE)</f>
        <v>Deventer</v>
      </c>
      <c r="F540" s="54"/>
      <c r="G540" s="24" t="s">
        <v>512</v>
      </c>
      <c r="H540" s="24" t="s">
        <v>980</v>
      </c>
      <c r="I540" s="4" t="s">
        <v>960</v>
      </c>
      <c r="J540" s="24">
        <v>5</v>
      </c>
      <c r="K540" s="54" t="str">
        <f>VLOOKUP(J540,Ruimtegroepen[],2,FALSE)</f>
        <v>Sanitair</v>
      </c>
      <c r="L540" s="24" t="s">
        <v>305</v>
      </c>
      <c r="M540" s="24" t="s">
        <v>929</v>
      </c>
      <c r="N540" s="83">
        <v>5.01</v>
      </c>
      <c r="O540" s="83"/>
      <c r="P540" s="93" t="str">
        <f>LEFT(VLOOKUP(Ruimtestaat[[#This Row],[Ruimte code]],Ruimtegroepen[#All],4,1),2)</f>
        <v>Sa</v>
      </c>
      <c r="Q540" s="93"/>
      <c r="R540" s="84">
        <v>42</v>
      </c>
      <c r="S540" s="84" t="s">
        <v>316</v>
      </c>
      <c r="T540" s="85">
        <f>IF(R540&gt;0,IF(RIGHT(Ruimtestaat[[#This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40" s="85">
        <f>IF(T540&gt;0,VLOOKUP($J540,Ruimtegroepen[],3,FALSE)*VLOOKUP($L540,Vloersoorten[],3,FALSE)*VLOOKUP($S540,Frequenties[],3,FALSE)*VLOOKUP($A540,Locaties[],3,FALSE),0)</f>
        <v>0</v>
      </c>
      <c r="V540" s="86">
        <f>Ruimtestaat[[#This Row],[Uitvoeringen werkdagen]]*Ruimtestaat[[#This Row],[Oppervlak (netto)]]</f>
        <v>2104.1999999999998</v>
      </c>
      <c r="W540" s="87">
        <f>IF(U540&gt;0,Ruimtestaat[[#This Row],[Prest. (m2 /jaar) werkdagen]]/Ruimtestaat[[#This Row],[Norm (m2/uur) werkdagen]],0)</f>
        <v>0</v>
      </c>
      <c r="X540" s="88">
        <f>Ruimtestaat[[#This Row],[uren / jaar werkdagen]]*Tariefsopbouw!$E$35</f>
        <v>0</v>
      </c>
      <c r="Y540" s="85"/>
      <c r="Z540" s="89">
        <f>IF(Ruimtestaat[[#This Row],[Frequentie weekend]]&gt;0,VALUE(LEFT(Y540,1))*R540,0)</f>
        <v>0</v>
      </c>
      <c r="AA540" s="85">
        <f>IF($Z540&gt;0,VLOOKUP($J540,Ruimtegroepen[],3,FALSE)*VLOOKUP($L540,Vloersoorten[],3,FALSE)*VLOOKUP($Y540,Frequenties[],3,FALSE)*VLOOKUP(#REF!,Locaties[],3,FALSE),0)</f>
        <v>0</v>
      </c>
      <c r="AB540" s="87">
        <f>Ruimtestaat[[#This Row],[Uitvoeringen weekend]]*Ruimtestaat[[#This Row],[Oppervlak (netto)]]</f>
        <v>0</v>
      </c>
      <c r="AC540" s="90">
        <f>IF(AB540&gt;0,Ruimtestaat[[#This Row],[Prest. (m2 /jaar) weekend]]/Ruimtestaat[[#This Row],[Norm (m2/uur) weekend]],0)</f>
        <v>0</v>
      </c>
      <c r="AD540" s="91">
        <f>Ruimtestaat[[#This Row],[uren / jaar weekend]]*Tariefsopbouw!$D$40</f>
        <v>0</v>
      </c>
      <c r="AE540" s="60">
        <f>Ruimtestaat[[#This Row],[Prest. (m2 /jaar) weekend]]+Ruimtestaat[[#This Row],[Prest. (m2 /jaar) werkdagen]]</f>
        <v>2104.1999999999998</v>
      </c>
      <c r="AF540" s="60">
        <f>Ruimtestaat[[#This Row],[uren / jaar weekend]]+Ruimtestaat[[#This Row],[uren / jaar werkdagen]]</f>
        <v>0</v>
      </c>
      <c r="AG540" s="61">
        <f>Ruimtestaat[[#This Row],[kosten / jaar weekend]]+Ruimtestaat[[#This Row],[kosten / jaar werkdagen]]</f>
        <v>0</v>
      </c>
      <c r="AH540" s="92"/>
      <c r="HL540" s="59"/>
    </row>
    <row r="541" spans="1:220">
      <c r="A541" s="24">
        <v>4</v>
      </c>
      <c r="B541" s="24" t="str">
        <f>VLOOKUP(Ruimtestaat[[#This Row],[Code]],Locaties[#All],2,FALSE)</f>
        <v>Zwaluwenburg 10</v>
      </c>
      <c r="C541" s="24" t="str">
        <f>VLOOKUP(Ruimtestaat[[#This Row],[Code]],Locaties[#All],4,FALSE)</f>
        <v>De Zwaluwenburg 10</v>
      </c>
      <c r="D541" s="24" t="str">
        <f>VLOOKUP(Ruimtestaat[[#This Row],[Code]],Locaties[#All],5,FALSE)</f>
        <v>7423 DS</v>
      </c>
      <c r="E541" s="24" t="str">
        <f>VLOOKUP(Ruimtestaat[[#This Row],[Code]],Locaties[#All],6,FALSE)</f>
        <v>Deventer</v>
      </c>
      <c r="F541" s="54"/>
      <c r="G541" s="24" t="s">
        <v>512</v>
      </c>
      <c r="H541" s="24" t="s">
        <v>981</v>
      </c>
      <c r="I541" s="4" t="s">
        <v>962</v>
      </c>
      <c r="J541" s="24">
        <v>5</v>
      </c>
      <c r="K541" s="54" t="str">
        <f>VLOOKUP(J541,Ruimtegroepen[],2,FALSE)</f>
        <v>Sanitair</v>
      </c>
      <c r="L541" s="24" t="s">
        <v>305</v>
      </c>
      <c r="M541" s="24" t="s">
        <v>929</v>
      </c>
      <c r="N541" s="83">
        <v>5.7</v>
      </c>
      <c r="O541" s="83"/>
      <c r="P541" s="93" t="str">
        <f>LEFT(VLOOKUP(Ruimtestaat[[#This Row],[Ruimte code]],Ruimtegroepen[#All],4,1),2)</f>
        <v>Sa</v>
      </c>
      <c r="Q541" s="93"/>
      <c r="R541" s="84">
        <v>42</v>
      </c>
      <c r="S541" s="84" t="s">
        <v>316</v>
      </c>
      <c r="T541" s="85">
        <f>IF(R541&gt;0,IF(RIGHT(Ruimtestaat[[#This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41" s="85">
        <f>IF(T541&gt;0,VLOOKUP($J541,Ruimtegroepen[],3,FALSE)*VLOOKUP($L541,Vloersoorten[],3,FALSE)*VLOOKUP($S541,Frequenties[],3,FALSE)*VLOOKUP($A541,Locaties[],3,FALSE),0)</f>
        <v>0</v>
      </c>
      <c r="V541" s="86">
        <f>Ruimtestaat[[#This Row],[Uitvoeringen werkdagen]]*Ruimtestaat[[#This Row],[Oppervlak (netto)]]</f>
        <v>2394</v>
      </c>
      <c r="W541" s="87">
        <f>IF(U541&gt;0,Ruimtestaat[[#This Row],[Prest. (m2 /jaar) werkdagen]]/Ruimtestaat[[#This Row],[Norm (m2/uur) werkdagen]],0)</f>
        <v>0</v>
      </c>
      <c r="X541" s="88">
        <f>Ruimtestaat[[#This Row],[uren / jaar werkdagen]]*Tariefsopbouw!$E$35</f>
        <v>0</v>
      </c>
      <c r="Y541" s="85"/>
      <c r="Z541" s="89">
        <f>IF(Ruimtestaat[[#This Row],[Frequentie weekend]]&gt;0,VALUE(LEFT(Y541,1))*R541,0)</f>
        <v>0</v>
      </c>
      <c r="AA541" s="85">
        <f>IF($Z541&gt;0,VLOOKUP($J541,Ruimtegroepen[],3,FALSE)*VLOOKUP($L541,Vloersoorten[],3,FALSE)*VLOOKUP($Y541,Frequenties[],3,FALSE)*VLOOKUP(#REF!,Locaties[],3,FALSE),0)</f>
        <v>0</v>
      </c>
      <c r="AB541" s="87">
        <f>Ruimtestaat[[#This Row],[Uitvoeringen weekend]]*Ruimtestaat[[#This Row],[Oppervlak (netto)]]</f>
        <v>0</v>
      </c>
      <c r="AC541" s="90">
        <f>IF(AB541&gt;0,Ruimtestaat[[#This Row],[Prest. (m2 /jaar) weekend]]/Ruimtestaat[[#This Row],[Norm (m2/uur) weekend]],0)</f>
        <v>0</v>
      </c>
      <c r="AD541" s="91">
        <f>Ruimtestaat[[#This Row],[uren / jaar weekend]]*Tariefsopbouw!$D$40</f>
        <v>0</v>
      </c>
      <c r="AE541" s="60">
        <f>Ruimtestaat[[#This Row],[Prest. (m2 /jaar) weekend]]+Ruimtestaat[[#This Row],[Prest. (m2 /jaar) werkdagen]]</f>
        <v>2394</v>
      </c>
      <c r="AF541" s="60">
        <f>Ruimtestaat[[#This Row],[uren / jaar weekend]]+Ruimtestaat[[#This Row],[uren / jaar werkdagen]]</f>
        <v>0</v>
      </c>
      <c r="AG541" s="61">
        <f>Ruimtestaat[[#This Row],[kosten / jaar weekend]]+Ruimtestaat[[#This Row],[kosten / jaar werkdagen]]</f>
        <v>0</v>
      </c>
      <c r="AH541" s="92"/>
      <c r="HL541" s="59"/>
    </row>
    <row r="542" spans="1:220">
      <c r="A542" s="24">
        <v>3</v>
      </c>
      <c r="B542" s="24" t="str">
        <f>VLOOKUP(Ruimtestaat[[#This Row],[Code]],Locaties[#All],2,FALSE)</f>
        <v>Zwaluwenburg 8</v>
      </c>
      <c r="C542" s="24" t="str">
        <f>VLOOKUP(Ruimtestaat[[#This Row],[Code]],Locaties[#All],4,FALSE)</f>
        <v>De Zwaluwenburg 8</v>
      </c>
      <c r="D542" s="24" t="str">
        <f>VLOOKUP(Ruimtestaat[[#This Row],[Code]],Locaties[#All],5,FALSE)</f>
        <v>7423 DS</v>
      </c>
      <c r="E542" s="24" t="str">
        <f>VLOOKUP(Ruimtestaat[[#This Row],[Code]],Locaties[#All],6,FALSE)</f>
        <v>Deventer</v>
      </c>
      <c r="F542" s="54"/>
      <c r="G542" s="24" t="s">
        <v>367</v>
      </c>
      <c r="H542" s="24" t="s">
        <v>982</v>
      </c>
      <c r="I542" s="4" t="s">
        <v>940</v>
      </c>
      <c r="J542" s="24">
        <v>21</v>
      </c>
      <c r="K542" s="54" t="str">
        <f>VLOOKUP(J542,Ruimtegroepen[],2,FALSE)</f>
        <v>Personeelskamer</v>
      </c>
      <c r="L542" s="24" t="s">
        <v>303</v>
      </c>
      <c r="M542" s="24" t="s">
        <v>387</v>
      </c>
      <c r="N542" s="83">
        <v>30.34</v>
      </c>
      <c r="O542" s="83"/>
      <c r="P542" s="93" t="str">
        <f>LEFT(VLOOKUP(Ruimtestaat[[#This Row],[Ruimte code]],Ruimtegroepen[#All],4,1),2)</f>
        <v>Ve</v>
      </c>
      <c r="Q542" s="93"/>
      <c r="R542" s="84">
        <v>40</v>
      </c>
      <c r="S542" s="84" t="s">
        <v>318</v>
      </c>
      <c r="T542" s="85">
        <f>IF(R542&gt;0,IF(RIGHT(Ruimtestaat[[#This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2" s="85">
        <f>IF(T542&gt;0,VLOOKUP($J542,Ruimtegroepen[],3,FALSE)*VLOOKUP($L542,Vloersoorten[],3,FALSE)*VLOOKUP($S542,Frequenties[],3,FALSE)*VLOOKUP($A542,Locaties[],3,FALSE),0)</f>
        <v>0</v>
      </c>
      <c r="V542" s="86">
        <f>Ruimtestaat[[#This Row],[Uitvoeringen werkdagen]]*Ruimtestaat[[#This Row],[Oppervlak (netto)]]</f>
        <v>6068</v>
      </c>
      <c r="W542" s="87">
        <f>IF(U542&gt;0,Ruimtestaat[[#This Row],[Prest. (m2 /jaar) werkdagen]]/Ruimtestaat[[#This Row],[Norm (m2/uur) werkdagen]],0)</f>
        <v>0</v>
      </c>
      <c r="X542" s="88">
        <f>Ruimtestaat[[#This Row],[uren / jaar werkdagen]]*Tariefsopbouw!$E$35</f>
        <v>0</v>
      </c>
      <c r="Y542" s="85"/>
      <c r="Z542" s="89">
        <f>IF(Ruimtestaat[[#This Row],[Frequentie weekend]]&gt;0,VALUE(LEFT(Y542,1))*R542,0)</f>
        <v>0</v>
      </c>
      <c r="AA542" s="85">
        <f>IF($Z542&gt;0,VLOOKUP($J542,Ruimtegroepen[],3,FALSE)*VLOOKUP($L542,Vloersoorten[],3,FALSE)*VLOOKUP($Y542,Frequenties[],3,FALSE)*VLOOKUP(#REF!,Locaties[],3,FALSE),0)</f>
        <v>0</v>
      </c>
      <c r="AB542" s="87">
        <f>Ruimtestaat[[#This Row],[Uitvoeringen weekend]]*Ruimtestaat[[#This Row],[Oppervlak (netto)]]</f>
        <v>0</v>
      </c>
      <c r="AC542" s="90">
        <f>IF(AB542&gt;0,Ruimtestaat[[#This Row],[Prest. (m2 /jaar) weekend]]/Ruimtestaat[[#This Row],[Norm (m2/uur) weekend]],0)</f>
        <v>0</v>
      </c>
      <c r="AD542" s="91">
        <f>Ruimtestaat[[#This Row],[uren / jaar weekend]]*Tariefsopbouw!$D$40</f>
        <v>0</v>
      </c>
      <c r="AE542" s="60">
        <f>Ruimtestaat[[#This Row],[Prest. (m2 /jaar) weekend]]+Ruimtestaat[[#This Row],[Prest. (m2 /jaar) werkdagen]]</f>
        <v>6068</v>
      </c>
      <c r="AF542" s="60">
        <f>Ruimtestaat[[#This Row],[uren / jaar weekend]]+Ruimtestaat[[#This Row],[uren / jaar werkdagen]]</f>
        <v>0</v>
      </c>
      <c r="AG542" s="61">
        <f>Ruimtestaat[[#This Row],[kosten / jaar weekend]]+Ruimtestaat[[#This Row],[kosten / jaar werkdagen]]</f>
        <v>0</v>
      </c>
      <c r="AH542" s="92"/>
      <c r="HL542" s="59"/>
    </row>
    <row r="543" spans="1:220">
      <c r="A543" s="24">
        <v>3</v>
      </c>
      <c r="B543" s="24" t="str">
        <f>VLOOKUP(Ruimtestaat[[#This Row],[Code]],Locaties[#All],2,FALSE)</f>
        <v>Zwaluwenburg 8</v>
      </c>
      <c r="C543" s="24" t="str">
        <f>VLOOKUP(Ruimtestaat[[#This Row],[Code]],Locaties[#All],4,FALSE)</f>
        <v>De Zwaluwenburg 8</v>
      </c>
      <c r="D543" s="24" t="str">
        <f>VLOOKUP(Ruimtestaat[[#This Row],[Code]],Locaties[#All],5,FALSE)</f>
        <v>7423 DS</v>
      </c>
      <c r="E543" s="24" t="str">
        <f>VLOOKUP(Ruimtestaat[[#This Row],[Code]],Locaties[#All],6,FALSE)</f>
        <v>Deventer</v>
      </c>
      <c r="F543" s="54"/>
      <c r="G543" s="24" t="s">
        <v>367</v>
      </c>
      <c r="H543" s="24" t="s">
        <v>983</v>
      </c>
      <c r="I543" s="4" t="s">
        <v>941</v>
      </c>
      <c r="J543" s="24">
        <v>2</v>
      </c>
      <c r="K543" s="54" t="str">
        <f>VLOOKUP(J543,Ruimtegroepen[],2,FALSE)</f>
        <v>Kantoren</v>
      </c>
      <c r="L543" s="24" t="s">
        <v>303</v>
      </c>
      <c r="M543" s="24" t="s">
        <v>387</v>
      </c>
      <c r="N543" s="83">
        <v>8.4700000000000006</v>
      </c>
      <c r="O543" s="83"/>
      <c r="P543" s="93" t="str">
        <f>LEFT(VLOOKUP(Ruimtestaat[[#This Row],[Ruimte code]],Ruimtegroepen[#All],4,1),2)</f>
        <v>Bu</v>
      </c>
      <c r="Q543" s="93"/>
      <c r="R543" s="84">
        <v>42</v>
      </c>
      <c r="S543" s="84" t="s">
        <v>322</v>
      </c>
      <c r="T543" s="85">
        <f>IF(R543&gt;0,IF(RIGHT(Ruimtestaat[[#This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43" s="85">
        <f>IF(T543&gt;0,VLOOKUP($J543,Ruimtegroepen[],3,FALSE)*VLOOKUP($L543,Vloersoorten[],3,FALSE)*VLOOKUP($S543,Frequenties[],3,FALSE)*VLOOKUP($A543,Locaties[],3,FALSE),0)</f>
        <v>0</v>
      </c>
      <c r="V543" s="86">
        <f>Ruimtestaat[[#This Row],[Uitvoeringen werkdagen]]*Ruimtestaat[[#This Row],[Oppervlak (netto)]]</f>
        <v>1067.22</v>
      </c>
      <c r="W543" s="87">
        <f>IF(U543&gt;0,Ruimtestaat[[#This Row],[Prest. (m2 /jaar) werkdagen]]/Ruimtestaat[[#This Row],[Norm (m2/uur) werkdagen]],0)</f>
        <v>0</v>
      </c>
      <c r="X543" s="88">
        <f>Ruimtestaat[[#This Row],[uren / jaar werkdagen]]*Tariefsopbouw!$E$35</f>
        <v>0</v>
      </c>
      <c r="Y543" s="85"/>
      <c r="Z543" s="89">
        <f>IF(Ruimtestaat[[#This Row],[Frequentie weekend]]&gt;0,VALUE(LEFT(Y543,1))*R543,0)</f>
        <v>0</v>
      </c>
      <c r="AA543" s="85">
        <f>IF($Z543&gt;0,VLOOKUP($J543,Ruimtegroepen[],3,FALSE)*VLOOKUP($L543,Vloersoorten[],3,FALSE)*VLOOKUP($Y543,Frequenties[],3,FALSE)*VLOOKUP(#REF!,Locaties[],3,FALSE),0)</f>
        <v>0</v>
      </c>
      <c r="AB543" s="87">
        <f>Ruimtestaat[[#This Row],[Uitvoeringen weekend]]*Ruimtestaat[[#This Row],[Oppervlak (netto)]]</f>
        <v>0</v>
      </c>
      <c r="AC543" s="90">
        <f>IF(AB543&gt;0,Ruimtestaat[[#This Row],[Prest. (m2 /jaar) weekend]]/Ruimtestaat[[#This Row],[Norm (m2/uur) weekend]],0)</f>
        <v>0</v>
      </c>
      <c r="AD543" s="91">
        <f>Ruimtestaat[[#This Row],[uren / jaar weekend]]*Tariefsopbouw!$D$40</f>
        <v>0</v>
      </c>
      <c r="AE543" s="60">
        <f>Ruimtestaat[[#This Row],[Prest. (m2 /jaar) weekend]]+Ruimtestaat[[#This Row],[Prest. (m2 /jaar) werkdagen]]</f>
        <v>1067.22</v>
      </c>
      <c r="AF543" s="60">
        <f>Ruimtestaat[[#This Row],[uren / jaar weekend]]+Ruimtestaat[[#This Row],[uren / jaar werkdagen]]</f>
        <v>0</v>
      </c>
      <c r="AG543" s="61">
        <f>Ruimtestaat[[#This Row],[kosten / jaar weekend]]+Ruimtestaat[[#This Row],[kosten / jaar werkdagen]]</f>
        <v>0</v>
      </c>
      <c r="AH543" s="92"/>
      <c r="HL543" s="59"/>
    </row>
    <row r="544" spans="1:220">
      <c r="A544" s="24">
        <v>3</v>
      </c>
      <c r="B544" s="24" t="str">
        <f>VLOOKUP(Ruimtestaat[[#This Row],[Code]],Locaties[#All],2,FALSE)</f>
        <v>Zwaluwenburg 8</v>
      </c>
      <c r="C544" s="24" t="str">
        <f>VLOOKUP(Ruimtestaat[[#This Row],[Code]],Locaties[#All],4,FALSE)</f>
        <v>De Zwaluwenburg 8</v>
      </c>
      <c r="D544" s="24" t="str">
        <f>VLOOKUP(Ruimtestaat[[#This Row],[Code]],Locaties[#All],5,FALSE)</f>
        <v>7423 DS</v>
      </c>
      <c r="E544" s="24" t="str">
        <f>VLOOKUP(Ruimtestaat[[#This Row],[Code]],Locaties[#All],6,FALSE)</f>
        <v>Deventer</v>
      </c>
      <c r="F544" s="54"/>
      <c r="G544" s="24" t="s">
        <v>367</v>
      </c>
      <c r="H544" s="24" t="s">
        <v>984</v>
      </c>
      <c r="I544" s="4" t="s">
        <v>759</v>
      </c>
      <c r="J544" s="24">
        <v>15</v>
      </c>
      <c r="K544" s="54" t="str">
        <f>VLOOKUP(J544,Ruimtegroepen[],2,FALSE)</f>
        <v>Keuken/pantry</v>
      </c>
      <c r="L544" s="24" t="s">
        <v>300</v>
      </c>
      <c r="M544" s="24" t="s">
        <v>926</v>
      </c>
      <c r="N544" s="83">
        <v>2.68</v>
      </c>
      <c r="O544" s="83"/>
      <c r="P544" s="93" t="str">
        <f>LEFT(VLOOKUP(Ruimtestaat[[#This Row],[Ruimte code]],Ruimtegroepen[#All],4,1),2)</f>
        <v>Ve</v>
      </c>
      <c r="Q544" s="93"/>
      <c r="R544" s="84">
        <v>40</v>
      </c>
      <c r="S544" s="84" t="s">
        <v>318</v>
      </c>
      <c r="T544" s="85">
        <f>IF(R544&gt;0,IF(RIGHT(Ruimtestaat[[#This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4" s="85">
        <f>IF(T544&gt;0,VLOOKUP($J544,Ruimtegroepen[],3,FALSE)*VLOOKUP($L544,Vloersoorten[],3,FALSE)*VLOOKUP($S544,Frequenties[],3,FALSE)*VLOOKUP($A544,Locaties[],3,FALSE),0)</f>
        <v>0</v>
      </c>
      <c r="V544" s="86">
        <f>Ruimtestaat[[#This Row],[Uitvoeringen werkdagen]]*Ruimtestaat[[#This Row],[Oppervlak (netto)]]</f>
        <v>536</v>
      </c>
      <c r="W544" s="87">
        <f>IF(U544&gt;0,Ruimtestaat[[#This Row],[Prest. (m2 /jaar) werkdagen]]/Ruimtestaat[[#This Row],[Norm (m2/uur) werkdagen]],0)</f>
        <v>0</v>
      </c>
      <c r="X544" s="88">
        <f>Ruimtestaat[[#This Row],[uren / jaar werkdagen]]*Tariefsopbouw!$E$35</f>
        <v>0</v>
      </c>
      <c r="Y544" s="85"/>
      <c r="Z544" s="89">
        <f>IF(Ruimtestaat[[#This Row],[Frequentie weekend]]&gt;0,VALUE(LEFT(Y544,1))*R544,0)</f>
        <v>0</v>
      </c>
      <c r="AA544" s="85">
        <f>IF($Z544&gt;0,VLOOKUP($J544,Ruimtegroepen[],3,FALSE)*VLOOKUP($L544,Vloersoorten[],3,FALSE)*VLOOKUP($Y544,Frequenties[],3,FALSE)*VLOOKUP(#REF!,Locaties[],3,FALSE),0)</f>
        <v>0</v>
      </c>
      <c r="AB544" s="87">
        <f>Ruimtestaat[[#This Row],[Uitvoeringen weekend]]*Ruimtestaat[[#This Row],[Oppervlak (netto)]]</f>
        <v>0</v>
      </c>
      <c r="AC544" s="90">
        <f>IF(AB544&gt;0,Ruimtestaat[[#This Row],[Prest. (m2 /jaar) weekend]]/Ruimtestaat[[#This Row],[Norm (m2/uur) weekend]],0)</f>
        <v>0</v>
      </c>
      <c r="AD544" s="91">
        <f>Ruimtestaat[[#This Row],[uren / jaar weekend]]*Tariefsopbouw!$D$40</f>
        <v>0</v>
      </c>
      <c r="AE544" s="60">
        <f>Ruimtestaat[[#This Row],[Prest. (m2 /jaar) weekend]]+Ruimtestaat[[#This Row],[Prest. (m2 /jaar) werkdagen]]</f>
        <v>536</v>
      </c>
      <c r="AF544" s="60">
        <f>Ruimtestaat[[#This Row],[uren / jaar weekend]]+Ruimtestaat[[#This Row],[uren / jaar werkdagen]]</f>
        <v>0</v>
      </c>
      <c r="AG544" s="61">
        <f>Ruimtestaat[[#This Row],[kosten / jaar weekend]]+Ruimtestaat[[#This Row],[kosten / jaar werkdagen]]</f>
        <v>0</v>
      </c>
      <c r="AH544" s="92"/>
      <c r="HL544" s="59"/>
    </row>
    <row r="545" spans="1:220">
      <c r="A545" s="24">
        <v>3</v>
      </c>
      <c r="B545" s="24" t="str">
        <f>VLOOKUP(Ruimtestaat[[#This Row],[Code]],Locaties[#All],2,FALSE)</f>
        <v>Zwaluwenburg 8</v>
      </c>
      <c r="C545" s="24" t="str">
        <f>VLOOKUP(Ruimtestaat[[#This Row],[Code]],Locaties[#All],4,FALSE)</f>
        <v>De Zwaluwenburg 8</v>
      </c>
      <c r="D545" s="24" t="str">
        <f>VLOOKUP(Ruimtestaat[[#This Row],[Code]],Locaties[#All],5,FALSE)</f>
        <v>7423 DS</v>
      </c>
      <c r="E545" s="24" t="str">
        <f>VLOOKUP(Ruimtestaat[[#This Row],[Code]],Locaties[#All],6,FALSE)</f>
        <v>Deventer</v>
      </c>
      <c r="F545" s="54"/>
      <c r="G545" s="24" t="s">
        <v>367</v>
      </c>
      <c r="H545" s="24" t="s">
        <v>985</v>
      </c>
      <c r="I545" s="4" t="s">
        <v>402</v>
      </c>
      <c r="J545" s="24">
        <v>5</v>
      </c>
      <c r="K545" s="54" t="str">
        <f>VLOOKUP(J545,Ruimtegroepen[],2,FALSE)</f>
        <v>Sanitair</v>
      </c>
      <c r="L545" s="24" t="s">
        <v>305</v>
      </c>
      <c r="M545" s="24" t="s">
        <v>929</v>
      </c>
      <c r="N545" s="83">
        <v>1.81</v>
      </c>
      <c r="O545" s="83"/>
      <c r="P545" s="93" t="str">
        <f>LEFT(VLOOKUP(Ruimtestaat[[#This Row],[Ruimte code]],Ruimtegroepen[#All],4,1),2)</f>
        <v>Sa</v>
      </c>
      <c r="Q545" s="93"/>
      <c r="R545" s="84">
        <v>42</v>
      </c>
      <c r="S545" s="84" t="s">
        <v>316</v>
      </c>
      <c r="T545" s="85">
        <f>IF(R545&gt;0,IF(RIGHT(Ruimtestaat[[#This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45" s="85">
        <f>IF(T545&gt;0,VLOOKUP($J545,Ruimtegroepen[],3,FALSE)*VLOOKUP($L545,Vloersoorten[],3,FALSE)*VLOOKUP($S545,Frequenties[],3,FALSE)*VLOOKUP($A545,Locaties[],3,FALSE),0)</f>
        <v>0</v>
      </c>
      <c r="V545" s="86">
        <f>Ruimtestaat[[#This Row],[Uitvoeringen werkdagen]]*Ruimtestaat[[#This Row],[Oppervlak (netto)]]</f>
        <v>760.2</v>
      </c>
      <c r="W545" s="87">
        <f>IF(U545&gt;0,Ruimtestaat[[#This Row],[Prest. (m2 /jaar) werkdagen]]/Ruimtestaat[[#This Row],[Norm (m2/uur) werkdagen]],0)</f>
        <v>0</v>
      </c>
      <c r="X545" s="88">
        <f>Ruimtestaat[[#This Row],[uren / jaar werkdagen]]*Tariefsopbouw!$E$35</f>
        <v>0</v>
      </c>
      <c r="Y545" s="85"/>
      <c r="Z545" s="89">
        <f>IF(Ruimtestaat[[#This Row],[Frequentie weekend]]&gt;0,VALUE(LEFT(Y545,1))*R545,0)</f>
        <v>0</v>
      </c>
      <c r="AA545" s="85">
        <f>IF($Z545&gt;0,VLOOKUP($J545,Ruimtegroepen[],3,FALSE)*VLOOKUP($L545,Vloersoorten[],3,FALSE)*VLOOKUP($Y545,Frequenties[],3,FALSE)*VLOOKUP(#REF!,Locaties[],3,FALSE),0)</f>
        <v>0</v>
      </c>
      <c r="AB545" s="87">
        <f>Ruimtestaat[[#This Row],[Uitvoeringen weekend]]*Ruimtestaat[[#This Row],[Oppervlak (netto)]]</f>
        <v>0</v>
      </c>
      <c r="AC545" s="90">
        <f>IF(AB545&gt;0,Ruimtestaat[[#This Row],[Prest. (m2 /jaar) weekend]]/Ruimtestaat[[#This Row],[Norm (m2/uur) weekend]],0)</f>
        <v>0</v>
      </c>
      <c r="AD545" s="91">
        <f>Ruimtestaat[[#This Row],[uren / jaar weekend]]*Tariefsopbouw!$D$40</f>
        <v>0</v>
      </c>
      <c r="AE545" s="60">
        <f>Ruimtestaat[[#This Row],[Prest. (m2 /jaar) weekend]]+Ruimtestaat[[#This Row],[Prest. (m2 /jaar) werkdagen]]</f>
        <v>760.2</v>
      </c>
      <c r="AF545" s="60">
        <f>Ruimtestaat[[#This Row],[uren / jaar weekend]]+Ruimtestaat[[#This Row],[uren / jaar werkdagen]]</f>
        <v>0</v>
      </c>
      <c r="AG545" s="61">
        <f>Ruimtestaat[[#This Row],[kosten / jaar weekend]]+Ruimtestaat[[#This Row],[kosten / jaar werkdagen]]</f>
        <v>0</v>
      </c>
      <c r="AH545" s="92"/>
      <c r="HL545" s="59"/>
    </row>
    <row r="546" spans="1:220">
      <c r="A546" s="24">
        <v>3</v>
      </c>
      <c r="B546" s="24" t="str">
        <f>VLOOKUP(Ruimtestaat[[#This Row],[Code]],Locaties[#All],2,FALSE)</f>
        <v>Zwaluwenburg 8</v>
      </c>
      <c r="C546" s="24" t="str">
        <f>VLOOKUP(Ruimtestaat[[#This Row],[Code]],Locaties[#All],4,FALSE)</f>
        <v>De Zwaluwenburg 8</v>
      </c>
      <c r="D546" s="24" t="str">
        <f>VLOOKUP(Ruimtestaat[[#This Row],[Code]],Locaties[#All],5,FALSE)</f>
        <v>7423 DS</v>
      </c>
      <c r="E546" s="24" t="str">
        <f>VLOOKUP(Ruimtestaat[[#This Row],[Code]],Locaties[#All],6,FALSE)</f>
        <v>Deventer</v>
      </c>
      <c r="F546" s="54"/>
      <c r="G546" s="24" t="s">
        <v>367</v>
      </c>
      <c r="H546" s="24" t="s">
        <v>986</v>
      </c>
      <c r="I546" s="4" t="s">
        <v>758</v>
      </c>
      <c r="J546" s="24">
        <v>2</v>
      </c>
      <c r="K546" s="54" t="str">
        <f>VLOOKUP(J546,Ruimtegroepen[],2,FALSE)</f>
        <v>Kantoren</v>
      </c>
      <c r="L546" s="24" t="s">
        <v>303</v>
      </c>
      <c r="M546" s="24" t="s">
        <v>387</v>
      </c>
      <c r="N546" s="83">
        <v>17.079999999999998</v>
      </c>
      <c r="O546" s="83"/>
      <c r="P546" s="93" t="str">
        <f>LEFT(VLOOKUP(Ruimtestaat[[#This Row],[Ruimte code]],Ruimtegroepen[#All],4,1),2)</f>
        <v>Bu</v>
      </c>
      <c r="Q546" s="93"/>
      <c r="R546" s="84">
        <v>42</v>
      </c>
      <c r="S546" s="84" t="s">
        <v>322</v>
      </c>
      <c r="T546" s="85">
        <f>IF(R546&gt;0,IF(RIGHT(Ruimtestaat[[#This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46" s="85">
        <f>IF(T546&gt;0,VLOOKUP($J546,Ruimtegroepen[],3,FALSE)*VLOOKUP($L546,Vloersoorten[],3,FALSE)*VLOOKUP($S546,Frequenties[],3,FALSE)*VLOOKUP($A546,Locaties[],3,FALSE),0)</f>
        <v>0</v>
      </c>
      <c r="V546" s="86">
        <f>Ruimtestaat[[#This Row],[Uitvoeringen werkdagen]]*Ruimtestaat[[#This Row],[Oppervlak (netto)]]</f>
        <v>2152.08</v>
      </c>
      <c r="W546" s="87">
        <f>IF(U546&gt;0,Ruimtestaat[[#This Row],[Prest. (m2 /jaar) werkdagen]]/Ruimtestaat[[#This Row],[Norm (m2/uur) werkdagen]],0)</f>
        <v>0</v>
      </c>
      <c r="X546" s="88">
        <f>Ruimtestaat[[#This Row],[uren / jaar werkdagen]]*Tariefsopbouw!$E$35</f>
        <v>0</v>
      </c>
      <c r="Y546" s="85"/>
      <c r="Z546" s="89">
        <f>IF(Ruimtestaat[[#This Row],[Frequentie weekend]]&gt;0,VALUE(LEFT(Y546,1))*R546,0)</f>
        <v>0</v>
      </c>
      <c r="AA546" s="85">
        <f>IF($Z546&gt;0,VLOOKUP($J546,Ruimtegroepen[],3,FALSE)*VLOOKUP($L546,Vloersoorten[],3,FALSE)*VLOOKUP($Y546,Frequenties[],3,FALSE)*VLOOKUP(#REF!,Locaties[],3,FALSE),0)</f>
        <v>0</v>
      </c>
      <c r="AB546" s="87">
        <f>Ruimtestaat[[#This Row],[Uitvoeringen weekend]]*Ruimtestaat[[#This Row],[Oppervlak (netto)]]</f>
        <v>0</v>
      </c>
      <c r="AC546" s="90">
        <f>IF(AB546&gt;0,Ruimtestaat[[#This Row],[Prest. (m2 /jaar) weekend]]/Ruimtestaat[[#This Row],[Norm (m2/uur) weekend]],0)</f>
        <v>0</v>
      </c>
      <c r="AD546" s="91">
        <f>Ruimtestaat[[#This Row],[uren / jaar weekend]]*Tariefsopbouw!$D$40</f>
        <v>0</v>
      </c>
      <c r="AE546" s="60">
        <f>Ruimtestaat[[#This Row],[Prest. (m2 /jaar) weekend]]+Ruimtestaat[[#This Row],[Prest. (m2 /jaar) werkdagen]]</f>
        <v>2152.08</v>
      </c>
      <c r="AF546" s="60">
        <f>Ruimtestaat[[#This Row],[uren / jaar weekend]]+Ruimtestaat[[#This Row],[uren / jaar werkdagen]]</f>
        <v>0</v>
      </c>
      <c r="AG546" s="61">
        <f>Ruimtestaat[[#This Row],[kosten / jaar weekend]]+Ruimtestaat[[#This Row],[kosten / jaar werkdagen]]</f>
        <v>0</v>
      </c>
      <c r="AH546" s="92"/>
      <c r="HL546" s="59"/>
    </row>
    <row r="547" spans="1:220">
      <c r="A547" s="24">
        <v>3</v>
      </c>
      <c r="B547" s="24" t="str">
        <f>VLOOKUP(Ruimtestaat[[#This Row],[Code]],Locaties[#All],2,FALSE)</f>
        <v>Zwaluwenburg 8</v>
      </c>
      <c r="C547" s="24" t="str">
        <f>VLOOKUP(Ruimtestaat[[#This Row],[Code]],Locaties[#All],4,FALSE)</f>
        <v>De Zwaluwenburg 8</v>
      </c>
      <c r="D547" s="24" t="str">
        <f>VLOOKUP(Ruimtestaat[[#This Row],[Code]],Locaties[#All],5,FALSE)</f>
        <v>7423 DS</v>
      </c>
      <c r="E547" s="24" t="str">
        <f>VLOOKUP(Ruimtestaat[[#This Row],[Code]],Locaties[#All],6,FALSE)</f>
        <v>Deventer</v>
      </c>
      <c r="F547" s="54"/>
      <c r="G547" s="24" t="s">
        <v>367</v>
      </c>
      <c r="H547" s="24" t="s">
        <v>987</v>
      </c>
      <c r="I547" s="4" t="s">
        <v>487</v>
      </c>
      <c r="J547" s="24">
        <v>6</v>
      </c>
      <c r="K547" s="54" t="str">
        <f>VLOOKUP(J547,Ruimtegroepen[],2,FALSE)</f>
        <v>Gangen/hallen</v>
      </c>
      <c r="L547" s="24" t="s">
        <v>300</v>
      </c>
      <c r="M547" s="24" t="s">
        <v>926</v>
      </c>
      <c r="N547" s="83">
        <v>139.75</v>
      </c>
      <c r="O547" s="83"/>
      <c r="P547" s="93" t="str">
        <f>LEFT(VLOOKUP(Ruimtestaat[[#This Row],[Ruimte code]],Ruimtegroepen[#All],4,1),2)</f>
        <v>Ve</v>
      </c>
      <c r="Q547" s="93"/>
      <c r="R547" s="84">
        <v>40</v>
      </c>
      <c r="S547" s="84" t="s">
        <v>318</v>
      </c>
      <c r="T547" s="85">
        <f>IF(R547&gt;0,IF(RIGHT(Ruimtestaat[[#This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7" s="85">
        <f>IF(T547&gt;0,VLOOKUP($J547,Ruimtegroepen[],3,FALSE)*VLOOKUP($L547,Vloersoorten[],3,FALSE)*VLOOKUP($S547,Frequenties[],3,FALSE)*VLOOKUP($A547,Locaties[],3,FALSE),0)</f>
        <v>0</v>
      </c>
      <c r="V547" s="86">
        <f>Ruimtestaat[[#This Row],[Uitvoeringen werkdagen]]*Ruimtestaat[[#This Row],[Oppervlak (netto)]]</f>
        <v>27950</v>
      </c>
      <c r="W547" s="87">
        <f>IF(U547&gt;0,Ruimtestaat[[#This Row],[Prest. (m2 /jaar) werkdagen]]/Ruimtestaat[[#This Row],[Norm (m2/uur) werkdagen]],0)</f>
        <v>0</v>
      </c>
      <c r="X547" s="88">
        <f>Ruimtestaat[[#This Row],[uren / jaar werkdagen]]*Tariefsopbouw!$E$35</f>
        <v>0</v>
      </c>
      <c r="Y547" s="85"/>
      <c r="Z547" s="89">
        <f>IF(Ruimtestaat[[#This Row],[Frequentie weekend]]&gt;0,VALUE(LEFT(Y547,1))*R547,0)</f>
        <v>0</v>
      </c>
      <c r="AA547" s="85">
        <f>IF($Z547&gt;0,VLOOKUP($J547,Ruimtegroepen[],3,FALSE)*VLOOKUP($L547,Vloersoorten[],3,FALSE)*VLOOKUP($Y547,Frequenties[],3,FALSE)*VLOOKUP(#REF!,Locaties[],3,FALSE),0)</f>
        <v>0</v>
      </c>
      <c r="AB547" s="87">
        <f>Ruimtestaat[[#This Row],[Uitvoeringen weekend]]*Ruimtestaat[[#This Row],[Oppervlak (netto)]]</f>
        <v>0</v>
      </c>
      <c r="AC547" s="90">
        <f>IF(AB547&gt;0,Ruimtestaat[[#This Row],[Prest. (m2 /jaar) weekend]]/Ruimtestaat[[#This Row],[Norm (m2/uur) weekend]],0)</f>
        <v>0</v>
      </c>
      <c r="AD547" s="91">
        <f>Ruimtestaat[[#This Row],[uren / jaar weekend]]*Tariefsopbouw!$D$40</f>
        <v>0</v>
      </c>
      <c r="AE547" s="60">
        <f>Ruimtestaat[[#This Row],[Prest. (m2 /jaar) weekend]]+Ruimtestaat[[#This Row],[Prest. (m2 /jaar) werkdagen]]</f>
        <v>27950</v>
      </c>
      <c r="AF547" s="60">
        <f>Ruimtestaat[[#This Row],[uren / jaar weekend]]+Ruimtestaat[[#This Row],[uren / jaar werkdagen]]</f>
        <v>0</v>
      </c>
      <c r="AG547" s="61">
        <f>Ruimtestaat[[#This Row],[kosten / jaar weekend]]+Ruimtestaat[[#This Row],[kosten / jaar werkdagen]]</f>
        <v>0</v>
      </c>
      <c r="AH547" s="92"/>
      <c r="HL547" s="59"/>
    </row>
    <row r="548" spans="1:220">
      <c r="A548" s="24">
        <v>3</v>
      </c>
      <c r="B548" s="24" t="str">
        <f>VLOOKUP(Ruimtestaat[[#This Row],[Code]],Locaties[#All],2,FALSE)</f>
        <v>Zwaluwenburg 8</v>
      </c>
      <c r="C548" s="24" t="str">
        <f>VLOOKUP(Ruimtestaat[[#This Row],[Code]],Locaties[#All],4,FALSE)</f>
        <v>De Zwaluwenburg 8</v>
      </c>
      <c r="D548" s="24" t="str">
        <f>VLOOKUP(Ruimtestaat[[#This Row],[Code]],Locaties[#All],5,FALSE)</f>
        <v>7423 DS</v>
      </c>
      <c r="E548" s="24" t="str">
        <f>VLOOKUP(Ruimtestaat[[#This Row],[Code]],Locaties[#All],6,FALSE)</f>
        <v>Deventer</v>
      </c>
      <c r="F548" s="54"/>
      <c r="G548" s="24" t="s">
        <v>367</v>
      </c>
      <c r="H548" s="24" t="s">
        <v>988</v>
      </c>
      <c r="I548" s="4" t="s">
        <v>530</v>
      </c>
      <c r="J548" s="24">
        <v>16</v>
      </c>
      <c r="K548" s="54" t="str">
        <f>VLOOKUP(J548,Ruimtegroepen[],2,FALSE)</f>
        <v>Leslokalen theorie</v>
      </c>
      <c r="L548" s="24" t="s">
        <v>300</v>
      </c>
      <c r="M548" s="24" t="s">
        <v>926</v>
      </c>
      <c r="N548" s="83">
        <v>56.05</v>
      </c>
      <c r="O548" s="83"/>
      <c r="P548" s="93" t="str">
        <f>LEFT(VLOOKUP(Ruimtestaat[[#This Row],[Ruimte code]],Ruimtegroepen[#All],4,1),2)</f>
        <v>Le</v>
      </c>
      <c r="Q548" s="93"/>
      <c r="R548" s="84">
        <v>40</v>
      </c>
      <c r="S548" s="84" t="s">
        <v>318</v>
      </c>
      <c r="T548" s="85">
        <f>IF(R548&gt;0,IF(RIGHT(Ruimtestaat[[#This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8" s="85">
        <f>IF(T548&gt;0,VLOOKUP($J548,Ruimtegroepen[],3,FALSE)*VLOOKUP($L548,Vloersoorten[],3,FALSE)*VLOOKUP($S548,Frequenties[],3,FALSE)*VLOOKUP($A548,Locaties[],3,FALSE),0)</f>
        <v>0</v>
      </c>
      <c r="V548" s="86">
        <f>Ruimtestaat[[#This Row],[Uitvoeringen werkdagen]]*Ruimtestaat[[#This Row],[Oppervlak (netto)]]</f>
        <v>11210</v>
      </c>
      <c r="W548" s="87">
        <f>IF(U548&gt;0,Ruimtestaat[[#This Row],[Prest. (m2 /jaar) werkdagen]]/Ruimtestaat[[#This Row],[Norm (m2/uur) werkdagen]],0)</f>
        <v>0</v>
      </c>
      <c r="X548" s="88">
        <f>Ruimtestaat[[#This Row],[uren / jaar werkdagen]]*Tariefsopbouw!$E$35</f>
        <v>0</v>
      </c>
      <c r="Y548" s="85"/>
      <c r="Z548" s="89">
        <f>IF(Ruimtestaat[[#This Row],[Frequentie weekend]]&gt;0,VALUE(LEFT(Y548,1))*R548,0)</f>
        <v>0</v>
      </c>
      <c r="AA548" s="85">
        <f>IF($Z548&gt;0,VLOOKUP($J548,Ruimtegroepen[],3,FALSE)*VLOOKUP($L548,Vloersoorten[],3,FALSE)*VLOOKUP($Y548,Frequenties[],3,FALSE)*VLOOKUP(#REF!,Locaties[],3,FALSE),0)</f>
        <v>0</v>
      </c>
      <c r="AB548" s="87">
        <f>Ruimtestaat[[#This Row],[Uitvoeringen weekend]]*Ruimtestaat[[#This Row],[Oppervlak (netto)]]</f>
        <v>0</v>
      </c>
      <c r="AC548" s="90">
        <f>IF(AB548&gt;0,Ruimtestaat[[#This Row],[Prest. (m2 /jaar) weekend]]/Ruimtestaat[[#This Row],[Norm (m2/uur) weekend]],0)</f>
        <v>0</v>
      </c>
      <c r="AD548" s="91">
        <f>Ruimtestaat[[#This Row],[uren / jaar weekend]]*Tariefsopbouw!$D$40</f>
        <v>0</v>
      </c>
      <c r="AE548" s="60">
        <f>Ruimtestaat[[#This Row],[Prest. (m2 /jaar) weekend]]+Ruimtestaat[[#This Row],[Prest. (m2 /jaar) werkdagen]]</f>
        <v>11210</v>
      </c>
      <c r="AF548" s="60">
        <f>Ruimtestaat[[#This Row],[uren / jaar weekend]]+Ruimtestaat[[#This Row],[uren / jaar werkdagen]]</f>
        <v>0</v>
      </c>
      <c r="AG548" s="61">
        <f>Ruimtestaat[[#This Row],[kosten / jaar weekend]]+Ruimtestaat[[#This Row],[kosten / jaar werkdagen]]</f>
        <v>0</v>
      </c>
      <c r="AH548" s="92"/>
      <c r="HL548" s="59"/>
    </row>
    <row r="549" spans="1:220">
      <c r="A549" s="24">
        <v>3</v>
      </c>
      <c r="B549" s="24" t="str">
        <f>VLOOKUP(Ruimtestaat[[#This Row],[Code]],Locaties[#All],2,FALSE)</f>
        <v>Zwaluwenburg 8</v>
      </c>
      <c r="C549" s="24" t="str">
        <f>VLOOKUP(Ruimtestaat[[#This Row],[Code]],Locaties[#All],4,FALSE)</f>
        <v>De Zwaluwenburg 8</v>
      </c>
      <c r="D549" s="24" t="str">
        <f>VLOOKUP(Ruimtestaat[[#This Row],[Code]],Locaties[#All],5,FALSE)</f>
        <v>7423 DS</v>
      </c>
      <c r="E549" s="24" t="str">
        <f>VLOOKUP(Ruimtestaat[[#This Row],[Code]],Locaties[#All],6,FALSE)</f>
        <v>Deventer</v>
      </c>
      <c r="F549" s="54"/>
      <c r="G549" s="24" t="s">
        <v>367</v>
      </c>
      <c r="H549" s="24" t="s">
        <v>989</v>
      </c>
      <c r="I549" s="4" t="s">
        <v>277</v>
      </c>
      <c r="J549" s="24">
        <v>7</v>
      </c>
      <c r="K549" s="54" t="str">
        <f>VLOOKUP(J549,Ruimtegroepen[],2,FALSE)</f>
        <v>Entree</v>
      </c>
      <c r="L549" s="24" t="s">
        <v>300</v>
      </c>
      <c r="M549" s="24" t="s">
        <v>926</v>
      </c>
      <c r="N549" s="83">
        <v>4</v>
      </c>
      <c r="O549" s="83"/>
      <c r="P549" s="93" t="str">
        <f>LEFT(VLOOKUP(Ruimtestaat[[#This Row],[Ruimte code]],Ruimtegroepen[#All],4,1),2)</f>
        <v>Ve</v>
      </c>
      <c r="Q549" s="93"/>
      <c r="R549" s="84">
        <v>40</v>
      </c>
      <c r="S549" s="84" t="s">
        <v>318</v>
      </c>
      <c r="T549" s="85">
        <f>IF(R549&gt;0,IF(RIGHT(Ruimtestaat[[#This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9" s="85">
        <f>IF(T549&gt;0,VLOOKUP($J549,Ruimtegroepen[],3,FALSE)*VLOOKUP($L549,Vloersoorten[],3,FALSE)*VLOOKUP($S549,Frequenties[],3,FALSE)*VLOOKUP($A549,Locaties[],3,FALSE),0)</f>
        <v>0</v>
      </c>
      <c r="V549" s="86">
        <f>Ruimtestaat[[#This Row],[Uitvoeringen werkdagen]]*Ruimtestaat[[#This Row],[Oppervlak (netto)]]</f>
        <v>800</v>
      </c>
      <c r="W549" s="87">
        <f>IF(U549&gt;0,Ruimtestaat[[#This Row],[Prest. (m2 /jaar) werkdagen]]/Ruimtestaat[[#This Row],[Norm (m2/uur) werkdagen]],0)</f>
        <v>0</v>
      </c>
      <c r="X549" s="88">
        <f>Ruimtestaat[[#This Row],[uren / jaar werkdagen]]*Tariefsopbouw!$E$35</f>
        <v>0</v>
      </c>
      <c r="Y549" s="85"/>
      <c r="Z549" s="89">
        <f>IF(Ruimtestaat[[#This Row],[Frequentie weekend]]&gt;0,VALUE(LEFT(Y549,1))*R549,0)</f>
        <v>0</v>
      </c>
      <c r="AA549" s="85">
        <f>IF($Z549&gt;0,VLOOKUP($J549,Ruimtegroepen[],3,FALSE)*VLOOKUP($L549,Vloersoorten[],3,FALSE)*VLOOKUP($Y549,Frequenties[],3,FALSE)*VLOOKUP(#REF!,Locaties[],3,FALSE),0)</f>
        <v>0</v>
      </c>
      <c r="AB549" s="87">
        <f>Ruimtestaat[[#This Row],[Uitvoeringen weekend]]*Ruimtestaat[[#This Row],[Oppervlak (netto)]]</f>
        <v>0</v>
      </c>
      <c r="AC549" s="90">
        <f>IF(AB549&gt;0,Ruimtestaat[[#This Row],[Prest. (m2 /jaar) weekend]]/Ruimtestaat[[#This Row],[Norm (m2/uur) weekend]],0)</f>
        <v>0</v>
      </c>
      <c r="AD549" s="91">
        <f>Ruimtestaat[[#This Row],[uren / jaar weekend]]*Tariefsopbouw!$D$40</f>
        <v>0</v>
      </c>
      <c r="AE549" s="60">
        <f>Ruimtestaat[[#This Row],[Prest. (m2 /jaar) weekend]]+Ruimtestaat[[#This Row],[Prest. (m2 /jaar) werkdagen]]</f>
        <v>800</v>
      </c>
      <c r="AF549" s="60">
        <f>Ruimtestaat[[#This Row],[uren / jaar weekend]]+Ruimtestaat[[#This Row],[uren / jaar werkdagen]]</f>
        <v>0</v>
      </c>
      <c r="AG549" s="61">
        <f>Ruimtestaat[[#This Row],[kosten / jaar weekend]]+Ruimtestaat[[#This Row],[kosten / jaar werkdagen]]</f>
        <v>0</v>
      </c>
      <c r="AH549" s="92"/>
      <c r="HL549" s="59"/>
    </row>
    <row r="550" spans="1:220">
      <c r="A550" s="24">
        <v>3</v>
      </c>
      <c r="B550" s="24" t="str">
        <f>VLOOKUP(Ruimtestaat[[#This Row],[Code]],Locaties[#All],2,FALSE)</f>
        <v>Zwaluwenburg 8</v>
      </c>
      <c r="C550" s="24" t="str">
        <f>VLOOKUP(Ruimtestaat[[#This Row],[Code]],Locaties[#All],4,FALSE)</f>
        <v>De Zwaluwenburg 8</v>
      </c>
      <c r="D550" s="24" t="str">
        <f>VLOOKUP(Ruimtestaat[[#This Row],[Code]],Locaties[#All],5,FALSE)</f>
        <v>7423 DS</v>
      </c>
      <c r="E550" s="24" t="str">
        <f>VLOOKUP(Ruimtestaat[[#This Row],[Code]],Locaties[#All],6,FALSE)</f>
        <v>Deventer</v>
      </c>
      <c r="F550" s="54"/>
      <c r="G550" s="24" t="s">
        <v>367</v>
      </c>
      <c r="H550" s="24" t="s">
        <v>990</v>
      </c>
      <c r="I550" s="4" t="s">
        <v>938</v>
      </c>
      <c r="J550" s="24">
        <v>18</v>
      </c>
      <c r="K550" s="54" t="str">
        <f>VLOOKUP(J550,Ruimtegroepen[],2,FALSE)</f>
        <v>Gymzaal</v>
      </c>
      <c r="L550" s="24" t="s">
        <v>300</v>
      </c>
      <c r="M550" s="24" t="s">
        <v>926</v>
      </c>
      <c r="N550" s="83">
        <v>93.09</v>
      </c>
      <c r="O550" s="83"/>
      <c r="P550" s="93" t="str">
        <f>LEFT(VLOOKUP(Ruimtestaat[[#This Row],[Ruimte code]],Ruimtegroepen[#All],4,1),2)</f>
        <v>Sp</v>
      </c>
      <c r="Q550" s="93"/>
      <c r="R550" s="84">
        <v>40</v>
      </c>
      <c r="S550" s="84" t="s">
        <v>318</v>
      </c>
      <c r="T550" s="85">
        <f>IF(R550&gt;0,IF(RIGHT(Ruimtestaat[[#This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0" s="85">
        <f>IF(T550&gt;0,VLOOKUP($J550,Ruimtegroepen[],3,FALSE)*VLOOKUP($L550,Vloersoorten[],3,FALSE)*VLOOKUP($S550,Frequenties[],3,FALSE)*VLOOKUP($A550,Locaties[],3,FALSE),0)</f>
        <v>0</v>
      </c>
      <c r="V550" s="86">
        <f>Ruimtestaat[[#This Row],[Uitvoeringen werkdagen]]*Ruimtestaat[[#This Row],[Oppervlak (netto)]]</f>
        <v>18618</v>
      </c>
      <c r="W550" s="87">
        <f>IF(U550&gt;0,Ruimtestaat[[#This Row],[Prest. (m2 /jaar) werkdagen]]/Ruimtestaat[[#This Row],[Norm (m2/uur) werkdagen]],0)</f>
        <v>0</v>
      </c>
      <c r="X550" s="88">
        <f>Ruimtestaat[[#This Row],[uren / jaar werkdagen]]*Tariefsopbouw!$E$35</f>
        <v>0</v>
      </c>
      <c r="Y550" s="85"/>
      <c r="Z550" s="89">
        <f>IF(Ruimtestaat[[#This Row],[Frequentie weekend]]&gt;0,VALUE(LEFT(Y550,1))*R550,0)</f>
        <v>0</v>
      </c>
      <c r="AA550" s="85">
        <f>IF($Z550&gt;0,VLOOKUP($J550,Ruimtegroepen[],3,FALSE)*VLOOKUP($L550,Vloersoorten[],3,FALSE)*VLOOKUP($Y550,Frequenties[],3,FALSE)*VLOOKUP(#REF!,Locaties[],3,FALSE),0)</f>
        <v>0</v>
      </c>
      <c r="AB550" s="87">
        <f>Ruimtestaat[[#This Row],[Uitvoeringen weekend]]*Ruimtestaat[[#This Row],[Oppervlak (netto)]]</f>
        <v>0</v>
      </c>
      <c r="AC550" s="90">
        <f>IF(AB550&gt;0,Ruimtestaat[[#This Row],[Prest. (m2 /jaar) weekend]]/Ruimtestaat[[#This Row],[Norm (m2/uur) weekend]],0)</f>
        <v>0</v>
      </c>
      <c r="AD550" s="91">
        <f>Ruimtestaat[[#This Row],[uren / jaar weekend]]*Tariefsopbouw!$D$40</f>
        <v>0</v>
      </c>
      <c r="AE550" s="60">
        <f>Ruimtestaat[[#This Row],[Prest. (m2 /jaar) weekend]]+Ruimtestaat[[#This Row],[Prest. (m2 /jaar) werkdagen]]</f>
        <v>18618</v>
      </c>
      <c r="AF550" s="60">
        <f>Ruimtestaat[[#This Row],[uren / jaar weekend]]+Ruimtestaat[[#This Row],[uren / jaar werkdagen]]</f>
        <v>0</v>
      </c>
      <c r="AG550" s="61">
        <f>Ruimtestaat[[#This Row],[kosten / jaar weekend]]+Ruimtestaat[[#This Row],[kosten / jaar werkdagen]]</f>
        <v>0</v>
      </c>
      <c r="AH550" s="92"/>
      <c r="HL550" s="59"/>
    </row>
    <row r="551" spans="1:220">
      <c r="A551" s="24">
        <v>3</v>
      </c>
      <c r="B551" s="24" t="str">
        <f>VLOOKUP(Ruimtestaat[[#This Row],[Code]],Locaties[#All],2,FALSE)</f>
        <v>Zwaluwenburg 8</v>
      </c>
      <c r="C551" s="24" t="str">
        <f>VLOOKUP(Ruimtestaat[[#This Row],[Code]],Locaties[#All],4,FALSE)</f>
        <v>De Zwaluwenburg 8</v>
      </c>
      <c r="D551" s="24" t="str">
        <f>VLOOKUP(Ruimtestaat[[#This Row],[Code]],Locaties[#All],5,FALSE)</f>
        <v>7423 DS</v>
      </c>
      <c r="E551" s="24" t="str">
        <f>VLOOKUP(Ruimtestaat[[#This Row],[Code]],Locaties[#All],6,FALSE)</f>
        <v>Deventer</v>
      </c>
      <c r="F551" s="54"/>
      <c r="G551" s="24" t="s">
        <v>367</v>
      </c>
      <c r="H551" s="24" t="s">
        <v>991</v>
      </c>
      <c r="I551" s="4" t="s">
        <v>530</v>
      </c>
      <c r="J551" s="24">
        <v>16</v>
      </c>
      <c r="K551" s="54" t="str">
        <f>VLOOKUP(J551,Ruimtegroepen[],2,FALSE)</f>
        <v>Leslokalen theorie</v>
      </c>
      <c r="L551" s="24" t="s">
        <v>300</v>
      </c>
      <c r="M551" s="24" t="s">
        <v>926</v>
      </c>
      <c r="N551" s="83">
        <v>56.45</v>
      </c>
      <c r="O551" s="83"/>
      <c r="P551" s="93" t="str">
        <f>LEFT(VLOOKUP(Ruimtestaat[[#This Row],[Ruimte code]],Ruimtegroepen[#All],4,1),2)</f>
        <v>Le</v>
      </c>
      <c r="Q551" s="93"/>
      <c r="R551" s="84">
        <v>40</v>
      </c>
      <c r="S551" s="84" t="s">
        <v>318</v>
      </c>
      <c r="T551" s="85">
        <f>IF(R551&gt;0,IF(RIGHT(Ruimtestaat[[#This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1" s="85">
        <f>IF(T551&gt;0,VLOOKUP($J551,Ruimtegroepen[],3,FALSE)*VLOOKUP($L551,Vloersoorten[],3,FALSE)*VLOOKUP($S551,Frequenties[],3,FALSE)*VLOOKUP($A551,Locaties[],3,FALSE),0)</f>
        <v>0</v>
      </c>
      <c r="V551" s="86">
        <f>Ruimtestaat[[#This Row],[Uitvoeringen werkdagen]]*Ruimtestaat[[#This Row],[Oppervlak (netto)]]</f>
        <v>11290</v>
      </c>
      <c r="W551" s="87">
        <f>IF(U551&gt;0,Ruimtestaat[[#This Row],[Prest. (m2 /jaar) werkdagen]]/Ruimtestaat[[#This Row],[Norm (m2/uur) werkdagen]],0)</f>
        <v>0</v>
      </c>
      <c r="X551" s="88">
        <f>Ruimtestaat[[#This Row],[uren / jaar werkdagen]]*Tariefsopbouw!$E$35</f>
        <v>0</v>
      </c>
      <c r="Y551" s="85"/>
      <c r="Z551" s="89">
        <f>IF(Ruimtestaat[[#This Row],[Frequentie weekend]]&gt;0,VALUE(LEFT(Y551,1))*R551,0)</f>
        <v>0</v>
      </c>
      <c r="AA551" s="85">
        <f>IF($Z551&gt;0,VLOOKUP($J551,Ruimtegroepen[],3,FALSE)*VLOOKUP($L551,Vloersoorten[],3,FALSE)*VLOOKUP($Y551,Frequenties[],3,FALSE)*VLOOKUP(#REF!,Locaties[],3,FALSE),0)</f>
        <v>0</v>
      </c>
      <c r="AB551" s="87">
        <f>Ruimtestaat[[#This Row],[Uitvoeringen weekend]]*Ruimtestaat[[#This Row],[Oppervlak (netto)]]</f>
        <v>0</v>
      </c>
      <c r="AC551" s="90">
        <f>IF(AB551&gt;0,Ruimtestaat[[#This Row],[Prest. (m2 /jaar) weekend]]/Ruimtestaat[[#This Row],[Norm (m2/uur) weekend]],0)</f>
        <v>0</v>
      </c>
      <c r="AD551" s="91">
        <f>Ruimtestaat[[#This Row],[uren / jaar weekend]]*Tariefsopbouw!$D$40</f>
        <v>0</v>
      </c>
      <c r="AE551" s="60">
        <f>Ruimtestaat[[#This Row],[Prest. (m2 /jaar) weekend]]+Ruimtestaat[[#This Row],[Prest. (m2 /jaar) werkdagen]]</f>
        <v>11290</v>
      </c>
      <c r="AF551" s="60">
        <f>Ruimtestaat[[#This Row],[uren / jaar weekend]]+Ruimtestaat[[#This Row],[uren / jaar werkdagen]]</f>
        <v>0</v>
      </c>
      <c r="AG551" s="61">
        <f>Ruimtestaat[[#This Row],[kosten / jaar weekend]]+Ruimtestaat[[#This Row],[kosten / jaar werkdagen]]</f>
        <v>0</v>
      </c>
      <c r="AH551" s="92"/>
      <c r="HL551" s="59"/>
    </row>
    <row r="552" spans="1:220">
      <c r="A552" s="24">
        <v>3</v>
      </c>
      <c r="B552" s="24" t="str">
        <f>VLOOKUP(Ruimtestaat[[#This Row],[Code]],Locaties[#All],2,FALSE)</f>
        <v>Zwaluwenburg 8</v>
      </c>
      <c r="C552" s="24" t="str">
        <f>VLOOKUP(Ruimtestaat[[#This Row],[Code]],Locaties[#All],4,FALSE)</f>
        <v>De Zwaluwenburg 8</v>
      </c>
      <c r="D552" s="24" t="str">
        <f>VLOOKUP(Ruimtestaat[[#This Row],[Code]],Locaties[#All],5,FALSE)</f>
        <v>7423 DS</v>
      </c>
      <c r="E552" s="24" t="str">
        <f>VLOOKUP(Ruimtestaat[[#This Row],[Code]],Locaties[#All],6,FALSE)</f>
        <v>Deventer</v>
      </c>
      <c r="F552" s="54"/>
      <c r="G552" s="24" t="s">
        <v>367</v>
      </c>
      <c r="H552" s="24" t="s">
        <v>992</v>
      </c>
      <c r="I552" s="4" t="s">
        <v>530</v>
      </c>
      <c r="J552" s="24">
        <v>16</v>
      </c>
      <c r="K552" s="54" t="str">
        <f>VLOOKUP(J552,Ruimtegroepen[],2,FALSE)</f>
        <v>Leslokalen theorie</v>
      </c>
      <c r="L552" s="24" t="s">
        <v>300</v>
      </c>
      <c r="M552" s="24" t="s">
        <v>926</v>
      </c>
      <c r="N552" s="83">
        <v>56.05</v>
      </c>
      <c r="O552" s="83"/>
      <c r="P552" s="93" t="str">
        <f>LEFT(VLOOKUP(Ruimtestaat[[#This Row],[Ruimte code]],Ruimtegroepen[#All],4,1),2)</f>
        <v>Le</v>
      </c>
      <c r="Q552" s="93"/>
      <c r="R552" s="84">
        <v>40</v>
      </c>
      <c r="S552" s="84" t="s">
        <v>318</v>
      </c>
      <c r="T552" s="85">
        <f>IF(R552&gt;0,IF(RIGHT(Ruimtestaat[[#This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2" s="85">
        <f>IF(T552&gt;0,VLOOKUP($J552,Ruimtegroepen[],3,FALSE)*VLOOKUP($L552,Vloersoorten[],3,FALSE)*VLOOKUP($S552,Frequenties[],3,FALSE)*VLOOKUP($A552,Locaties[],3,FALSE),0)</f>
        <v>0</v>
      </c>
      <c r="V552" s="86">
        <f>Ruimtestaat[[#This Row],[Uitvoeringen werkdagen]]*Ruimtestaat[[#This Row],[Oppervlak (netto)]]</f>
        <v>11210</v>
      </c>
      <c r="W552" s="87">
        <f>IF(U552&gt;0,Ruimtestaat[[#This Row],[Prest. (m2 /jaar) werkdagen]]/Ruimtestaat[[#This Row],[Norm (m2/uur) werkdagen]],0)</f>
        <v>0</v>
      </c>
      <c r="X552" s="88">
        <f>Ruimtestaat[[#This Row],[uren / jaar werkdagen]]*Tariefsopbouw!$E$35</f>
        <v>0</v>
      </c>
      <c r="Y552" s="85"/>
      <c r="Z552" s="89">
        <f>IF(Ruimtestaat[[#This Row],[Frequentie weekend]]&gt;0,VALUE(LEFT(Y552,1))*R552,0)</f>
        <v>0</v>
      </c>
      <c r="AA552" s="85">
        <f>IF($Z552&gt;0,VLOOKUP($J552,Ruimtegroepen[],3,FALSE)*VLOOKUP($L552,Vloersoorten[],3,FALSE)*VLOOKUP($Y552,Frequenties[],3,FALSE)*VLOOKUP(#REF!,Locaties[],3,FALSE),0)</f>
        <v>0</v>
      </c>
      <c r="AB552" s="87">
        <f>Ruimtestaat[[#This Row],[Uitvoeringen weekend]]*Ruimtestaat[[#This Row],[Oppervlak (netto)]]</f>
        <v>0</v>
      </c>
      <c r="AC552" s="90">
        <f>IF(AB552&gt;0,Ruimtestaat[[#This Row],[Prest. (m2 /jaar) weekend]]/Ruimtestaat[[#This Row],[Norm (m2/uur) weekend]],0)</f>
        <v>0</v>
      </c>
      <c r="AD552" s="91">
        <f>Ruimtestaat[[#This Row],[uren / jaar weekend]]*Tariefsopbouw!$D$40</f>
        <v>0</v>
      </c>
      <c r="AE552" s="60">
        <f>Ruimtestaat[[#This Row],[Prest. (m2 /jaar) weekend]]+Ruimtestaat[[#This Row],[Prest. (m2 /jaar) werkdagen]]</f>
        <v>11210</v>
      </c>
      <c r="AF552" s="60">
        <f>Ruimtestaat[[#This Row],[uren / jaar weekend]]+Ruimtestaat[[#This Row],[uren / jaar werkdagen]]</f>
        <v>0</v>
      </c>
      <c r="AG552" s="61">
        <f>Ruimtestaat[[#This Row],[kosten / jaar weekend]]+Ruimtestaat[[#This Row],[kosten / jaar werkdagen]]</f>
        <v>0</v>
      </c>
      <c r="AH552" s="92"/>
      <c r="HL552" s="59"/>
    </row>
    <row r="553" spans="1:220">
      <c r="A553" s="24">
        <v>3</v>
      </c>
      <c r="B553" s="24" t="str">
        <f>VLOOKUP(Ruimtestaat[[#This Row],[Code]],Locaties[#All],2,FALSE)</f>
        <v>Zwaluwenburg 8</v>
      </c>
      <c r="C553" s="24" t="str">
        <f>VLOOKUP(Ruimtestaat[[#This Row],[Code]],Locaties[#All],4,FALSE)</f>
        <v>De Zwaluwenburg 8</v>
      </c>
      <c r="D553" s="24" t="str">
        <f>VLOOKUP(Ruimtestaat[[#This Row],[Code]],Locaties[#All],5,FALSE)</f>
        <v>7423 DS</v>
      </c>
      <c r="E553" s="24" t="str">
        <f>VLOOKUP(Ruimtestaat[[#This Row],[Code]],Locaties[#All],6,FALSE)</f>
        <v>Deventer</v>
      </c>
      <c r="F553" s="54"/>
      <c r="G553" s="24" t="s">
        <v>367</v>
      </c>
      <c r="H553" s="24" t="s">
        <v>993</v>
      </c>
      <c r="I553" s="4" t="s">
        <v>402</v>
      </c>
      <c r="J553" s="24">
        <v>5</v>
      </c>
      <c r="K553" s="54" t="str">
        <f>VLOOKUP(J553,Ruimtegroepen[],2,FALSE)</f>
        <v>Sanitair</v>
      </c>
      <c r="L553" s="24" t="s">
        <v>305</v>
      </c>
      <c r="M553" s="24" t="s">
        <v>929</v>
      </c>
      <c r="N553" s="83">
        <v>5.98</v>
      </c>
      <c r="O553" s="83"/>
      <c r="P553" s="93" t="str">
        <f>LEFT(VLOOKUP(Ruimtestaat[[#This Row],[Ruimte code]],Ruimtegroepen[#All],4,1),2)</f>
        <v>Sa</v>
      </c>
      <c r="Q553" s="93"/>
      <c r="R553" s="84">
        <v>42</v>
      </c>
      <c r="S553" s="84" t="s">
        <v>316</v>
      </c>
      <c r="T553" s="85">
        <f>IF(R553&gt;0,IF(RIGHT(Ruimtestaat[[#This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53" s="85">
        <f>IF(T553&gt;0,VLOOKUP($J553,Ruimtegroepen[],3,FALSE)*VLOOKUP($L553,Vloersoorten[],3,FALSE)*VLOOKUP($S553,Frequenties[],3,FALSE)*VLOOKUP($A553,Locaties[],3,FALSE),0)</f>
        <v>0</v>
      </c>
      <c r="V553" s="86">
        <f>Ruimtestaat[[#This Row],[Uitvoeringen werkdagen]]*Ruimtestaat[[#This Row],[Oppervlak (netto)]]</f>
        <v>2511.6000000000004</v>
      </c>
      <c r="W553" s="87">
        <f>IF(U553&gt;0,Ruimtestaat[[#This Row],[Prest. (m2 /jaar) werkdagen]]/Ruimtestaat[[#This Row],[Norm (m2/uur) werkdagen]],0)</f>
        <v>0</v>
      </c>
      <c r="X553" s="88">
        <f>Ruimtestaat[[#This Row],[uren / jaar werkdagen]]*Tariefsopbouw!$E$35</f>
        <v>0</v>
      </c>
      <c r="Y553" s="85"/>
      <c r="Z553" s="89">
        <f>IF(Ruimtestaat[[#This Row],[Frequentie weekend]]&gt;0,VALUE(LEFT(Y553,1))*R553,0)</f>
        <v>0</v>
      </c>
      <c r="AA553" s="85">
        <f>IF($Z553&gt;0,VLOOKUP($J553,Ruimtegroepen[],3,FALSE)*VLOOKUP($L553,Vloersoorten[],3,FALSE)*VLOOKUP($Y553,Frequenties[],3,FALSE)*VLOOKUP(#REF!,Locaties[],3,FALSE),0)</f>
        <v>0</v>
      </c>
      <c r="AB553" s="87">
        <f>Ruimtestaat[[#This Row],[Uitvoeringen weekend]]*Ruimtestaat[[#This Row],[Oppervlak (netto)]]</f>
        <v>0</v>
      </c>
      <c r="AC553" s="90">
        <f>IF(AB553&gt;0,Ruimtestaat[[#This Row],[Prest. (m2 /jaar) weekend]]/Ruimtestaat[[#This Row],[Norm (m2/uur) weekend]],0)</f>
        <v>0</v>
      </c>
      <c r="AD553" s="91">
        <f>Ruimtestaat[[#This Row],[uren / jaar weekend]]*Tariefsopbouw!$D$40</f>
        <v>0</v>
      </c>
      <c r="AE553" s="60">
        <f>Ruimtestaat[[#This Row],[Prest. (m2 /jaar) weekend]]+Ruimtestaat[[#This Row],[Prest. (m2 /jaar) werkdagen]]</f>
        <v>2511.6000000000004</v>
      </c>
      <c r="AF553" s="60">
        <f>Ruimtestaat[[#This Row],[uren / jaar weekend]]+Ruimtestaat[[#This Row],[uren / jaar werkdagen]]</f>
        <v>0</v>
      </c>
      <c r="AG553" s="61">
        <f>Ruimtestaat[[#This Row],[kosten / jaar weekend]]+Ruimtestaat[[#This Row],[kosten / jaar werkdagen]]</f>
        <v>0</v>
      </c>
      <c r="AH553" s="92"/>
      <c r="HL553" s="59"/>
    </row>
    <row r="554" spans="1:220">
      <c r="A554" s="24">
        <v>3</v>
      </c>
      <c r="B554" s="24" t="str">
        <f>VLOOKUP(Ruimtestaat[[#This Row],[Code]],Locaties[#All],2,FALSE)</f>
        <v>Zwaluwenburg 8</v>
      </c>
      <c r="C554" s="24" t="str">
        <f>VLOOKUP(Ruimtestaat[[#This Row],[Code]],Locaties[#All],4,FALSE)</f>
        <v>De Zwaluwenburg 8</v>
      </c>
      <c r="D554" s="24" t="str">
        <f>VLOOKUP(Ruimtestaat[[#This Row],[Code]],Locaties[#All],5,FALSE)</f>
        <v>7423 DS</v>
      </c>
      <c r="E554" s="24" t="str">
        <f>VLOOKUP(Ruimtestaat[[#This Row],[Code]],Locaties[#All],6,FALSE)</f>
        <v>Deventer</v>
      </c>
      <c r="F554" s="54"/>
      <c r="G554" s="24" t="s">
        <v>367</v>
      </c>
      <c r="H554" s="24" t="s">
        <v>994</v>
      </c>
      <c r="I554" s="4" t="s">
        <v>402</v>
      </c>
      <c r="J554" s="24">
        <v>5</v>
      </c>
      <c r="K554" s="54" t="str">
        <f>VLOOKUP(J554,Ruimtegroepen[],2,FALSE)</f>
        <v>Sanitair</v>
      </c>
      <c r="L554" s="24" t="s">
        <v>305</v>
      </c>
      <c r="M554" s="24" t="s">
        <v>929</v>
      </c>
      <c r="N554" s="83">
        <v>5.98</v>
      </c>
      <c r="O554" s="83"/>
      <c r="P554" s="93" t="str">
        <f>LEFT(VLOOKUP(Ruimtestaat[[#This Row],[Ruimte code]],Ruimtegroepen[#All],4,1),2)</f>
        <v>Sa</v>
      </c>
      <c r="Q554" s="93"/>
      <c r="R554" s="84">
        <v>42</v>
      </c>
      <c r="S554" s="84" t="s">
        <v>316</v>
      </c>
      <c r="T554" s="85">
        <f>IF(R554&gt;0,IF(RIGHT(Ruimtestaat[[#This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54" s="85">
        <f>IF(T554&gt;0,VLOOKUP($J554,Ruimtegroepen[],3,FALSE)*VLOOKUP($L554,Vloersoorten[],3,FALSE)*VLOOKUP($S554,Frequenties[],3,FALSE)*VLOOKUP($A554,Locaties[],3,FALSE),0)</f>
        <v>0</v>
      </c>
      <c r="V554" s="86">
        <f>Ruimtestaat[[#This Row],[Uitvoeringen werkdagen]]*Ruimtestaat[[#This Row],[Oppervlak (netto)]]</f>
        <v>2511.6000000000004</v>
      </c>
      <c r="W554" s="87">
        <f>IF(U554&gt;0,Ruimtestaat[[#This Row],[Prest. (m2 /jaar) werkdagen]]/Ruimtestaat[[#This Row],[Norm (m2/uur) werkdagen]],0)</f>
        <v>0</v>
      </c>
      <c r="X554" s="88">
        <f>Ruimtestaat[[#This Row],[uren / jaar werkdagen]]*Tariefsopbouw!$E$35</f>
        <v>0</v>
      </c>
      <c r="Y554" s="85"/>
      <c r="Z554" s="89">
        <f>IF(Ruimtestaat[[#This Row],[Frequentie weekend]]&gt;0,VALUE(LEFT(Y554,1))*R554,0)</f>
        <v>0</v>
      </c>
      <c r="AA554" s="85">
        <f>IF($Z554&gt;0,VLOOKUP($J554,Ruimtegroepen[],3,FALSE)*VLOOKUP($L554,Vloersoorten[],3,FALSE)*VLOOKUP($Y554,Frequenties[],3,FALSE)*VLOOKUP(#REF!,Locaties[],3,FALSE),0)</f>
        <v>0</v>
      </c>
      <c r="AB554" s="87">
        <f>Ruimtestaat[[#This Row],[Uitvoeringen weekend]]*Ruimtestaat[[#This Row],[Oppervlak (netto)]]</f>
        <v>0</v>
      </c>
      <c r="AC554" s="90">
        <f>IF(AB554&gt;0,Ruimtestaat[[#This Row],[Prest. (m2 /jaar) weekend]]/Ruimtestaat[[#This Row],[Norm (m2/uur) weekend]],0)</f>
        <v>0</v>
      </c>
      <c r="AD554" s="91">
        <f>Ruimtestaat[[#This Row],[uren / jaar weekend]]*Tariefsopbouw!$D$40</f>
        <v>0</v>
      </c>
      <c r="AE554" s="60">
        <f>Ruimtestaat[[#This Row],[Prest. (m2 /jaar) weekend]]+Ruimtestaat[[#This Row],[Prest. (m2 /jaar) werkdagen]]</f>
        <v>2511.6000000000004</v>
      </c>
      <c r="AF554" s="60">
        <f>Ruimtestaat[[#This Row],[uren / jaar weekend]]+Ruimtestaat[[#This Row],[uren / jaar werkdagen]]</f>
        <v>0</v>
      </c>
      <c r="AG554" s="61">
        <f>Ruimtestaat[[#This Row],[kosten / jaar weekend]]+Ruimtestaat[[#This Row],[kosten / jaar werkdagen]]</f>
        <v>0</v>
      </c>
      <c r="AH554" s="92"/>
      <c r="HL554" s="59"/>
    </row>
    <row r="555" spans="1:220">
      <c r="A555" s="24">
        <v>3</v>
      </c>
      <c r="B555" s="24" t="str">
        <f>VLOOKUP(Ruimtestaat[[#This Row],[Code]],Locaties[#All],2,FALSE)</f>
        <v>Zwaluwenburg 8</v>
      </c>
      <c r="C555" s="24" t="str">
        <f>VLOOKUP(Ruimtestaat[[#This Row],[Code]],Locaties[#All],4,FALSE)</f>
        <v>De Zwaluwenburg 8</v>
      </c>
      <c r="D555" s="24" t="str">
        <f>VLOOKUP(Ruimtestaat[[#This Row],[Code]],Locaties[#All],5,FALSE)</f>
        <v>7423 DS</v>
      </c>
      <c r="E555" s="24" t="str">
        <f>VLOOKUP(Ruimtestaat[[#This Row],[Code]],Locaties[#All],6,FALSE)</f>
        <v>Deventer</v>
      </c>
      <c r="F555" s="54"/>
      <c r="G555" s="24" t="s">
        <v>367</v>
      </c>
      <c r="H555" s="24" t="s">
        <v>995</v>
      </c>
      <c r="I555" s="4" t="s">
        <v>530</v>
      </c>
      <c r="J555" s="24">
        <v>16</v>
      </c>
      <c r="K555" s="54" t="str">
        <f>VLOOKUP(J555,Ruimtegroepen[],2,FALSE)</f>
        <v>Leslokalen theorie</v>
      </c>
      <c r="L555" s="24" t="s">
        <v>300</v>
      </c>
      <c r="M555" s="24" t="s">
        <v>926</v>
      </c>
      <c r="N555" s="83">
        <v>56.05</v>
      </c>
      <c r="O555" s="83"/>
      <c r="P555" s="93" t="str">
        <f>LEFT(VLOOKUP(Ruimtestaat[[#This Row],[Ruimte code]],Ruimtegroepen[#All],4,1),2)</f>
        <v>Le</v>
      </c>
      <c r="Q555" s="93"/>
      <c r="R555" s="84">
        <v>40</v>
      </c>
      <c r="S555" s="84" t="s">
        <v>318</v>
      </c>
      <c r="T555" s="85">
        <f>IF(R555&gt;0,IF(RIGHT(Ruimtestaat[[#This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5" s="85">
        <f>IF(T555&gt;0,VLOOKUP($J555,Ruimtegroepen[],3,FALSE)*VLOOKUP($L555,Vloersoorten[],3,FALSE)*VLOOKUP($S555,Frequenties[],3,FALSE)*VLOOKUP($A555,Locaties[],3,FALSE),0)</f>
        <v>0</v>
      </c>
      <c r="V555" s="86">
        <f>Ruimtestaat[[#This Row],[Uitvoeringen werkdagen]]*Ruimtestaat[[#This Row],[Oppervlak (netto)]]</f>
        <v>11210</v>
      </c>
      <c r="W555" s="87">
        <f>IF(U555&gt;0,Ruimtestaat[[#This Row],[Prest. (m2 /jaar) werkdagen]]/Ruimtestaat[[#This Row],[Norm (m2/uur) werkdagen]],0)</f>
        <v>0</v>
      </c>
      <c r="X555" s="88">
        <f>Ruimtestaat[[#This Row],[uren / jaar werkdagen]]*Tariefsopbouw!$E$35</f>
        <v>0</v>
      </c>
      <c r="Y555" s="85"/>
      <c r="Z555" s="89">
        <f>IF(Ruimtestaat[[#This Row],[Frequentie weekend]]&gt;0,VALUE(LEFT(Y555,1))*R555,0)</f>
        <v>0</v>
      </c>
      <c r="AA555" s="85">
        <f>IF($Z555&gt;0,VLOOKUP($J555,Ruimtegroepen[],3,FALSE)*VLOOKUP($L555,Vloersoorten[],3,FALSE)*VLOOKUP($Y555,Frequenties[],3,FALSE)*VLOOKUP(#REF!,Locaties[],3,FALSE),0)</f>
        <v>0</v>
      </c>
      <c r="AB555" s="87">
        <f>Ruimtestaat[[#This Row],[Uitvoeringen weekend]]*Ruimtestaat[[#This Row],[Oppervlak (netto)]]</f>
        <v>0</v>
      </c>
      <c r="AC555" s="90">
        <f>IF(AB555&gt;0,Ruimtestaat[[#This Row],[Prest. (m2 /jaar) weekend]]/Ruimtestaat[[#This Row],[Norm (m2/uur) weekend]],0)</f>
        <v>0</v>
      </c>
      <c r="AD555" s="91">
        <f>Ruimtestaat[[#This Row],[uren / jaar weekend]]*Tariefsopbouw!$D$40</f>
        <v>0</v>
      </c>
      <c r="AE555" s="60">
        <f>Ruimtestaat[[#This Row],[Prest. (m2 /jaar) weekend]]+Ruimtestaat[[#This Row],[Prest. (m2 /jaar) werkdagen]]</f>
        <v>11210</v>
      </c>
      <c r="AF555" s="60">
        <f>Ruimtestaat[[#This Row],[uren / jaar weekend]]+Ruimtestaat[[#This Row],[uren / jaar werkdagen]]</f>
        <v>0</v>
      </c>
      <c r="AG555" s="61">
        <f>Ruimtestaat[[#This Row],[kosten / jaar weekend]]+Ruimtestaat[[#This Row],[kosten / jaar werkdagen]]</f>
        <v>0</v>
      </c>
      <c r="AH555" s="92"/>
      <c r="HL555" s="59"/>
    </row>
    <row r="556" spans="1:220">
      <c r="A556" s="24">
        <v>5</v>
      </c>
      <c r="B556" s="24" t="str">
        <f>VLOOKUP(Ruimtestaat[[#This Row],[Code]],Locaties[#All],2,FALSE)</f>
        <v>Marke Zuid</v>
      </c>
      <c r="C556" s="24" t="str">
        <f>VLOOKUP(Ruimtestaat[[#This Row],[Code]],Locaties[#All],4,FALSE)</f>
        <v>Ludgerstraat 1</v>
      </c>
      <c r="D556" s="24" t="str">
        <f>VLOOKUP(Ruimtestaat[[#This Row],[Code]],Locaties[#All],5,FALSE)</f>
        <v>7415 DV</v>
      </c>
      <c r="E556" s="24" t="str">
        <f>VLOOKUP(Ruimtestaat[[#This Row],[Code]],Locaties[#All],6,FALSE)</f>
        <v>Deventer</v>
      </c>
      <c r="F556" s="54"/>
      <c r="G556" s="24" t="s">
        <v>367</v>
      </c>
      <c r="H556" s="24" t="s">
        <v>368</v>
      </c>
      <c r="I556" s="4" t="s">
        <v>996</v>
      </c>
      <c r="J556" s="24">
        <v>2</v>
      </c>
      <c r="K556" s="54" t="str">
        <f>VLOOKUP(J556,Ruimtegroepen[],2,FALSE)</f>
        <v>Kantoren</v>
      </c>
      <c r="L556" s="24" t="s">
        <v>303</v>
      </c>
      <c r="M556" s="24" t="s">
        <v>387</v>
      </c>
      <c r="N556" s="83">
        <v>11.52</v>
      </c>
      <c r="O556" s="83"/>
      <c r="P556" s="93" t="str">
        <f>LEFT(VLOOKUP(Ruimtestaat[[#This Row],[Ruimte code]],Ruimtegroepen[#All],4,1),2)</f>
        <v>Bu</v>
      </c>
      <c r="Q556" s="93"/>
      <c r="R556" s="84">
        <v>42</v>
      </c>
      <c r="S556" s="84" t="s">
        <v>322</v>
      </c>
      <c r="T556" s="85">
        <f>IF(R556&gt;0,IF(RIGHT(Ruimtestaat[[#This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56" s="85">
        <f>IF(T556&gt;0,VLOOKUP($J556,Ruimtegroepen[],3,FALSE)*VLOOKUP($L556,Vloersoorten[],3,FALSE)*VLOOKUP($S556,Frequenties[],3,FALSE)*VLOOKUP($A556,Locaties[],3,FALSE),0)</f>
        <v>0</v>
      </c>
      <c r="V556" s="86">
        <f>Ruimtestaat[[#This Row],[Uitvoeringen werkdagen]]*Ruimtestaat[[#This Row],[Oppervlak (netto)]]</f>
        <v>1451.52</v>
      </c>
      <c r="W556" s="87">
        <f>IF(U556&gt;0,Ruimtestaat[[#This Row],[Prest. (m2 /jaar) werkdagen]]/Ruimtestaat[[#This Row],[Norm (m2/uur) werkdagen]],0)</f>
        <v>0</v>
      </c>
      <c r="X556" s="88">
        <f>Ruimtestaat[[#This Row],[uren / jaar werkdagen]]*Tariefsopbouw!$E$35</f>
        <v>0</v>
      </c>
      <c r="Y556" s="85"/>
      <c r="Z556" s="89">
        <f>IF(Ruimtestaat[[#This Row],[Frequentie weekend]]&gt;0,VALUE(LEFT(Y556,1))*R556,0)</f>
        <v>0</v>
      </c>
      <c r="AA556" s="85">
        <f>IF($Z556&gt;0,VLOOKUP($J556,Ruimtegroepen[],3,FALSE)*VLOOKUP($L556,Vloersoorten[],3,FALSE)*VLOOKUP($Y556,Frequenties[],3,FALSE)*VLOOKUP(#REF!,Locaties[],3,FALSE),0)</f>
        <v>0</v>
      </c>
      <c r="AB556" s="87">
        <f>Ruimtestaat[[#This Row],[Uitvoeringen weekend]]*Ruimtestaat[[#This Row],[Oppervlak (netto)]]</f>
        <v>0</v>
      </c>
      <c r="AC556" s="90">
        <f>IF(AB556&gt;0,Ruimtestaat[[#This Row],[Prest. (m2 /jaar) weekend]]/Ruimtestaat[[#This Row],[Norm (m2/uur) weekend]],0)</f>
        <v>0</v>
      </c>
      <c r="AD556" s="91">
        <f>Ruimtestaat[[#This Row],[uren / jaar weekend]]*Tariefsopbouw!$D$40</f>
        <v>0</v>
      </c>
      <c r="AE556" s="60">
        <f>Ruimtestaat[[#This Row],[Prest. (m2 /jaar) weekend]]+Ruimtestaat[[#This Row],[Prest. (m2 /jaar) werkdagen]]</f>
        <v>1451.52</v>
      </c>
      <c r="AF556" s="60">
        <f>Ruimtestaat[[#This Row],[uren / jaar weekend]]+Ruimtestaat[[#This Row],[uren / jaar werkdagen]]</f>
        <v>0</v>
      </c>
      <c r="AG556" s="61">
        <f>Ruimtestaat[[#This Row],[kosten / jaar weekend]]+Ruimtestaat[[#This Row],[kosten / jaar werkdagen]]</f>
        <v>0</v>
      </c>
      <c r="AH556" s="92"/>
      <c r="HL556" s="59"/>
    </row>
    <row r="557" spans="1:220">
      <c r="A557" s="24">
        <v>5</v>
      </c>
      <c r="B557" s="24" t="str">
        <f>VLOOKUP(Ruimtestaat[[#This Row],[Code]],Locaties[#All],2,FALSE)</f>
        <v>Marke Zuid</v>
      </c>
      <c r="C557" s="24" t="str">
        <f>VLOOKUP(Ruimtestaat[[#This Row],[Code]],Locaties[#All],4,FALSE)</f>
        <v>Ludgerstraat 1</v>
      </c>
      <c r="D557" s="24" t="str">
        <f>VLOOKUP(Ruimtestaat[[#This Row],[Code]],Locaties[#All],5,FALSE)</f>
        <v>7415 DV</v>
      </c>
      <c r="E557" s="24" t="str">
        <f>VLOOKUP(Ruimtestaat[[#This Row],[Code]],Locaties[#All],6,FALSE)</f>
        <v>Deventer</v>
      </c>
      <c r="F557" s="54"/>
      <c r="G557" s="24" t="s">
        <v>367</v>
      </c>
      <c r="H557" s="24" t="s">
        <v>371</v>
      </c>
      <c r="I557" s="4" t="s">
        <v>386</v>
      </c>
      <c r="J557" s="24">
        <v>2</v>
      </c>
      <c r="K557" s="54" t="str">
        <f>VLOOKUP(J557,Ruimtegroepen[],2,FALSE)</f>
        <v>Kantoren</v>
      </c>
      <c r="L557" s="24" t="s">
        <v>300</v>
      </c>
      <c r="M557" s="24" t="s">
        <v>997</v>
      </c>
      <c r="N557" s="83">
        <v>43.29</v>
      </c>
      <c r="O557" s="83"/>
      <c r="P557" s="93" t="str">
        <f>LEFT(VLOOKUP(Ruimtestaat[[#This Row],[Ruimte code]],Ruimtegroepen[#All],4,1),2)</f>
        <v>Bu</v>
      </c>
      <c r="Q557" s="93"/>
      <c r="R557" s="84">
        <v>42</v>
      </c>
      <c r="S557" s="84" t="s">
        <v>322</v>
      </c>
      <c r="T557" s="85">
        <f>IF(R557&gt;0,IF(RIGHT(Ruimtestaat[[#This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57" s="85">
        <f>IF(T557&gt;0,VLOOKUP($J557,Ruimtegroepen[],3,FALSE)*VLOOKUP($L557,Vloersoorten[],3,FALSE)*VLOOKUP($S557,Frequenties[],3,FALSE)*VLOOKUP($A557,Locaties[],3,FALSE),0)</f>
        <v>0</v>
      </c>
      <c r="V557" s="86">
        <f>Ruimtestaat[[#This Row],[Uitvoeringen werkdagen]]*Ruimtestaat[[#This Row],[Oppervlak (netto)]]</f>
        <v>5454.54</v>
      </c>
      <c r="W557" s="87">
        <f>IF(U557&gt;0,Ruimtestaat[[#This Row],[Prest. (m2 /jaar) werkdagen]]/Ruimtestaat[[#This Row],[Norm (m2/uur) werkdagen]],0)</f>
        <v>0</v>
      </c>
      <c r="X557" s="88">
        <f>Ruimtestaat[[#This Row],[uren / jaar werkdagen]]*Tariefsopbouw!$E$35</f>
        <v>0</v>
      </c>
      <c r="Y557" s="85"/>
      <c r="Z557" s="89">
        <f>IF(Ruimtestaat[[#This Row],[Frequentie weekend]]&gt;0,VALUE(LEFT(Y557,1))*R557,0)</f>
        <v>0</v>
      </c>
      <c r="AA557" s="85">
        <f>IF($Z557&gt;0,VLOOKUP($J557,Ruimtegroepen[],3,FALSE)*VLOOKUP($L557,Vloersoorten[],3,FALSE)*VLOOKUP($Y557,Frequenties[],3,FALSE)*VLOOKUP(#REF!,Locaties[],3,FALSE),0)</f>
        <v>0</v>
      </c>
      <c r="AB557" s="87">
        <f>Ruimtestaat[[#This Row],[Uitvoeringen weekend]]*Ruimtestaat[[#This Row],[Oppervlak (netto)]]</f>
        <v>0</v>
      </c>
      <c r="AC557" s="90">
        <f>IF(AB557&gt;0,Ruimtestaat[[#This Row],[Prest. (m2 /jaar) weekend]]/Ruimtestaat[[#This Row],[Norm (m2/uur) weekend]],0)</f>
        <v>0</v>
      </c>
      <c r="AD557" s="91">
        <f>Ruimtestaat[[#This Row],[uren / jaar weekend]]*Tariefsopbouw!$D$40</f>
        <v>0</v>
      </c>
      <c r="AE557" s="60">
        <f>Ruimtestaat[[#This Row],[Prest. (m2 /jaar) weekend]]+Ruimtestaat[[#This Row],[Prest. (m2 /jaar) werkdagen]]</f>
        <v>5454.54</v>
      </c>
      <c r="AF557" s="60">
        <f>Ruimtestaat[[#This Row],[uren / jaar weekend]]+Ruimtestaat[[#This Row],[uren / jaar werkdagen]]</f>
        <v>0</v>
      </c>
      <c r="AG557" s="61">
        <f>Ruimtestaat[[#This Row],[kosten / jaar weekend]]+Ruimtestaat[[#This Row],[kosten / jaar werkdagen]]</f>
        <v>0</v>
      </c>
      <c r="AH557" s="92"/>
      <c r="HL557" s="59"/>
    </row>
    <row r="558" spans="1:220">
      <c r="A558" s="24">
        <v>5</v>
      </c>
      <c r="B558" s="24" t="str">
        <f>VLOOKUP(Ruimtestaat[[#This Row],[Code]],Locaties[#All],2,FALSE)</f>
        <v>Marke Zuid</v>
      </c>
      <c r="C558" s="24" t="str">
        <f>VLOOKUP(Ruimtestaat[[#This Row],[Code]],Locaties[#All],4,FALSE)</f>
        <v>Ludgerstraat 1</v>
      </c>
      <c r="D558" s="24" t="str">
        <f>VLOOKUP(Ruimtestaat[[#This Row],[Code]],Locaties[#All],5,FALSE)</f>
        <v>7415 DV</v>
      </c>
      <c r="E558" s="24" t="str">
        <f>VLOOKUP(Ruimtestaat[[#This Row],[Code]],Locaties[#All],6,FALSE)</f>
        <v>Deventer</v>
      </c>
      <c r="F558" s="54"/>
      <c r="G558" s="24" t="s">
        <v>367</v>
      </c>
      <c r="H558" s="24" t="s">
        <v>374</v>
      </c>
      <c r="I558" s="4" t="s">
        <v>667</v>
      </c>
      <c r="J558" s="24">
        <v>22</v>
      </c>
      <c r="K558" s="54" t="str">
        <f>VLOOKUP(J558,Ruimtegroepen[],2,FALSE)</f>
        <v>Niet in onderhoud</v>
      </c>
      <c r="L558" s="24" t="s">
        <v>300</v>
      </c>
      <c r="M558" s="24" t="s">
        <v>997</v>
      </c>
      <c r="N558" s="83"/>
      <c r="O558" s="83">
        <v>8.51</v>
      </c>
      <c r="P558" s="93" t="str">
        <f>LEFT(VLOOKUP(Ruimtestaat[[#This Row],[Ruimte code]],Ruimtegroepen[#All],4,1),2)</f>
        <v/>
      </c>
      <c r="Q558" s="93"/>
      <c r="R558" s="84"/>
      <c r="S558" s="84"/>
      <c r="T558" s="85">
        <f>IF(R558&gt;0,IF(RIGHT(Ruimtestaat[[#This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58" s="85">
        <f>IF(T558&gt;0,VLOOKUP($J558,Ruimtegroepen[],3,FALSE)*VLOOKUP($L558,Vloersoorten[],3,FALSE)*VLOOKUP($S558,Frequenties[],3,FALSE)*VLOOKUP($A558,Locaties[],3,FALSE),0)</f>
        <v>0</v>
      </c>
      <c r="V558" s="86">
        <f>Ruimtestaat[[#This Row],[Uitvoeringen werkdagen]]*Ruimtestaat[[#This Row],[Oppervlak (netto)]]</f>
        <v>0</v>
      </c>
      <c r="W558" s="87">
        <f>IF(U558&gt;0,Ruimtestaat[[#This Row],[Prest. (m2 /jaar) werkdagen]]/Ruimtestaat[[#This Row],[Norm (m2/uur) werkdagen]],0)</f>
        <v>0</v>
      </c>
      <c r="X558" s="88">
        <f>Ruimtestaat[[#This Row],[uren / jaar werkdagen]]*Tariefsopbouw!$E$35</f>
        <v>0</v>
      </c>
      <c r="Y558" s="85"/>
      <c r="Z558" s="89">
        <f>IF(Ruimtestaat[[#This Row],[Frequentie weekend]]&gt;0,VALUE(LEFT(Y558,1))*R558,0)</f>
        <v>0</v>
      </c>
      <c r="AA558" s="85">
        <f>IF($Z558&gt;0,VLOOKUP($J558,Ruimtegroepen[],3,FALSE)*VLOOKUP($L558,Vloersoorten[],3,FALSE)*VLOOKUP($Y558,Frequenties[],3,FALSE)*VLOOKUP(#REF!,Locaties[],3,FALSE),0)</f>
        <v>0</v>
      </c>
      <c r="AB558" s="87">
        <f>Ruimtestaat[[#This Row],[Uitvoeringen weekend]]*Ruimtestaat[[#This Row],[Oppervlak (netto)]]</f>
        <v>0</v>
      </c>
      <c r="AC558" s="90">
        <f>IF(AB558&gt;0,Ruimtestaat[[#This Row],[Prest. (m2 /jaar) weekend]]/Ruimtestaat[[#This Row],[Norm (m2/uur) weekend]],0)</f>
        <v>0</v>
      </c>
      <c r="AD558" s="91">
        <f>Ruimtestaat[[#This Row],[uren / jaar weekend]]*Tariefsopbouw!$D$40</f>
        <v>0</v>
      </c>
      <c r="AE558" s="60">
        <f>Ruimtestaat[[#This Row],[Prest. (m2 /jaar) weekend]]+Ruimtestaat[[#This Row],[Prest. (m2 /jaar) werkdagen]]</f>
        <v>0</v>
      </c>
      <c r="AF558" s="60">
        <f>Ruimtestaat[[#This Row],[uren / jaar weekend]]+Ruimtestaat[[#This Row],[uren / jaar werkdagen]]</f>
        <v>0</v>
      </c>
      <c r="AG558" s="61">
        <f>Ruimtestaat[[#This Row],[kosten / jaar weekend]]+Ruimtestaat[[#This Row],[kosten / jaar werkdagen]]</f>
        <v>0</v>
      </c>
      <c r="AH558" s="92"/>
      <c r="HL558" s="59"/>
    </row>
    <row r="559" spans="1:220">
      <c r="A559" s="24">
        <v>5</v>
      </c>
      <c r="B559" s="24" t="str">
        <f>VLOOKUP(Ruimtestaat[[#This Row],[Code]],Locaties[#All],2,FALSE)</f>
        <v>Marke Zuid</v>
      </c>
      <c r="C559" s="24" t="str">
        <f>VLOOKUP(Ruimtestaat[[#This Row],[Code]],Locaties[#All],4,FALSE)</f>
        <v>Ludgerstraat 1</v>
      </c>
      <c r="D559" s="24" t="str">
        <f>VLOOKUP(Ruimtestaat[[#This Row],[Code]],Locaties[#All],5,FALSE)</f>
        <v>7415 DV</v>
      </c>
      <c r="E559" s="24" t="str">
        <f>VLOOKUP(Ruimtestaat[[#This Row],[Code]],Locaties[#All],6,FALSE)</f>
        <v>Deventer</v>
      </c>
      <c r="F559" s="54"/>
      <c r="G559" s="24" t="s">
        <v>367</v>
      </c>
      <c r="H559" s="24" t="s">
        <v>377</v>
      </c>
      <c r="I559" s="4" t="s">
        <v>941</v>
      </c>
      <c r="J559" s="24">
        <v>2</v>
      </c>
      <c r="K559" s="54" t="str">
        <f>VLOOKUP(J559,Ruimtegroepen[],2,FALSE)</f>
        <v>Kantoren</v>
      </c>
      <c r="L559" s="24" t="s">
        <v>303</v>
      </c>
      <c r="M559" s="24" t="s">
        <v>387</v>
      </c>
      <c r="N559" s="83">
        <v>11.49</v>
      </c>
      <c r="O559" s="83"/>
      <c r="P559" s="93" t="str">
        <f>LEFT(VLOOKUP(Ruimtestaat[[#This Row],[Ruimte code]],Ruimtegroepen[#All],4,1),2)</f>
        <v>Bu</v>
      </c>
      <c r="Q559" s="93"/>
      <c r="R559" s="84">
        <v>42</v>
      </c>
      <c r="S559" s="84" t="s">
        <v>322</v>
      </c>
      <c r="T559" s="85">
        <f>IF(R559&gt;0,IF(RIGHT(Ruimtestaat[[#This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59" s="85">
        <f>IF(T559&gt;0,VLOOKUP($J559,Ruimtegroepen[],3,FALSE)*VLOOKUP($L559,Vloersoorten[],3,FALSE)*VLOOKUP($S559,Frequenties[],3,FALSE)*VLOOKUP($A559,Locaties[],3,FALSE),0)</f>
        <v>0</v>
      </c>
      <c r="V559" s="86">
        <f>Ruimtestaat[[#This Row],[Uitvoeringen werkdagen]]*Ruimtestaat[[#This Row],[Oppervlak (netto)]]</f>
        <v>1447.74</v>
      </c>
      <c r="W559" s="87">
        <f>IF(U559&gt;0,Ruimtestaat[[#This Row],[Prest. (m2 /jaar) werkdagen]]/Ruimtestaat[[#This Row],[Norm (m2/uur) werkdagen]],0)</f>
        <v>0</v>
      </c>
      <c r="X559" s="88">
        <f>Ruimtestaat[[#This Row],[uren / jaar werkdagen]]*Tariefsopbouw!$E$35</f>
        <v>0</v>
      </c>
      <c r="Y559" s="85"/>
      <c r="Z559" s="89">
        <f>IF(Ruimtestaat[[#This Row],[Frequentie weekend]]&gt;0,VALUE(LEFT(Y559,1))*R559,0)</f>
        <v>0</v>
      </c>
      <c r="AA559" s="85">
        <f>IF($Z559&gt;0,VLOOKUP($J559,Ruimtegroepen[],3,FALSE)*VLOOKUP($L559,Vloersoorten[],3,FALSE)*VLOOKUP($Y559,Frequenties[],3,FALSE)*VLOOKUP(#REF!,Locaties[],3,FALSE),0)</f>
        <v>0</v>
      </c>
      <c r="AB559" s="87">
        <f>Ruimtestaat[[#This Row],[Uitvoeringen weekend]]*Ruimtestaat[[#This Row],[Oppervlak (netto)]]</f>
        <v>0</v>
      </c>
      <c r="AC559" s="90">
        <f>IF(AB559&gt;0,Ruimtestaat[[#This Row],[Prest. (m2 /jaar) weekend]]/Ruimtestaat[[#This Row],[Norm (m2/uur) weekend]],0)</f>
        <v>0</v>
      </c>
      <c r="AD559" s="91">
        <f>Ruimtestaat[[#This Row],[uren / jaar weekend]]*Tariefsopbouw!$D$40</f>
        <v>0</v>
      </c>
      <c r="AE559" s="60">
        <f>Ruimtestaat[[#This Row],[Prest. (m2 /jaar) weekend]]+Ruimtestaat[[#This Row],[Prest. (m2 /jaar) werkdagen]]</f>
        <v>1447.74</v>
      </c>
      <c r="AF559" s="60">
        <f>Ruimtestaat[[#This Row],[uren / jaar weekend]]+Ruimtestaat[[#This Row],[uren / jaar werkdagen]]</f>
        <v>0</v>
      </c>
      <c r="AG559" s="61">
        <f>Ruimtestaat[[#This Row],[kosten / jaar weekend]]+Ruimtestaat[[#This Row],[kosten / jaar werkdagen]]</f>
        <v>0</v>
      </c>
      <c r="AH559" s="92"/>
      <c r="HL559" s="59"/>
    </row>
    <row r="560" spans="1:220">
      <c r="A560" s="24">
        <v>5</v>
      </c>
      <c r="B560" s="24" t="str">
        <f>VLOOKUP(Ruimtestaat[[#This Row],[Code]],Locaties[#All],2,FALSE)</f>
        <v>Marke Zuid</v>
      </c>
      <c r="C560" s="24" t="str">
        <f>VLOOKUP(Ruimtestaat[[#This Row],[Code]],Locaties[#All],4,FALSE)</f>
        <v>Ludgerstraat 1</v>
      </c>
      <c r="D560" s="24" t="str">
        <f>VLOOKUP(Ruimtestaat[[#This Row],[Code]],Locaties[#All],5,FALSE)</f>
        <v>7415 DV</v>
      </c>
      <c r="E560" s="24" t="str">
        <f>VLOOKUP(Ruimtestaat[[#This Row],[Code]],Locaties[#All],6,FALSE)</f>
        <v>Deventer</v>
      </c>
      <c r="F560" s="54"/>
      <c r="G560" s="24" t="s">
        <v>367</v>
      </c>
      <c r="H560" s="24" t="s">
        <v>379</v>
      </c>
      <c r="I560" s="4" t="s">
        <v>941</v>
      </c>
      <c r="J560" s="24">
        <v>2</v>
      </c>
      <c r="K560" s="54" t="str">
        <f>VLOOKUP(J560,Ruimtegroepen[],2,FALSE)</f>
        <v>Kantoren</v>
      </c>
      <c r="L560" s="24" t="s">
        <v>303</v>
      </c>
      <c r="M560" s="24" t="s">
        <v>387</v>
      </c>
      <c r="N560" s="83">
        <v>30.69</v>
      </c>
      <c r="O560" s="83"/>
      <c r="P560" s="93" t="str">
        <f>LEFT(VLOOKUP(Ruimtestaat[[#This Row],[Ruimte code]],Ruimtegroepen[#All],4,1),2)</f>
        <v>Bu</v>
      </c>
      <c r="Q560" s="93"/>
      <c r="R560" s="84">
        <v>42</v>
      </c>
      <c r="S560" s="84" t="s">
        <v>322</v>
      </c>
      <c r="T560" s="85">
        <f>IF(R560&gt;0,IF(RIGHT(Ruimtestaat[[#This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60" s="85">
        <f>IF(T560&gt;0,VLOOKUP($J560,Ruimtegroepen[],3,FALSE)*VLOOKUP($L560,Vloersoorten[],3,FALSE)*VLOOKUP($S560,Frequenties[],3,FALSE)*VLOOKUP($A560,Locaties[],3,FALSE),0)</f>
        <v>0</v>
      </c>
      <c r="V560" s="86">
        <f>Ruimtestaat[[#This Row],[Uitvoeringen werkdagen]]*Ruimtestaat[[#This Row],[Oppervlak (netto)]]</f>
        <v>3866.94</v>
      </c>
      <c r="W560" s="87">
        <f>IF(U560&gt;0,Ruimtestaat[[#This Row],[Prest. (m2 /jaar) werkdagen]]/Ruimtestaat[[#This Row],[Norm (m2/uur) werkdagen]],0)</f>
        <v>0</v>
      </c>
      <c r="X560" s="88">
        <f>Ruimtestaat[[#This Row],[uren / jaar werkdagen]]*Tariefsopbouw!$E$35</f>
        <v>0</v>
      </c>
      <c r="Y560" s="85"/>
      <c r="Z560" s="89">
        <f>IF(Ruimtestaat[[#This Row],[Frequentie weekend]]&gt;0,VALUE(LEFT(Y560,1))*R560,0)</f>
        <v>0</v>
      </c>
      <c r="AA560" s="85">
        <f>IF($Z560&gt;0,VLOOKUP($J560,Ruimtegroepen[],3,FALSE)*VLOOKUP($L560,Vloersoorten[],3,FALSE)*VLOOKUP($Y560,Frequenties[],3,FALSE)*VLOOKUP(#REF!,Locaties[],3,FALSE),0)</f>
        <v>0</v>
      </c>
      <c r="AB560" s="87">
        <f>Ruimtestaat[[#This Row],[Uitvoeringen weekend]]*Ruimtestaat[[#This Row],[Oppervlak (netto)]]</f>
        <v>0</v>
      </c>
      <c r="AC560" s="90">
        <f>IF(AB560&gt;0,Ruimtestaat[[#This Row],[Prest. (m2 /jaar) weekend]]/Ruimtestaat[[#This Row],[Norm (m2/uur) weekend]],0)</f>
        <v>0</v>
      </c>
      <c r="AD560" s="91">
        <f>Ruimtestaat[[#This Row],[uren / jaar weekend]]*Tariefsopbouw!$D$40</f>
        <v>0</v>
      </c>
      <c r="AE560" s="60">
        <f>Ruimtestaat[[#This Row],[Prest. (m2 /jaar) weekend]]+Ruimtestaat[[#This Row],[Prest. (m2 /jaar) werkdagen]]</f>
        <v>3866.94</v>
      </c>
      <c r="AF560" s="60">
        <f>Ruimtestaat[[#This Row],[uren / jaar weekend]]+Ruimtestaat[[#This Row],[uren / jaar werkdagen]]</f>
        <v>0</v>
      </c>
      <c r="AG560" s="61">
        <f>Ruimtestaat[[#This Row],[kosten / jaar weekend]]+Ruimtestaat[[#This Row],[kosten / jaar werkdagen]]</f>
        <v>0</v>
      </c>
      <c r="AH560" s="92"/>
      <c r="HL560" s="59"/>
    </row>
    <row r="561" spans="1:220">
      <c r="A561" s="24">
        <v>5</v>
      </c>
      <c r="B561" s="24" t="str">
        <f>VLOOKUP(Ruimtestaat[[#This Row],[Code]],Locaties[#All],2,FALSE)</f>
        <v>Marke Zuid</v>
      </c>
      <c r="C561" s="24" t="str">
        <f>VLOOKUP(Ruimtestaat[[#This Row],[Code]],Locaties[#All],4,FALSE)</f>
        <v>Ludgerstraat 1</v>
      </c>
      <c r="D561" s="24" t="str">
        <f>VLOOKUP(Ruimtestaat[[#This Row],[Code]],Locaties[#All],5,FALSE)</f>
        <v>7415 DV</v>
      </c>
      <c r="E561" s="24" t="str">
        <f>VLOOKUP(Ruimtestaat[[#This Row],[Code]],Locaties[#All],6,FALSE)</f>
        <v>Deventer</v>
      </c>
      <c r="F561" s="54"/>
      <c r="G561" s="24" t="s">
        <v>367</v>
      </c>
      <c r="H561" s="24" t="s">
        <v>381</v>
      </c>
      <c r="I561" s="4" t="s">
        <v>998</v>
      </c>
      <c r="J561" s="24">
        <v>2</v>
      </c>
      <c r="K561" s="54" t="str">
        <f>VLOOKUP(J561,Ruimtegroepen[],2,FALSE)</f>
        <v>Kantoren</v>
      </c>
      <c r="L561" s="24" t="s">
        <v>303</v>
      </c>
      <c r="M561" s="24" t="s">
        <v>387</v>
      </c>
      <c r="N561" s="83">
        <v>24.28</v>
      </c>
      <c r="O561" s="83"/>
      <c r="P561" s="93" t="str">
        <f>LEFT(VLOOKUP(Ruimtestaat[[#This Row],[Ruimte code]],Ruimtegroepen[#All],4,1),2)</f>
        <v>Bu</v>
      </c>
      <c r="Q561" s="93"/>
      <c r="R561" s="84">
        <v>42</v>
      </c>
      <c r="S561" s="84" t="s">
        <v>322</v>
      </c>
      <c r="T561" s="85">
        <f>IF(R561&gt;0,IF(RIGHT(Ruimtestaat[[#This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61" s="85">
        <f>IF(T561&gt;0,VLOOKUP($J561,Ruimtegroepen[],3,FALSE)*VLOOKUP($L561,Vloersoorten[],3,FALSE)*VLOOKUP($S561,Frequenties[],3,FALSE)*VLOOKUP($A561,Locaties[],3,FALSE),0)</f>
        <v>0</v>
      </c>
      <c r="V561" s="86">
        <f>Ruimtestaat[[#This Row],[Uitvoeringen werkdagen]]*Ruimtestaat[[#This Row],[Oppervlak (netto)]]</f>
        <v>3059.28</v>
      </c>
      <c r="W561" s="87">
        <f>IF(U561&gt;0,Ruimtestaat[[#This Row],[Prest. (m2 /jaar) werkdagen]]/Ruimtestaat[[#This Row],[Norm (m2/uur) werkdagen]],0)</f>
        <v>0</v>
      </c>
      <c r="X561" s="88">
        <f>Ruimtestaat[[#This Row],[uren / jaar werkdagen]]*Tariefsopbouw!$E$35</f>
        <v>0</v>
      </c>
      <c r="Y561" s="85"/>
      <c r="Z561" s="89">
        <f>IF(Ruimtestaat[[#This Row],[Frequentie weekend]]&gt;0,VALUE(LEFT(Y561,1))*R561,0)</f>
        <v>0</v>
      </c>
      <c r="AA561" s="85">
        <f>IF($Z561&gt;0,VLOOKUP($J561,Ruimtegroepen[],3,FALSE)*VLOOKUP($L561,Vloersoorten[],3,FALSE)*VLOOKUP($Y561,Frequenties[],3,FALSE)*VLOOKUP(#REF!,Locaties[],3,FALSE),0)</f>
        <v>0</v>
      </c>
      <c r="AB561" s="87">
        <f>Ruimtestaat[[#This Row],[Uitvoeringen weekend]]*Ruimtestaat[[#This Row],[Oppervlak (netto)]]</f>
        <v>0</v>
      </c>
      <c r="AC561" s="90">
        <f>IF(AB561&gt;0,Ruimtestaat[[#This Row],[Prest. (m2 /jaar) weekend]]/Ruimtestaat[[#This Row],[Norm (m2/uur) weekend]],0)</f>
        <v>0</v>
      </c>
      <c r="AD561" s="91">
        <f>Ruimtestaat[[#This Row],[uren / jaar weekend]]*Tariefsopbouw!$D$40</f>
        <v>0</v>
      </c>
      <c r="AE561" s="60">
        <f>Ruimtestaat[[#This Row],[Prest. (m2 /jaar) weekend]]+Ruimtestaat[[#This Row],[Prest. (m2 /jaar) werkdagen]]</f>
        <v>3059.28</v>
      </c>
      <c r="AF561" s="60">
        <f>Ruimtestaat[[#This Row],[uren / jaar weekend]]+Ruimtestaat[[#This Row],[uren / jaar werkdagen]]</f>
        <v>0</v>
      </c>
      <c r="AG561" s="61">
        <f>Ruimtestaat[[#This Row],[kosten / jaar weekend]]+Ruimtestaat[[#This Row],[kosten / jaar werkdagen]]</f>
        <v>0</v>
      </c>
      <c r="AH561" s="92"/>
      <c r="HL561" s="59"/>
    </row>
    <row r="562" spans="1:220">
      <c r="A562" s="24">
        <v>5</v>
      </c>
      <c r="B562" s="24" t="str">
        <f>VLOOKUP(Ruimtestaat[[#This Row],[Code]],Locaties[#All],2,FALSE)</f>
        <v>Marke Zuid</v>
      </c>
      <c r="C562" s="24" t="str">
        <f>VLOOKUP(Ruimtestaat[[#This Row],[Code]],Locaties[#All],4,FALSE)</f>
        <v>Ludgerstraat 1</v>
      </c>
      <c r="D562" s="24" t="str">
        <f>VLOOKUP(Ruimtestaat[[#This Row],[Code]],Locaties[#All],5,FALSE)</f>
        <v>7415 DV</v>
      </c>
      <c r="E562" s="24" t="str">
        <f>VLOOKUP(Ruimtestaat[[#This Row],[Code]],Locaties[#All],6,FALSE)</f>
        <v>Deventer</v>
      </c>
      <c r="F562" s="54"/>
      <c r="G562" s="24" t="s">
        <v>367</v>
      </c>
      <c r="H562" s="24" t="s">
        <v>383</v>
      </c>
      <c r="I562" s="4" t="s">
        <v>999</v>
      </c>
      <c r="J562" s="24">
        <v>2</v>
      </c>
      <c r="K562" s="54" t="str">
        <f>VLOOKUP(J562,Ruimtegroepen[],2,FALSE)</f>
        <v>Kantoren</v>
      </c>
      <c r="L562" s="24" t="s">
        <v>300</v>
      </c>
      <c r="M562" s="24" t="s">
        <v>997</v>
      </c>
      <c r="N562" s="83">
        <v>24.28</v>
      </c>
      <c r="O562" s="83"/>
      <c r="P562" s="93" t="str">
        <f>LEFT(VLOOKUP(Ruimtestaat[[#This Row],[Ruimte code]],Ruimtegroepen[#All],4,1),2)</f>
        <v>Bu</v>
      </c>
      <c r="Q562" s="93"/>
      <c r="R562" s="84">
        <v>42</v>
      </c>
      <c r="S562" s="84" t="s">
        <v>322</v>
      </c>
      <c r="T562" s="85">
        <f>IF(R562&gt;0,IF(RIGHT(Ruimtestaat[[#This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62" s="85">
        <f>IF(T562&gt;0,VLOOKUP($J562,Ruimtegroepen[],3,FALSE)*VLOOKUP($L562,Vloersoorten[],3,FALSE)*VLOOKUP($S562,Frequenties[],3,FALSE)*VLOOKUP($A562,Locaties[],3,FALSE),0)</f>
        <v>0</v>
      </c>
      <c r="V562" s="86">
        <f>Ruimtestaat[[#This Row],[Uitvoeringen werkdagen]]*Ruimtestaat[[#This Row],[Oppervlak (netto)]]</f>
        <v>3059.28</v>
      </c>
      <c r="W562" s="87">
        <f>IF(U562&gt;0,Ruimtestaat[[#This Row],[Prest. (m2 /jaar) werkdagen]]/Ruimtestaat[[#This Row],[Norm (m2/uur) werkdagen]],0)</f>
        <v>0</v>
      </c>
      <c r="X562" s="88">
        <f>Ruimtestaat[[#This Row],[uren / jaar werkdagen]]*Tariefsopbouw!$E$35</f>
        <v>0</v>
      </c>
      <c r="Y562" s="85"/>
      <c r="Z562" s="89">
        <f>IF(Ruimtestaat[[#This Row],[Frequentie weekend]]&gt;0,VALUE(LEFT(Y562,1))*R562,0)</f>
        <v>0</v>
      </c>
      <c r="AA562" s="85">
        <f>IF($Z562&gt;0,VLOOKUP($J562,Ruimtegroepen[],3,FALSE)*VLOOKUP($L562,Vloersoorten[],3,FALSE)*VLOOKUP($Y562,Frequenties[],3,FALSE)*VLOOKUP(#REF!,Locaties[],3,FALSE),0)</f>
        <v>0</v>
      </c>
      <c r="AB562" s="87">
        <f>Ruimtestaat[[#This Row],[Uitvoeringen weekend]]*Ruimtestaat[[#This Row],[Oppervlak (netto)]]</f>
        <v>0</v>
      </c>
      <c r="AC562" s="90">
        <f>IF(AB562&gt;0,Ruimtestaat[[#This Row],[Prest. (m2 /jaar) weekend]]/Ruimtestaat[[#This Row],[Norm (m2/uur) weekend]],0)</f>
        <v>0</v>
      </c>
      <c r="AD562" s="91">
        <f>Ruimtestaat[[#This Row],[uren / jaar weekend]]*Tariefsopbouw!$D$40</f>
        <v>0</v>
      </c>
      <c r="AE562" s="60">
        <f>Ruimtestaat[[#This Row],[Prest. (m2 /jaar) weekend]]+Ruimtestaat[[#This Row],[Prest. (m2 /jaar) werkdagen]]</f>
        <v>3059.28</v>
      </c>
      <c r="AF562" s="60">
        <f>Ruimtestaat[[#This Row],[uren / jaar weekend]]+Ruimtestaat[[#This Row],[uren / jaar werkdagen]]</f>
        <v>0</v>
      </c>
      <c r="AG562" s="61">
        <f>Ruimtestaat[[#This Row],[kosten / jaar weekend]]+Ruimtestaat[[#This Row],[kosten / jaar werkdagen]]</f>
        <v>0</v>
      </c>
      <c r="AH562" s="92"/>
      <c r="HL562" s="59"/>
    </row>
    <row r="563" spans="1:220">
      <c r="A563" s="24">
        <v>5</v>
      </c>
      <c r="B563" s="24" t="str">
        <f>VLOOKUP(Ruimtestaat[[#This Row],[Code]],Locaties[#All],2,FALSE)</f>
        <v>Marke Zuid</v>
      </c>
      <c r="C563" s="24" t="str">
        <f>VLOOKUP(Ruimtestaat[[#This Row],[Code]],Locaties[#All],4,FALSE)</f>
        <v>Ludgerstraat 1</v>
      </c>
      <c r="D563" s="24" t="str">
        <f>VLOOKUP(Ruimtestaat[[#This Row],[Code]],Locaties[#All],5,FALSE)</f>
        <v>7415 DV</v>
      </c>
      <c r="E563" s="24" t="str">
        <f>VLOOKUP(Ruimtestaat[[#This Row],[Code]],Locaties[#All],6,FALSE)</f>
        <v>Deventer</v>
      </c>
      <c r="F563" s="54"/>
      <c r="G563" s="24" t="s">
        <v>367</v>
      </c>
      <c r="H563" s="24" t="s">
        <v>385</v>
      </c>
      <c r="I563" s="4" t="s">
        <v>1000</v>
      </c>
      <c r="J563" s="24">
        <v>22</v>
      </c>
      <c r="K563" s="54" t="str">
        <f>VLOOKUP(J563,Ruimtegroepen[],2,FALSE)</f>
        <v>Niet in onderhoud</v>
      </c>
      <c r="M563" s="24"/>
      <c r="N563" s="83"/>
      <c r="O563" s="83">
        <v>24.28</v>
      </c>
      <c r="P563" s="93" t="str">
        <f>LEFT(VLOOKUP(Ruimtestaat[[#This Row],[Ruimte code]],Ruimtegroepen[#All],4,1),2)</f>
        <v/>
      </c>
      <c r="Q563" s="93"/>
      <c r="R563" s="84"/>
      <c r="S563" s="84"/>
      <c r="T563" s="85">
        <f>IF(R563&gt;0,IF(RIGHT(Ruimtestaat[[#This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63" s="85">
        <f>IF(T563&gt;0,VLOOKUP($J563,Ruimtegroepen[],3,FALSE)*VLOOKUP($L563,Vloersoorten[],3,FALSE)*VLOOKUP($S563,Frequenties[],3,FALSE)*VLOOKUP($A563,Locaties[],3,FALSE),0)</f>
        <v>0</v>
      </c>
      <c r="V563" s="86">
        <f>Ruimtestaat[[#This Row],[Uitvoeringen werkdagen]]*Ruimtestaat[[#This Row],[Oppervlak (netto)]]</f>
        <v>0</v>
      </c>
      <c r="W563" s="87">
        <f>IF(U563&gt;0,Ruimtestaat[[#This Row],[Prest. (m2 /jaar) werkdagen]]/Ruimtestaat[[#This Row],[Norm (m2/uur) werkdagen]],0)</f>
        <v>0</v>
      </c>
      <c r="X563" s="88">
        <f>Ruimtestaat[[#This Row],[uren / jaar werkdagen]]*Tariefsopbouw!$E$35</f>
        <v>0</v>
      </c>
      <c r="Y563" s="85"/>
      <c r="Z563" s="89">
        <f>IF(Ruimtestaat[[#This Row],[Frequentie weekend]]&gt;0,VALUE(LEFT(Y563,1))*R563,0)</f>
        <v>0</v>
      </c>
      <c r="AA563" s="85">
        <f>IF($Z563&gt;0,VLOOKUP($J563,Ruimtegroepen[],3,FALSE)*VLOOKUP($L563,Vloersoorten[],3,FALSE)*VLOOKUP($Y563,Frequenties[],3,FALSE)*VLOOKUP(#REF!,Locaties[],3,FALSE),0)</f>
        <v>0</v>
      </c>
      <c r="AB563" s="87">
        <f>Ruimtestaat[[#This Row],[Uitvoeringen weekend]]*Ruimtestaat[[#This Row],[Oppervlak (netto)]]</f>
        <v>0</v>
      </c>
      <c r="AC563" s="90">
        <f>IF(AB563&gt;0,Ruimtestaat[[#This Row],[Prest. (m2 /jaar) weekend]]/Ruimtestaat[[#This Row],[Norm (m2/uur) weekend]],0)</f>
        <v>0</v>
      </c>
      <c r="AD563" s="91">
        <f>Ruimtestaat[[#This Row],[uren / jaar weekend]]*Tariefsopbouw!$D$40</f>
        <v>0</v>
      </c>
      <c r="AE563" s="60">
        <f>Ruimtestaat[[#This Row],[Prest. (m2 /jaar) weekend]]+Ruimtestaat[[#This Row],[Prest. (m2 /jaar) werkdagen]]</f>
        <v>0</v>
      </c>
      <c r="AF563" s="60">
        <f>Ruimtestaat[[#This Row],[uren / jaar weekend]]+Ruimtestaat[[#This Row],[uren / jaar werkdagen]]</f>
        <v>0</v>
      </c>
      <c r="AG563" s="61">
        <f>Ruimtestaat[[#This Row],[kosten / jaar weekend]]+Ruimtestaat[[#This Row],[kosten / jaar werkdagen]]</f>
        <v>0</v>
      </c>
      <c r="AH563" s="92"/>
      <c r="HL563" s="59"/>
    </row>
    <row r="564" spans="1:220">
      <c r="A564" s="24">
        <v>5</v>
      </c>
      <c r="B564" s="24" t="str">
        <f>VLOOKUP(Ruimtestaat[[#This Row],[Code]],Locaties[#All],2,FALSE)</f>
        <v>Marke Zuid</v>
      </c>
      <c r="C564" s="24" t="str">
        <f>VLOOKUP(Ruimtestaat[[#This Row],[Code]],Locaties[#All],4,FALSE)</f>
        <v>Ludgerstraat 1</v>
      </c>
      <c r="D564" s="24" t="str">
        <f>VLOOKUP(Ruimtestaat[[#This Row],[Code]],Locaties[#All],5,FALSE)</f>
        <v>7415 DV</v>
      </c>
      <c r="E564" s="24" t="str">
        <f>VLOOKUP(Ruimtestaat[[#This Row],[Code]],Locaties[#All],6,FALSE)</f>
        <v>Deventer</v>
      </c>
      <c r="F564" s="54"/>
      <c r="G564" s="24" t="s">
        <v>367</v>
      </c>
      <c r="H564" s="24" t="s">
        <v>671</v>
      </c>
      <c r="I564" s="4" t="s">
        <v>293</v>
      </c>
      <c r="J564" s="24">
        <v>21</v>
      </c>
      <c r="K564" s="54" t="str">
        <f>VLOOKUP(J564,Ruimtegroepen[],2,FALSE)</f>
        <v>Personeelskamer</v>
      </c>
      <c r="L564" s="24" t="s">
        <v>300</v>
      </c>
      <c r="M564" s="24" t="s">
        <v>997</v>
      </c>
      <c r="N564" s="83">
        <v>110.33</v>
      </c>
      <c r="O564" s="83"/>
      <c r="P564" s="93" t="str">
        <f>LEFT(VLOOKUP(Ruimtestaat[[#This Row],[Ruimte code]],Ruimtegroepen[#All],4,1),2)</f>
        <v>Ve</v>
      </c>
      <c r="Q564" s="93"/>
      <c r="R564" s="84">
        <v>40</v>
      </c>
      <c r="S564" s="84" t="s">
        <v>318</v>
      </c>
      <c r="T564" s="85">
        <f>IF(R564&gt;0,IF(RIGHT(Ruimtestaat[[#This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4" s="85">
        <f>IF(T564&gt;0,VLOOKUP($J564,Ruimtegroepen[],3,FALSE)*VLOOKUP($L564,Vloersoorten[],3,FALSE)*VLOOKUP($S564,Frequenties[],3,FALSE)*VLOOKUP($A564,Locaties[],3,FALSE),0)</f>
        <v>0</v>
      </c>
      <c r="V564" s="86">
        <f>Ruimtestaat[[#This Row],[Uitvoeringen werkdagen]]*Ruimtestaat[[#This Row],[Oppervlak (netto)]]</f>
        <v>22066</v>
      </c>
      <c r="W564" s="87">
        <f>IF(U564&gt;0,Ruimtestaat[[#This Row],[Prest. (m2 /jaar) werkdagen]]/Ruimtestaat[[#This Row],[Norm (m2/uur) werkdagen]],0)</f>
        <v>0</v>
      </c>
      <c r="X564" s="88">
        <f>Ruimtestaat[[#This Row],[uren / jaar werkdagen]]*Tariefsopbouw!$E$35</f>
        <v>0</v>
      </c>
      <c r="Y564" s="85"/>
      <c r="Z564" s="89">
        <f>IF(Ruimtestaat[[#This Row],[Frequentie weekend]]&gt;0,VALUE(LEFT(Y564,1))*R564,0)</f>
        <v>0</v>
      </c>
      <c r="AA564" s="85">
        <f>IF($Z564&gt;0,VLOOKUP($J564,Ruimtegroepen[],3,FALSE)*VLOOKUP($L564,Vloersoorten[],3,FALSE)*VLOOKUP($Y564,Frequenties[],3,FALSE)*VLOOKUP(#REF!,Locaties[],3,FALSE),0)</f>
        <v>0</v>
      </c>
      <c r="AB564" s="87">
        <f>Ruimtestaat[[#This Row],[Uitvoeringen weekend]]*Ruimtestaat[[#This Row],[Oppervlak (netto)]]</f>
        <v>0</v>
      </c>
      <c r="AC564" s="90">
        <f>IF(AB564&gt;0,Ruimtestaat[[#This Row],[Prest. (m2 /jaar) weekend]]/Ruimtestaat[[#This Row],[Norm (m2/uur) weekend]],0)</f>
        <v>0</v>
      </c>
      <c r="AD564" s="91">
        <f>Ruimtestaat[[#This Row],[uren / jaar weekend]]*Tariefsopbouw!$D$40</f>
        <v>0</v>
      </c>
      <c r="AE564" s="60">
        <f>Ruimtestaat[[#This Row],[Prest. (m2 /jaar) weekend]]+Ruimtestaat[[#This Row],[Prest. (m2 /jaar) werkdagen]]</f>
        <v>22066</v>
      </c>
      <c r="AF564" s="60">
        <f>Ruimtestaat[[#This Row],[uren / jaar weekend]]+Ruimtestaat[[#This Row],[uren / jaar werkdagen]]</f>
        <v>0</v>
      </c>
      <c r="AG564" s="61">
        <f>Ruimtestaat[[#This Row],[kosten / jaar weekend]]+Ruimtestaat[[#This Row],[kosten / jaar werkdagen]]</f>
        <v>0</v>
      </c>
      <c r="AH564" s="92"/>
      <c r="HL564" s="59"/>
    </row>
    <row r="565" spans="1:220">
      <c r="A565" s="24">
        <v>5</v>
      </c>
      <c r="B565" s="24" t="str">
        <f>VLOOKUP(Ruimtestaat[[#This Row],[Code]],Locaties[#All],2,FALSE)</f>
        <v>Marke Zuid</v>
      </c>
      <c r="C565" s="24" t="str">
        <f>VLOOKUP(Ruimtestaat[[#This Row],[Code]],Locaties[#All],4,FALSE)</f>
        <v>Ludgerstraat 1</v>
      </c>
      <c r="D565" s="24" t="str">
        <f>VLOOKUP(Ruimtestaat[[#This Row],[Code]],Locaties[#All],5,FALSE)</f>
        <v>7415 DV</v>
      </c>
      <c r="E565" s="24" t="str">
        <f>VLOOKUP(Ruimtestaat[[#This Row],[Code]],Locaties[#All],6,FALSE)</f>
        <v>Deventer</v>
      </c>
      <c r="F565" s="54"/>
      <c r="G565" s="24" t="s">
        <v>367</v>
      </c>
      <c r="H565" s="24" t="s">
        <v>1001</v>
      </c>
      <c r="I565" s="4" t="s">
        <v>1002</v>
      </c>
      <c r="J565" s="24">
        <v>3</v>
      </c>
      <c r="K565" s="54" t="str">
        <f>VLOOKUP(J565,Ruimtegroepen[],2,FALSE)</f>
        <v>Reproruimte</v>
      </c>
      <c r="L565" s="24" t="s">
        <v>305</v>
      </c>
      <c r="M565" s="24" t="s">
        <v>373</v>
      </c>
      <c r="N565" s="83">
        <v>14.22</v>
      </c>
      <c r="O565" s="83"/>
      <c r="P565" s="93" t="str">
        <f>LEFT(VLOOKUP(Ruimtestaat[[#This Row],[Ruimte code]],Ruimtegroepen[#All],4,1),2)</f>
        <v>Ve</v>
      </c>
      <c r="Q565" s="93"/>
      <c r="R565" s="84">
        <v>40</v>
      </c>
      <c r="S565" s="84" t="s">
        <v>318</v>
      </c>
      <c r="T565" s="85">
        <f>IF(R565&gt;0,IF(RIGHT(Ruimtestaat[[#This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5" s="85">
        <f>IF(T565&gt;0,VLOOKUP($J565,Ruimtegroepen[],3,FALSE)*VLOOKUP($L565,Vloersoorten[],3,FALSE)*VLOOKUP($S565,Frequenties[],3,FALSE)*VLOOKUP($A565,Locaties[],3,FALSE),0)</f>
        <v>0</v>
      </c>
      <c r="V565" s="86">
        <f>Ruimtestaat[[#This Row],[Uitvoeringen werkdagen]]*Ruimtestaat[[#This Row],[Oppervlak (netto)]]</f>
        <v>2844</v>
      </c>
      <c r="W565" s="87">
        <f>IF(U565&gt;0,Ruimtestaat[[#This Row],[Prest. (m2 /jaar) werkdagen]]/Ruimtestaat[[#This Row],[Norm (m2/uur) werkdagen]],0)</f>
        <v>0</v>
      </c>
      <c r="X565" s="88">
        <f>Ruimtestaat[[#This Row],[uren / jaar werkdagen]]*Tariefsopbouw!$E$35</f>
        <v>0</v>
      </c>
      <c r="Y565" s="85"/>
      <c r="Z565" s="89">
        <f>IF(Ruimtestaat[[#This Row],[Frequentie weekend]]&gt;0,VALUE(LEFT(Y565,1))*R565,0)</f>
        <v>0</v>
      </c>
      <c r="AA565" s="85">
        <f>IF($Z565&gt;0,VLOOKUP($J565,Ruimtegroepen[],3,FALSE)*VLOOKUP($L565,Vloersoorten[],3,FALSE)*VLOOKUP($Y565,Frequenties[],3,FALSE)*VLOOKUP(#REF!,Locaties[],3,FALSE),0)</f>
        <v>0</v>
      </c>
      <c r="AB565" s="87">
        <f>Ruimtestaat[[#This Row],[Uitvoeringen weekend]]*Ruimtestaat[[#This Row],[Oppervlak (netto)]]</f>
        <v>0</v>
      </c>
      <c r="AC565" s="90">
        <f>IF(AB565&gt;0,Ruimtestaat[[#This Row],[Prest. (m2 /jaar) weekend]]/Ruimtestaat[[#This Row],[Norm (m2/uur) weekend]],0)</f>
        <v>0</v>
      </c>
      <c r="AD565" s="91">
        <f>Ruimtestaat[[#This Row],[uren / jaar weekend]]*Tariefsopbouw!$D$40</f>
        <v>0</v>
      </c>
      <c r="AE565" s="60">
        <f>Ruimtestaat[[#This Row],[Prest. (m2 /jaar) weekend]]+Ruimtestaat[[#This Row],[Prest. (m2 /jaar) werkdagen]]</f>
        <v>2844</v>
      </c>
      <c r="AF565" s="60">
        <f>Ruimtestaat[[#This Row],[uren / jaar weekend]]+Ruimtestaat[[#This Row],[uren / jaar werkdagen]]</f>
        <v>0</v>
      </c>
      <c r="AG565" s="61">
        <f>Ruimtestaat[[#This Row],[kosten / jaar weekend]]+Ruimtestaat[[#This Row],[kosten / jaar werkdagen]]</f>
        <v>0</v>
      </c>
      <c r="AH565" s="92"/>
      <c r="HL565" s="59"/>
    </row>
    <row r="566" spans="1:220">
      <c r="A566" s="24">
        <v>5</v>
      </c>
      <c r="B566" s="24" t="str">
        <f>VLOOKUP(Ruimtestaat[[#This Row],[Code]],Locaties[#All],2,FALSE)</f>
        <v>Marke Zuid</v>
      </c>
      <c r="C566" s="24" t="str">
        <f>VLOOKUP(Ruimtestaat[[#This Row],[Code]],Locaties[#All],4,FALSE)</f>
        <v>Ludgerstraat 1</v>
      </c>
      <c r="D566" s="24" t="str">
        <f>VLOOKUP(Ruimtestaat[[#This Row],[Code]],Locaties[#All],5,FALSE)</f>
        <v>7415 DV</v>
      </c>
      <c r="E566" s="24" t="str">
        <f>VLOOKUP(Ruimtestaat[[#This Row],[Code]],Locaties[#All],6,FALSE)</f>
        <v>Deventer</v>
      </c>
      <c r="F566" s="54"/>
      <c r="G566" s="24" t="s">
        <v>367</v>
      </c>
      <c r="H566" s="24" t="s">
        <v>1003</v>
      </c>
      <c r="I566" s="4" t="s">
        <v>384</v>
      </c>
      <c r="J566" s="24">
        <v>4</v>
      </c>
      <c r="K566" s="54" t="str">
        <f>VLOOKUP(J566,Ruimtegroepen[],2,FALSE)</f>
        <v>Vergader/spreekkamers</v>
      </c>
      <c r="L566" s="24" t="s">
        <v>311</v>
      </c>
      <c r="M566" s="24" t="s">
        <v>1004</v>
      </c>
      <c r="N566" s="83">
        <v>12.63</v>
      </c>
      <c r="O566" s="83"/>
      <c r="P566" s="93" t="str">
        <f>LEFT(VLOOKUP(Ruimtestaat[[#This Row],[Ruimte code]],Ruimtegroepen[#All],4,1),2)</f>
        <v>Bu</v>
      </c>
      <c r="Q566" s="93"/>
      <c r="R566" s="84">
        <v>40</v>
      </c>
      <c r="S566" s="84" t="s">
        <v>322</v>
      </c>
      <c r="T566" s="85">
        <f>IF(R566&gt;0,IF(RIGHT(Ruimtestaat[[#This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66" s="85">
        <f>IF(T566&gt;0,VLOOKUP($J566,Ruimtegroepen[],3,FALSE)*VLOOKUP($L566,Vloersoorten[],3,FALSE)*VLOOKUP($S566,Frequenties[],3,FALSE)*VLOOKUP($A566,Locaties[],3,FALSE),0)</f>
        <v>0</v>
      </c>
      <c r="V566" s="86">
        <f>Ruimtestaat[[#This Row],[Uitvoeringen werkdagen]]*Ruimtestaat[[#This Row],[Oppervlak (netto)]]</f>
        <v>1515.6000000000001</v>
      </c>
      <c r="W566" s="87">
        <f>IF(U566&gt;0,Ruimtestaat[[#This Row],[Prest. (m2 /jaar) werkdagen]]/Ruimtestaat[[#This Row],[Norm (m2/uur) werkdagen]],0)</f>
        <v>0</v>
      </c>
      <c r="X566" s="88">
        <f>Ruimtestaat[[#This Row],[uren / jaar werkdagen]]*Tariefsopbouw!$E$35</f>
        <v>0</v>
      </c>
      <c r="Y566" s="85"/>
      <c r="Z566" s="89">
        <f>IF(Ruimtestaat[[#This Row],[Frequentie weekend]]&gt;0,VALUE(LEFT(Y566,1))*R566,0)</f>
        <v>0</v>
      </c>
      <c r="AA566" s="85">
        <f>IF($Z566&gt;0,VLOOKUP($J566,Ruimtegroepen[],3,FALSE)*VLOOKUP($L566,Vloersoorten[],3,FALSE)*VLOOKUP($Y566,Frequenties[],3,FALSE)*VLOOKUP(#REF!,Locaties[],3,FALSE),0)</f>
        <v>0</v>
      </c>
      <c r="AB566" s="87">
        <f>Ruimtestaat[[#This Row],[Uitvoeringen weekend]]*Ruimtestaat[[#This Row],[Oppervlak (netto)]]</f>
        <v>0</v>
      </c>
      <c r="AC566" s="90">
        <f>IF(AB566&gt;0,Ruimtestaat[[#This Row],[Prest. (m2 /jaar) weekend]]/Ruimtestaat[[#This Row],[Norm (m2/uur) weekend]],0)</f>
        <v>0</v>
      </c>
      <c r="AD566" s="91">
        <f>Ruimtestaat[[#This Row],[uren / jaar weekend]]*Tariefsopbouw!$D$40</f>
        <v>0</v>
      </c>
      <c r="AE566" s="60">
        <f>Ruimtestaat[[#This Row],[Prest. (m2 /jaar) weekend]]+Ruimtestaat[[#This Row],[Prest. (m2 /jaar) werkdagen]]</f>
        <v>1515.6000000000001</v>
      </c>
      <c r="AF566" s="60">
        <f>Ruimtestaat[[#This Row],[uren / jaar weekend]]+Ruimtestaat[[#This Row],[uren / jaar werkdagen]]</f>
        <v>0</v>
      </c>
      <c r="AG566" s="61">
        <f>Ruimtestaat[[#This Row],[kosten / jaar weekend]]+Ruimtestaat[[#This Row],[kosten / jaar werkdagen]]</f>
        <v>0</v>
      </c>
      <c r="AH566" s="92"/>
      <c r="HL566" s="59"/>
    </row>
    <row r="567" spans="1:220">
      <c r="A567" s="24">
        <v>5</v>
      </c>
      <c r="B567" s="24" t="str">
        <f>VLOOKUP(Ruimtestaat[[#This Row],[Code]],Locaties[#All],2,FALSE)</f>
        <v>Marke Zuid</v>
      </c>
      <c r="C567" s="24" t="str">
        <f>VLOOKUP(Ruimtestaat[[#This Row],[Code]],Locaties[#All],4,FALSE)</f>
        <v>Ludgerstraat 1</v>
      </c>
      <c r="D567" s="24" t="str">
        <f>VLOOKUP(Ruimtestaat[[#This Row],[Code]],Locaties[#All],5,FALSE)</f>
        <v>7415 DV</v>
      </c>
      <c r="E567" s="24" t="str">
        <f>VLOOKUP(Ruimtestaat[[#This Row],[Code]],Locaties[#All],6,FALSE)</f>
        <v>Deventer</v>
      </c>
      <c r="F567" s="54"/>
      <c r="G567" s="24" t="s">
        <v>367</v>
      </c>
      <c r="H567" s="24" t="s">
        <v>673</v>
      </c>
      <c r="I567" s="4" t="s">
        <v>434</v>
      </c>
      <c r="J567" s="24">
        <v>8</v>
      </c>
      <c r="K567" s="54" t="str">
        <f>VLOOKUP(J567,Ruimtegroepen[],2,FALSE)</f>
        <v>Mediatheek / OLC</v>
      </c>
      <c r="L567" s="24" t="s">
        <v>305</v>
      </c>
      <c r="M567" s="24" t="s">
        <v>373</v>
      </c>
      <c r="N567" s="83">
        <v>159.66999999999999</v>
      </c>
      <c r="O567" s="83"/>
      <c r="P567" s="93" t="str">
        <f>LEFT(VLOOKUP(Ruimtestaat[[#This Row],[Ruimte code]],Ruimtegroepen[#All],4,1),2)</f>
        <v>Le</v>
      </c>
      <c r="Q567" s="93"/>
      <c r="R567" s="84">
        <v>40</v>
      </c>
      <c r="S567" s="84" t="s">
        <v>318</v>
      </c>
      <c r="T567" s="85">
        <f>IF(R567&gt;0,IF(RIGHT(Ruimtestaat[[#This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7" s="85">
        <f>IF(T567&gt;0,VLOOKUP($J567,Ruimtegroepen[],3,FALSE)*VLOOKUP($L567,Vloersoorten[],3,FALSE)*VLOOKUP($S567,Frequenties[],3,FALSE)*VLOOKUP($A567,Locaties[],3,FALSE),0)</f>
        <v>0</v>
      </c>
      <c r="V567" s="86">
        <f>Ruimtestaat[[#This Row],[Uitvoeringen werkdagen]]*Ruimtestaat[[#This Row],[Oppervlak (netto)]]</f>
        <v>31933.999999999996</v>
      </c>
      <c r="W567" s="87">
        <f>IF(U567&gt;0,Ruimtestaat[[#This Row],[Prest. (m2 /jaar) werkdagen]]/Ruimtestaat[[#This Row],[Norm (m2/uur) werkdagen]],0)</f>
        <v>0</v>
      </c>
      <c r="X567" s="88">
        <f>Ruimtestaat[[#This Row],[uren / jaar werkdagen]]*Tariefsopbouw!$E$35</f>
        <v>0</v>
      </c>
      <c r="Y567" s="85"/>
      <c r="Z567" s="89">
        <f>IF(Ruimtestaat[[#This Row],[Frequentie weekend]]&gt;0,VALUE(LEFT(Y567,1))*R567,0)</f>
        <v>0</v>
      </c>
      <c r="AA567" s="85">
        <f>IF($Z567&gt;0,VLOOKUP($J567,Ruimtegroepen[],3,FALSE)*VLOOKUP($L567,Vloersoorten[],3,FALSE)*VLOOKUP($Y567,Frequenties[],3,FALSE)*VLOOKUP(#REF!,Locaties[],3,FALSE),0)</f>
        <v>0</v>
      </c>
      <c r="AB567" s="87">
        <f>Ruimtestaat[[#This Row],[Uitvoeringen weekend]]*Ruimtestaat[[#This Row],[Oppervlak (netto)]]</f>
        <v>0</v>
      </c>
      <c r="AC567" s="90">
        <f>IF(AB567&gt;0,Ruimtestaat[[#This Row],[Prest. (m2 /jaar) weekend]]/Ruimtestaat[[#This Row],[Norm (m2/uur) weekend]],0)</f>
        <v>0</v>
      </c>
      <c r="AD567" s="91">
        <f>Ruimtestaat[[#This Row],[uren / jaar weekend]]*Tariefsopbouw!$D$40</f>
        <v>0</v>
      </c>
      <c r="AE567" s="60">
        <f>Ruimtestaat[[#This Row],[Prest. (m2 /jaar) weekend]]+Ruimtestaat[[#This Row],[Prest. (m2 /jaar) werkdagen]]</f>
        <v>31933.999999999996</v>
      </c>
      <c r="AF567" s="60">
        <f>Ruimtestaat[[#This Row],[uren / jaar weekend]]+Ruimtestaat[[#This Row],[uren / jaar werkdagen]]</f>
        <v>0</v>
      </c>
      <c r="AG567" s="61">
        <f>Ruimtestaat[[#This Row],[kosten / jaar weekend]]+Ruimtestaat[[#This Row],[kosten / jaar werkdagen]]</f>
        <v>0</v>
      </c>
      <c r="AH567" s="92"/>
      <c r="HL567" s="59"/>
    </row>
    <row r="568" spans="1:220">
      <c r="A568" s="24">
        <v>5</v>
      </c>
      <c r="B568" s="24" t="str">
        <f>VLOOKUP(Ruimtestaat[[#This Row],[Code]],Locaties[#All],2,FALSE)</f>
        <v>Marke Zuid</v>
      </c>
      <c r="C568" s="24" t="str">
        <f>VLOOKUP(Ruimtestaat[[#This Row],[Code]],Locaties[#All],4,FALSE)</f>
        <v>Ludgerstraat 1</v>
      </c>
      <c r="D568" s="24" t="str">
        <f>VLOOKUP(Ruimtestaat[[#This Row],[Code]],Locaties[#All],5,FALSE)</f>
        <v>7415 DV</v>
      </c>
      <c r="E568" s="24" t="str">
        <f>VLOOKUP(Ruimtestaat[[#This Row],[Code]],Locaties[#All],6,FALSE)</f>
        <v>Deventer</v>
      </c>
      <c r="F568" s="54"/>
      <c r="G568" s="24" t="s">
        <v>367</v>
      </c>
      <c r="H568" s="24" t="s">
        <v>1005</v>
      </c>
      <c r="I568" s="4" t="s">
        <v>384</v>
      </c>
      <c r="J568" s="24">
        <v>4</v>
      </c>
      <c r="K568" s="54" t="str">
        <f>VLOOKUP(J568,Ruimtegroepen[],2,FALSE)</f>
        <v>Vergader/spreekkamers</v>
      </c>
      <c r="L568" s="24" t="s">
        <v>305</v>
      </c>
      <c r="M568" s="24" t="s">
        <v>373</v>
      </c>
      <c r="N568" s="83">
        <v>13.46</v>
      </c>
      <c r="O568" s="83"/>
      <c r="P568" s="93" t="str">
        <f>LEFT(VLOOKUP(Ruimtestaat[[#This Row],[Ruimte code]],Ruimtegroepen[#All],4,1),2)</f>
        <v>Bu</v>
      </c>
      <c r="Q568" s="93"/>
      <c r="R568" s="84">
        <v>40</v>
      </c>
      <c r="S568" s="84" t="s">
        <v>322</v>
      </c>
      <c r="T568" s="85">
        <f>IF(R568&gt;0,IF(RIGHT(Ruimtestaat[[#This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68" s="85">
        <f>IF(T568&gt;0,VLOOKUP($J568,Ruimtegroepen[],3,FALSE)*VLOOKUP($L568,Vloersoorten[],3,FALSE)*VLOOKUP($S568,Frequenties[],3,FALSE)*VLOOKUP($A568,Locaties[],3,FALSE),0)</f>
        <v>0</v>
      </c>
      <c r="V568" s="86">
        <f>Ruimtestaat[[#This Row],[Uitvoeringen werkdagen]]*Ruimtestaat[[#This Row],[Oppervlak (netto)]]</f>
        <v>1615.2</v>
      </c>
      <c r="W568" s="87">
        <f>IF(U568&gt;0,Ruimtestaat[[#This Row],[Prest. (m2 /jaar) werkdagen]]/Ruimtestaat[[#This Row],[Norm (m2/uur) werkdagen]],0)</f>
        <v>0</v>
      </c>
      <c r="X568" s="88">
        <f>Ruimtestaat[[#This Row],[uren / jaar werkdagen]]*Tariefsopbouw!$E$35</f>
        <v>0</v>
      </c>
      <c r="Y568" s="85"/>
      <c r="Z568" s="89">
        <f>IF(Ruimtestaat[[#This Row],[Frequentie weekend]]&gt;0,VALUE(LEFT(Y568,1))*R568,0)</f>
        <v>0</v>
      </c>
      <c r="AA568" s="85">
        <f>IF($Z568&gt;0,VLOOKUP($J568,Ruimtegroepen[],3,FALSE)*VLOOKUP($L568,Vloersoorten[],3,FALSE)*VLOOKUP($Y568,Frequenties[],3,FALSE)*VLOOKUP(#REF!,Locaties[],3,FALSE),0)</f>
        <v>0</v>
      </c>
      <c r="AB568" s="87">
        <f>Ruimtestaat[[#This Row],[Uitvoeringen weekend]]*Ruimtestaat[[#This Row],[Oppervlak (netto)]]</f>
        <v>0</v>
      </c>
      <c r="AC568" s="90">
        <f>IF(AB568&gt;0,Ruimtestaat[[#This Row],[Prest. (m2 /jaar) weekend]]/Ruimtestaat[[#This Row],[Norm (m2/uur) weekend]],0)</f>
        <v>0</v>
      </c>
      <c r="AD568" s="91">
        <f>Ruimtestaat[[#This Row],[uren / jaar weekend]]*Tariefsopbouw!$D$40</f>
        <v>0</v>
      </c>
      <c r="AE568" s="60">
        <f>Ruimtestaat[[#This Row],[Prest. (m2 /jaar) weekend]]+Ruimtestaat[[#This Row],[Prest. (m2 /jaar) werkdagen]]</f>
        <v>1615.2</v>
      </c>
      <c r="AF568" s="60">
        <f>Ruimtestaat[[#This Row],[uren / jaar weekend]]+Ruimtestaat[[#This Row],[uren / jaar werkdagen]]</f>
        <v>0</v>
      </c>
      <c r="AG568" s="61">
        <f>Ruimtestaat[[#This Row],[kosten / jaar weekend]]+Ruimtestaat[[#This Row],[kosten / jaar werkdagen]]</f>
        <v>0</v>
      </c>
      <c r="AH568" s="92"/>
      <c r="HL568" s="59"/>
    </row>
    <row r="569" spans="1:220">
      <c r="A569" s="24">
        <v>5</v>
      </c>
      <c r="B569" s="24" t="str">
        <f>VLOOKUP(Ruimtestaat[[#This Row],[Code]],Locaties[#All],2,FALSE)</f>
        <v>Marke Zuid</v>
      </c>
      <c r="C569" s="24" t="str">
        <f>VLOOKUP(Ruimtestaat[[#This Row],[Code]],Locaties[#All],4,FALSE)</f>
        <v>Ludgerstraat 1</v>
      </c>
      <c r="D569" s="24" t="str">
        <f>VLOOKUP(Ruimtestaat[[#This Row],[Code]],Locaties[#All],5,FALSE)</f>
        <v>7415 DV</v>
      </c>
      <c r="E569" s="24" t="str">
        <f>VLOOKUP(Ruimtestaat[[#This Row],[Code]],Locaties[#All],6,FALSE)</f>
        <v>Deventer</v>
      </c>
      <c r="F569" s="54"/>
      <c r="G569" s="24" t="s">
        <v>367</v>
      </c>
      <c r="H569" s="24" t="s">
        <v>1006</v>
      </c>
      <c r="I569" s="4" t="s">
        <v>384</v>
      </c>
      <c r="J569" s="24">
        <v>4</v>
      </c>
      <c r="K569" s="54" t="str">
        <f>VLOOKUP(J569,Ruimtegroepen[],2,FALSE)</f>
        <v>Vergader/spreekkamers</v>
      </c>
      <c r="L569" s="24" t="s">
        <v>305</v>
      </c>
      <c r="M569" s="24" t="s">
        <v>373</v>
      </c>
      <c r="N569" s="83">
        <v>13.45</v>
      </c>
      <c r="O569" s="83"/>
      <c r="P569" s="93" t="str">
        <f>LEFT(VLOOKUP(Ruimtestaat[[#This Row],[Ruimte code]],Ruimtegroepen[#All],4,1),2)</f>
        <v>Bu</v>
      </c>
      <c r="Q569" s="93"/>
      <c r="R569" s="84">
        <v>40</v>
      </c>
      <c r="S569" s="84" t="s">
        <v>322</v>
      </c>
      <c r="T569" s="85">
        <f>IF(R569&gt;0,IF(RIGHT(Ruimtestaat[[#This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69" s="85">
        <f>IF(T569&gt;0,VLOOKUP($J569,Ruimtegroepen[],3,FALSE)*VLOOKUP($L569,Vloersoorten[],3,FALSE)*VLOOKUP($S569,Frequenties[],3,FALSE)*VLOOKUP($A569,Locaties[],3,FALSE),0)</f>
        <v>0</v>
      </c>
      <c r="V569" s="86">
        <f>Ruimtestaat[[#This Row],[Uitvoeringen werkdagen]]*Ruimtestaat[[#This Row],[Oppervlak (netto)]]</f>
        <v>1614</v>
      </c>
      <c r="W569" s="87">
        <f>IF(U569&gt;0,Ruimtestaat[[#This Row],[Prest. (m2 /jaar) werkdagen]]/Ruimtestaat[[#This Row],[Norm (m2/uur) werkdagen]],0)</f>
        <v>0</v>
      </c>
      <c r="X569" s="88">
        <f>Ruimtestaat[[#This Row],[uren / jaar werkdagen]]*Tariefsopbouw!$E$35</f>
        <v>0</v>
      </c>
      <c r="Y569" s="85"/>
      <c r="Z569" s="89">
        <f>IF(Ruimtestaat[[#This Row],[Frequentie weekend]]&gt;0,VALUE(LEFT(Y569,1))*R569,0)</f>
        <v>0</v>
      </c>
      <c r="AA569" s="85">
        <f>IF($Z569&gt;0,VLOOKUP($J569,Ruimtegroepen[],3,FALSE)*VLOOKUP($L569,Vloersoorten[],3,FALSE)*VLOOKUP($Y569,Frequenties[],3,FALSE)*VLOOKUP(#REF!,Locaties[],3,FALSE),0)</f>
        <v>0</v>
      </c>
      <c r="AB569" s="87">
        <f>Ruimtestaat[[#This Row],[Uitvoeringen weekend]]*Ruimtestaat[[#This Row],[Oppervlak (netto)]]</f>
        <v>0</v>
      </c>
      <c r="AC569" s="90">
        <f>IF(AB569&gt;0,Ruimtestaat[[#This Row],[Prest. (m2 /jaar) weekend]]/Ruimtestaat[[#This Row],[Norm (m2/uur) weekend]],0)</f>
        <v>0</v>
      </c>
      <c r="AD569" s="91">
        <f>Ruimtestaat[[#This Row],[uren / jaar weekend]]*Tariefsopbouw!$D$40</f>
        <v>0</v>
      </c>
      <c r="AE569" s="60">
        <f>Ruimtestaat[[#This Row],[Prest. (m2 /jaar) weekend]]+Ruimtestaat[[#This Row],[Prest. (m2 /jaar) werkdagen]]</f>
        <v>1614</v>
      </c>
      <c r="AF569" s="60">
        <f>Ruimtestaat[[#This Row],[uren / jaar weekend]]+Ruimtestaat[[#This Row],[uren / jaar werkdagen]]</f>
        <v>0</v>
      </c>
      <c r="AG569" s="61">
        <f>Ruimtestaat[[#This Row],[kosten / jaar weekend]]+Ruimtestaat[[#This Row],[kosten / jaar werkdagen]]</f>
        <v>0</v>
      </c>
      <c r="AH569" s="92"/>
      <c r="HL569" s="59"/>
    </row>
    <row r="570" spans="1:220">
      <c r="A570" s="24">
        <v>5</v>
      </c>
      <c r="B570" s="24" t="str">
        <f>VLOOKUP(Ruimtestaat[[#This Row],[Code]],Locaties[#All],2,FALSE)</f>
        <v>Marke Zuid</v>
      </c>
      <c r="C570" s="24" t="str">
        <f>VLOOKUP(Ruimtestaat[[#This Row],[Code]],Locaties[#All],4,FALSE)</f>
        <v>Ludgerstraat 1</v>
      </c>
      <c r="D570" s="24" t="str">
        <f>VLOOKUP(Ruimtestaat[[#This Row],[Code]],Locaties[#All],5,FALSE)</f>
        <v>7415 DV</v>
      </c>
      <c r="E570" s="24" t="str">
        <f>VLOOKUP(Ruimtestaat[[#This Row],[Code]],Locaties[#All],6,FALSE)</f>
        <v>Deventer</v>
      </c>
      <c r="F570" s="54"/>
      <c r="G570" s="24" t="s">
        <v>367</v>
      </c>
      <c r="H570" s="24" t="s">
        <v>393</v>
      </c>
      <c r="I570" s="4" t="s">
        <v>1007</v>
      </c>
      <c r="J570" s="24">
        <v>5</v>
      </c>
      <c r="K570" s="54" t="str">
        <f>VLOOKUP(J570,Ruimtegroepen[],2,FALSE)</f>
        <v>Sanitair</v>
      </c>
      <c r="L570" s="24" t="s">
        <v>305</v>
      </c>
      <c r="M570" s="24" t="s">
        <v>1008</v>
      </c>
      <c r="N570" s="83">
        <v>9</v>
      </c>
      <c r="O570" s="83"/>
      <c r="P570" s="93" t="str">
        <f>LEFT(VLOOKUP(Ruimtestaat[[#This Row],[Ruimte code]],Ruimtegroepen[#All],4,1),2)</f>
        <v>Sa</v>
      </c>
      <c r="Q570" s="93"/>
      <c r="R570" s="84">
        <v>42</v>
      </c>
      <c r="S570" s="84" t="s">
        <v>316</v>
      </c>
      <c r="T570" s="85">
        <f>IF(R570&gt;0,IF(RIGHT(Ruimtestaat[[#This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0" s="85">
        <f>IF(T570&gt;0,VLOOKUP($J570,Ruimtegroepen[],3,FALSE)*VLOOKUP($L570,Vloersoorten[],3,FALSE)*VLOOKUP($S570,Frequenties[],3,FALSE)*VLOOKUP($A570,Locaties[],3,FALSE),0)</f>
        <v>0</v>
      </c>
      <c r="V570" s="86">
        <f>Ruimtestaat[[#This Row],[Uitvoeringen werkdagen]]*Ruimtestaat[[#This Row],[Oppervlak (netto)]]</f>
        <v>3780</v>
      </c>
      <c r="W570" s="87">
        <f>IF(U570&gt;0,Ruimtestaat[[#This Row],[Prest. (m2 /jaar) werkdagen]]/Ruimtestaat[[#This Row],[Norm (m2/uur) werkdagen]],0)</f>
        <v>0</v>
      </c>
      <c r="X570" s="88">
        <f>Ruimtestaat[[#This Row],[uren / jaar werkdagen]]*Tariefsopbouw!$E$35</f>
        <v>0</v>
      </c>
      <c r="Y570" s="85"/>
      <c r="Z570" s="89">
        <f>IF(Ruimtestaat[[#This Row],[Frequentie weekend]]&gt;0,VALUE(LEFT(Y570,1))*R570,0)</f>
        <v>0</v>
      </c>
      <c r="AA570" s="85">
        <f>IF($Z570&gt;0,VLOOKUP($J570,Ruimtegroepen[],3,FALSE)*VLOOKUP($L570,Vloersoorten[],3,FALSE)*VLOOKUP($Y570,Frequenties[],3,FALSE)*VLOOKUP(#REF!,Locaties[],3,FALSE),0)</f>
        <v>0</v>
      </c>
      <c r="AB570" s="87">
        <f>Ruimtestaat[[#This Row],[Uitvoeringen weekend]]*Ruimtestaat[[#This Row],[Oppervlak (netto)]]</f>
        <v>0</v>
      </c>
      <c r="AC570" s="90">
        <f>IF(AB570&gt;0,Ruimtestaat[[#This Row],[Prest. (m2 /jaar) weekend]]/Ruimtestaat[[#This Row],[Norm (m2/uur) weekend]],0)</f>
        <v>0</v>
      </c>
      <c r="AD570" s="91">
        <f>Ruimtestaat[[#This Row],[uren / jaar weekend]]*Tariefsopbouw!$D$40</f>
        <v>0</v>
      </c>
      <c r="AE570" s="60">
        <f>Ruimtestaat[[#This Row],[Prest. (m2 /jaar) weekend]]+Ruimtestaat[[#This Row],[Prest. (m2 /jaar) werkdagen]]</f>
        <v>3780</v>
      </c>
      <c r="AF570" s="60">
        <f>Ruimtestaat[[#This Row],[uren / jaar weekend]]+Ruimtestaat[[#This Row],[uren / jaar werkdagen]]</f>
        <v>0</v>
      </c>
      <c r="AG570" s="61">
        <f>Ruimtestaat[[#This Row],[kosten / jaar weekend]]+Ruimtestaat[[#This Row],[kosten / jaar werkdagen]]</f>
        <v>0</v>
      </c>
      <c r="AH570" s="92"/>
      <c r="HL570" s="59"/>
    </row>
    <row r="571" spans="1:220">
      <c r="A571" s="24">
        <v>5</v>
      </c>
      <c r="B571" s="24" t="str">
        <f>VLOOKUP(Ruimtestaat[[#This Row],[Code]],Locaties[#All],2,FALSE)</f>
        <v>Marke Zuid</v>
      </c>
      <c r="C571" s="24" t="str">
        <f>VLOOKUP(Ruimtestaat[[#This Row],[Code]],Locaties[#All],4,FALSE)</f>
        <v>Ludgerstraat 1</v>
      </c>
      <c r="D571" s="24" t="str">
        <f>VLOOKUP(Ruimtestaat[[#This Row],[Code]],Locaties[#All],5,FALSE)</f>
        <v>7415 DV</v>
      </c>
      <c r="E571" s="24" t="str">
        <f>VLOOKUP(Ruimtestaat[[#This Row],[Code]],Locaties[#All],6,FALSE)</f>
        <v>Deventer</v>
      </c>
      <c r="F571" s="54"/>
      <c r="G571" s="24" t="s">
        <v>367</v>
      </c>
      <c r="H571" s="24" t="s">
        <v>1009</v>
      </c>
      <c r="I571" s="4" t="s">
        <v>1010</v>
      </c>
      <c r="J571" s="24">
        <v>5</v>
      </c>
      <c r="K571" s="54" t="str">
        <f>VLOOKUP(J571,Ruimtegroepen[],2,FALSE)</f>
        <v>Sanitair</v>
      </c>
      <c r="L571" s="24" t="s">
        <v>305</v>
      </c>
      <c r="M571" s="24" t="s">
        <v>373</v>
      </c>
      <c r="N571" s="83">
        <v>1.24</v>
      </c>
      <c r="O571" s="83"/>
      <c r="P571" s="93" t="str">
        <f>LEFT(VLOOKUP(Ruimtestaat[[#This Row],[Ruimte code]],Ruimtegroepen[#All],4,1),2)</f>
        <v>Sa</v>
      </c>
      <c r="Q571" s="93"/>
      <c r="R571" s="84">
        <v>42</v>
      </c>
      <c r="S571" s="84" t="s">
        <v>316</v>
      </c>
      <c r="T571" s="85">
        <f>IF(R571&gt;0,IF(RIGHT(Ruimtestaat[[#This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1" s="85">
        <f>IF(T571&gt;0,VLOOKUP($J571,Ruimtegroepen[],3,FALSE)*VLOOKUP($L571,Vloersoorten[],3,FALSE)*VLOOKUP($S571,Frequenties[],3,FALSE)*VLOOKUP($A571,Locaties[],3,FALSE),0)</f>
        <v>0</v>
      </c>
      <c r="V571" s="86">
        <f>Ruimtestaat[[#This Row],[Uitvoeringen werkdagen]]*Ruimtestaat[[#This Row],[Oppervlak (netto)]]</f>
        <v>520.79999999999995</v>
      </c>
      <c r="W571" s="87">
        <f>IF(U571&gt;0,Ruimtestaat[[#This Row],[Prest. (m2 /jaar) werkdagen]]/Ruimtestaat[[#This Row],[Norm (m2/uur) werkdagen]],0)</f>
        <v>0</v>
      </c>
      <c r="X571" s="88">
        <f>Ruimtestaat[[#This Row],[uren / jaar werkdagen]]*Tariefsopbouw!$E$35</f>
        <v>0</v>
      </c>
      <c r="Y571" s="85"/>
      <c r="Z571" s="89">
        <f>IF(Ruimtestaat[[#This Row],[Frequentie weekend]]&gt;0,VALUE(LEFT(Y571,1))*R571,0)</f>
        <v>0</v>
      </c>
      <c r="AA571" s="85">
        <f>IF($Z571&gt;0,VLOOKUP($J571,Ruimtegroepen[],3,FALSE)*VLOOKUP($L571,Vloersoorten[],3,FALSE)*VLOOKUP($Y571,Frequenties[],3,FALSE)*VLOOKUP(#REF!,Locaties[],3,FALSE),0)</f>
        <v>0</v>
      </c>
      <c r="AB571" s="87">
        <f>Ruimtestaat[[#This Row],[Uitvoeringen weekend]]*Ruimtestaat[[#This Row],[Oppervlak (netto)]]</f>
        <v>0</v>
      </c>
      <c r="AC571" s="90">
        <f>IF(AB571&gt;0,Ruimtestaat[[#This Row],[Prest. (m2 /jaar) weekend]]/Ruimtestaat[[#This Row],[Norm (m2/uur) weekend]],0)</f>
        <v>0</v>
      </c>
      <c r="AD571" s="91">
        <f>Ruimtestaat[[#This Row],[uren / jaar weekend]]*Tariefsopbouw!$D$40</f>
        <v>0</v>
      </c>
      <c r="AE571" s="60">
        <f>Ruimtestaat[[#This Row],[Prest. (m2 /jaar) weekend]]+Ruimtestaat[[#This Row],[Prest. (m2 /jaar) werkdagen]]</f>
        <v>520.79999999999995</v>
      </c>
      <c r="AF571" s="60">
        <f>Ruimtestaat[[#This Row],[uren / jaar weekend]]+Ruimtestaat[[#This Row],[uren / jaar werkdagen]]</f>
        <v>0</v>
      </c>
      <c r="AG571" s="61">
        <f>Ruimtestaat[[#This Row],[kosten / jaar weekend]]+Ruimtestaat[[#This Row],[kosten / jaar werkdagen]]</f>
        <v>0</v>
      </c>
      <c r="AH571" s="92"/>
      <c r="HL571" s="59"/>
    </row>
    <row r="572" spans="1:220">
      <c r="A572" s="24">
        <v>5</v>
      </c>
      <c r="B572" s="24" t="str">
        <f>VLOOKUP(Ruimtestaat[[#This Row],[Code]],Locaties[#All],2,FALSE)</f>
        <v>Marke Zuid</v>
      </c>
      <c r="C572" s="24" t="str">
        <f>VLOOKUP(Ruimtestaat[[#This Row],[Code]],Locaties[#All],4,FALSE)</f>
        <v>Ludgerstraat 1</v>
      </c>
      <c r="D572" s="24" t="str">
        <f>VLOOKUP(Ruimtestaat[[#This Row],[Code]],Locaties[#All],5,FALSE)</f>
        <v>7415 DV</v>
      </c>
      <c r="E572" s="24" t="str">
        <f>VLOOKUP(Ruimtestaat[[#This Row],[Code]],Locaties[#All],6,FALSE)</f>
        <v>Deventer</v>
      </c>
      <c r="F572" s="54"/>
      <c r="G572" s="24" t="s">
        <v>367</v>
      </c>
      <c r="H572" s="24" t="s">
        <v>1011</v>
      </c>
      <c r="I572" s="4" t="s">
        <v>1010</v>
      </c>
      <c r="J572" s="24">
        <v>5</v>
      </c>
      <c r="K572" s="54" t="str">
        <f>VLOOKUP(J572,Ruimtegroepen[],2,FALSE)</f>
        <v>Sanitair</v>
      </c>
      <c r="L572" s="24" t="s">
        <v>305</v>
      </c>
      <c r="M572" s="24" t="s">
        <v>373</v>
      </c>
      <c r="N572" s="83">
        <v>1.24</v>
      </c>
      <c r="O572" s="83"/>
      <c r="P572" s="93" t="str">
        <f>LEFT(VLOOKUP(Ruimtestaat[[#This Row],[Ruimte code]],Ruimtegroepen[#All],4,1),2)</f>
        <v>Sa</v>
      </c>
      <c r="Q572" s="93"/>
      <c r="R572" s="84">
        <v>42</v>
      </c>
      <c r="S572" s="84" t="s">
        <v>316</v>
      </c>
      <c r="T572" s="85">
        <f>IF(R572&gt;0,IF(RIGHT(Ruimtestaat[[#This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2" s="85">
        <f>IF(T572&gt;0,VLOOKUP($J572,Ruimtegroepen[],3,FALSE)*VLOOKUP($L572,Vloersoorten[],3,FALSE)*VLOOKUP($S572,Frequenties[],3,FALSE)*VLOOKUP($A572,Locaties[],3,FALSE),0)</f>
        <v>0</v>
      </c>
      <c r="V572" s="86">
        <f>Ruimtestaat[[#This Row],[Uitvoeringen werkdagen]]*Ruimtestaat[[#This Row],[Oppervlak (netto)]]</f>
        <v>520.79999999999995</v>
      </c>
      <c r="W572" s="87">
        <f>IF(U572&gt;0,Ruimtestaat[[#This Row],[Prest. (m2 /jaar) werkdagen]]/Ruimtestaat[[#This Row],[Norm (m2/uur) werkdagen]],0)</f>
        <v>0</v>
      </c>
      <c r="X572" s="88">
        <f>Ruimtestaat[[#This Row],[uren / jaar werkdagen]]*Tariefsopbouw!$E$35</f>
        <v>0</v>
      </c>
      <c r="Y572" s="85"/>
      <c r="Z572" s="89">
        <f>IF(Ruimtestaat[[#This Row],[Frequentie weekend]]&gt;0,VALUE(LEFT(Y572,1))*R572,0)</f>
        <v>0</v>
      </c>
      <c r="AA572" s="85">
        <f>IF($Z572&gt;0,VLOOKUP($J572,Ruimtegroepen[],3,FALSE)*VLOOKUP($L572,Vloersoorten[],3,FALSE)*VLOOKUP($Y572,Frequenties[],3,FALSE)*VLOOKUP(#REF!,Locaties[],3,FALSE),0)</f>
        <v>0</v>
      </c>
      <c r="AB572" s="87">
        <f>Ruimtestaat[[#This Row],[Uitvoeringen weekend]]*Ruimtestaat[[#This Row],[Oppervlak (netto)]]</f>
        <v>0</v>
      </c>
      <c r="AC572" s="90">
        <f>IF(AB572&gt;0,Ruimtestaat[[#This Row],[Prest. (m2 /jaar) weekend]]/Ruimtestaat[[#This Row],[Norm (m2/uur) weekend]],0)</f>
        <v>0</v>
      </c>
      <c r="AD572" s="91">
        <f>Ruimtestaat[[#This Row],[uren / jaar weekend]]*Tariefsopbouw!$D$40</f>
        <v>0</v>
      </c>
      <c r="AE572" s="60">
        <f>Ruimtestaat[[#This Row],[Prest. (m2 /jaar) weekend]]+Ruimtestaat[[#This Row],[Prest. (m2 /jaar) werkdagen]]</f>
        <v>520.79999999999995</v>
      </c>
      <c r="AF572" s="60">
        <f>Ruimtestaat[[#This Row],[uren / jaar weekend]]+Ruimtestaat[[#This Row],[uren / jaar werkdagen]]</f>
        <v>0</v>
      </c>
      <c r="AG572" s="61">
        <f>Ruimtestaat[[#This Row],[kosten / jaar weekend]]+Ruimtestaat[[#This Row],[kosten / jaar werkdagen]]</f>
        <v>0</v>
      </c>
      <c r="AH572" s="92"/>
      <c r="HL572" s="59"/>
    </row>
    <row r="573" spans="1:220">
      <c r="A573" s="24">
        <v>5</v>
      </c>
      <c r="B573" s="24" t="str">
        <f>VLOOKUP(Ruimtestaat[[#This Row],[Code]],Locaties[#All],2,FALSE)</f>
        <v>Marke Zuid</v>
      </c>
      <c r="C573" s="24" t="str">
        <f>VLOOKUP(Ruimtestaat[[#This Row],[Code]],Locaties[#All],4,FALSE)</f>
        <v>Ludgerstraat 1</v>
      </c>
      <c r="D573" s="24" t="str">
        <f>VLOOKUP(Ruimtestaat[[#This Row],[Code]],Locaties[#All],5,FALSE)</f>
        <v>7415 DV</v>
      </c>
      <c r="E573" s="24" t="str">
        <f>VLOOKUP(Ruimtestaat[[#This Row],[Code]],Locaties[#All],6,FALSE)</f>
        <v>Deventer</v>
      </c>
      <c r="F573" s="54"/>
      <c r="G573" s="24" t="s">
        <v>367</v>
      </c>
      <c r="H573" s="24" t="s">
        <v>1012</v>
      </c>
      <c r="I573" s="4" t="s">
        <v>1010</v>
      </c>
      <c r="J573" s="24">
        <v>5</v>
      </c>
      <c r="K573" s="54" t="str">
        <f>VLOOKUP(J573,Ruimtegroepen[],2,FALSE)</f>
        <v>Sanitair</v>
      </c>
      <c r="L573" s="24" t="s">
        <v>305</v>
      </c>
      <c r="M573" s="24" t="s">
        <v>373</v>
      </c>
      <c r="N573" s="83">
        <v>1.24</v>
      </c>
      <c r="O573" s="83"/>
      <c r="P573" s="93" t="str">
        <f>LEFT(VLOOKUP(Ruimtestaat[[#This Row],[Ruimte code]],Ruimtegroepen[#All],4,1),2)</f>
        <v>Sa</v>
      </c>
      <c r="Q573" s="93"/>
      <c r="R573" s="84">
        <v>42</v>
      </c>
      <c r="S573" s="84" t="s">
        <v>316</v>
      </c>
      <c r="T573" s="85">
        <f>IF(R573&gt;0,IF(RIGHT(Ruimtestaat[[#This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3" s="85">
        <f>IF(T573&gt;0,VLOOKUP($J573,Ruimtegroepen[],3,FALSE)*VLOOKUP($L573,Vloersoorten[],3,FALSE)*VLOOKUP($S573,Frequenties[],3,FALSE)*VLOOKUP($A573,Locaties[],3,FALSE),0)</f>
        <v>0</v>
      </c>
      <c r="V573" s="86">
        <f>Ruimtestaat[[#This Row],[Uitvoeringen werkdagen]]*Ruimtestaat[[#This Row],[Oppervlak (netto)]]</f>
        <v>520.79999999999995</v>
      </c>
      <c r="W573" s="87">
        <f>IF(U573&gt;0,Ruimtestaat[[#This Row],[Prest. (m2 /jaar) werkdagen]]/Ruimtestaat[[#This Row],[Norm (m2/uur) werkdagen]],0)</f>
        <v>0</v>
      </c>
      <c r="X573" s="88">
        <f>Ruimtestaat[[#This Row],[uren / jaar werkdagen]]*Tariefsopbouw!$E$35</f>
        <v>0</v>
      </c>
      <c r="Y573" s="85"/>
      <c r="Z573" s="89">
        <f>IF(Ruimtestaat[[#This Row],[Frequentie weekend]]&gt;0,VALUE(LEFT(Y573,1))*R573,0)</f>
        <v>0</v>
      </c>
      <c r="AA573" s="85">
        <f>IF($Z573&gt;0,VLOOKUP($J573,Ruimtegroepen[],3,FALSE)*VLOOKUP($L573,Vloersoorten[],3,FALSE)*VLOOKUP($Y573,Frequenties[],3,FALSE)*VLOOKUP(#REF!,Locaties[],3,FALSE),0)</f>
        <v>0</v>
      </c>
      <c r="AB573" s="87">
        <f>Ruimtestaat[[#This Row],[Uitvoeringen weekend]]*Ruimtestaat[[#This Row],[Oppervlak (netto)]]</f>
        <v>0</v>
      </c>
      <c r="AC573" s="90">
        <f>IF(AB573&gt;0,Ruimtestaat[[#This Row],[Prest. (m2 /jaar) weekend]]/Ruimtestaat[[#This Row],[Norm (m2/uur) weekend]],0)</f>
        <v>0</v>
      </c>
      <c r="AD573" s="91">
        <f>Ruimtestaat[[#This Row],[uren / jaar weekend]]*Tariefsopbouw!$D$40</f>
        <v>0</v>
      </c>
      <c r="AE573" s="60">
        <f>Ruimtestaat[[#This Row],[Prest. (m2 /jaar) weekend]]+Ruimtestaat[[#This Row],[Prest. (m2 /jaar) werkdagen]]</f>
        <v>520.79999999999995</v>
      </c>
      <c r="AF573" s="60">
        <f>Ruimtestaat[[#This Row],[uren / jaar weekend]]+Ruimtestaat[[#This Row],[uren / jaar werkdagen]]</f>
        <v>0</v>
      </c>
      <c r="AG573" s="61">
        <f>Ruimtestaat[[#This Row],[kosten / jaar weekend]]+Ruimtestaat[[#This Row],[kosten / jaar werkdagen]]</f>
        <v>0</v>
      </c>
      <c r="AH573" s="92"/>
      <c r="HL573" s="59"/>
    </row>
    <row r="574" spans="1:220">
      <c r="A574" s="24">
        <v>5</v>
      </c>
      <c r="B574" s="24" t="str">
        <f>VLOOKUP(Ruimtestaat[[#This Row],[Code]],Locaties[#All],2,FALSE)</f>
        <v>Marke Zuid</v>
      </c>
      <c r="C574" s="24" t="str">
        <f>VLOOKUP(Ruimtestaat[[#This Row],[Code]],Locaties[#All],4,FALSE)</f>
        <v>Ludgerstraat 1</v>
      </c>
      <c r="D574" s="24" t="str">
        <f>VLOOKUP(Ruimtestaat[[#This Row],[Code]],Locaties[#All],5,FALSE)</f>
        <v>7415 DV</v>
      </c>
      <c r="E574" s="24" t="str">
        <f>VLOOKUP(Ruimtestaat[[#This Row],[Code]],Locaties[#All],6,FALSE)</f>
        <v>Deventer</v>
      </c>
      <c r="F574" s="54"/>
      <c r="G574" s="24" t="s">
        <v>367</v>
      </c>
      <c r="H574" s="24" t="s">
        <v>1013</v>
      </c>
      <c r="I574" s="4" t="s">
        <v>1010</v>
      </c>
      <c r="J574" s="24">
        <v>5</v>
      </c>
      <c r="K574" s="54" t="str">
        <f>VLOOKUP(J574,Ruimtegroepen[],2,FALSE)</f>
        <v>Sanitair</v>
      </c>
      <c r="L574" s="24" t="s">
        <v>305</v>
      </c>
      <c r="M574" s="24" t="s">
        <v>373</v>
      </c>
      <c r="N574" s="83">
        <v>1.2</v>
      </c>
      <c r="O574" s="83"/>
      <c r="P574" s="93" t="str">
        <f>LEFT(VLOOKUP(Ruimtestaat[[#This Row],[Ruimte code]],Ruimtegroepen[#All],4,1),2)</f>
        <v>Sa</v>
      </c>
      <c r="Q574" s="93"/>
      <c r="R574" s="84">
        <v>42</v>
      </c>
      <c r="S574" s="84" t="s">
        <v>316</v>
      </c>
      <c r="T574" s="85">
        <f>IF(R574&gt;0,IF(RIGHT(Ruimtestaat[[#This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4" s="85">
        <f>IF(T574&gt;0,VLOOKUP($J574,Ruimtegroepen[],3,FALSE)*VLOOKUP($L574,Vloersoorten[],3,FALSE)*VLOOKUP($S574,Frequenties[],3,FALSE)*VLOOKUP($A574,Locaties[],3,FALSE),0)</f>
        <v>0</v>
      </c>
      <c r="V574" s="86">
        <f>Ruimtestaat[[#This Row],[Uitvoeringen werkdagen]]*Ruimtestaat[[#This Row],[Oppervlak (netto)]]</f>
        <v>504</v>
      </c>
      <c r="W574" s="87">
        <f>IF(U574&gt;0,Ruimtestaat[[#This Row],[Prest. (m2 /jaar) werkdagen]]/Ruimtestaat[[#This Row],[Norm (m2/uur) werkdagen]],0)</f>
        <v>0</v>
      </c>
      <c r="X574" s="88">
        <f>Ruimtestaat[[#This Row],[uren / jaar werkdagen]]*Tariefsopbouw!$E$35</f>
        <v>0</v>
      </c>
      <c r="Y574" s="85"/>
      <c r="Z574" s="89">
        <f>IF(Ruimtestaat[[#This Row],[Frequentie weekend]]&gt;0,VALUE(LEFT(Y574,1))*R574,0)</f>
        <v>0</v>
      </c>
      <c r="AA574" s="85">
        <f>IF($Z574&gt;0,VLOOKUP($J574,Ruimtegroepen[],3,FALSE)*VLOOKUP($L574,Vloersoorten[],3,FALSE)*VLOOKUP($Y574,Frequenties[],3,FALSE)*VLOOKUP(#REF!,Locaties[],3,FALSE),0)</f>
        <v>0</v>
      </c>
      <c r="AB574" s="87">
        <f>Ruimtestaat[[#This Row],[Uitvoeringen weekend]]*Ruimtestaat[[#This Row],[Oppervlak (netto)]]</f>
        <v>0</v>
      </c>
      <c r="AC574" s="90">
        <f>IF(AB574&gt;0,Ruimtestaat[[#This Row],[Prest. (m2 /jaar) weekend]]/Ruimtestaat[[#This Row],[Norm (m2/uur) weekend]],0)</f>
        <v>0</v>
      </c>
      <c r="AD574" s="91">
        <f>Ruimtestaat[[#This Row],[uren / jaar weekend]]*Tariefsopbouw!$D$40</f>
        <v>0</v>
      </c>
      <c r="AE574" s="60">
        <f>Ruimtestaat[[#This Row],[Prest. (m2 /jaar) weekend]]+Ruimtestaat[[#This Row],[Prest. (m2 /jaar) werkdagen]]</f>
        <v>504</v>
      </c>
      <c r="AF574" s="60">
        <f>Ruimtestaat[[#This Row],[uren / jaar weekend]]+Ruimtestaat[[#This Row],[uren / jaar werkdagen]]</f>
        <v>0</v>
      </c>
      <c r="AG574" s="61">
        <f>Ruimtestaat[[#This Row],[kosten / jaar weekend]]+Ruimtestaat[[#This Row],[kosten / jaar werkdagen]]</f>
        <v>0</v>
      </c>
      <c r="AH574" s="92"/>
      <c r="HL574" s="59"/>
    </row>
    <row r="575" spans="1:220">
      <c r="A575" s="24">
        <v>5</v>
      </c>
      <c r="B575" s="24" t="str">
        <f>VLOOKUP(Ruimtestaat[[#This Row],[Code]],Locaties[#All],2,FALSE)</f>
        <v>Marke Zuid</v>
      </c>
      <c r="C575" s="24" t="str">
        <f>VLOOKUP(Ruimtestaat[[#This Row],[Code]],Locaties[#All],4,FALSE)</f>
        <v>Ludgerstraat 1</v>
      </c>
      <c r="D575" s="24" t="str">
        <f>VLOOKUP(Ruimtestaat[[#This Row],[Code]],Locaties[#All],5,FALSE)</f>
        <v>7415 DV</v>
      </c>
      <c r="E575" s="24" t="str">
        <f>VLOOKUP(Ruimtestaat[[#This Row],[Code]],Locaties[#All],6,FALSE)</f>
        <v>Deventer</v>
      </c>
      <c r="F575" s="54"/>
      <c r="G575" s="24" t="s">
        <v>367</v>
      </c>
      <c r="H575" s="24" t="s">
        <v>395</v>
      </c>
      <c r="I575" s="4" t="s">
        <v>667</v>
      </c>
      <c r="J575" s="24">
        <v>22</v>
      </c>
      <c r="K575" s="54" t="str">
        <f>VLOOKUP(J575,Ruimtegroepen[],2,FALSE)</f>
        <v>Niet in onderhoud</v>
      </c>
      <c r="L575" s="24" t="s">
        <v>305</v>
      </c>
      <c r="M575" s="24" t="s">
        <v>373</v>
      </c>
      <c r="N575" s="83"/>
      <c r="O575" s="83">
        <v>27.65</v>
      </c>
      <c r="P575" s="93" t="str">
        <f>LEFT(VLOOKUP(Ruimtestaat[[#This Row],[Ruimte code]],Ruimtegroepen[#All],4,1),2)</f>
        <v/>
      </c>
      <c r="Q575" s="93"/>
      <c r="R575" s="84"/>
      <c r="S575" s="84"/>
      <c r="T575" s="85">
        <f>IF(R575&gt;0,IF(RIGHT(Ruimtestaat[[#This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5" s="85">
        <f>IF(T575&gt;0,VLOOKUP($J575,Ruimtegroepen[],3,FALSE)*VLOOKUP($L575,Vloersoorten[],3,FALSE)*VLOOKUP($S575,Frequenties[],3,FALSE)*VLOOKUP($A575,Locaties[],3,FALSE),0)</f>
        <v>0</v>
      </c>
      <c r="V575" s="86">
        <f>Ruimtestaat[[#This Row],[Uitvoeringen werkdagen]]*Ruimtestaat[[#This Row],[Oppervlak (netto)]]</f>
        <v>0</v>
      </c>
      <c r="W575" s="87">
        <f>IF(U575&gt;0,Ruimtestaat[[#This Row],[Prest. (m2 /jaar) werkdagen]]/Ruimtestaat[[#This Row],[Norm (m2/uur) werkdagen]],0)</f>
        <v>0</v>
      </c>
      <c r="X575" s="88">
        <f>Ruimtestaat[[#This Row],[uren / jaar werkdagen]]*Tariefsopbouw!$E$35</f>
        <v>0</v>
      </c>
      <c r="Y575" s="85"/>
      <c r="Z575" s="89">
        <f>IF(Ruimtestaat[[#This Row],[Frequentie weekend]]&gt;0,VALUE(LEFT(Y575,1))*R575,0)</f>
        <v>0</v>
      </c>
      <c r="AA575" s="85">
        <f>IF($Z575&gt;0,VLOOKUP($J575,Ruimtegroepen[],3,FALSE)*VLOOKUP($L575,Vloersoorten[],3,FALSE)*VLOOKUP($Y575,Frequenties[],3,FALSE)*VLOOKUP(#REF!,Locaties[],3,FALSE),0)</f>
        <v>0</v>
      </c>
      <c r="AB575" s="87">
        <f>Ruimtestaat[[#This Row],[Uitvoeringen weekend]]*Ruimtestaat[[#This Row],[Oppervlak (netto)]]</f>
        <v>0</v>
      </c>
      <c r="AC575" s="90">
        <f>IF(AB575&gt;0,Ruimtestaat[[#This Row],[Prest. (m2 /jaar) weekend]]/Ruimtestaat[[#This Row],[Norm (m2/uur) weekend]],0)</f>
        <v>0</v>
      </c>
      <c r="AD575" s="91">
        <f>Ruimtestaat[[#This Row],[uren / jaar weekend]]*Tariefsopbouw!$D$40</f>
        <v>0</v>
      </c>
      <c r="AE575" s="60">
        <f>Ruimtestaat[[#This Row],[Prest. (m2 /jaar) weekend]]+Ruimtestaat[[#This Row],[Prest. (m2 /jaar) werkdagen]]</f>
        <v>0</v>
      </c>
      <c r="AF575" s="60">
        <f>Ruimtestaat[[#This Row],[uren / jaar weekend]]+Ruimtestaat[[#This Row],[uren / jaar werkdagen]]</f>
        <v>0</v>
      </c>
      <c r="AG575" s="61">
        <f>Ruimtestaat[[#This Row],[kosten / jaar weekend]]+Ruimtestaat[[#This Row],[kosten / jaar werkdagen]]</f>
        <v>0</v>
      </c>
      <c r="AH575" s="92"/>
      <c r="HL575" s="59"/>
    </row>
    <row r="576" spans="1:220">
      <c r="A576" s="24">
        <v>5</v>
      </c>
      <c r="B576" s="24" t="str">
        <f>VLOOKUP(Ruimtestaat[[#This Row],[Code]],Locaties[#All],2,FALSE)</f>
        <v>Marke Zuid</v>
      </c>
      <c r="C576" s="24" t="str">
        <f>VLOOKUP(Ruimtestaat[[#This Row],[Code]],Locaties[#All],4,FALSE)</f>
        <v>Ludgerstraat 1</v>
      </c>
      <c r="D576" s="24" t="str">
        <f>VLOOKUP(Ruimtestaat[[#This Row],[Code]],Locaties[#All],5,FALSE)</f>
        <v>7415 DV</v>
      </c>
      <c r="E576" s="24" t="str">
        <f>VLOOKUP(Ruimtestaat[[#This Row],[Code]],Locaties[#All],6,FALSE)</f>
        <v>Deventer</v>
      </c>
      <c r="F576" s="54"/>
      <c r="G576" s="24" t="s">
        <v>367</v>
      </c>
      <c r="H576" s="24" t="s">
        <v>397</v>
      </c>
      <c r="I576" s="4" t="s">
        <v>1014</v>
      </c>
      <c r="J576" s="24">
        <v>22</v>
      </c>
      <c r="K576" s="54" t="str">
        <f>VLOOKUP(J576,Ruimtegroepen[],2,FALSE)</f>
        <v>Niet in onderhoud</v>
      </c>
      <c r="L576" s="24" t="s">
        <v>305</v>
      </c>
      <c r="M576" s="24" t="s">
        <v>376</v>
      </c>
      <c r="N576" s="83"/>
      <c r="O576" s="83">
        <v>7.2</v>
      </c>
      <c r="P576" s="93" t="str">
        <f>LEFT(VLOOKUP(Ruimtestaat[[#This Row],[Ruimte code]],Ruimtegroepen[#All],4,1),2)</f>
        <v/>
      </c>
      <c r="Q576" s="93"/>
      <c r="R576" s="84"/>
      <c r="S576" s="84"/>
      <c r="T576" s="85">
        <f>IF(R576&gt;0,IF(RIGHT(Ruimtestaat[[#This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6" s="85">
        <f>IF(T576&gt;0,VLOOKUP($J576,Ruimtegroepen[],3,FALSE)*VLOOKUP($L576,Vloersoorten[],3,FALSE)*VLOOKUP($S576,Frequenties[],3,FALSE)*VLOOKUP($A576,Locaties[],3,FALSE),0)</f>
        <v>0</v>
      </c>
      <c r="V576" s="86">
        <f>Ruimtestaat[[#This Row],[Uitvoeringen werkdagen]]*Ruimtestaat[[#This Row],[Oppervlak (netto)]]</f>
        <v>0</v>
      </c>
      <c r="W576" s="87">
        <f>IF(U576&gt;0,Ruimtestaat[[#This Row],[Prest. (m2 /jaar) werkdagen]]/Ruimtestaat[[#This Row],[Norm (m2/uur) werkdagen]],0)</f>
        <v>0</v>
      </c>
      <c r="X576" s="88">
        <f>Ruimtestaat[[#This Row],[uren / jaar werkdagen]]*Tariefsopbouw!$E$35</f>
        <v>0</v>
      </c>
      <c r="Y576" s="85"/>
      <c r="Z576" s="89">
        <f>IF(Ruimtestaat[[#This Row],[Frequentie weekend]]&gt;0,VALUE(LEFT(Y576,1))*R576,0)</f>
        <v>0</v>
      </c>
      <c r="AA576" s="85">
        <f>IF($Z576&gt;0,VLOOKUP($J576,Ruimtegroepen[],3,FALSE)*VLOOKUP($L576,Vloersoorten[],3,FALSE)*VLOOKUP($Y576,Frequenties[],3,FALSE)*VLOOKUP(#REF!,Locaties[],3,FALSE),0)</f>
        <v>0</v>
      </c>
      <c r="AB576" s="87">
        <f>Ruimtestaat[[#This Row],[Uitvoeringen weekend]]*Ruimtestaat[[#This Row],[Oppervlak (netto)]]</f>
        <v>0</v>
      </c>
      <c r="AC576" s="90">
        <f>IF(AB576&gt;0,Ruimtestaat[[#This Row],[Prest. (m2 /jaar) weekend]]/Ruimtestaat[[#This Row],[Norm (m2/uur) weekend]],0)</f>
        <v>0</v>
      </c>
      <c r="AD576" s="91">
        <f>Ruimtestaat[[#This Row],[uren / jaar weekend]]*Tariefsopbouw!$D$40</f>
        <v>0</v>
      </c>
      <c r="AE576" s="60">
        <f>Ruimtestaat[[#This Row],[Prest. (m2 /jaar) weekend]]+Ruimtestaat[[#This Row],[Prest. (m2 /jaar) werkdagen]]</f>
        <v>0</v>
      </c>
      <c r="AF576" s="60">
        <f>Ruimtestaat[[#This Row],[uren / jaar weekend]]+Ruimtestaat[[#This Row],[uren / jaar werkdagen]]</f>
        <v>0</v>
      </c>
      <c r="AG576" s="61">
        <f>Ruimtestaat[[#This Row],[kosten / jaar weekend]]+Ruimtestaat[[#This Row],[kosten / jaar werkdagen]]</f>
        <v>0</v>
      </c>
      <c r="AH576" s="92"/>
      <c r="HL576" s="59"/>
    </row>
    <row r="577" spans="1:220">
      <c r="A577" s="24">
        <v>5</v>
      </c>
      <c r="B577" s="24" t="str">
        <f>VLOOKUP(Ruimtestaat[[#This Row],[Code]],Locaties[#All],2,FALSE)</f>
        <v>Marke Zuid</v>
      </c>
      <c r="C577" s="24" t="str">
        <f>VLOOKUP(Ruimtestaat[[#This Row],[Code]],Locaties[#All],4,FALSE)</f>
        <v>Ludgerstraat 1</v>
      </c>
      <c r="D577" s="24" t="str">
        <f>VLOOKUP(Ruimtestaat[[#This Row],[Code]],Locaties[#All],5,FALSE)</f>
        <v>7415 DV</v>
      </c>
      <c r="E577" s="24" t="str">
        <f>VLOOKUP(Ruimtestaat[[#This Row],[Code]],Locaties[#All],6,FALSE)</f>
        <v>Deventer</v>
      </c>
      <c r="F577" s="54"/>
      <c r="G577" s="24" t="s">
        <v>367</v>
      </c>
      <c r="H577" s="24" t="s">
        <v>398</v>
      </c>
      <c r="I577" s="4" t="s">
        <v>667</v>
      </c>
      <c r="J577" s="24">
        <v>22</v>
      </c>
      <c r="K577" s="54" t="str">
        <f>VLOOKUP(J577,Ruimtegroepen[],2,FALSE)</f>
        <v>Niet in onderhoud</v>
      </c>
      <c r="L577" s="24" t="s">
        <v>305</v>
      </c>
      <c r="M577" s="24" t="s">
        <v>376</v>
      </c>
      <c r="N577" s="83"/>
      <c r="O577" s="83">
        <v>11.74</v>
      </c>
      <c r="P577" s="93" t="str">
        <f>LEFT(VLOOKUP(Ruimtestaat[[#This Row],[Ruimte code]],Ruimtegroepen[#All],4,1),2)</f>
        <v/>
      </c>
      <c r="Q577" s="93"/>
      <c r="R577" s="84"/>
      <c r="S577" s="84"/>
      <c r="T577" s="85">
        <f>IF(R577&gt;0,IF(RIGHT(Ruimtestaat[[#This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7" s="85">
        <f>IF(T577&gt;0,VLOOKUP($J577,Ruimtegroepen[],3,FALSE)*VLOOKUP($L577,Vloersoorten[],3,FALSE)*VLOOKUP($S577,Frequenties[],3,FALSE)*VLOOKUP($A577,Locaties[],3,FALSE),0)</f>
        <v>0</v>
      </c>
      <c r="V577" s="86">
        <f>Ruimtestaat[[#This Row],[Uitvoeringen werkdagen]]*Ruimtestaat[[#This Row],[Oppervlak (netto)]]</f>
        <v>0</v>
      </c>
      <c r="W577" s="87">
        <f>IF(U577&gt;0,Ruimtestaat[[#This Row],[Prest. (m2 /jaar) werkdagen]]/Ruimtestaat[[#This Row],[Norm (m2/uur) werkdagen]],0)</f>
        <v>0</v>
      </c>
      <c r="X577" s="88">
        <f>Ruimtestaat[[#This Row],[uren / jaar werkdagen]]*Tariefsopbouw!$E$35</f>
        <v>0</v>
      </c>
      <c r="Y577" s="85"/>
      <c r="Z577" s="89">
        <f>IF(Ruimtestaat[[#This Row],[Frequentie weekend]]&gt;0,VALUE(LEFT(Y577,1))*R577,0)</f>
        <v>0</v>
      </c>
      <c r="AA577" s="85">
        <f>IF($Z577&gt;0,VLOOKUP($J577,Ruimtegroepen[],3,FALSE)*VLOOKUP($L577,Vloersoorten[],3,FALSE)*VLOOKUP($Y577,Frequenties[],3,FALSE)*VLOOKUP(#REF!,Locaties[],3,FALSE),0)</f>
        <v>0</v>
      </c>
      <c r="AB577" s="87">
        <f>Ruimtestaat[[#This Row],[Uitvoeringen weekend]]*Ruimtestaat[[#This Row],[Oppervlak (netto)]]</f>
        <v>0</v>
      </c>
      <c r="AC577" s="90">
        <f>IF(AB577&gt;0,Ruimtestaat[[#This Row],[Prest. (m2 /jaar) weekend]]/Ruimtestaat[[#This Row],[Norm (m2/uur) weekend]],0)</f>
        <v>0</v>
      </c>
      <c r="AD577" s="91">
        <f>Ruimtestaat[[#This Row],[uren / jaar weekend]]*Tariefsopbouw!$D$40</f>
        <v>0</v>
      </c>
      <c r="AE577" s="60">
        <f>Ruimtestaat[[#This Row],[Prest. (m2 /jaar) weekend]]+Ruimtestaat[[#This Row],[Prest. (m2 /jaar) werkdagen]]</f>
        <v>0</v>
      </c>
      <c r="AF577" s="60">
        <f>Ruimtestaat[[#This Row],[uren / jaar weekend]]+Ruimtestaat[[#This Row],[uren / jaar werkdagen]]</f>
        <v>0</v>
      </c>
      <c r="AG577" s="61">
        <f>Ruimtestaat[[#This Row],[kosten / jaar weekend]]+Ruimtestaat[[#This Row],[kosten / jaar werkdagen]]</f>
        <v>0</v>
      </c>
      <c r="AH577" s="92"/>
      <c r="HL577" s="59"/>
    </row>
    <row r="578" spans="1:220">
      <c r="A578" s="24">
        <v>5</v>
      </c>
      <c r="B578" s="24" t="str">
        <f>VLOOKUP(Ruimtestaat[[#This Row],[Code]],Locaties[#All],2,FALSE)</f>
        <v>Marke Zuid</v>
      </c>
      <c r="C578" s="24" t="str">
        <f>VLOOKUP(Ruimtestaat[[#This Row],[Code]],Locaties[#All],4,FALSE)</f>
        <v>Ludgerstraat 1</v>
      </c>
      <c r="D578" s="24" t="str">
        <f>VLOOKUP(Ruimtestaat[[#This Row],[Code]],Locaties[#All],5,FALSE)</f>
        <v>7415 DV</v>
      </c>
      <c r="E578" s="24" t="str">
        <f>VLOOKUP(Ruimtestaat[[#This Row],[Code]],Locaties[#All],6,FALSE)</f>
        <v>Deventer</v>
      </c>
      <c r="F578" s="54"/>
      <c r="G578" s="24" t="s">
        <v>367</v>
      </c>
      <c r="H578" s="24" t="s">
        <v>406</v>
      </c>
      <c r="I578" s="4" t="s">
        <v>1015</v>
      </c>
      <c r="J578" s="24">
        <v>22</v>
      </c>
      <c r="K578" s="54" t="str">
        <f>VLOOKUP(J578,Ruimtegroepen[],2,FALSE)</f>
        <v>Niet in onderhoud</v>
      </c>
      <c r="L578" s="24" t="s">
        <v>305</v>
      </c>
      <c r="M578" s="24" t="s">
        <v>376</v>
      </c>
      <c r="N578" s="83"/>
      <c r="O578" s="83">
        <v>10.63</v>
      </c>
      <c r="P578" s="93" t="str">
        <f>LEFT(VLOOKUP(Ruimtestaat[[#This Row],[Ruimte code]],Ruimtegroepen[#All],4,1),2)</f>
        <v/>
      </c>
      <c r="Q578" s="93"/>
      <c r="R578" s="84"/>
      <c r="S578" s="84"/>
      <c r="T578" s="85">
        <f>IF(R578&gt;0,IF(RIGHT(Ruimtestaat[[#This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8" s="85">
        <f>IF(T578&gt;0,VLOOKUP($J578,Ruimtegroepen[],3,FALSE)*VLOOKUP($L578,Vloersoorten[],3,FALSE)*VLOOKUP($S578,Frequenties[],3,FALSE)*VLOOKUP($A578,Locaties[],3,FALSE),0)</f>
        <v>0</v>
      </c>
      <c r="V578" s="86">
        <f>Ruimtestaat[[#This Row],[Uitvoeringen werkdagen]]*Ruimtestaat[[#This Row],[Oppervlak (netto)]]</f>
        <v>0</v>
      </c>
      <c r="W578" s="87">
        <f>IF(U578&gt;0,Ruimtestaat[[#This Row],[Prest. (m2 /jaar) werkdagen]]/Ruimtestaat[[#This Row],[Norm (m2/uur) werkdagen]],0)</f>
        <v>0</v>
      </c>
      <c r="X578" s="88">
        <f>Ruimtestaat[[#This Row],[uren / jaar werkdagen]]*Tariefsopbouw!$E$35</f>
        <v>0</v>
      </c>
      <c r="Y578" s="85"/>
      <c r="Z578" s="89">
        <f>IF(Ruimtestaat[[#This Row],[Frequentie weekend]]&gt;0,VALUE(LEFT(Y578,1))*R578,0)</f>
        <v>0</v>
      </c>
      <c r="AA578" s="85">
        <f>IF($Z578&gt;0,VLOOKUP($J578,Ruimtegroepen[],3,FALSE)*VLOOKUP($L578,Vloersoorten[],3,FALSE)*VLOOKUP($Y578,Frequenties[],3,FALSE)*VLOOKUP(#REF!,Locaties[],3,FALSE),0)</f>
        <v>0</v>
      </c>
      <c r="AB578" s="87">
        <f>Ruimtestaat[[#This Row],[Uitvoeringen weekend]]*Ruimtestaat[[#This Row],[Oppervlak (netto)]]</f>
        <v>0</v>
      </c>
      <c r="AC578" s="90">
        <f>IF(AB578&gt;0,Ruimtestaat[[#This Row],[Prest. (m2 /jaar) weekend]]/Ruimtestaat[[#This Row],[Norm (m2/uur) weekend]],0)</f>
        <v>0</v>
      </c>
      <c r="AD578" s="91">
        <f>Ruimtestaat[[#This Row],[uren / jaar weekend]]*Tariefsopbouw!$D$40</f>
        <v>0</v>
      </c>
      <c r="AE578" s="60">
        <f>Ruimtestaat[[#This Row],[Prest. (m2 /jaar) weekend]]+Ruimtestaat[[#This Row],[Prest. (m2 /jaar) werkdagen]]</f>
        <v>0</v>
      </c>
      <c r="AF578" s="60">
        <f>Ruimtestaat[[#This Row],[uren / jaar weekend]]+Ruimtestaat[[#This Row],[uren / jaar werkdagen]]</f>
        <v>0</v>
      </c>
      <c r="AG578" s="61">
        <f>Ruimtestaat[[#This Row],[kosten / jaar weekend]]+Ruimtestaat[[#This Row],[kosten / jaar werkdagen]]</f>
        <v>0</v>
      </c>
      <c r="AH578" s="92"/>
      <c r="HL578" s="59"/>
    </row>
    <row r="579" spans="1:220">
      <c r="A579" s="24">
        <v>5</v>
      </c>
      <c r="B579" s="24" t="str">
        <f>VLOOKUP(Ruimtestaat[[#This Row],[Code]],Locaties[#All],2,FALSE)</f>
        <v>Marke Zuid</v>
      </c>
      <c r="C579" s="24" t="str">
        <f>VLOOKUP(Ruimtestaat[[#This Row],[Code]],Locaties[#All],4,FALSE)</f>
        <v>Ludgerstraat 1</v>
      </c>
      <c r="D579" s="24" t="str">
        <f>VLOOKUP(Ruimtestaat[[#This Row],[Code]],Locaties[#All],5,FALSE)</f>
        <v>7415 DV</v>
      </c>
      <c r="E579" s="24" t="str">
        <f>VLOOKUP(Ruimtestaat[[#This Row],[Code]],Locaties[#All],6,FALSE)</f>
        <v>Deventer</v>
      </c>
      <c r="F579" s="54"/>
      <c r="G579" s="24" t="s">
        <v>367</v>
      </c>
      <c r="H579" s="24" t="s">
        <v>408</v>
      </c>
      <c r="I579" s="4" t="s">
        <v>1016</v>
      </c>
      <c r="J579" s="24">
        <v>22</v>
      </c>
      <c r="K579" s="54" t="str">
        <f>VLOOKUP(J579,Ruimtegroepen[],2,FALSE)</f>
        <v>Niet in onderhoud</v>
      </c>
      <c r="L579" s="24" t="s">
        <v>305</v>
      </c>
      <c r="M579" s="24" t="s">
        <v>376</v>
      </c>
      <c r="N579" s="83"/>
      <c r="O579" s="83">
        <v>4.5999999999999996</v>
      </c>
      <c r="P579" s="93" t="str">
        <f>LEFT(VLOOKUP(Ruimtestaat[[#This Row],[Ruimte code]],Ruimtegroepen[#All],4,1),2)</f>
        <v/>
      </c>
      <c r="Q579" s="93"/>
      <c r="R579" s="84"/>
      <c r="S579" s="84"/>
      <c r="T579" s="85">
        <f>IF(R579&gt;0,IF(RIGHT(Ruimtestaat[[#This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9" s="85">
        <f>IF(T579&gt;0,VLOOKUP($J579,Ruimtegroepen[],3,FALSE)*VLOOKUP($L579,Vloersoorten[],3,FALSE)*VLOOKUP($S579,Frequenties[],3,FALSE)*VLOOKUP($A579,Locaties[],3,FALSE),0)</f>
        <v>0</v>
      </c>
      <c r="V579" s="86">
        <f>Ruimtestaat[[#This Row],[Uitvoeringen werkdagen]]*Ruimtestaat[[#This Row],[Oppervlak (netto)]]</f>
        <v>0</v>
      </c>
      <c r="W579" s="87">
        <f>IF(U579&gt;0,Ruimtestaat[[#This Row],[Prest. (m2 /jaar) werkdagen]]/Ruimtestaat[[#This Row],[Norm (m2/uur) werkdagen]],0)</f>
        <v>0</v>
      </c>
      <c r="X579" s="88">
        <f>Ruimtestaat[[#This Row],[uren / jaar werkdagen]]*Tariefsopbouw!$E$35</f>
        <v>0</v>
      </c>
      <c r="Y579" s="85"/>
      <c r="Z579" s="89">
        <f>IF(Ruimtestaat[[#This Row],[Frequentie weekend]]&gt;0,VALUE(LEFT(Y579,1))*R579,0)</f>
        <v>0</v>
      </c>
      <c r="AA579" s="85">
        <f>IF($Z579&gt;0,VLOOKUP($J579,Ruimtegroepen[],3,FALSE)*VLOOKUP($L579,Vloersoorten[],3,FALSE)*VLOOKUP($Y579,Frequenties[],3,FALSE)*VLOOKUP(#REF!,Locaties[],3,FALSE),0)</f>
        <v>0</v>
      </c>
      <c r="AB579" s="87">
        <f>Ruimtestaat[[#This Row],[Uitvoeringen weekend]]*Ruimtestaat[[#This Row],[Oppervlak (netto)]]</f>
        <v>0</v>
      </c>
      <c r="AC579" s="90">
        <f>IF(AB579&gt;0,Ruimtestaat[[#This Row],[Prest. (m2 /jaar) weekend]]/Ruimtestaat[[#This Row],[Norm (m2/uur) weekend]],0)</f>
        <v>0</v>
      </c>
      <c r="AD579" s="91">
        <f>Ruimtestaat[[#This Row],[uren / jaar weekend]]*Tariefsopbouw!$D$40</f>
        <v>0</v>
      </c>
      <c r="AE579" s="60">
        <f>Ruimtestaat[[#This Row],[Prest. (m2 /jaar) weekend]]+Ruimtestaat[[#This Row],[Prest. (m2 /jaar) werkdagen]]</f>
        <v>0</v>
      </c>
      <c r="AF579" s="60">
        <f>Ruimtestaat[[#This Row],[uren / jaar weekend]]+Ruimtestaat[[#This Row],[uren / jaar werkdagen]]</f>
        <v>0</v>
      </c>
      <c r="AG579" s="61">
        <f>Ruimtestaat[[#This Row],[kosten / jaar weekend]]+Ruimtestaat[[#This Row],[kosten / jaar werkdagen]]</f>
        <v>0</v>
      </c>
      <c r="AH579" s="92"/>
      <c r="HL579" s="59"/>
    </row>
    <row r="580" spans="1:220">
      <c r="A580" s="24">
        <v>5</v>
      </c>
      <c r="B580" s="24" t="str">
        <f>VLOOKUP(Ruimtestaat[[#This Row],[Code]],Locaties[#All],2,FALSE)</f>
        <v>Marke Zuid</v>
      </c>
      <c r="C580" s="24" t="str">
        <f>VLOOKUP(Ruimtestaat[[#This Row],[Code]],Locaties[#All],4,FALSE)</f>
        <v>Ludgerstraat 1</v>
      </c>
      <c r="D580" s="24" t="str">
        <f>VLOOKUP(Ruimtestaat[[#This Row],[Code]],Locaties[#All],5,FALSE)</f>
        <v>7415 DV</v>
      </c>
      <c r="E580" s="24" t="str">
        <f>VLOOKUP(Ruimtestaat[[#This Row],[Code]],Locaties[#All],6,FALSE)</f>
        <v>Deventer</v>
      </c>
      <c r="F580" s="54"/>
      <c r="G580" s="24" t="s">
        <v>367</v>
      </c>
      <c r="H580" s="24" t="s">
        <v>410</v>
      </c>
      <c r="I580" s="4" t="s">
        <v>1016</v>
      </c>
      <c r="J580" s="24">
        <v>22</v>
      </c>
      <c r="K580" s="54" t="str">
        <f>VLOOKUP(J580,Ruimtegroepen[],2,FALSE)</f>
        <v>Niet in onderhoud</v>
      </c>
      <c r="L580" s="24" t="s">
        <v>305</v>
      </c>
      <c r="M580" s="24" t="s">
        <v>376</v>
      </c>
      <c r="N580" s="83"/>
      <c r="O580" s="83">
        <v>4.46</v>
      </c>
      <c r="P580" s="93" t="str">
        <f>LEFT(VLOOKUP(Ruimtestaat[[#This Row],[Ruimte code]],Ruimtegroepen[#All],4,1),2)</f>
        <v/>
      </c>
      <c r="Q580" s="93"/>
      <c r="R580" s="84"/>
      <c r="S580" s="84"/>
      <c r="T580" s="85">
        <f>IF(R580&gt;0,IF(RIGHT(Ruimtestaat[[#This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80" s="85">
        <f>IF(T580&gt;0,VLOOKUP($J580,Ruimtegroepen[],3,FALSE)*VLOOKUP($L580,Vloersoorten[],3,FALSE)*VLOOKUP($S580,Frequenties[],3,FALSE)*VLOOKUP($A580,Locaties[],3,FALSE),0)</f>
        <v>0</v>
      </c>
      <c r="V580" s="86">
        <f>Ruimtestaat[[#This Row],[Uitvoeringen werkdagen]]*Ruimtestaat[[#This Row],[Oppervlak (netto)]]</f>
        <v>0</v>
      </c>
      <c r="W580" s="87">
        <f>IF(U580&gt;0,Ruimtestaat[[#This Row],[Prest. (m2 /jaar) werkdagen]]/Ruimtestaat[[#This Row],[Norm (m2/uur) werkdagen]],0)</f>
        <v>0</v>
      </c>
      <c r="X580" s="88">
        <f>Ruimtestaat[[#This Row],[uren / jaar werkdagen]]*Tariefsopbouw!$E$35</f>
        <v>0</v>
      </c>
      <c r="Y580" s="85"/>
      <c r="Z580" s="89">
        <f>IF(Ruimtestaat[[#This Row],[Frequentie weekend]]&gt;0,VALUE(LEFT(Y580,1))*R580,0)</f>
        <v>0</v>
      </c>
      <c r="AA580" s="85">
        <f>IF($Z580&gt;0,VLOOKUP($J580,Ruimtegroepen[],3,FALSE)*VLOOKUP($L580,Vloersoorten[],3,FALSE)*VLOOKUP($Y580,Frequenties[],3,FALSE)*VLOOKUP(#REF!,Locaties[],3,FALSE),0)</f>
        <v>0</v>
      </c>
      <c r="AB580" s="87">
        <f>Ruimtestaat[[#This Row],[Uitvoeringen weekend]]*Ruimtestaat[[#This Row],[Oppervlak (netto)]]</f>
        <v>0</v>
      </c>
      <c r="AC580" s="90">
        <f>IF(AB580&gt;0,Ruimtestaat[[#This Row],[Prest. (m2 /jaar) weekend]]/Ruimtestaat[[#This Row],[Norm (m2/uur) weekend]],0)</f>
        <v>0</v>
      </c>
      <c r="AD580" s="91">
        <f>Ruimtestaat[[#This Row],[uren / jaar weekend]]*Tariefsopbouw!$D$40</f>
        <v>0</v>
      </c>
      <c r="AE580" s="60">
        <f>Ruimtestaat[[#This Row],[Prest. (m2 /jaar) weekend]]+Ruimtestaat[[#This Row],[Prest. (m2 /jaar) werkdagen]]</f>
        <v>0</v>
      </c>
      <c r="AF580" s="60">
        <f>Ruimtestaat[[#This Row],[uren / jaar weekend]]+Ruimtestaat[[#This Row],[uren / jaar werkdagen]]</f>
        <v>0</v>
      </c>
      <c r="AG580" s="61">
        <f>Ruimtestaat[[#This Row],[kosten / jaar weekend]]+Ruimtestaat[[#This Row],[kosten / jaar werkdagen]]</f>
        <v>0</v>
      </c>
      <c r="AH580" s="92"/>
      <c r="HL580" s="59"/>
    </row>
    <row r="581" spans="1:220">
      <c r="A581" s="24">
        <v>5</v>
      </c>
      <c r="B581" s="24" t="str">
        <f>VLOOKUP(Ruimtestaat[[#This Row],[Code]],Locaties[#All],2,FALSE)</f>
        <v>Marke Zuid</v>
      </c>
      <c r="C581" s="24" t="str">
        <f>VLOOKUP(Ruimtestaat[[#This Row],[Code]],Locaties[#All],4,FALSE)</f>
        <v>Ludgerstraat 1</v>
      </c>
      <c r="D581" s="24" t="str">
        <f>VLOOKUP(Ruimtestaat[[#This Row],[Code]],Locaties[#All],5,FALSE)</f>
        <v>7415 DV</v>
      </c>
      <c r="E581" s="24" t="str">
        <f>VLOOKUP(Ruimtestaat[[#This Row],[Code]],Locaties[#All],6,FALSE)</f>
        <v>Deventer</v>
      </c>
      <c r="F581" s="54"/>
      <c r="G581" s="24" t="s">
        <v>367</v>
      </c>
      <c r="H581" s="24" t="s">
        <v>414</v>
      </c>
      <c r="I581" s="4" t="s">
        <v>1017</v>
      </c>
      <c r="J581" s="24">
        <v>14</v>
      </c>
      <c r="K581" s="54" t="str">
        <f>VLOOKUP(J581,Ruimtegroepen[],2,FALSE)</f>
        <v>Praktijklokalen binas/zorg</v>
      </c>
      <c r="L581" s="24" t="s">
        <v>305</v>
      </c>
      <c r="M581" s="24" t="s">
        <v>1018</v>
      </c>
      <c r="N581" s="83">
        <v>125.29</v>
      </c>
      <c r="O581" s="83"/>
      <c r="P581" s="93" t="str">
        <f>LEFT(VLOOKUP(Ruimtestaat[[#This Row],[Ruimte code]],Ruimtegroepen[#All],4,1),2)</f>
        <v>Le</v>
      </c>
      <c r="Q581" s="93"/>
      <c r="R581" s="84">
        <v>40</v>
      </c>
      <c r="S581" s="84" t="s">
        <v>318</v>
      </c>
      <c r="T581" s="85">
        <f>IF(R581&gt;0,IF(RIGHT(Ruimtestaat[[#This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1" s="85">
        <f>IF(T581&gt;0,VLOOKUP($J581,Ruimtegroepen[],3,FALSE)*VLOOKUP($L581,Vloersoorten[],3,FALSE)*VLOOKUP($S581,Frequenties[],3,FALSE)*VLOOKUP($A581,Locaties[],3,FALSE),0)</f>
        <v>0</v>
      </c>
      <c r="V581" s="86">
        <f>Ruimtestaat[[#This Row],[Uitvoeringen werkdagen]]*Ruimtestaat[[#This Row],[Oppervlak (netto)]]</f>
        <v>25058</v>
      </c>
      <c r="W581" s="87">
        <f>IF(U581&gt;0,Ruimtestaat[[#This Row],[Prest. (m2 /jaar) werkdagen]]/Ruimtestaat[[#This Row],[Norm (m2/uur) werkdagen]],0)</f>
        <v>0</v>
      </c>
      <c r="X581" s="88">
        <f>Ruimtestaat[[#This Row],[uren / jaar werkdagen]]*Tariefsopbouw!$E$35</f>
        <v>0</v>
      </c>
      <c r="Y581" s="85"/>
      <c r="Z581" s="89">
        <f>IF(Ruimtestaat[[#This Row],[Frequentie weekend]]&gt;0,VALUE(LEFT(Y581,1))*R581,0)</f>
        <v>0</v>
      </c>
      <c r="AA581" s="85">
        <f>IF($Z581&gt;0,VLOOKUP($J581,Ruimtegroepen[],3,FALSE)*VLOOKUP($L581,Vloersoorten[],3,FALSE)*VLOOKUP($Y581,Frequenties[],3,FALSE)*VLOOKUP(#REF!,Locaties[],3,FALSE),0)</f>
        <v>0</v>
      </c>
      <c r="AB581" s="87">
        <f>Ruimtestaat[[#This Row],[Uitvoeringen weekend]]*Ruimtestaat[[#This Row],[Oppervlak (netto)]]</f>
        <v>0</v>
      </c>
      <c r="AC581" s="90">
        <f>IF(AB581&gt;0,Ruimtestaat[[#This Row],[Prest. (m2 /jaar) weekend]]/Ruimtestaat[[#This Row],[Norm (m2/uur) weekend]],0)</f>
        <v>0</v>
      </c>
      <c r="AD581" s="91">
        <f>Ruimtestaat[[#This Row],[uren / jaar weekend]]*Tariefsopbouw!$D$40</f>
        <v>0</v>
      </c>
      <c r="AE581" s="60">
        <f>Ruimtestaat[[#This Row],[Prest. (m2 /jaar) weekend]]+Ruimtestaat[[#This Row],[Prest. (m2 /jaar) werkdagen]]</f>
        <v>25058</v>
      </c>
      <c r="AF581" s="60">
        <f>Ruimtestaat[[#This Row],[uren / jaar weekend]]+Ruimtestaat[[#This Row],[uren / jaar werkdagen]]</f>
        <v>0</v>
      </c>
      <c r="AG581" s="61">
        <f>Ruimtestaat[[#This Row],[kosten / jaar weekend]]+Ruimtestaat[[#This Row],[kosten / jaar werkdagen]]</f>
        <v>0</v>
      </c>
      <c r="AH581" s="92"/>
      <c r="HL581" s="59"/>
    </row>
    <row r="582" spans="1:220">
      <c r="A582" s="24">
        <v>5</v>
      </c>
      <c r="B582" s="24" t="str">
        <f>VLOOKUP(Ruimtestaat[[#This Row],[Code]],Locaties[#All],2,FALSE)</f>
        <v>Marke Zuid</v>
      </c>
      <c r="C582" s="24" t="str">
        <f>VLOOKUP(Ruimtestaat[[#This Row],[Code]],Locaties[#All],4,FALSE)</f>
        <v>Ludgerstraat 1</v>
      </c>
      <c r="D582" s="24" t="str">
        <f>VLOOKUP(Ruimtestaat[[#This Row],[Code]],Locaties[#All],5,FALSE)</f>
        <v>7415 DV</v>
      </c>
      <c r="E582" s="24" t="str">
        <f>VLOOKUP(Ruimtestaat[[#This Row],[Code]],Locaties[#All],6,FALSE)</f>
        <v>Deventer</v>
      </c>
      <c r="F582" s="54"/>
      <c r="G582" s="24" t="s">
        <v>367</v>
      </c>
      <c r="H582" s="24" t="s">
        <v>1019</v>
      </c>
      <c r="I582" s="4" t="s">
        <v>1020</v>
      </c>
      <c r="J582" s="24">
        <v>5</v>
      </c>
      <c r="K582" s="54" t="str">
        <f>VLOOKUP(J582,Ruimtegroepen[],2,FALSE)</f>
        <v>Sanitair</v>
      </c>
      <c r="L582" s="24" t="s">
        <v>305</v>
      </c>
      <c r="M582" s="24" t="s">
        <v>1018</v>
      </c>
      <c r="N582" s="83">
        <v>5.21</v>
      </c>
      <c r="O582" s="83"/>
      <c r="P582" s="93" t="str">
        <f>LEFT(VLOOKUP(Ruimtestaat[[#This Row],[Ruimte code]],Ruimtegroepen[#All],4,1),2)</f>
        <v>Sa</v>
      </c>
      <c r="Q582" s="93"/>
      <c r="R582" s="84">
        <v>42</v>
      </c>
      <c r="S582" s="84" t="s">
        <v>316</v>
      </c>
      <c r="T582" s="85">
        <f>IF(R582&gt;0,IF(RIGHT(Ruimtestaat[[#This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2" s="85">
        <f>IF(T582&gt;0,VLOOKUP($J582,Ruimtegroepen[],3,FALSE)*VLOOKUP($L582,Vloersoorten[],3,FALSE)*VLOOKUP($S582,Frequenties[],3,FALSE)*VLOOKUP($A582,Locaties[],3,FALSE),0)</f>
        <v>0</v>
      </c>
      <c r="V582" s="86">
        <f>Ruimtestaat[[#This Row],[Uitvoeringen werkdagen]]*Ruimtestaat[[#This Row],[Oppervlak (netto)]]</f>
        <v>2188.1999999999998</v>
      </c>
      <c r="W582" s="87">
        <f>IF(U582&gt;0,Ruimtestaat[[#This Row],[Prest. (m2 /jaar) werkdagen]]/Ruimtestaat[[#This Row],[Norm (m2/uur) werkdagen]],0)</f>
        <v>0</v>
      </c>
      <c r="X582" s="88">
        <f>Ruimtestaat[[#This Row],[uren / jaar werkdagen]]*Tariefsopbouw!$E$35</f>
        <v>0</v>
      </c>
      <c r="Y582" s="85"/>
      <c r="Z582" s="89">
        <f>IF(Ruimtestaat[[#This Row],[Frequentie weekend]]&gt;0,VALUE(LEFT(Y582,1))*R582,0)</f>
        <v>0</v>
      </c>
      <c r="AA582" s="85">
        <f>IF($Z582&gt;0,VLOOKUP($J582,Ruimtegroepen[],3,FALSE)*VLOOKUP($L582,Vloersoorten[],3,FALSE)*VLOOKUP($Y582,Frequenties[],3,FALSE)*VLOOKUP(#REF!,Locaties[],3,FALSE),0)</f>
        <v>0</v>
      </c>
      <c r="AB582" s="87">
        <f>Ruimtestaat[[#This Row],[Uitvoeringen weekend]]*Ruimtestaat[[#This Row],[Oppervlak (netto)]]</f>
        <v>0</v>
      </c>
      <c r="AC582" s="90">
        <f>IF(AB582&gt;0,Ruimtestaat[[#This Row],[Prest. (m2 /jaar) weekend]]/Ruimtestaat[[#This Row],[Norm (m2/uur) weekend]],0)</f>
        <v>0</v>
      </c>
      <c r="AD582" s="91">
        <f>Ruimtestaat[[#This Row],[uren / jaar weekend]]*Tariefsopbouw!$D$40</f>
        <v>0</v>
      </c>
      <c r="AE582" s="60">
        <f>Ruimtestaat[[#This Row],[Prest. (m2 /jaar) weekend]]+Ruimtestaat[[#This Row],[Prest. (m2 /jaar) werkdagen]]</f>
        <v>2188.1999999999998</v>
      </c>
      <c r="AF582" s="60">
        <f>Ruimtestaat[[#This Row],[uren / jaar weekend]]+Ruimtestaat[[#This Row],[uren / jaar werkdagen]]</f>
        <v>0</v>
      </c>
      <c r="AG582" s="61">
        <f>Ruimtestaat[[#This Row],[kosten / jaar weekend]]+Ruimtestaat[[#This Row],[kosten / jaar werkdagen]]</f>
        <v>0</v>
      </c>
      <c r="AH582" s="92"/>
      <c r="HL582" s="59"/>
    </row>
    <row r="583" spans="1:220">
      <c r="A583" s="24">
        <v>5</v>
      </c>
      <c r="B583" s="24" t="str">
        <f>VLOOKUP(Ruimtestaat[[#This Row],[Code]],Locaties[#All],2,FALSE)</f>
        <v>Marke Zuid</v>
      </c>
      <c r="C583" s="24" t="str">
        <f>VLOOKUP(Ruimtestaat[[#This Row],[Code]],Locaties[#All],4,FALSE)</f>
        <v>Ludgerstraat 1</v>
      </c>
      <c r="D583" s="24" t="str">
        <f>VLOOKUP(Ruimtestaat[[#This Row],[Code]],Locaties[#All],5,FALSE)</f>
        <v>7415 DV</v>
      </c>
      <c r="E583" s="24" t="str">
        <f>VLOOKUP(Ruimtestaat[[#This Row],[Code]],Locaties[#All],6,FALSE)</f>
        <v>Deventer</v>
      </c>
      <c r="F583" s="54"/>
      <c r="G583" s="24" t="s">
        <v>367</v>
      </c>
      <c r="H583" s="24" t="s">
        <v>416</v>
      </c>
      <c r="I583" s="4" t="s">
        <v>449</v>
      </c>
      <c r="J583" s="24">
        <v>11</v>
      </c>
      <c r="K583" s="54" t="str">
        <f>VLOOKUP(J583,Ruimtegroepen[],2,FALSE)</f>
        <v>Kooklokaal/leskeuken</v>
      </c>
      <c r="L583" s="24" t="s">
        <v>305</v>
      </c>
      <c r="M583" s="24" t="s">
        <v>1018</v>
      </c>
      <c r="N583" s="83">
        <v>133.38999999999999</v>
      </c>
      <c r="O583" s="83"/>
      <c r="P583" s="93" t="str">
        <f>LEFT(VLOOKUP(Ruimtestaat[[#This Row],[Ruimte code]],Ruimtegroepen[#All],4,1),2)</f>
        <v>Le</v>
      </c>
      <c r="Q583" s="93"/>
      <c r="R583" s="84">
        <v>40</v>
      </c>
      <c r="S583" s="84" t="s">
        <v>318</v>
      </c>
      <c r="T583" s="85">
        <f>IF(R583&gt;0,IF(RIGHT(Ruimtestaat[[#This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3" s="85">
        <f>IF(T583&gt;0,VLOOKUP($J583,Ruimtegroepen[],3,FALSE)*VLOOKUP($L583,Vloersoorten[],3,FALSE)*VLOOKUP($S583,Frequenties[],3,FALSE)*VLOOKUP($A583,Locaties[],3,FALSE),0)</f>
        <v>0</v>
      </c>
      <c r="V583" s="86">
        <f>Ruimtestaat[[#This Row],[Uitvoeringen werkdagen]]*Ruimtestaat[[#This Row],[Oppervlak (netto)]]</f>
        <v>26677.999999999996</v>
      </c>
      <c r="W583" s="87">
        <f>IF(U583&gt;0,Ruimtestaat[[#This Row],[Prest. (m2 /jaar) werkdagen]]/Ruimtestaat[[#This Row],[Norm (m2/uur) werkdagen]],0)</f>
        <v>0</v>
      </c>
      <c r="X583" s="88">
        <f>Ruimtestaat[[#This Row],[uren / jaar werkdagen]]*Tariefsopbouw!$E$35</f>
        <v>0</v>
      </c>
      <c r="Y583" s="85"/>
      <c r="Z583" s="89">
        <f>IF(Ruimtestaat[[#This Row],[Frequentie weekend]]&gt;0,VALUE(LEFT(Y583,1))*R583,0)</f>
        <v>0</v>
      </c>
      <c r="AA583" s="85">
        <f>IF($Z583&gt;0,VLOOKUP($J583,Ruimtegroepen[],3,FALSE)*VLOOKUP($L583,Vloersoorten[],3,FALSE)*VLOOKUP($Y583,Frequenties[],3,FALSE)*VLOOKUP(#REF!,Locaties[],3,FALSE),0)</f>
        <v>0</v>
      </c>
      <c r="AB583" s="87">
        <f>Ruimtestaat[[#This Row],[Uitvoeringen weekend]]*Ruimtestaat[[#This Row],[Oppervlak (netto)]]</f>
        <v>0</v>
      </c>
      <c r="AC583" s="90">
        <f>IF(AB583&gt;0,Ruimtestaat[[#This Row],[Prest. (m2 /jaar) weekend]]/Ruimtestaat[[#This Row],[Norm (m2/uur) weekend]],0)</f>
        <v>0</v>
      </c>
      <c r="AD583" s="91">
        <f>Ruimtestaat[[#This Row],[uren / jaar weekend]]*Tariefsopbouw!$D$40</f>
        <v>0</v>
      </c>
      <c r="AE583" s="60">
        <f>Ruimtestaat[[#This Row],[Prest. (m2 /jaar) weekend]]+Ruimtestaat[[#This Row],[Prest. (m2 /jaar) werkdagen]]</f>
        <v>26677.999999999996</v>
      </c>
      <c r="AF583" s="60">
        <f>Ruimtestaat[[#This Row],[uren / jaar weekend]]+Ruimtestaat[[#This Row],[uren / jaar werkdagen]]</f>
        <v>0</v>
      </c>
      <c r="AG583" s="61">
        <f>Ruimtestaat[[#This Row],[kosten / jaar weekend]]+Ruimtestaat[[#This Row],[kosten / jaar werkdagen]]</f>
        <v>0</v>
      </c>
      <c r="AH583" s="92"/>
      <c r="HL583" s="59"/>
    </row>
    <row r="584" spans="1:220">
      <c r="A584" s="24">
        <v>5</v>
      </c>
      <c r="B584" s="24" t="str">
        <f>VLOOKUP(Ruimtestaat[[#This Row],[Code]],Locaties[#All],2,FALSE)</f>
        <v>Marke Zuid</v>
      </c>
      <c r="C584" s="24" t="str">
        <f>VLOOKUP(Ruimtestaat[[#This Row],[Code]],Locaties[#All],4,FALSE)</f>
        <v>Ludgerstraat 1</v>
      </c>
      <c r="D584" s="24" t="str">
        <f>VLOOKUP(Ruimtestaat[[#This Row],[Code]],Locaties[#All],5,FALSE)</f>
        <v>7415 DV</v>
      </c>
      <c r="E584" s="24" t="str">
        <f>VLOOKUP(Ruimtestaat[[#This Row],[Code]],Locaties[#All],6,FALSE)</f>
        <v>Deventer</v>
      </c>
      <c r="F584" s="54"/>
      <c r="G584" s="24" t="s">
        <v>367</v>
      </c>
      <c r="H584" s="24" t="s">
        <v>676</v>
      </c>
      <c r="I584" s="4" t="s">
        <v>1021</v>
      </c>
      <c r="J584" s="24">
        <v>22</v>
      </c>
      <c r="K584" s="54" t="str">
        <f>VLOOKUP(J584,Ruimtegroepen[],2,FALSE)</f>
        <v>Niet in onderhoud</v>
      </c>
      <c r="L584" s="24" t="s">
        <v>305</v>
      </c>
      <c r="M584" s="24" t="s">
        <v>373</v>
      </c>
      <c r="N584" s="83"/>
      <c r="O584" s="83">
        <v>8.3800000000000008</v>
      </c>
      <c r="P584" s="93" t="str">
        <f>LEFT(VLOOKUP(Ruimtestaat[[#This Row],[Ruimte code]],Ruimtegroepen[#All],4,1),2)</f>
        <v/>
      </c>
      <c r="Q584" s="93"/>
      <c r="R584" s="84"/>
      <c r="S584" s="84"/>
      <c r="T584" s="85">
        <f>IF(R584&gt;0,IF(RIGHT(Ruimtestaat[[#This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84" s="85">
        <f>IF(T584&gt;0,VLOOKUP($J584,Ruimtegroepen[],3,FALSE)*VLOOKUP($L584,Vloersoorten[],3,FALSE)*VLOOKUP($S584,Frequenties[],3,FALSE)*VLOOKUP($A584,Locaties[],3,FALSE),0)</f>
        <v>0</v>
      </c>
      <c r="V584" s="86">
        <f>Ruimtestaat[[#This Row],[Uitvoeringen werkdagen]]*Ruimtestaat[[#This Row],[Oppervlak (netto)]]</f>
        <v>0</v>
      </c>
      <c r="W584" s="87">
        <f>IF(U584&gt;0,Ruimtestaat[[#This Row],[Prest. (m2 /jaar) werkdagen]]/Ruimtestaat[[#This Row],[Norm (m2/uur) werkdagen]],0)</f>
        <v>0</v>
      </c>
      <c r="X584" s="88">
        <f>Ruimtestaat[[#This Row],[uren / jaar werkdagen]]*Tariefsopbouw!$E$35</f>
        <v>0</v>
      </c>
      <c r="Y584" s="85"/>
      <c r="Z584" s="89">
        <f>IF(Ruimtestaat[[#This Row],[Frequentie weekend]]&gt;0,VALUE(LEFT(Y584,1))*R584,0)</f>
        <v>0</v>
      </c>
      <c r="AA584" s="85">
        <f>IF($Z584&gt;0,VLOOKUP($J584,Ruimtegroepen[],3,FALSE)*VLOOKUP($L584,Vloersoorten[],3,FALSE)*VLOOKUP($Y584,Frequenties[],3,FALSE)*VLOOKUP(#REF!,Locaties[],3,FALSE),0)</f>
        <v>0</v>
      </c>
      <c r="AB584" s="87">
        <f>Ruimtestaat[[#This Row],[Uitvoeringen weekend]]*Ruimtestaat[[#This Row],[Oppervlak (netto)]]</f>
        <v>0</v>
      </c>
      <c r="AC584" s="90">
        <f>IF(AB584&gt;0,Ruimtestaat[[#This Row],[Prest. (m2 /jaar) weekend]]/Ruimtestaat[[#This Row],[Norm (m2/uur) weekend]],0)</f>
        <v>0</v>
      </c>
      <c r="AD584" s="91">
        <f>Ruimtestaat[[#This Row],[uren / jaar weekend]]*Tariefsopbouw!$D$40</f>
        <v>0</v>
      </c>
      <c r="AE584" s="60">
        <f>Ruimtestaat[[#This Row],[Prest. (m2 /jaar) weekend]]+Ruimtestaat[[#This Row],[Prest. (m2 /jaar) werkdagen]]</f>
        <v>0</v>
      </c>
      <c r="AF584" s="60">
        <f>Ruimtestaat[[#This Row],[uren / jaar weekend]]+Ruimtestaat[[#This Row],[uren / jaar werkdagen]]</f>
        <v>0</v>
      </c>
      <c r="AG584" s="61">
        <f>Ruimtestaat[[#This Row],[kosten / jaar weekend]]+Ruimtestaat[[#This Row],[kosten / jaar werkdagen]]</f>
        <v>0</v>
      </c>
      <c r="AH584" s="92"/>
      <c r="HL584" s="59"/>
    </row>
    <row r="585" spans="1:220">
      <c r="A585" s="24">
        <v>5</v>
      </c>
      <c r="B585" s="24" t="str">
        <f>VLOOKUP(Ruimtestaat[[#This Row],[Code]],Locaties[#All],2,FALSE)</f>
        <v>Marke Zuid</v>
      </c>
      <c r="C585" s="24" t="str">
        <f>VLOOKUP(Ruimtestaat[[#This Row],[Code]],Locaties[#All],4,FALSE)</f>
        <v>Ludgerstraat 1</v>
      </c>
      <c r="D585" s="24" t="str">
        <f>VLOOKUP(Ruimtestaat[[#This Row],[Code]],Locaties[#All],5,FALSE)</f>
        <v>7415 DV</v>
      </c>
      <c r="E585" s="24" t="str">
        <f>VLOOKUP(Ruimtestaat[[#This Row],[Code]],Locaties[#All],6,FALSE)</f>
        <v>Deventer</v>
      </c>
      <c r="F585" s="54"/>
      <c r="G585" s="24" t="s">
        <v>367</v>
      </c>
      <c r="H585" s="24" t="s">
        <v>1022</v>
      </c>
      <c r="I585" s="4" t="s">
        <v>1010</v>
      </c>
      <c r="J585" s="24">
        <v>5</v>
      </c>
      <c r="K585" s="54" t="str">
        <f>VLOOKUP(J585,Ruimtegroepen[],2,FALSE)</f>
        <v>Sanitair</v>
      </c>
      <c r="L585" s="24" t="s">
        <v>305</v>
      </c>
      <c r="M585" s="24" t="s">
        <v>1018</v>
      </c>
      <c r="N585" s="83">
        <v>0.96</v>
      </c>
      <c r="O585" s="83"/>
      <c r="P585" s="93" t="str">
        <f>LEFT(VLOOKUP(Ruimtestaat[[#This Row],[Ruimte code]],Ruimtegroepen[#All],4,1),2)</f>
        <v>Sa</v>
      </c>
      <c r="Q585" s="93"/>
      <c r="R585" s="84">
        <v>42</v>
      </c>
      <c r="S585" s="84" t="s">
        <v>316</v>
      </c>
      <c r="T585" s="85">
        <f>IF(R585&gt;0,IF(RIGHT(Ruimtestaat[[#This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5" s="85">
        <f>IF(T585&gt;0,VLOOKUP($J585,Ruimtegroepen[],3,FALSE)*VLOOKUP($L585,Vloersoorten[],3,FALSE)*VLOOKUP($S585,Frequenties[],3,FALSE)*VLOOKUP($A585,Locaties[],3,FALSE),0)</f>
        <v>0</v>
      </c>
      <c r="V585" s="86">
        <f>Ruimtestaat[[#This Row],[Uitvoeringen werkdagen]]*Ruimtestaat[[#This Row],[Oppervlak (netto)]]</f>
        <v>403.2</v>
      </c>
      <c r="W585" s="87">
        <f>IF(U585&gt;0,Ruimtestaat[[#This Row],[Prest. (m2 /jaar) werkdagen]]/Ruimtestaat[[#This Row],[Norm (m2/uur) werkdagen]],0)</f>
        <v>0</v>
      </c>
      <c r="X585" s="88">
        <f>Ruimtestaat[[#This Row],[uren / jaar werkdagen]]*Tariefsopbouw!$E$35</f>
        <v>0</v>
      </c>
      <c r="Y585" s="85"/>
      <c r="Z585" s="89">
        <f>IF(Ruimtestaat[[#This Row],[Frequentie weekend]]&gt;0,VALUE(LEFT(Y585,1))*R585,0)</f>
        <v>0</v>
      </c>
      <c r="AA585" s="85">
        <f>IF($Z585&gt;0,VLOOKUP($J585,Ruimtegroepen[],3,FALSE)*VLOOKUP($L585,Vloersoorten[],3,FALSE)*VLOOKUP($Y585,Frequenties[],3,FALSE)*VLOOKUP(#REF!,Locaties[],3,FALSE),0)</f>
        <v>0</v>
      </c>
      <c r="AB585" s="87">
        <f>Ruimtestaat[[#This Row],[Uitvoeringen weekend]]*Ruimtestaat[[#This Row],[Oppervlak (netto)]]</f>
        <v>0</v>
      </c>
      <c r="AC585" s="90">
        <f>IF(AB585&gt;0,Ruimtestaat[[#This Row],[Prest. (m2 /jaar) weekend]]/Ruimtestaat[[#This Row],[Norm (m2/uur) weekend]],0)</f>
        <v>0</v>
      </c>
      <c r="AD585" s="91">
        <f>Ruimtestaat[[#This Row],[uren / jaar weekend]]*Tariefsopbouw!$D$40</f>
        <v>0</v>
      </c>
      <c r="AE585" s="60">
        <f>Ruimtestaat[[#This Row],[Prest. (m2 /jaar) weekend]]+Ruimtestaat[[#This Row],[Prest. (m2 /jaar) werkdagen]]</f>
        <v>403.2</v>
      </c>
      <c r="AF585" s="60">
        <f>Ruimtestaat[[#This Row],[uren / jaar weekend]]+Ruimtestaat[[#This Row],[uren / jaar werkdagen]]</f>
        <v>0</v>
      </c>
      <c r="AG585" s="61">
        <f>Ruimtestaat[[#This Row],[kosten / jaar weekend]]+Ruimtestaat[[#This Row],[kosten / jaar werkdagen]]</f>
        <v>0</v>
      </c>
      <c r="AH585" s="92"/>
      <c r="HL585" s="59"/>
    </row>
    <row r="586" spans="1:220">
      <c r="A586" s="24">
        <v>5</v>
      </c>
      <c r="B586" s="24" t="str">
        <f>VLOOKUP(Ruimtestaat[[#This Row],[Code]],Locaties[#All],2,FALSE)</f>
        <v>Marke Zuid</v>
      </c>
      <c r="C586" s="24" t="str">
        <f>VLOOKUP(Ruimtestaat[[#This Row],[Code]],Locaties[#All],4,FALSE)</f>
        <v>Ludgerstraat 1</v>
      </c>
      <c r="D586" s="24" t="str">
        <f>VLOOKUP(Ruimtestaat[[#This Row],[Code]],Locaties[#All],5,FALSE)</f>
        <v>7415 DV</v>
      </c>
      <c r="E586" s="24" t="str">
        <f>VLOOKUP(Ruimtestaat[[#This Row],[Code]],Locaties[#All],6,FALSE)</f>
        <v>Deventer</v>
      </c>
      <c r="F586" s="54"/>
      <c r="G586" s="24" t="s">
        <v>367</v>
      </c>
      <c r="H586" s="24" t="s">
        <v>1023</v>
      </c>
      <c r="I586" s="4" t="s">
        <v>1010</v>
      </c>
      <c r="J586" s="24">
        <v>5</v>
      </c>
      <c r="K586" s="54" t="str">
        <f>VLOOKUP(J586,Ruimtegroepen[],2,FALSE)</f>
        <v>Sanitair</v>
      </c>
      <c r="L586" s="24" t="s">
        <v>305</v>
      </c>
      <c r="M586" s="24" t="s">
        <v>1018</v>
      </c>
      <c r="N586" s="83">
        <v>1</v>
      </c>
      <c r="O586" s="83"/>
      <c r="P586" s="93" t="str">
        <f>LEFT(VLOOKUP(Ruimtestaat[[#This Row],[Ruimte code]],Ruimtegroepen[#All],4,1),2)</f>
        <v>Sa</v>
      </c>
      <c r="Q586" s="93"/>
      <c r="R586" s="84">
        <v>42</v>
      </c>
      <c r="S586" s="84" t="s">
        <v>316</v>
      </c>
      <c r="T586" s="85">
        <f>IF(R586&gt;0,IF(RIGHT(Ruimtestaat[[#This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6" s="85">
        <f>IF(T586&gt;0,VLOOKUP($J586,Ruimtegroepen[],3,FALSE)*VLOOKUP($L586,Vloersoorten[],3,FALSE)*VLOOKUP($S586,Frequenties[],3,FALSE)*VLOOKUP($A586,Locaties[],3,FALSE),0)</f>
        <v>0</v>
      </c>
      <c r="V586" s="86">
        <f>Ruimtestaat[[#This Row],[Uitvoeringen werkdagen]]*Ruimtestaat[[#This Row],[Oppervlak (netto)]]</f>
        <v>420</v>
      </c>
      <c r="W586" s="87">
        <f>IF(U586&gt;0,Ruimtestaat[[#This Row],[Prest. (m2 /jaar) werkdagen]]/Ruimtestaat[[#This Row],[Norm (m2/uur) werkdagen]],0)</f>
        <v>0</v>
      </c>
      <c r="X586" s="88">
        <f>Ruimtestaat[[#This Row],[uren / jaar werkdagen]]*Tariefsopbouw!$E$35</f>
        <v>0</v>
      </c>
      <c r="Y586" s="85"/>
      <c r="Z586" s="89">
        <f>IF(Ruimtestaat[[#This Row],[Frequentie weekend]]&gt;0,VALUE(LEFT(Y586,1))*R586,0)</f>
        <v>0</v>
      </c>
      <c r="AA586" s="85">
        <f>IF($Z586&gt;0,VLOOKUP($J586,Ruimtegroepen[],3,FALSE)*VLOOKUP($L586,Vloersoorten[],3,FALSE)*VLOOKUP($Y586,Frequenties[],3,FALSE)*VLOOKUP(#REF!,Locaties[],3,FALSE),0)</f>
        <v>0</v>
      </c>
      <c r="AB586" s="87">
        <f>Ruimtestaat[[#This Row],[Uitvoeringen weekend]]*Ruimtestaat[[#This Row],[Oppervlak (netto)]]</f>
        <v>0</v>
      </c>
      <c r="AC586" s="90">
        <f>IF(AB586&gt;0,Ruimtestaat[[#This Row],[Prest. (m2 /jaar) weekend]]/Ruimtestaat[[#This Row],[Norm (m2/uur) weekend]],0)</f>
        <v>0</v>
      </c>
      <c r="AD586" s="91">
        <f>Ruimtestaat[[#This Row],[uren / jaar weekend]]*Tariefsopbouw!$D$40</f>
        <v>0</v>
      </c>
      <c r="AE586" s="60">
        <f>Ruimtestaat[[#This Row],[Prest. (m2 /jaar) weekend]]+Ruimtestaat[[#This Row],[Prest. (m2 /jaar) werkdagen]]</f>
        <v>420</v>
      </c>
      <c r="AF586" s="60">
        <f>Ruimtestaat[[#This Row],[uren / jaar weekend]]+Ruimtestaat[[#This Row],[uren / jaar werkdagen]]</f>
        <v>0</v>
      </c>
      <c r="AG586" s="61">
        <f>Ruimtestaat[[#This Row],[kosten / jaar weekend]]+Ruimtestaat[[#This Row],[kosten / jaar werkdagen]]</f>
        <v>0</v>
      </c>
      <c r="AH586" s="92"/>
      <c r="HL586" s="59"/>
    </row>
    <row r="587" spans="1:220">
      <c r="A587" s="24">
        <v>5</v>
      </c>
      <c r="B587" s="24" t="str">
        <f>VLOOKUP(Ruimtestaat[[#This Row],[Code]],Locaties[#All],2,FALSE)</f>
        <v>Marke Zuid</v>
      </c>
      <c r="C587" s="24" t="str">
        <f>VLOOKUP(Ruimtestaat[[#This Row],[Code]],Locaties[#All],4,FALSE)</f>
        <v>Ludgerstraat 1</v>
      </c>
      <c r="D587" s="24" t="str">
        <f>VLOOKUP(Ruimtestaat[[#This Row],[Code]],Locaties[#All],5,FALSE)</f>
        <v>7415 DV</v>
      </c>
      <c r="E587" s="24" t="str">
        <f>VLOOKUP(Ruimtestaat[[#This Row],[Code]],Locaties[#All],6,FALSE)</f>
        <v>Deventer</v>
      </c>
      <c r="F587" s="54"/>
      <c r="G587" s="24" t="s">
        <v>367</v>
      </c>
      <c r="H587" s="24" t="s">
        <v>1024</v>
      </c>
      <c r="I587" s="4" t="s">
        <v>1010</v>
      </c>
      <c r="J587" s="24">
        <v>5</v>
      </c>
      <c r="K587" s="54" t="str">
        <f>VLOOKUP(J587,Ruimtegroepen[],2,FALSE)</f>
        <v>Sanitair</v>
      </c>
      <c r="L587" s="24" t="s">
        <v>305</v>
      </c>
      <c r="M587" s="24" t="s">
        <v>1018</v>
      </c>
      <c r="N587" s="83">
        <v>0.97</v>
      </c>
      <c r="O587" s="83"/>
      <c r="P587" s="93" t="str">
        <f>LEFT(VLOOKUP(Ruimtestaat[[#This Row],[Ruimte code]],Ruimtegroepen[#All],4,1),2)</f>
        <v>Sa</v>
      </c>
      <c r="Q587" s="93"/>
      <c r="R587" s="84">
        <v>42</v>
      </c>
      <c r="S587" s="84" t="s">
        <v>316</v>
      </c>
      <c r="T587" s="85">
        <f>IF(R587&gt;0,IF(RIGHT(Ruimtestaat[[#This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7" s="85">
        <f>IF(T587&gt;0,VLOOKUP($J587,Ruimtegroepen[],3,FALSE)*VLOOKUP($L587,Vloersoorten[],3,FALSE)*VLOOKUP($S587,Frequenties[],3,FALSE)*VLOOKUP($A587,Locaties[],3,FALSE),0)</f>
        <v>0</v>
      </c>
      <c r="V587" s="86">
        <f>Ruimtestaat[[#This Row],[Uitvoeringen werkdagen]]*Ruimtestaat[[#This Row],[Oppervlak (netto)]]</f>
        <v>407.4</v>
      </c>
      <c r="W587" s="87">
        <f>IF(U587&gt;0,Ruimtestaat[[#This Row],[Prest. (m2 /jaar) werkdagen]]/Ruimtestaat[[#This Row],[Norm (m2/uur) werkdagen]],0)</f>
        <v>0</v>
      </c>
      <c r="X587" s="88">
        <f>Ruimtestaat[[#This Row],[uren / jaar werkdagen]]*Tariefsopbouw!$E$35</f>
        <v>0</v>
      </c>
      <c r="Y587" s="85"/>
      <c r="Z587" s="89">
        <f>IF(Ruimtestaat[[#This Row],[Frequentie weekend]]&gt;0,VALUE(LEFT(Y587,1))*R587,0)</f>
        <v>0</v>
      </c>
      <c r="AA587" s="85">
        <f>IF($Z587&gt;0,VLOOKUP($J587,Ruimtegroepen[],3,FALSE)*VLOOKUP($L587,Vloersoorten[],3,FALSE)*VLOOKUP($Y587,Frequenties[],3,FALSE)*VLOOKUP(#REF!,Locaties[],3,FALSE),0)</f>
        <v>0</v>
      </c>
      <c r="AB587" s="87">
        <f>Ruimtestaat[[#This Row],[Uitvoeringen weekend]]*Ruimtestaat[[#This Row],[Oppervlak (netto)]]</f>
        <v>0</v>
      </c>
      <c r="AC587" s="90">
        <f>IF(AB587&gt;0,Ruimtestaat[[#This Row],[Prest. (m2 /jaar) weekend]]/Ruimtestaat[[#This Row],[Norm (m2/uur) weekend]],0)</f>
        <v>0</v>
      </c>
      <c r="AD587" s="91">
        <f>Ruimtestaat[[#This Row],[uren / jaar weekend]]*Tariefsopbouw!$D$40</f>
        <v>0</v>
      </c>
      <c r="AE587" s="60">
        <f>Ruimtestaat[[#This Row],[Prest. (m2 /jaar) weekend]]+Ruimtestaat[[#This Row],[Prest. (m2 /jaar) werkdagen]]</f>
        <v>407.4</v>
      </c>
      <c r="AF587" s="60">
        <f>Ruimtestaat[[#This Row],[uren / jaar weekend]]+Ruimtestaat[[#This Row],[uren / jaar werkdagen]]</f>
        <v>0</v>
      </c>
      <c r="AG587" s="61">
        <f>Ruimtestaat[[#This Row],[kosten / jaar weekend]]+Ruimtestaat[[#This Row],[kosten / jaar werkdagen]]</f>
        <v>0</v>
      </c>
      <c r="AH587" s="92"/>
      <c r="HL587" s="59"/>
    </row>
    <row r="588" spans="1:220">
      <c r="A588" s="24">
        <v>5</v>
      </c>
      <c r="B588" s="24" t="str">
        <f>VLOOKUP(Ruimtestaat[[#This Row],[Code]],Locaties[#All],2,FALSE)</f>
        <v>Marke Zuid</v>
      </c>
      <c r="C588" s="24" t="str">
        <f>VLOOKUP(Ruimtestaat[[#This Row],[Code]],Locaties[#All],4,FALSE)</f>
        <v>Ludgerstraat 1</v>
      </c>
      <c r="D588" s="24" t="str">
        <f>VLOOKUP(Ruimtestaat[[#This Row],[Code]],Locaties[#All],5,FALSE)</f>
        <v>7415 DV</v>
      </c>
      <c r="E588" s="24" t="str">
        <f>VLOOKUP(Ruimtestaat[[#This Row],[Code]],Locaties[#All],6,FALSE)</f>
        <v>Deventer</v>
      </c>
      <c r="F588" s="54"/>
      <c r="G588" s="24" t="s">
        <v>367</v>
      </c>
      <c r="H588" s="24" t="s">
        <v>1025</v>
      </c>
      <c r="I588" s="4" t="s">
        <v>1010</v>
      </c>
      <c r="J588" s="24">
        <v>5</v>
      </c>
      <c r="K588" s="54" t="str">
        <f>VLOOKUP(J588,Ruimtegroepen[],2,FALSE)</f>
        <v>Sanitair</v>
      </c>
      <c r="L588" s="24" t="s">
        <v>305</v>
      </c>
      <c r="M588" s="24" t="s">
        <v>1018</v>
      </c>
      <c r="N588" s="83">
        <v>1.01</v>
      </c>
      <c r="O588" s="83"/>
      <c r="P588" s="93" t="str">
        <f>LEFT(VLOOKUP(Ruimtestaat[[#This Row],[Ruimte code]],Ruimtegroepen[#All],4,1),2)</f>
        <v>Sa</v>
      </c>
      <c r="Q588" s="93"/>
      <c r="R588" s="84">
        <v>42</v>
      </c>
      <c r="S588" s="84" t="s">
        <v>316</v>
      </c>
      <c r="T588" s="85">
        <f>IF(R588&gt;0,IF(RIGHT(Ruimtestaat[[#This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8" s="85">
        <f>IF(T588&gt;0,VLOOKUP($J588,Ruimtegroepen[],3,FALSE)*VLOOKUP($L588,Vloersoorten[],3,FALSE)*VLOOKUP($S588,Frequenties[],3,FALSE)*VLOOKUP($A588,Locaties[],3,FALSE),0)</f>
        <v>0</v>
      </c>
      <c r="V588" s="86">
        <f>Ruimtestaat[[#This Row],[Uitvoeringen werkdagen]]*Ruimtestaat[[#This Row],[Oppervlak (netto)]]</f>
        <v>424.2</v>
      </c>
      <c r="W588" s="87">
        <f>IF(U588&gt;0,Ruimtestaat[[#This Row],[Prest. (m2 /jaar) werkdagen]]/Ruimtestaat[[#This Row],[Norm (m2/uur) werkdagen]],0)</f>
        <v>0</v>
      </c>
      <c r="X588" s="88">
        <f>Ruimtestaat[[#This Row],[uren / jaar werkdagen]]*Tariefsopbouw!$E$35</f>
        <v>0</v>
      </c>
      <c r="Y588" s="85"/>
      <c r="Z588" s="89">
        <f>IF(Ruimtestaat[[#This Row],[Frequentie weekend]]&gt;0,VALUE(LEFT(Y588,1))*R588,0)</f>
        <v>0</v>
      </c>
      <c r="AA588" s="85">
        <f>IF($Z588&gt;0,VLOOKUP($J588,Ruimtegroepen[],3,FALSE)*VLOOKUP($L588,Vloersoorten[],3,FALSE)*VLOOKUP($Y588,Frequenties[],3,FALSE)*VLOOKUP(#REF!,Locaties[],3,FALSE),0)</f>
        <v>0</v>
      </c>
      <c r="AB588" s="87">
        <f>Ruimtestaat[[#This Row],[Uitvoeringen weekend]]*Ruimtestaat[[#This Row],[Oppervlak (netto)]]</f>
        <v>0</v>
      </c>
      <c r="AC588" s="90">
        <f>IF(AB588&gt;0,Ruimtestaat[[#This Row],[Prest. (m2 /jaar) weekend]]/Ruimtestaat[[#This Row],[Norm (m2/uur) weekend]],0)</f>
        <v>0</v>
      </c>
      <c r="AD588" s="91">
        <f>Ruimtestaat[[#This Row],[uren / jaar weekend]]*Tariefsopbouw!$D$40</f>
        <v>0</v>
      </c>
      <c r="AE588" s="60">
        <f>Ruimtestaat[[#This Row],[Prest. (m2 /jaar) weekend]]+Ruimtestaat[[#This Row],[Prest. (m2 /jaar) werkdagen]]</f>
        <v>424.2</v>
      </c>
      <c r="AF588" s="60">
        <f>Ruimtestaat[[#This Row],[uren / jaar weekend]]+Ruimtestaat[[#This Row],[uren / jaar werkdagen]]</f>
        <v>0</v>
      </c>
      <c r="AG588" s="61">
        <f>Ruimtestaat[[#This Row],[kosten / jaar weekend]]+Ruimtestaat[[#This Row],[kosten / jaar werkdagen]]</f>
        <v>0</v>
      </c>
      <c r="AH588" s="92"/>
      <c r="HL588" s="59"/>
    </row>
    <row r="589" spans="1:220">
      <c r="A589" s="24">
        <v>5</v>
      </c>
      <c r="B589" s="24" t="str">
        <f>VLOOKUP(Ruimtestaat[[#This Row],[Code]],Locaties[#All],2,FALSE)</f>
        <v>Marke Zuid</v>
      </c>
      <c r="C589" s="24" t="str">
        <f>VLOOKUP(Ruimtestaat[[#This Row],[Code]],Locaties[#All],4,FALSE)</f>
        <v>Ludgerstraat 1</v>
      </c>
      <c r="D589" s="24" t="str">
        <f>VLOOKUP(Ruimtestaat[[#This Row],[Code]],Locaties[#All],5,FALSE)</f>
        <v>7415 DV</v>
      </c>
      <c r="E589" s="24" t="str">
        <f>VLOOKUP(Ruimtestaat[[#This Row],[Code]],Locaties[#All],6,FALSE)</f>
        <v>Deventer</v>
      </c>
      <c r="F589" s="54"/>
      <c r="G589" s="24" t="s">
        <v>367</v>
      </c>
      <c r="H589" s="24" t="s">
        <v>1026</v>
      </c>
      <c r="I589" s="4" t="s">
        <v>375</v>
      </c>
      <c r="J589" s="24">
        <v>22</v>
      </c>
      <c r="K589" s="54" t="str">
        <f>VLOOKUP(J589,Ruimtegroepen[],2,FALSE)</f>
        <v>Niet in onderhoud</v>
      </c>
      <c r="L589" s="24" t="s">
        <v>300</v>
      </c>
      <c r="M589" s="24" t="s">
        <v>997</v>
      </c>
      <c r="N589" s="83"/>
      <c r="O589" s="83">
        <v>3.21</v>
      </c>
      <c r="P589" s="93" t="str">
        <f>LEFT(VLOOKUP(Ruimtestaat[[#This Row],[Ruimte code]],Ruimtegroepen[#All],4,1),2)</f>
        <v/>
      </c>
      <c r="Q589" s="93"/>
      <c r="R589" s="84"/>
      <c r="S589" s="84"/>
      <c r="T589" s="85">
        <f>IF(R589&gt;0,IF(RIGHT(Ruimtestaat[[#This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89" s="85">
        <f>IF(T589&gt;0,VLOOKUP($J589,Ruimtegroepen[],3,FALSE)*VLOOKUP($L589,Vloersoorten[],3,FALSE)*VLOOKUP($S589,Frequenties[],3,FALSE)*VLOOKUP($A589,Locaties[],3,FALSE),0)</f>
        <v>0</v>
      </c>
      <c r="V589" s="86">
        <f>Ruimtestaat[[#This Row],[Uitvoeringen werkdagen]]*Ruimtestaat[[#This Row],[Oppervlak (netto)]]</f>
        <v>0</v>
      </c>
      <c r="W589" s="87">
        <f>IF(U589&gt;0,Ruimtestaat[[#This Row],[Prest. (m2 /jaar) werkdagen]]/Ruimtestaat[[#This Row],[Norm (m2/uur) werkdagen]],0)</f>
        <v>0</v>
      </c>
      <c r="X589" s="88">
        <f>Ruimtestaat[[#This Row],[uren / jaar werkdagen]]*Tariefsopbouw!$E$35</f>
        <v>0</v>
      </c>
      <c r="Y589" s="85"/>
      <c r="Z589" s="89">
        <f>IF(Ruimtestaat[[#This Row],[Frequentie weekend]]&gt;0,VALUE(LEFT(Y589,1))*R589,0)</f>
        <v>0</v>
      </c>
      <c r="AA589" s="85">
        <f>IF($Z589&gt;0,VLOOKUP($J589,Ruimtegroepen[],3,FALSE)*VLOOKUP($L589,Vloersoorten[],3,FALSE)*VLOOKUP($Y589,Frequenties[],3,FALSE)*VLOOKUP(#REF!,Locaties[],3,FALSE),0)</f>
        <v>0</v>
      </c>
      <c r="AB589" s="87">
        <f>Ruimtestaat[[#This Row],[Uitvoeringen weekend]]*Ruimtestaat[[#This Row],[Oppervlak (netto)]]</f>
        <v>0</v>
      </c>
      <c r="AC589" s="90">
        <f>IF(AB589&gt;0,Ruimtestaat[[#This Row],[Prest. (m2 /jaar) weekend]]/Ruimtestaat[[#This Row],[Norm (m2/uur) weekend]],0)</f>
        <v>0</v>
      </c>
      <c r="AD589" s="91">
        <f>Ruimtestaat[[#This Row],[uren / jaar weekend]]*Tariefsopbouw!$D$40</f>
        <v>0</v>
      </c>
      <c r="AE589" s="60">
        <f>Ruimtestaat[[#This Row],[Prest. (m2 /jaar) weekend]]+Ruimtestaat[[#This Row],[Prest. (m2 /jaar) werkdagen]]</f>
        <v>0</v>
      </c>
      <c r="AF589" s="60">
        <f>Ruimtestaat[[#This Row],[uren / jaar weekend]]+Ruimtestaat[[#This Row],[uren / jaar werkdagen]]</f>
        <v>0</v>
      </c>
      <c r="AG589" s="61">
        <f>Ruimtestaat[[#This Row],[kosten / jaar weekend]]+Ruimtestaat[[#This Row],[kosten / jaar werkdagen]]</f>
        <v>0</v>
      </c>
      <c r="AH589" s="92"/>
      <c r="HL589" s="59"/>
    </row>
    <row r="590" spans="1:220">
      <c r="A590" s="24">
        <v>5</v>
      </c>
      <c r="B590" s="24" t="str">
        <f>VLOOKUP(Ruimtestaat[[#This Row],[Code]],Locaties[#All],2,FALSE)</f>
        <v>Marke Zuid</v>
      </c>
      <c r="C590" s="24" t="str">
        <f>VLOOKUP(Ruimtestaat[[#This Row],[Code]],Locaties[#All],4,FALSE)</f>
        <v>Ludgerstraat 1</v>
      </c>
      <c r="D590" s="24" t="str">
        <f>VLOOKUP(Ruimtestaat[[#This Row],[Code]],Locaties[#All],5,FALSE)</f>
        <v>7415 DV</v>
      </c>
      <c r="E590" s="24" t="str">
        <f>VLOOKUP(Ruimtestaat[[#This Row],[Code]],Locaties[#All],6,FALSE)</f>
        <v>Deventer</v>
      </c>
      <c r="F590" s="54"/>
      <c r="G590" s="24" t="s">
        <v>367</v>
      </c>
      <c r="H590" s="24" t="s">
        <v>1027</v>
      </c>
      <c r="I590" s="4" t="s">
        <v>375</v>
      </c>
      <c r="J590" s="24">
        <v>22</v>
      </c>
      <c r="K590" s="54" t="str">
        <f>VLOOKUP(J590,Ruimtegroepen[],2,FALSE)</f>
        <v>Niet in onderhoud</v>
      </c>
      <c r="L590" s="24" t="s">
        <v>300</v>
      </c>
      <c r="M590" s="24" t="s">
        <v>997</v>
      </c>
      <c r="N590" s="83"/>
      <c r="O590" s="83">
        <v>3.21</v>
      </c>
      <c r="P590" s="93" t="str">
        <f>LEFT(VLOOKUP(Ruimtestaat[[#This Row],[Ruimte code]],Ruimtegroepen[#All],4,1),2)</f>
        <v/>
      </c>
      <c r="Q590" s="93"/>
      <c r="R590" s="84"/>
      <c r="S590" s="84"/>
      <c r="T590" s="85">
        <f>IF(R590&gt;0,IF(RIGHT(Ruimtestaat[[#This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90" s="85">
        <f>IF(T590&gt;0,VLOOKUP($J590,Ruimtegroepen[],3,FALSE)*VLOOKUP($L590,Vloersoorten[],3,FALSE)*VLOOKUP($S590,Frequenties[],3,FALSE)*VLOOKUP($A590,Locaties[],3,FALSE),0)</f>
        <v>0</v>
      </c>
      <c r="V590" s="86">
        <f>Ruimtestaat[[#This Row],[Uitvoeringen werkdagen]]*Ruimtestaat[[#This Row],[Oppervlak (netto)]]</f>
        <v>0</v>
      </c>
      <c r="W590" s="87">
        <f>IF(U590&gt;0,Ruimtestaat[[#This Row],[Prest. (m2 /jaar) werkdagen]]/Ruimtestaat[[#This Row],[Norm (m2/uur) werkdagen]],0)</f>
        <v>0</v>
      </c>
      <c r="X590" s="88">
        <f>Ruimtestaat[[#This Row],[uren / jaar werkdagen]]*Tariefsopbouw!$E$35</f>
        <v>0</v>
      </c>
      <c r="Y590" s="85"/>
      <c r="Z590" s="89">
        <f>IF(Ruimtestaat[[#This Row],[Frequentie weekend]]&gt;0,VALUE(LEFT(Y590,1))*R590,0)</f>
        <v>0</v>
      </c>
      <c r="AA590" s="85">
        <f>IF($Z590&gt;0,VLOOKUP($J590,Ruimtegroepen[],3,FALSE)*VLOOKUP($L590,Vloersoorten[],3,FALSE)*VLOOKUP($Y590,Frequenties[],3,FALSE)*VLOOKUP(#REF!,Locaties[],3,FALSE),0)</f>
        <v>0</v>
      </c>
      <c r="AB590" s="87">
        <f>Ruimtestaat[[#This Row],[Uitvoeringen weekend]]*Ruimtestaat[[#This Row],[Oppervlak (netto)]]</f>
        <v>0</v>
      </c>
      <c r="AC590" s="90">
        <f>IF(AB590&gt;0,Ruimtestaat[[#This Row],[Prest. (m2 /jaar) weekend]]/Ruimtestaat[[#This Row],[Norm (m2/uur) weekend]],0)</f>
        <v>0</v>
      </c>
      <c r="AD590" s="91">
        <f>Ruimtestaat[[#This Row],[uren / jaar weekend]]*Tariefsopbouw!$D$40</f>
        <v>0</v>
      </c>
      <c r="AE590" s="60">
        <f>Ruimtestaat[[#This Row],[Prest. (m2 /jaar) weekend]]+Ruimtestaat[[#This Row],[Prest. (m2 /jaar) werkdagen]]</f>
        <v>0</v>
      </c>
      <c r="AF590" s="60">
        <f>Ruimtestaat[[#This Row],[uren / jaar weekend]]+Ruimtestaat[[#This Row],[uren / jaar werkdagen]]</f>
        <v>0</v>
      </c>
      <c r="AG590" s="61">
        <f>Ruimtestaat[[#This Row],[kosten / jaar weekend]]+Ruimtestaat[[#This Row],[kosten / jaar werkdagen]]</f>
        <v>0</v>
      </c>
      <c r="AH590" s="92"/>
      <c r="HL590" s="59"/>
    </row>
    <row r="591" spans="1:220">
      <c r="A591" s="24">
        <v>5</v>
      </c>
      <c r="B591" s="24" t="str">
        <f>VLOOKUP(Ruimtestaat[[#This Row],[Code]],Locaties[#All],2,FALSE)</f>
        <v>Marke Zuid</v>
      </c>
      <c r="C591" s="24" t="str">
        <f>VLOOKUP(Ruimtestaat[[#This Row],[Code]],Locaties[#All],4,FALSE)</f>
        <v>Ludgerstraat 1</v>
      </c>
      <c r="D591" s="24" t="str">
        <f>VLOOKUP(Ruimtestaat[[#This Row],[Code]],Locaties[#All],5,FALSE)</f>
        <v>7415 DV</v>
      </c>
      <c r="E591" s="24" t="str">
        <f>VLOOKUP(Ruimtestaat[[#This Row],[Code]],Locaties[#All],6,FALSE)</f>
        <v>Deventer</v>
      </c>
      <c r="F591" s="54"/>
      <c r="G591" s="24" t="s">
        <v>367</v>
      </c>
      <c r="H591" s="24" t="s">
        <v>1028</v>
      </c>
      <c r="I591" s="4" t="s">
        <v>1029</v>
      </c>
      <c r="J591" s="24">
        <v>5</v>
      </c>
      <c r="K591" s="54" t="str">
        <f>VLOOKUP(J591,Ruimtegroepen[],2,FALSE)</f>
        <v>Sanitair</v>
      </c>
      <c r="L591" s="24" t="s">
        <v>305</v>
      </c>
      <c r="M591" s="24" t="s">
        <v>1018</v>
      </c>
      <c r="N591" s="83">
        <v>2.75</v>
      </c>
      <c r="O591" s="83"/>
      <c r="P591" s="93" t="str">
        <f>LEFT(VLOOKUP(Ruimtestaat[[#This Row],[Ruimte code]],Ruimtegroepen[#All],4,1),2)</f>
        <v>Sa</v>
      </c>
      <c r="Q591" s="93"/>
      <c r="R591" s="84">
        <v>42</v>
      </c>
      <c r="S591" s="84" t="s">
        <v>316</v>
      </c>
      <c r="T591" s="85">
        <f>IF(R591&gt;0,IF(RIGHT(Ruimtestaat[[#This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91" s="85">
        <f>IF(T591&gt;0,VLOOKUP($J591,Ruimtegroepen[],3,FALSE)*VLOOKUP($L591,Vloersoorten[],3,FALSE)*VLOOKUP($S591,Frequenties[],3,FALSE)*VLOOKUP($A591,Locaties[],3,FALSE),0)</f>
        <v>0</v>
      </c>
      <c r="V591" s="86">
        <f>Ruimtestaat[[#This Row],[Uitvoeringen werkdagen]]*Ruimtestaat[[#This Row],[Oppervlak (netto)]]</f>
        <v>1155</v>
      </c>
      <c r="W591" s="87">
        <f>IF(U591&gt;0,Ruimtestaat[[#This Row],[Prest. (m2 /jaar) werkdagen]]/Ruimtestaat[[#This Row],[Norm (m2/uur) werkdagen]],0)</f>
        <v>0</v>
      </c>
      <c r="X591" s="88">
        <f>Ruimtestaat[[#This Row],[uren / jaar werkdagen]]*Tariefsopbouw!$E$35</f>
        <v>0</v>
      </c>
      <c r="Y591" s="85"/>
      <c r="Z591" s="89">
        <f>IF(Ruimtestaat[[#This Row],[Frequentie weekend]]&gt;0,VALUE(LEFT(Y591,1))*R591,0)</f>
        <v>0</v>
      </c>
      <c r="AA591" s="85">
        <f>IF($Z591&gt;0,VLOOKUP($J591,Ruimtegroepen[],3,FALSE)*VLOOKUP($L591,Vloersoorten[],3,FALSE)*VLOOKUP($Y591,Frequenties[],3,FALSE)*VLOOKUP(#REF!,Locaties[],3,FALSE),0)</f>
        <v>0</v>
      </c>
      <c r="AB591" s="87">
        <f>Ruimtestaat[[#This Row],[Uitvoeringen weekend]]*Ruimtestaat[[#This Row],[Oppervlak (netto)]]</f>
        <v>0</v>
      </c>
      <c r="AC591" s="90">
        <f>IF(AB591&gt;0,Ruimtestaat[[#This Row],[Prest. (m2 /jaar) weekend]]/Ruimtestaat[[#This Row],[Norm (m2/uur) weekend]],0)</f>
        <v>0</v>
      </c>
      <c r="AD591" s="91">
        <f>Ruimtestaat[[#This Row],[uren / jaar weekend]]*Tariefsopbouw!$D$40</f>
        <v>0</v>
      </c>
      <c r="AE591" s="60">
        <f>Ruimtestaat[[#This Row],[Prest. (m2 /jaar) weekend]]+Ruimtestaat[[#This Row],[Prest. (m2 /jaar) werkdagen]]</f>
        <v>1155</v>
      </c>
      <c r="AF591" s="60">
        <f>Ruimtestaat[[#This Row],[uren / jaar weekend]]+Ruimtestaat[[#This Row],[uren / jaar werkdagen]]</f>
        <v>0</v>
      </c>
      <c r="AG591" s="61">
        <f>Ruimtestaat[[#This Row],[kosten / jaar weekend]]+Ruimtestaat[[#This Row],[kosten / jaar werkdagen]]</f>
        <v>0</v>
      </c>
      <c r="AH591" s="92"/>
      <c r="HL591" s="59"/>
    </row>
    <row r="592" spans="1:220">
      <c r="A592" s="24">
        <v>5</v>
      </c>
      <c r="B592" s="24" t="str">
        <f>VLOOKUP(Ruimtestaat[[#This Row],[Code]],Locaties[#All],2,FALSE)</f>
        <v>Marke Zuid</v>
      </c>
      <c r="C592" s="24" t="str">
        <f>VLOOKUP(Ruimtestaat[[#This Row],[Code]],Locaties[#All],4,FALSE)</f>
        <v>Ludgerstraat 1</v>
      </c>
      <c r="D592" s="24" t="str">
        <f>VLOOKUP(Ruimtestaat[[#This Row],[Code]],Locaties[#All],5,FALSE)</f>
        <v>7415 DV</v>
      </c>
      <c r="E592" s="24" t="str">
        <f>VLOOKUP(Ruimtestaat[[#This Row],[Code]],Locaties[#All],6,FALSE)</f>
        <v>Deventer</v>
      </c>
      <c r="F592" s="54"/>
      <c r="G592" s="24" t="s">
        <v>367</v>
      </c>
      <c r="H592" s="24" t="s">
        <v>1030</v>
      </c>
      <c r="I592" s="4" t="s">
        <v>1031</v>
      </c>
      <c r="J592" s="24">
        <v>5</v>
      </c>
      <c r="K592" s="54" t="str">
        <f>VLOOKUP(J592,Ruimtegroepen[],2,FALSE)</f>
        <v>Sanitair</v>
      </c>
      <c r="L592" s="24" t="s">
        <v>305</v>
      </c>
      <c r="M592" s="24" t="s">
        <v>1018</v>
      </c>
      <c r="N592" s="83">
        <v>2.72</v>
      </c>
      <c r="O592" s="83"/>
      <c r="P592" s="93" t="str">
        <f>LEFT(VLOOKUP(Ruimtestaat[[#This Row],[Ruimte code]],Ruimtegroepen[#All],4,1),2)</f>
        <v>Sa</v>
      </c>
      <c r="Q592" s="93"/>
      <c r="R592" s="84">
        <v>42</v>
      </c>
      <c r="S592" s="84" t="s">
        <v>316</v>
      </c>
      <c r="T592" s="85">
        <f>IF(R592&gt;0,IF(RIGHT(Ruimtestaat[[#This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92" s="85">
        <f>IF(T592&gt;0,VLOOKUP($J592,Ruimtegroepen[],3,FALSE)*VLOOKUP($L592,Vloersoorten[],3,FALSE)*VLOOKUP($S592,Frequenties[],3,FALSE)*VLOOKUP($A592,Locaties[],3,FALSE),0)</f>
        <v>0</v>
      </c>
      <c r="V592" s="86">
        <f>Ruimtestaat[[#This Row],[Uitvoeringen werkdagen]]*Ruimtestaat[[#This Row],[Oppervlak (netto)]]</f>
        <v>1142.4000000000001</v>
      </c>
      <c r="W592" s="87">
        <f>IF(U592&gt;0,Ruimtestaat[[#This Row],[Prest. (m2 /jaar) werkdagen]]/Ruimtestaat[[#This Row],[Norm (m2/uur) werkdagen]],0)</f>
        <v>0</v>
      </c>
      <c r="X592" s="88">
        <f>Ruimtestaat[[#This Row],[uren / jaar werkdagen]]*Tariefsopbouw!$E$35</f>
        <v>0</v>
      </c>
      <c r="Y592" s="85"/>
      <c r="Z592" s="89">
        <f>IF(Ruimtestaat[[#This Row],[Frequentie weekend]]&gt;0,VALUE(LEFT(Y592,1))*R592,0)</f>
        <v>0</v>
      </c>
      <c r="AA592" s="85">
        <f>IF($Z592&gt;0,VLOOKUP($J592,Ruimtegroepen[],3,FALSE)*VLOOKUP($L592,Vloersoorten[],3,FALSE)*VLOOKUP($Y592,Frequenties[],3,FALSE)*VLOOKUP(#REF!,Locaties[],3,FALSE),0)</f>
        <v>0</v>
      </c>
      <c r="AB592" s="87">
        <f>Ruimtestaat[[#This Row],[Uitvoeringen weekend]]*Ruimtestaat[[#This Row],[Oppervlak (netto)]]</f>
        <v>0</v>
      </c>
      <c r="AC592" s="90">
        <f>IF(AB592&gt;0,Ruimtestaat[[#This Row],[Prest. (m2 /jaar) weekend]]/Ruimtestaat[[#This Row],[Norm (m2/uur) weekend]],0)</f>
        <v>0</v>
      </c>
      <c r="AD592" s="91">
        <f>Ruimtestaat[[#This Row],[uren / jaar weekend]]*Tariefsopbouw!$D$40</f>
        <v>0</v>
      </c>
      <c r="AE592" s="60">
        <f>Ruimtestaat[[#This Row],[Prest. (m2 /jaar) weekend]]+Ruimtestaat[[#This Row],[Prest. (m2 /jaar) werkdagen]]</f>
        <v>1142.4000000000001</v>
      </c>
      <c r="AF592" s="60">
        <f>Ruimtestaat[[#This Row],[uren / jaar weekend]]+Ruimtestaat[[#This Row],[uren / jaar werkdagen]]</f>
        <v>0</v>
      </c>
      <c r="AG592" s="61">
        <f>Ruimtestaat[[#This Row],[kosten / jaar weekend]]+Ruimtestaat[[#This Row],[kosten / jaar werkdagen]]</f>
        <v>0</v>
      </c>
      <c r="AH592" s="92"/>
      <c r="HL592" s="59"/>
    </row>
    <row r="593" spans="1:220">
      <c r="A593" s="24">
        <v>5</v>
      </c>
      <c r="B593" s="24" t="str">
        <f>VLOOKUP(Ruimtestaat[[#This Row],[Code]],Locaties[#All],2,FALSE)</f>
        <v>Marke Zuid</v>
      </c>
      <c r="C593" s="24" t="str">
        <f>VLOOKUP(Ruimtestaat[[#This Row],[Code]],Locaties[#All],4,FALSE)</f>
        <v>Ludgerstraat 1</v>
      </c>
      <c r="D593" s="24" t="str">
        <f>VLOOKUP(Ruimtestaat[[#This Row],[Code]],Locaties[#All],5,FALSE)</f>
        <v>7415 DV</v>
      </c>
      <c r="E593" s="24" t="str">
        <f>VLOOKUP(Ruimtestaat[[#This Row],[Code]],Locaties[#All],6,FALSE)</f>
        <v>Deventer</v>
      </c>
      <c r="F593" s="54"/>
      <c r="G593" s="24" t="s">
        <v>367</v>
      </c>
      <c r="H593" s="24" t="s">
        <v>1032</v>
      </c>
      <c r="I593" s="4" t="s">
        <v>1033</v>
      </c>
      <c r="J593" s="24">
        <v>13</v>
      </c>
      <c r="K593" s="54" t="str">
        <f>VLOOKUP(J593,Ruimtegroepen[],2,FALSE)</f>
        <v>HV/Technieklokaal</v>
      </c>
      <c r="L593" s="24" t="s">
        <v>305</v>
      </c>
      <c r="M593" s="24" t="s">
        <v>1018</v>
      </c>
      <c r="N593" s="83">
        <v>23.49</v>
      </c>
      <c r="O593" s="83"/>
      <c r="P593" s="93" t="str">
        <f>LEFT(VLOOKUP(Ruimtestaat[[#This Row],[Ruimte code]],Ruimtegroepen[#All],4,1),2)</f>
        <v>Le</v>
      </c>
      <c r="Q593" s="93"/>
      <c r="R593" s="84">
        <v>40</v>
      </c>
      <c r="S593" s="84" t="s">
        <v>318</v>
      </c>
      <c r="T593" s="85">
        <f>IF(R593&gt;0,IF(RIGHT(Ruimtestaat[[#This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3" s="85">
        <f>IF(T593&gt;0,VLOOKUP($J593,Ruimtegroepen[],3,FALSE)*VLOOKUP($L593,Vloersoorten[],3,FALSE)*VLOOKUP($S593,Frequenties[],3,FALSE)*VLOOKUP($A593,Locaties[],3,FALSE),0)</f>
        <v>0</v>
      </c>
      <c r="V593" s="86">
        <f>Ruimtestaat[[#This Row],[Uitvoeringen werkdagen]]*Ruimtestaat[[#This Row],[Oppervlak (netto)]]</f>
        <v>4698</v>
      </c>
      <c r="W593" s="87">
        <f>IF(U593&gt;0,Ruimtestaat[[#This Row],[Prest. (m2 /jaar) werkdagen]]/Ruimtestaat[[#This Row],[Norm (m2/uur) werkdagen]],0)</f>
        <v>0</v>
      </c>
      <c r="X593" s="88">
        <f>Ruimtestaat[[#This Row],[uren / jaar werkdagen]]*Tariefsopbouw!$E$35</f>
        <v>0</v>
      </c>
      <c r="Y593" s="85"/>
      <c r="Z593" s="89">
        <f>IF(Ruimtestaat[[#This Row],[Frequentie weekend]]&gt;0,VALUE(LEFT(Y593,1))*R593,0)</f>
        <v>0</v>
      </c>
      <c r="AA593" s="85">
        <f>IF($Z593&gt;0,VLOOKUP($J593,Ruimtegroepen[],3,FALSE)*VLOOKUP($L593,Vloersoorten[],3,FALSE)*VLOOKUP($Y593,Frequenties[],3,FALSE)*VLOOKUP(#REF!,Locaties[],3,FALSE),0)</f>
        <v>0</v>
      </c>
      <c r="AB593" s="87">
        <f>Ruimtestaat[[#This Row],[Uitvoeringen weekend]]*Ruimtestaat[[#This Row],[Oppervlak (netto)]]</f>
        <v>0</v>
      </c>
      <c r="AC593" s="90">
        <f>IF(AB593&gt;0,Ruimtestaat[[#This Row],[Prest. (m2 /jaar) weekend]]/Ruimtestaat[[#This Row],[Norm (m2/uur) weekend]],0)</f>
        <v>0</v>
      </c>
      <c r="AD593" s="91">
        <f>Ruimtestaat[[#This Row],[uren / jaar weekend]]*Tariefsopbouw!$D$40</f>
        <v>0</v>
      </c>
      <c r="AE593" s="60">
        <f>Ruimtestaat[[#This Row],[Prest. (m2 /jaar) weekend]]+Ruimtestaat[[#This Row],[Prest. (m2 /jaar) werkdagen]]</f>
        <v>4698</v>
      </c>
      <c r="AF593" s="60">
        <f>Ruimtestaat[[#This Row],[uren / jaar weekend]]+Ruimtestaat[[#This Row],[uren / jaar werkdagen]]</f>
        <v>0</v>
      </c>
      <c r="AG593" s="61">
        <f>Ruimtestaat[[#This Row],[kosten / jaar weekend]]+Ruimtestaat[[#This Row],[kosten / jaar werkdagen]]</f>
        <v>0</v>
      </c>
      <c r="AH593" s="92"/>
      <c r="HL593" s="59"/>
    </row>
    <row r="594" spans="1:220">
      <c r="A594" s="24">
        <v>5</v>
      </c>
      <c r="B594" s="24" t="str">
        <f>VLOOKUP(Ruimtestaat[[#This Row],[Code]],Locaties[#All],2,FALSE)</f>
        <v>Marke Zuid</v>
      </c>
      <c r="C594" s="24" t="str">
        <f>VLOOKUP(Ruimtestaat[[#This Row],[Code]],Locaties[#All],4,FALSE)</f>
        <v>Ludgerstraat 1</v>
      </c>
      <c r="D594" s="24" t="str">
        <f>VLOOKUP(Ruimtestaat[[#This Row],[Code]],Locaties[#All],5,FALSE)</f>
        <v>7415 DV</v>
      </c>
      <c r="E594" s="24" t="str">
        <f>VLOOKUP(Ruimtestaat[[#This Row],[Code]],Locaties[#All],6,FALSE)</f>
        <v>Deventer</v>
      </c>
      <c r="F594" s="54"/>
      <c r="G594" s="24" t="s">
        <v>367</v>
      </c>
      <c r="H594" s="24" t="s">
        <v>1034</v>
      </c>
      <c r="I594" s="4" t="s">
        <v>667</v>
      </c>
      <c r="J594" s="24">
        <v>22</v>
      </c>
      <c r="K594" s="54" t="str">
        <f>VLOOKUP(J594,Ruimtegroepen[],2,FALSE)</f>
        <v>Niet in onderhoud</v>
      </c>
      <c r="L594" s="24" t="s">
        <v>305</v>
      </c>
      <c r="M594" s="24" t="s">
        <v>1018</v>
      </c>
      <c r="N594" s="83"/>
      <c r="O594" s="83">
        <v>18.399999999999999</v>
      </c>
      <c r="P594" s="93" t="str">
        <f>LEFT(VLOOKUP(Ruimtestaat[[#This Row],[Ruimte code]],Ruimtegroepen[#All],4,1),2)</f>
        <v/>
      </c>
      <c r="Q594" s="93"/>
      <c r="R594" s="84"/>
      <c r="S594" s="84"/>
      <c r="T594" s="85">
        <f>IF(R594&gt;0,IF(RIGHT(Ruimtestaat[[#This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94" s="85">
        <f>IF(T594&gt;0,VLOOKUP($J594,Ruimtegroepen[],3,FALSE)*VLOOKUP($L594,Vloersoorten[],3,FALSE)*VLOOKUP($S594,Frequenties[],3,FALSE)*VLOOKUP($A594,Locaties[],3,FALSE),0)</f>
        <v>0</v>
      </c>
      <c r="V594" s="86">
        <f>Ruimtestaat[[#This Row],[Uitvoeringen werkdagen]]*Ruimtestaat[[#This Row],[Oppervlak (netto)]]</f>
        <v>0</v>
      </c>
      <c r="W594" s="87">
        <f>IF(U594&gt;0,Ruimtestaat[[#This Row],[Prest. (m2 /jaar) werkdagen]]/Ruimtestaat[[#This Row],[Norm (m2/uur) werkdagen]],0)</f>
        <v>0</v>
      </c>
      <c r="X594" s="88">
        <f>Ruimtestaat[[#This Row],[uren / jaar werkdagen]]*Tariefsopbouw!$E$35</f>
        <v>0</v>
      </c>
      <c r="Y594" s="85"/>
      <c r="Z594" s="89">
        <f>IF(Ruimtestaat[[#This Row],[Frequentie weekend]]&gt;0,VALUE(LEFT(Y594,1))*R594,0)</f>
        <v>0</v>
      </c>
      <c r="AA594" s="85">
        <f>IF($Z594&gt;0,VLOOKUP($J594,Ruimtegroepen[],3,FALSE)*VLOOKUP($L594,Vloersoorten[],3,FALSE)*VLOOKUP($Y594,Frequenties[],3,FALSE)*VLOOKUP(#REF!,Locaties[],3,FALSE),0)</f>
        <v>0</v>
      </c>
      <c r="AB594" s="87">
        <f>Ruimtestaat[[#This Row],[Uitvoeringen weekend]]*Ruimtestaat[[#This Row],[Oppervlak (netto)]]</f>
        <v>0</v>
      </c>
      <c r="AC594" s="90">
        <f>IF(AB594&gt;0,Ruimtestaat[[#This Row],[Prest. (m2 /jaar) weekend]]/Ruimtestaat[[#This Row],[Norm (m2/uur) weekend]],0)</f>
        <v>0</v>
      </c>
      <c r="AD594" s="91">
        <f>Ruimtestaat[[#This Row],[uren / jaar weekend]]*Tariefsopbouw!$D$40</f>
        <v>0</v>
      </c>
      <c r="AE594" s="60">
        <f>Ruimtestaat[[#This Row],[Prest. (m2 /jaar) weekend]]+Ruimtestaat[[#This Row],[Prest. (m2 /jaar) werkdagen]]</f>
        <v>0</v>
      </c>
      <c r="AF594" s="60">
        <f>Ruimtestaat[[#This Row],[uren / jaar weekend]]+Ruimtestaat[[#This Row],[uren / jaar werkdagen]]</f>
        <v>0</v>
      </c>
      <c r="AG594" s="61">
        <f>Ruimtestaat[[#This Row],[kosten / jaar weekend]]+Ruimtestaat[[#This Row],[kosten / jaar werkdagen]]</f>
        <v>0</v>
      </c>
      <c r="AH594" s="92"/>
      <c r="HL594" s="59"/>
    </row>
    <row r="595" spans="1:220">
      <c r="A595" s="24">
        <v>5</v>
      </c>
      <c r="B595" s="24" t="str">
        <f>VLOOKUP(Ruimtestaat[[#This Row],[Code]],Locaties[#All],2,FALSE)</f>
        <v>Marke Zuid</v>
      </c>
      <c r="C595" s="24" t="str">
        <f>VLOOKUP(Ruimtestaat[[#This Row],[Code]],Locaties[#All],4,FALSE)</f>
        <v>Ludgerstraat 1</v>
      </c>
      <c r="D595" s="24" t="str">
        <f>VLOOKUP(Ruimtestaat[[#This Row],[Code]],Locaties[#All],5,FALSE)</f>
        <v>7415 DV</v>
      </c>
      <c r="E595" s="24" t="str">
        <f>VLOOKUP(Ruimtestaat[[#This Row],[Code]],Locaties[#All],6,FALSE)</f>
        <v>Deventer</v>
      </c>
      <c r="F595" s="54"/>
      <c r="G595" s="24" t="s">
        <v>367</v>
      </c>
      <c r="H595" s="24" t="s">
        <v>1035</v>
      </c>
      <c r="I595" s="4" t="s">
        <v>1036</v>
      </c>
      <c r="J595" s="24">
        <v>7</v>
      </c>
      <c r="K595" s="54" t="str">
        <f>VLOOKUP(J595,Ruimtegroepen[],2,FALSE)</f>
        <v>Entree</v>
      </c>
      <c r="L595" s="24" t="s">
        <v>305</v>
      </c>
      <c r="M595" s="24" t="s">
        <v>1018</v>
      </c>
      <c r="N595" s="83">
        <v>38.11</v>
      </c>
      <c r="O595" s="83"/>
      <c r="P595" s="93" t="str">
        <f>LEFT(VLOOKUP(Ruimtestaat[[#This Row],[Ruimte code]],Ruimtegroepen[#All],4,1),2)</f>
        <v>Ve</v>
      </c>
      <c r="Q595" s="93"/>
      <c r="R595" s="84">
        <v>40</v>
      </c>
      <c r="S595" s="84" t="s">
        <v>318</v>
      </c>
      <c r="T595" s="85">
        <f>IF(R595&gt;0,IF(RIGHT(Ruimtestaat[[#This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5" s="85">
        <f>IF(T595&gt;0,VLOOKUP($J595,Ruimtegroepen[],3,FALSE)*VLOOKUP($L595,Vloersoorten[],3,FALSE)*VLOOKUP($S595,Frequenties[],3,FALSE)*VLOOKUP($A595,Locaties[],3,FALSE),0)</f>
        <v>0</v>
      </c>
      <c r="V595" s="86">
        <f>Ruimtestaat[[#This Row],[Uitvoeringen werkdagen]]*Ruimtestaat[[#This Row],[Oppervlak (netto)]]</f>
        <v>7622</v>
      </c>
      <c r="W595" s="87">
        <f>IF(U595&gt;0,Ruimtestaat[[#This Row],[Prest. (m2 /jaar) werkdagen]]/Ruimtestaat[[#This Row],[Norm (m2/uur) werkdagen]],0)</f>
        <v>0</v>
      </c>
      <c r="X595" s="88">
        <f>Ruimtestaat[[#This Row],[uren / jaar werkdagen]]*Tariefsopbouw!$E$35</f>
        <v>0</v>
      </c>
      <c r="Y595" s="85"/>
      <c r="Z595" s="89">
        <f>IF(Ruimtestaat[[#This Row],[Frequentie weekend]]&gt;0,VALUE(LEFT(Y595,1))*R595,0)</f>
        <v>0</v>
      </c>
      <c r="AA595" s="85">
        <f>IF($Z595&gt;0,VLOOKUP($J595,Ruimtegroepen[],3,FALSE)*VLOOKUP($L595,Vloersoorten[],3,FALSE)*VLOOKUP($Y595,Frequenties[],3,FALSE)*VLOOKUP(#REF!,Locaties[],3,FALSE),0)</f>
        <v>0</v>
      </c>
      <c r="AB595" s="87">
        <f>Ruimtestaat[[#This Row],[Uitvoeringen weekend]]*Ruimtestaat[[#This Row],[Oppervlak (netto)]]</f>
        <v>0</v>
      </c>
      <c r="AC595" s="90">
        <f>IF(AB595&gt;0,Ruimtestaat[[#This Row],[Prest. (m2 /jaar) weekend]]/Ruimtestaat[[#This Row],[Norm (m2/uur) weekend]],0)</f>
        <v>0</v>
      </c>
      <c r="AD595" s="91">
        <f>Ruimtestaat[[#This Row],[uren / jaar weekend]]*Tariefsopbouw!$D$40</f>
        <v>0</v>
      </c>
      <c r="AE595" s="60">
        <f>Ruimtestaat[[#This Row],[Prest. (m2 /jaar) weekend]]+Ruimtestaat[[#This Row],[Prest. (m2 /jaar) werkdagen]]</f>
        <v>7622</v>
      </c>
      <c r="AF595" s="60">
        <f>Ruimtestaat[[#This Row],[uren / jaar weekend]]+Ruimtestaat[[#This Row],[uren / jaar werkdagen]]</f>
        <v>0</v>
      </c>
      <c r="AG595" s="61">
        <f>Ruimtestaat[[#This Row],[kosten / jaar weekend]]+Ruimtestaat[[#This Row],[kosten / jaar werkdagen]]</f>
        <v>0</v>
      </c>
      <c r="AH595" s="92"/>
      <c r="HL595" s="59"/>
    </row>
    <row r="596" spans="1:220">
      <c r="A596" s="24">
        <v>5</v>
      </c>
      <c r="B596" s="24" t="str">
        <f>VLOOKUP(Ruimtestaat[[#This Row],[Code]],Locaties[#All],2,FALSE)</f>
        <v>Marke Zuid</v>
      </c>
      <c r="C596" s="24" t="str">
        <f>VLOOKUP(Ruimtestaat[[#This Row],[Code]],Locaties[#All],4,FALSE)</f>
        <v>Ludgerstraat 1</v>
      </c>
      <c r="D596" s="24" t="str">
        <f>VLOOKUP(Ruimtestaat[[#This Row],[Code]],Locaties[#All],5,FALSE)</f>
        <v>7415 DV</v>
      </c>
      <c r="E596" s="24" t="str">
        <f>VLOOKUP(Ruimtestaat[[#This Row],[Code]],Locaties[#All],6,FALSE)</f>
        <v>Deventer</v>
      </c>
      <c r="F596" s="54"/>
      <c r="G596" s="24" t="s">
        <v>367</v>
      </c>
      <c r="H596" s="24" t="s">
        <v>1037</v>
      </c>
      <c r="I596" s="4" t="s">
        <v>394</v>
      </c>
      <c r="J596" s="24">
        <v>22</v>
      </c>
      <c r="K596" s="54" t="str">
        <f>VLOOKUP(J596,Ruimtegroepen[],2,FALSE)</f>
        <v>Niet in onderhoud</v>
      </c>
      <c r="L596" s="24" t="s">
        <v>305</v>
      </c>
      <c r="M596" s="24" t="s">
        <v>1018</v>
      </c>
      <c r="N596" s="83"/>
      <c r="O596" s="83">
        <v>3.56</v>
      </c>
      <c r="P596" s="93" t="str">
        <f>LEFT(VLOOKUP(Ruimtestaat[[#This Row],[Ruimte code]],Ruimtegroepen[#All],4,1),2)</f>
        <v/>
      </c>
      <c r="Q596" s="93"/>
      <c r="R596" s="84"/>
      <c r="S596" s="84"/>
      <c r="T596" s="85">
        <f>IF(R596&gt;0,IF(RIGHT(Ruimtestaat[[#This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96" s="85">
        <f>IF(T596&gt;0,VLOOKUP($J596,Ruimtegroepen[],3,FALSE)*VLOOKUP($L596,Vloersoorten[],3,FALSE)*VLOOKUP($S596,Frequenties[],3,FALSE)*VLOOKUP($A596,Locaties[],3,FALSE),0)</f>
        <v>0</v>
      </c>
      <c r="V596" s="86">
        <f>Ruimtestaat[[#This Row],[Uitvoeringen werkdagen]]*Ruimtestaat[[#This Row],[Oppervlak (netto)]]</f>
        <v>0</v>
      </c>
      <c r="W596" s="87">
        <f>IF(U596&gt;0,Ruimtestaat[[#This Row],[Prest. (m2 /jaar) werkdagen]]/Ruimtestaat[[#This Row],[Norm (m2/uur) werkdagen]],0)</f>
        <v>0</v>
      </c>
      <c r="X596" s="88">
        <f>Ruimtestaat[[#This Row],[uren / jaar werkdagen]]*Tariefsopbouw!$E$35</f>
        <v>0</v>
      </c>
      <c r="Y596" s="85"/>
      <c r="Z596" s="89">
        <f>IF(Ruimtestaat[[#This Row],[Frequentie weekend]]&gt;0,VALUE(LEFT(Y596,1))*R596,0)</f>
        <v>0</v>
      </c>
      <c r="AA596" s="85">
        <f>IF($Z596&gt;0,VLOOKUP($J596,Ruimtegroepen[],3,FALSE)*VLOOKUP($L596,Vloersoorten[],3,FALSE)*VLOOKUP($Y596,Frequenties[],3,FALSE)*VLOOKUP(#REF!,Locaties[],3,FALSE),0)</f>
        <v>0</v>
      </c>
      <c r="AB596" s="87">
        <f>Ruimtestaat[[#This Row],[Uitvoeringen weekend]]*Ruimtestaat[[#This Row],[Oppervlak (netto)]]</f>
        <v>0</v>
      </c>
      <c r="AC596" s="90">
        <f>IF(AB596&gt;0,Ruimtestaat[[#This Row],[Prest. (m2 /jaar) weekend]]/Ruimtestaat[[#This Row],[Norm (m2/uur) weekend]],0)</f>
        <v>0</v>
      </c>
      <c r="AD596" s="91">
        <f>Ruimtestaat[[#This Row],[uren / jaar weekend]]*Tariefsopbouw!$D$40</f>
        <v>0</v>
      </c>
      <c r="AE596" s="60">
        <f>Ruimtestaat[[#This Row],[Prest. (m2 /jaar) weekend]]+Ruimtestaat[[#This Row],[Prest. (m2 /jaar) werkdagen]]</f>
        <v>0</v>
      </c>
      <c r="AF596" s="60">
        <f>Ruimtestaat[[#This Row],[uren / jaar weekend]]+Ruimtestaat[[#This Row],[uren / jaar werkdagen]]</f>
        <v>0</v>
      </c>
      <c r="AG596" s="61">
        <f>Ruimtestaat[[#This Row],[kosten / jaar weekend]]+Ruimtestaat[[#This Row],[kosten / jaar werkdagen]]</f>
        <v>0</v>
      </c>
      <c r="AH596" s="92"/>
      <c r="HL596" s="59"/>
    </row>
    <row r="597" spans="1:220">
      <c r="A597" s="24">
        <v>5</v>
      </c>
      <c r="B597" s="24" t="str">
        <f>VLOOKUP(Ruimtestaat[[#This Row],[Code]],Locaties[#All],2,FALSE)</f>
        <v>Marke Zuid</v>
      </c>
      <c r="C597" s="24" t="str">
        <f>VLOOKUP(Ruimtestaat[[#This Row],[Code]],Locaties[#All],4,FALSE)</f>
        <v>Ludgerstraat 1</v>
      </c>
      <c r="D597" s="24" t="str">
        <f>VLOOKUP(Ruimtestaat[[#This Row],[Code]],Locaties[#All],5,FALSE)</f>
        <v>7415 DV</v>
      </c>
      <c r="E597" s="24" t="str">
        <f>VLOOKUP(Ruimtestaat[[#This Row],[Code]],Locaties[#All],6,FALSE)</f>
        <v>Deventer</v>
      </c>
      <c r="F597" s="54"/>
      <c r="G597" s="24" t="s">
        <v>367</v>
      </c>
      <c r="H597" s="24" t="s">
        <v>1038</v>
      </c>
      <c r="I597" s="4" t="s">
        <v>380</v>
      </c>
      <c r="J597" s="24">
        <v>2</v>
      </c>
      <c r="K597" s="54" t="str">
        <f>VLOOKUP(J597,Ruimtegroepen[],2,FALSE)</f>
        <v>Kantoren</v>
      </c>
      <c r="L597" s="24" t="s">
        <v>300</v>
      </c>
      <c r="M597" s="24" t="s">
        <v>997</v>
      </c>
      <c r="N597" s="83">
        <v>18.22</v>
      </c>
      <c r="O597" s="83"/>
      <c r="P597" s="93" t="str">
        <f>LEFT(VLOOKUP(Ruimtestaat[[#This Row],[Ruimte code]],Ruimtegroepen[#All],4,1),2)</f>
        <v>Bu</v>
      </c>
      <c r="Q597" s="93"/>
      <c r="R597" s="84">
        <v>42</v>
      </c>
      <c r="S597" s="84" t="s">
        <v>322</v>
      </c>
      <c r="T597" s="85">
        <f>IF(R597&gt;0,IF(RIGHT(Ruimtestaat[[#This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97" s="85">
        <f>IF(T597&gt;0,VLOOKUP($J597,Ruimtegroepen[],3,FALSE)*VLOOKUP($L597,Vloersoorten[],3,FALSE)*VLOOKUP($S597,Frequenties[],3,FALSE)*VLOOKUP($A597,Locaties[],3,FALSE),0)</f>
        <v>0</v>
      </c>
      <c r="V597" s="86">
        <f>Ruimtestaat[[#This Row],[Uitvoeringen werkdagen]]*Ruimtestaat[[#This Row],[Oppervlak (netto)]]</f>
        <v>2295.7199999999998</v>
      </c>
      <c r="W597" s="87">
        <f>IF(U597&gt;0,Ruimtestaat[[#This Row],[Prest. (m2 /jaar) werkdagen]]/Ruimtestaat[[#This Row],[Norm (m2/uur) werkdagen]],0)</f>
        <v>0</v>
      </c>
      <c r="X597" s="88">
        <f>Ruimtestaat[[#This Row],[uren / jaar werkdagen]]*Tariefsopbouw!$E$35</f>
        <v>0</v>
      </c>
      <c r="Y597" s="85"/>
      <c r="Z597" s="89">
        <f>IF(Ruimtestaat[[#This Row],[Frequentie weekend]]&gt;0,VALUE(LEFT(Y597,1))*R597,0)</f>
        <v>0</v>
      </c>
      <c r="AA597" s="85">
        <f>IF($Z597&gt;0,VLOOKUP($J597,Ruimtegroepen[],3,FALSE)*VLOOKUP($L597,Vloersoorten[],3,FALSE)*VLOOKUP($Y597,Frequenties[],3,FALSE)*VLOOKUP(#REF!,Locaties[],3,FALSE),0)</f>
        <v>0</v>
      </c>
      <c r="AB597" s="87">
        <f>Ruimtestaat[[#This Row],[Uitvoeringen weekend]]*Ruimtestaat[[#This Row],[Oppervlak (netto)]]</f>
        <v>0</v>
      </c>
      <c r="AC597" s="90">
        <f>IF(AB597&gt;0,Ruimtestaat[[#This Row],[Prest. (m2 /jaar) weekend]]/Ruimtestaat[[#This Row],[Norm (m2/uur) weekend]],0)</f>
        <v>0</v>
      </c>
      <c r="AD597" s="91">
        <f>Ruimtestaat[[#This Row],[uren / jaar weekend]]*Tariefsopbouw!$D$40</f>
        <v>0</v>
      </c>
      <c r="AE597" s="60">
        <f>Ruimtestaat[[#This Row],[Prest. (m2 /jaar) weekend]]+Ruimtestaat[[#This Row],[Prest. (m2 /jaar) werkdagen]]</f>
        <v>2295.7199999999998</v>
      </c>
      <c r="AF597" s="60">
        <f>Ruimtestaat[[#This Row],[uren / jaar weekend]]+Ruimtestaat[[#This Row],[uren / jaar werkdagen]]</f>
        <v>0</v>
      </c>
      <c r="AG597" s="61">
        <f>Ruimtestaat[[#This Row],[kosten / jaar weekend]]+Ruimtestaat[[#This Row],[kosten / jaar werkdagen]]</f>
        <v>0</v>
      </c>
      <c r="AH597" s="92"/>
      <c r="HL597" s="59"/>
    </row>
    <row r="598" spans="1:220">
      <c r="A598" s="24">
        <v>5</v>
      </c>
      <c r="B598" s="24" t="str">
        <f>VLOOKUP(Ruimtestaat[[#This Row],[Code]],Locaties[#All],2,FALSE)</f>
        <v>Marke Zuid</v>
      </c>
      <c r="C598" s="24" t="str">
        <f>VLOOKUP(Ruimtestaat[[#This Row],[Code]],Locaties[#All],4,FALSE)</f>
        <v>Ludgerstraat 1</v>
      </c>
      <c r="D598" s="24" t="str">
        <f>VLOOKUP(Ruimtestaat[[#This Row],[Code]],Locaties[#All],5,FALSE)</f>
        <v>7415 DV</v>
      </c>
      <c r="E598" s="24" t="str">
        <f>VLOOKUP(Ruimtestaat[[#This Row],[Code]],Locaties[#All],6,FALSE)</f>
        <v>Deventer</v>
      </c>
      <c r="F598" s="54"/>
      <c r="G598" s="24" t="s">
        <v>367</v>
      </c>
      <c r="H598" s="24" t="s">
        <v>1039</v>
      </c>
      <c r="I598" s="4" t="s">
        <v>1040</v>
      </c>
      <c r="J598" s="24">
        <v>2</v>
      </c>
      <c r="K598" s="54" t="str">
        <f>VLOOKUP(J598,Ruimtegroepen[],2,FALSE)</f>
        <v>Kantoren</v>
      </c>
      <c r="L598" s="24" t="s">
        <v>305</v>
      </c>
      <c r="M598" s="24" t="s">
        <v>1018</v>
      </c>
      <c r="N598" s="83">
        <v>15.07</v>
      </c>
      <c r="O598" s="83"/>
      <c r="P598" s="93" t="str">
        <f>LEFT(VLOOKUP(Ruimtestaat[[#This Row],[Ruimte code]],Ruimtegroepen[#All],4,1),2)</f>
        <v>Bu</v>
      </c>
      <c r="Q598" s="93"/>
      <c r="R598" s="84">
        <v>42</v>
      </c>
      <c r="S598" s="84" t="s">
        <v>322</v>
      </c>
      <c r="T598" s="85">
        <f>IF(R598&gt;0,IF(RIGHT(Ruimtestaat[[#This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98" s="85">
        <f>IF(T598&gt;0,VLOOKUP($J598,Ruimtegroepen[],3,FALSE)*VLOOKUP($L598,Vloersoorten[],3,FALSE)*VLOOKUP($S598,Frequenties[],3,FALSE)*VLOOKUP($A598,Locaties[],3,FALSE),0)</f>
        <v>0</v>
      </c>
      <c r="V598" s="86">
        <f>Ruimtestaat[[#This Row],[Uitvoeringen werkdagen]]*Ruimtestaat[[#This Row],[Oppervlak (netto)]]</f>
        <v>1898.82</v>
      </c>
      <c r="W598" s="87">
        <f>IF(U598&gt;0,Ruimtestaat[[#This Row],[Prest. (m2 /jaar) werkdagen]]/Ruimtestaat[[#This Row],[Norm (m2/uur) werkdagen]],0)</f>
        <v>0</v>
      </c>
      <c r="X598" s="88">
        <f>Ruimtestaat[[#This Row],[uren / jaar werkdagen]]*Tariefsopbouw!$E$35</f>
        <v>0</v>
      </c>
      <c r="Y598" s="85"/>
      <c r="Z598" s="89">
        <f>IF(Ruimtestaat[[#This Row],[Frequentie weekend]]&gt;0,VALUE(LEFT(Y598,1))*R598,0)</f>
        <v>0</v>
      </c>
      <c r="AA598" s="85">
        <f>IF($Z598&gt;0,VLOOKUP($J598,Ruimtegroepen[],3,FALSE)*VLOOKUP($L598,Vloersoorten[],3,FALSE)*VLOOKUP($Y598,Frequenties[],3,FALSE)*VLOOKUP(#REF!,Locaties[],3,FALSE),0)</f>
        <v>0</v>
      </c>
      <c r="AB598" s="87">
        <f>Ruimtestaat[[#This Row],[Uitvoeringen weekend]]*Ruimtestaat[[#This Row],[Oppervlak (netto)]]</f>
        <v>0</v>
      </c>
      <c r="AC598" s="90">
        <f>IF(AB598&gt;0,Ruimtestaat[[#This Row],[Prest. (m2 /jaar) weekend]]/Ruimtestaat[[#This Row],[Norm (m2/uur) weekend]],0)</f>
        <v>0</v>
      </c>
      <c r="AD598" s="91">
        <f>Ruimtestaat[[#This Row],[uren / jaar weekend]]*Tariefsopbouw!$D$40</f>
        <v>0</v>
      </c>
      <c r="AE598" s="60">
        <f>Ruimtestaat[[#This Row],[Prest. (m2 /jaar) weekend]]+Ruimtestaat[[#This Row],[Prest. (m2 /jaar) werkdagen]]</f>
        <v>1898.82</v>
      </c>
      <c r="AF598" s="60">
        <f>Ruimtestaat[[#This Row],[uren / jaar weekend]]+Ruimtestaat[[#This Row],[uren / jaar werkdagen]]</f>
        <v>0</v>
      </c>
      <c r="AG598" s="61">
        <f>Ruimtestaat[[#This Row],[kosten / jaar weekend]]+Ruimtestaat[[#This Row],[kosten / jaar werkdagen]]</f>
        <v>0</v>
      </c>
      <c r="AH598" s="92"/>
      <c r="HL598" s="59"/>
    </row>
    <row r="599" spans="1:220">
      <c r="A599" s="24">
        <v>5</v>
      </c>
      <c r="B599" s="24" t="str">
        <f>VLOOKUP(Ruimtestaat[[#This Row],[Code]],Locaties[#All],2,FALSE)</f>
        <v>Marke Zuid</v>
      </c>
      <c r="C599" s="24" t="str">
        <f>VLOOKUP(Ruimtestaat[[#This Row],[Code]],Locaties[#All],4,FALSE)</f>
        <v>Ludgerstraat 1</v>
      </c>
      <c r="D599" s="24" t="str">
        <f>VLOOKUP(Ruimtestaat[[#This Row],[Code]],Locaties[#All],5,FALSE)</f>
        <v>7415 DV</v>
      </c>
      <c r="E599" s="24" t="str">
        <f>VLOOKUP(Ruimtestaat[[#This Row],[Code]],Locaties[#All],6,FALSE)</f>
        <v>Deventer</v>
      </c>
      <c r="F599" s="54"/>
      <c r="G599" s="24" t="s">
        <v>367</v>
      </c>
      <c r="H599" s="24" t="s">
        <v>1041</v>
      </c>
      <c r="I599" s="4" t="s">
        <v>1042</v>
      </c>
      <c r="J599" s="24">
        <v>19</v>
      </c>
      <c r="K599" s="54" t="str">
        <f>VLOOKUP(J599,Ruimtegroepen[],2,FALSE)</f>
        <v>Kleedruimten</v>
      </c>
      <c r="L599" s="24" t="s">
        <v>305</v>
      </c>
      <c r="M599" s="24" t="s">
        <v>373</v>
      </c>
      <c r="N599" s="83">
        <v>14.71</v>
      </c>
      <c r="O599" s="83"/>
      <c r="P599" s="93" t="str">
        <f>LEFT(VLOOKUP(Ruimtestaat[[#This Row],[Ruimte code]],Ruimtegroepen[#All],4,1),2)</f>
        <v>Ve</v>
      </c>
      <c r="Q599" s="93"/>
      <c r="R599" s="84">
        <v>40</v>
      </c>
      <c r="S599" s="84" t="s">
        <v>318</v>
      </c>
      <c r="T599" s="85">
        <f>IF(R599&gt;0,IF(RIGHT(Ruimtestaat[[#This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9" s="85">
        <f>IF(T599&gt;0,VLOOKUP($J599,Ruimtegroepen[],3,FALSE)*VLOOKUP($L599,Vloersoorten[],3,FALSE)*VLOOKUP($S599,Frequenties[],3,FALSE)*VLOOKUP($A599,Locaties[],3,FALSE),0)</f>
        <v>0</v>
      </c>
      <c r="V599" s="86">
        <f>Ruimtestaat[[#This Row],[Uitvoeringen werkdagen]]*Ruimtestaat[[#This Row],[Oppervlak (netto)]]</f>
        <v>2942</v>
      </c>
      <c r="W599" s="87">
        <f>IF(U599&gt;0,Ruimtestaat[[#This Row],[Prest. (m2 /jaar) werkdagen]]/Ruimtestaat[[#This Row],[Norm (m2/uur) werkdagen]],0)</f>
        <v>0</v>
      </c>
      <c r="X599" s="88">
        <f>Ruimtestaat[[#This Row],[uren / jaar werkdagen]]*Tariefsopbouw!$E$35</f>
        <v>0</v>
      </c>
      <c r="Y599" s="85"/>
      <c r="Z599" s="89">
        <f>IF(Ruimtestaat[[#This Row],[Frequentie weekend]]&gt;0,VALUE(LEFT(Y599,1))*R599,0)</f>
        <v>0</v>
      </c>
      <c r="AA599" s="85">
        <f>IF($Z599&gt;0,VLOOKUP($J599,Ruimtegroepen[],3,FALSE)*VLOOKUP($L599,Vloersoorten[],3,FALSE)*VLOOKUP($Y599,Frequenties[],3,FALSE)*VLOOKUP(#REF!,Locaties[],3,FALSE),0)</f>
        <v>0</v>
      </c>
      <c r="AB599" s="87">
        <f>Ruimtestaat[[#This Row],[Uitvoeringen weekend]]*Ruimtestaat[[#This Row],[Oppervlak (netto)]]</f>
        <v>0</v>
      </c>
      <c r="AC599" s="90">
        <f>IF(AB599&gt;0,Ruimtestaat[[#This Row],[Prest. (m2 /jaar) weekend]]/Ruimtestaat[[#This Row],[Norm (m2/uur) weekend]],0)</f>
        <v>0</v>
      </c>
      <c r="AD599" s="91">
        <f>Ruimtestaat[[#This Row],[uren / jaar weekend]]*Tariefsopbouw!$D$40</f>
        <v>0</v>
      </c>
      <c r="AE599" s="60">
        <f>Ruimtestaat[[#This Row],[Prest. (m2 /jaar) weekend]]+Ruimtestaat[[#This Row],[Prest. (m2 /jaar) werkdagen]]</f>
        <v>2942</v>
      </c>
      <c r="AF599" s="60">
        <f>Ruimtestaat[[#This Row],[uren / jaar weekend]]+Ruimtestaat[[#This Row],[uren / jaar werkdagen]]</f>
        <v>0</v>
      </c>
      <c r="AG599" s="61">
        <f>Ruimtestaat[[#This Row],[kosten / jaar weekend]]+Ruimtestaat[[#This Row],[kosten / jaar werkdagen]]</f>
        <v>0</v>
      </c>
      <c r="AH599" s="92"/>
      <c r="HL599" s="59"/>
    </row>
    <row r="600" spans="1:220">
      <c r="A600" s="24">
        <v>5</v>
      </c>
      <c r="B600" s="24" t="str">
        <f>VLOOKUP(Ruimtestaat[[#This Row],[Code]],Locaties[#All],2,FALSE)</f>
        <v>Marke Zuid</v>
      </c>
      <c r="C600" s="24" t="str">
        <f>VLOOKUP(Ruimtestaat[[#This Row],[Code]],Locaties[#All],4,FALSE)</f>
        <v>Ludgerstraat 1</v>
      </c>
      <c r="D600" s="24" t="str">
        <f>VLOOKUP(Ruimtestaat[[#This Row],[Code]],Locaties[#All],5,FALSE)</f>
        <v>7415 DV</v>
      </c>
      <c r="E600" s="24" t="str">
        <f>VLOOKUP(Ruimtestaat[[#This Row],[Code]],Locaties[#All],6,FALSE)</f>
        <v>Deventer</v>
      </c>
      <c r="F600" s="54"/>
      <c r="G600" s="24" t="s">
        <v>367</v>
      </c>
      <c r="H600" s="24" t="s">
        <v>1043</v>
      </c>
      <c r="I600" s="4" t="s">
        <v>1044</v>
      </c>
      <c r="J600" s="24">
        <v>19</v>
      </c>
      <c r="K600" s="54" t="str">
        <f>VLOOKUP(J600,Ruimtegroepen[],2,FALSE)</f>
        <v>Kleedruimten</v>
      </c>
      <c r="L600" s="24" t="s">
        <v>305</v>
      </c>
      <c r="M600" s="24" t="s">
        <v>373</v>
      </c>
      <c r="N600" s="83">
        <v>14.71</v>
      </c>
      <c r="O600" s="83"/>
      <c r="P600" s="93" t="str">
        <f>LEFT(VLOOKUP(Ruimtestaat[[#This Row],[Ruimte code]],Ruimtegroepen[#All],4,1),2)</f>
        <v>Ve</v>
      </c>
      <c r="Q600" s="93"/>
      <c r="R600" s="84">
        <v>40</v>
      </c>
      <c r="S600" s="84" t="s">
        <v>318</v>
      </c>
      <c r="T600" s="85">
        <f>IF(R600&gt;0,IF(RIGHT(Ruimtestaat[[#This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0" s="85">
        <f>IF(T600&gt;0,VLOOKUP($J600,Ruimtegroepen[],3,FALSE)*VLOOKUP($L600,Vloersoorten[],3,FALSE)*VLOOKUP($S600,Frequenties[],3,FALSE)*VLOOKUP($A600,Locaties[],3,FALSE),0)</f>
        <v>0</v>
      </c>
      <c r="V600" s="86">
        <f>Ruimtestaat[[#This Row],[Uitvoeringen werkdagen]]*Ruimtestaat[[#This Row],[Oppervlak (netto)]]</f>
        <v>2942</v>
      </c>
      <c r="W600" s="87">
        <f>IF(U600&gt;0,Ruimtestaat[[#This Row],[Prest. (m2 /jaar) werkdagen]]/Ruimtestaat[[#This Row],[Norm (m2/uur) werkdagen]],0)</f>
        <v>0</v>
      </c>
      <c r="X600" s="88">
        <f>Ruimtestaat[[#This Row],[uren / jaar werkdagen]]*Tariefsopbouw!$E$35</f>
        <v>0</v>
      </c>
      <c r="Y600" s="85"/>
      <c r="Z600" s="89">
        <f>IF(Ruimtestaat[[#This Row],[Frequentie weekend]]&gt;0,VALUE(LEFT(Y600,1))*R600,0)</f>
        <v>0</v>
      </c>
      <c r="AA600" s="85">
        <f>IF($Z600&gt;0,VLOOKUP($J600,Ruimtegroepen[],3,FALSE)*VLOOKUP($L600,Vloersoorten[],3,FALSE)*VLOOKUP($Y600,Frequenties[],3,FALSE)*VLOOKUP(#REF!,Locaties[],3,FALSE),0)</f>
        <v>0</v>
      </c>
      <c r="AB600" s="87">
        <f>Ruimtestaat[[#This Row],[Uitvoeringen weekend]]*Ruimtestaat[[#This Row],[Oppervlak (netto)]]</f>
        <v>0</v>
      </c>
      <c r="AC600" s="90">
        <f>IF(AB600&gt;0,Ruimtestaat[[#This Row],[Prest. (m2 /jaar) weekend]]/Ruimtestaat[[#This Row],[Norm (m2/uur) weekend]],0)</f>
        <v>0</v>
      </c>
      <c r="AD600" s="91">
        <f>Ruimtestaat[[#This Row],[uren / jaar weekend]]*Tariefsopbouw!$D$40</f>
        <v>0</v>
      </c>
      <c r="AE600" s="60">
        <f>Ruimtestaat[[#This Row],[Prest. (m2 /jaar) weekend]]+Ruimtestaat[[#This Row],[Prest. (m2 /jaar) werkdagen]]</f>
        <v>2942</v>
      </c>
      <c r="AF600" s="60">
        <f>Ruimtestaat[[#This Row],[uren / jaar weekend]]+Ruimtestaat[[#This Row],[uren / jaar werkdagen]]</f>
        <v>0</v>
      </c>
      <c r="AG600" s="61">
        <f>Ruimtestaat[[#This Row],[kosten / jaar weekend]]+Ruimtestaat[[#This Row],[kosten / jaar werkdagen]]</f>
        <v>0</v>
      </c>
      <c r="AH600" s="92"/>
      <c r="HL600" s="59"/>
    </row>
    <row r="601" spans="1:220">
      <c r="A601" s="24">
        <v>5</v>
      </c>
      <c r="B601" s="24" t="str">
        <f>VLOOKUP(Ruimtestaat[[#This Row],[Code]],Locaties[#All],2,FALSE)</f>
        <v>Marke Zuid</v>
      </c>
      <c r="C601" s="24" t="str">
        <f>VLOOKUP(Ruimtestaat[[#This Row],[Code]],Locaties[#All],4,FALSE)</f>
        <v>Ludgerstraat 1</v>
      </c>
      <c r="D601" s="24" t="str">
        <f>VLOOKUP(Ruimtestaat[[#This Row],[Code]],Locaties[#All],5,FALSE)</f>
        <v>7415 DV</v>
      </c>
      <c r="E601" s="24" t="str">
        <f>VLOOKUP(Ruimtestaat[[#This Row],[Code]],Locaties[#All],6,FALSE)</f>
        <v>Deventer</v>
      </c>
      <c r="F601" s="54"/>
      <c r="G601" s="24" t="s">
        <v>367</v>
      </c>
      <c r="H601" s="24" t="s">
        <v>1045</v>
      </c>
      <c r="I601" s="4" t="s">
        <v>1046</v>
      </c>
      <c r="J601" s="24">
        <v>11</v>
      </c>
      <c r="K601" s="54" t="str">
        <f>VLOOKUP(J601,Ruimtegroepen[],2,FALSE)</f>
        <v>Kooklokaal/leskeuken</v>
      </c>
      <c r="L601" s="24" t="s">
        <v>305</v>
      </c>
      <c r="M601" s="24" t="s">
        <v>1018</v>
      </c>
      <c r="N601" s="83">
        <v>16.260000000000002</v>
      </c>
      <c r="O601" s="83"/>
      <c r="P601" s="93" t="str">
        <f>LEFT(VLOOKUP(Ruimtestaat[[#This Row],[Ruimte code]],Ruimtegroepen[#All],4,1),2)</f>
        <v>Le</v>
      </c>
      <c r="Q601" s="93"/>
      <c r="R601" s="84">
        <v>40</v>
      </c>
      <c r="S601" s="84" t="s">
        <v>318</v>
      </c>
      <c r="T601" s="85">
        <f>IF(R601&gt;0,IF(RIGHT(Ruimtestaat[[#This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1" s="85">
        <f>IF(T601&gt;0,VLOOKUP($J601,Ruimtegroepen[],3,FALSE)*VLOOKUP($L601,Vloersoorten[],3,FALSE)*VLOOKUP($S601,Frequenties[],3,FALSE)*VLOOKUP($A601,Locaties[],3,FALSE),0)</f>
        <v>0</v>
      </c>
      <c r="V601" s="86">
        <f>Ruimtestaat[[#This Row],[Uitvoeringen werkdagen]]*Ruimtestaat[[#This Row],[Oppervlak (netto)]]</f>
        <v>3252.0000000000005</v>
      </c>
      <c r="W601" s="87">
        <f>IF(U601&gt;0,Ruimtestaat[[#This Row],[Prest. (m2 /jaar) werkdagen]]/Ruimtestaat[[#This Row],[Norm (m2/uur) werkdagen]],0)</f>
        <v>0</v>
      </c>
      <c r="X601" s="88">
        <f>Ruimtestaat[[#This Row],[uren / jaar werkdagen]]*Tariefsopbouw!$E$35</f>
        <v>0</v>
      </c>
      <c r="Y601" s="85"/>
      <c r="Z601" s="89">
        <f>IF(Ruimtestaat[[#This Row],[Frequentie weekend]]&gt;0,VALUE(LEFT(Y601,1))*R601,0)</f>
        <v>0</v>
      </c>
      <c r="AA601" s="85">
        <f>IF($Z601&gt;0,VLOOKUP($J601,Ruimtegroepen[],3,FALSE)*VLOOKUP($L601,Vloersoorten[],3,FALSE)*VLOOKUP($Y601,Frequenties[],3,FALSE)*VLOOKUP(#REF!,Locaties[],3,FALSE),0)</f>
        <v>0</v>
      </c>
      <c r="AB601" s="87">
        <f>Ruimtestaat[[#This Row],[Uitvoeringen weekend]]*Ruimtestaat[[#This Row],[Oppervlak (netto)]]</f>
        <v>0</v>
      </c>
      <c r="AC601" s="90">
        <f>IF(AB601&gt;0,Ruimtestaat[[#This Row],[Prest. (m2 /jaar) weekend]]/Ruimtestaat[[#This Row],[Norm (m2/uur) weekend]],0)</f>
        <v>0</v>
      </c>
      <c r="AD601" s="91">
        <f>Ruimtestaat[[#This Row],[uren / jaar weekend]]*Tariefsopbouw!$D$40</f>
        <v>0</v>
      </c>
      <c r="AE601" s="60">
        <f>Ruimtestaat[[#This Row],[Prest. (m2 /jaar) weekend]]+Ruimtestaat[[#This Row],[Prest. (m2 /jaar) werkdagen]]</f>
        <v>3252.0000000000005</v>
      </c>
      <c r="AF601" s="60">
        <f>Ruimtestaat[[#This Row],[uren / jaar weekend]]+Ruimtestaat[[#This Row],[uren / jaar werkdagen]]</f>
        <v>0</v>
      </c>
      <c r="AG601" s="61">
        <f>Ruimtestaat[[#This Row],[kosten / jaar weekend]]+Ruimtestaat[[#This Row],[kosten / jaar werkdagen]]</f>
        <v>0</v>
      </c>
      <c r="AH601" s="92"/>
      <c r="HL601" s="59"/>
    </row>
    <row r="602" spans="1:220">
      <c r="A602" s="24">
        <v>5</v>
      </c>
      <c r="B602" s="24" t="str">
        <f>VLOOKUP(Ruimtestaat[[#This Row],[Code]],Locaties[#All],2,FALSE)</f>
        <v>Marke Zuid</v>
      </c>
      <c r="C602" s="24" t="str">
        <f>VLOOKUP(Ruimtestaat[[#This Row],[Code]],Locaties[#All],4,FALSE)</f>
        <v>Ludgerstraat 1</v>
      </c>
      <c r="D602" s="24" t="str">
        <f>VLOOKUP(Ruimtestaat[[#This Row],[Code]],Locaties[#All],5,FALSE)</f>
        <v>7415 DV</v>
      </c>
      <c r="E602" s="24" t="str">
        <f>VLOOKUP(Ruimtestaat[[#This Row],[Code]],Locaties[#All],6,FALSE)</f>
        <v>Deventer</v>
      </c>
      <c r="F602" s="54"/>
      <c r="G602" s="24" t="s">
        <v>367</v>
      </c>
      <c r="H602" s="24" t="s">
        <v>1047</v>
      </c>
      <c r="I602" s="4" t="s">
        <v>1048</v>
      </c>
      <c r="J602" s="24">
        <v>11</v>
      </c>
      <c r="K602" s="54" t="str">
        <f>VLOOKUP(J602,Ruimtegroepen[],2,FALSE)</f>
        <v>Kooklokaal/leskeuken</v>
      </c>
      <c r="L602" s="24" t="s">
        <v>305</v>
      </c>
      <c r="M602" s="24" t="s">
        <v>1018</v>
      </c>
      <c r="N602" s="83">
        <v>16.260000000000002</v>
      </c>
      <c r="O602" s="83"/>
      <c r="P602" s="93" t="str">
        <f>LEFT(VLOOKUP(Ruimtestaat[[#This Row],[Ruimte code]],Ruimtegroepen[#All],4,1),2)</f>
        <v>Le</v>
      </c>
      <c r="Q602" s="93"/>
      <c r="R602" s="84">
        <v>40</v>
      </c>
      <c r="S602" s="84" t="s">
        <v>318</v>
      </c>
      <c r="T602" s="85">
        <f>IF(R602&gt;0,IF(RIGHT(Ruimtestaat[[#This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2" s="85">
        <f>IF(T602&gt;0,VLOOKUP($J602,Ruimtegroepen[],3,FALSE)*VLOOKUP($L602,Vloersoorten[],3,FALSE)*VLOOKUP($S602,Frequenties[],3,FALSE)*VLOOKUP($A602,Locaties[],3,FALSE),0)</f>
        <v>0</v>
      </c>
      <c r="V602" s="86">
        <f>Ruimtestaat[[#This Row],[Uitvoeringen werkdagen]]*Ruimtestaat[[#This Row],[Oppervlak (netto)]]</f>
        <v>3252.0000000000005</v>
      </c>
      <c r="W602" s="87">
        <f>IF(U602&gt;0,Ruimtestaat[[#This Row],[Prest. (m2 /jaar) werkdagen]]/Ruimtestaat[[#This Row],[Norm (m2/uur) werkdagen]],0)</f>
        <v>0</v>
      </c>
      <c r="X602" s="88">
        <f>Ruimtestaat[[#This Row],[uren / jaar werkdagen]]*Tariefsopbouw!$E$35</f>
        <v>0</v>
      </c>
      <c r="Y602" s="85"/>
      <c r="Z602" s="89">
        <f>IF(Ruimtestaat[[#This Row],[Frequentie weekend]]&gt;0,VALUE(LEFT(Y602,1))*R602,0)</f>
        <v>0</v>
      </c>
      <c r="AA602" s="85">
        <f>IF($Z602&gt;0,VLOOKUP($J602,Ruimtegroepen[],3,FALSE)*VLOOKUP($L602,Vloersoorten[],3,FALSE)*VLOOKUP($Y602,Frequenties[],3,FALSE)*VLOOKUP(#REF!,Locaties[],3,FALSE),0)</f>
        <v>0</v>
      </c>
      <c r="AB602" s="87">
        <f>Ruimtestaat[[#This Row],[Uitvoeringen weekend]]*Ruimtestaat[[#This Row],[Oppervlak (netto)]]</f>
        <v>0</v>
      </c>
      <c r="AC602" s="90">
        <f>IF(AB602&gt;0,Ruimtestaat[[#This Row],[Prest. (m2 /jaar) weekend]]/Ruimtestaat[[#This Row],[Norm (m2/uur) weekend]],0)</f>
        <v>0</v>
      </c>
      <c r="AD602" s="91">
        <f>Ruimtestaat[[#This Row],[uren / jaar weekend]]*Tariefsopbouw!$D$40</f>
        <v>0</v>
      </c>
      <c r="AE602" s="60">
        <f>Ruimtestaat[[#This Row],[Prest. (m2 /jaar) weekend]]+Ruimtestaat[[#This Row],[Prest. (m2 /jaar) werkdagen]]</f>
        <v>3252.0000000000005</v>
      </c>
      <c r="AF602" s="60">
        <f>Ruimtestaat[[#This Row],[uren / jaar weekend]]+Ruimtestaat[[#This Row],[uren / jaar werkdagen]]</f>
        <v>0</v>
      </c>
      <c r="AG602" s="61">
        <f>Ruimtestaat[[#This Row],[kosten / jaar weekend]]+Ruimtestaat[[#This Row],[kosten / jaar werkdagen]]</f>
        <v>0</v>
      </c>
      <c r="AH602" s="92"/>
      <c r="HL602" s="59"/>
    </row>
    <row r="603" spans="1:220">
      <c r="A603" s="24">
        <v>5</v>
      </c>
      <c r="B603" s="24" t="str">
        <f>VLOOKUP(Ruimtestaat[[#This Row],[Code]],Locaties[#All],2,FALSE)</f>
        <v>Marke Zuid</v>
      </c>
      <c r="C603" s="24" t="str">
        <f>VLOOKUP(Ruimtestaat[[#This Row],[Code]],Locaties[#All],4,FALSE)</f>
        <v>Ludgerstraat 1</v>
      </c>
      <c r="D603" s="24" t="str">
        <f>VLOOKUP(Ruimtestaat[[#This Row],[Code]],Locaties[#All],5,FALSE)</f>
        <v>7415 DV</v>
      </c>
      <c r="E603" s="24" t="str">
        <f>VLOOKUP(Ruimtestaat[[#This Row],[Code]],Locaties[#All],6,FALSE)</f>
        <v>Deventer</v>
      </c>
      <c r="F603" s="54"/>
      <c r="G603" s="24" t="s">
        <v>367</v>
      </c>
      <c r="H603" s="24" t="s">
        <v>1049</v>
      </c>
      <c r="I603" s="4" t="s">
        <v>1050</v>
      </c>
      <c r="J603" s="24">
        <v>22</v>
      </c>
      <c r="K603" s="54" t="str">
        <f>VLOOKUP(J603,Ruimtegroepen[],2,FALSE)</f>
        <v>Niet in onderhoud</v>
      </c>
      <c r="L603" s="24" t="s">
        <v>305</v>
      </c>
      <c r="M603" s="24" t="s">
        <v>1018</v>
      </c>
      <c r="N603" s="83"/>
      <c r="O603" s="83">
        <v>35.56</v>
      </c>
      <c r="P603" s="93" t="str">
        <f>LEFT(VLOOKUP(Ruimtestaat[[#This Row],[Ruimte code]],Ruimtegroepen[#All],4,1),2)</f>
        <v/>
      </c>
      <c r="Q603" s="93"/>
      <c r="R603" s="84"/>
      <c r="S603" s="84"/>
      <c r="T603" s="85">
        <f>IF(R603&gt;0,IF(RIGHT(Ruimtestaat[[#This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03" s="85">
        <f>IF(T603&gt;0,VLOOKUP($J603,Ruimtegroepen[],3,FALSE)*VLOOKUP($L603,Vloersoorten[],3,FALSE)*VLOOKUP($S603,Frequenties[],3,FALSE)*VLOOKUP($A603,Locaties[],3,FALSE),0)</f>
        <v>0</v>
      </c>
      <c r="V603" s="86">
        <f>Ruimtestaat[[#This Row],[Uitvoeringen werkdagen]]*Ruimtestaat[[#This Row],[Oppervlak (netto)]]</f>
        <v>0</v>
      </c>
      <c r="W603" s="87">
        <f>IF(U603&gt;0,Ruimtestaat[[#This Row],[Prest. (m2 /jaar) werkdagen]]/Ruimtestaat[[#This Row],[Norm (m2/uur) werkdagen]],0)</f>
        <v>0</v>
      </c>
      <c r="X603" s="88">
        <f>Ruimtestaat[[#This Row],[uren / jaar werkdagen]]*Tariefsopbouw!$E$35</f>
        <v>0</v>
      </c>
      <c r="Y603" s="85"/>
      <c r="Z603" s="89">
        <f>IF(Ruimtestaat[[#This Row],[Frequentie weekend]]&gt;0,VALUE(LEFT(Y603,1))*R603,0)</f>
        <v>0</v>
      </c>
      <c r="AA603" s="85">
        <f>IF($Z603&gt;0,VLOOKUP($J603,Ruimtegroepen[],3,FALSE)*VLOOKUP($L603,Vloersoorten[],3,FALSE)*VLOOKUP($Y603,Frequenties[],3,FALSE)*VLOOKUP(#REF!,Locaties[],3,FALSE),0)</f>
        <v>0</v>
      </c>
      <c r="AB603" s="87">
        <f>Ruimtestaat[[#This Row],[Uitvoeringen weekend]]*Ruimtestaat[[#This Row],[Oppervlak (netto)]]</f>
        <v>0</v>
      </c>
      <c r="AC603" s="90">
        <f>IF(AB603&gt;0,Ruimtestaat[[#This Row],[Prest. (m2 /jaar) weekend]]/Ruimtestaat[[#This Row],[Norm (m2/uur) weekend]],0)</f>
        <v>0</v>
      </c>
      <c r="AD603" s="91">
        <f>Ruimtestaat[[#This Row],[uren / jaar weekend]]*Tariefsopbouw!$D$40</f>
        <v>0</v>
      </c>
      <c r="AE603" s="60">
        <f>Ruimtestaat[[#This Row],[Prest. (m2 /jaar) weekend]]+Ruimtestaat[[#This Row],[Prest. (m2 /jaar) werkdagen]]</f>
        <v>0</v>
      </c>
      <c r="AF603" s="60">
        <f>Ruimtestaat[[#This Row],[uren / jaar weekend]]+Ruimtestaat[[#This Row],[uren / jaar werkdagen]]</f>
        <v>0</v>
      </c>
      <c r="AG603" s="61">
        <f>Ruimtestaat[[#This Row],[kosten / jaar weekend]]+Ruimtestaat[[#This Row],[kosten / jaar werkdagen]]</f>
        <v>0</v>
      </c>
      <c r="AH603" s="92"/>
      <c r="HL603" s="59"/>
    </row>
    <row r="604" spans="1:220">
      <c r="A604" s="24">
        <v>5</v>
      </c>
      <c r="B604" s="24" t="str">
        <f>VLOOKUP(Ruimtestaat[[#This Row],[Code]],Locaties[#All],2,FALSE)</f>
        <v>Marke Zuid</v>
      </c>
      <c r="C604" s="24" t="str">
        <f>VLOOKUP(Ruimtestaat[[#This Row],[Code]],Locaties[#All],4,FALSE)</f>
        <v>Ludgerstraat 1</v>
      </c>
      <c r="D604" s="24" t="str">
        <f>VLOOKUP(Ruimtestaat[[#This Row],[Code]],Locaties[#All],5,FALSE)</f>
        <v>7415 DV</v>
      </c>
      <c r="E604" s="24" t="str">
        <f>VLOOKUP(Ruimtestaat[[#This Row],[Code]],Locaties[#All],6,FALSE)</f>
        <v>Deventer</v>
      </c>
      <c r="F604" s="54"/>
      <c r="G604" s="24" t="s">
        <v>367</v>
      </c>
      <c r="H604" s="24" t="s">
        <v>1051</v>
      </c>
      <c r="I604" s="4" t="s">
        <v>1052</v>
      </c>
      <c r="J604" s="24">
        <v>6</v>
      </c>
      <c r="K604" s="54" t="str">
        <f>VLOOKUP(J604,Ruimtegroepen[],2,FALSE)</f>
        <v>Gangen/hallen</v>
      </c>
      <c r="L604" s="24" t="s">
        <v>305</v>
      </c>
      <c r="M604" s="24" t="s">
        <v>1018</v>
      </c>
      <c r="N604" s="83">
        <v>21.7</v>
      </c>
      <c r="O604" s="83"/>
      <c r="P604" s="93" t="str">
        <f>LEFT(VLOOKUP(Ruimtestaat[[#This Row],[Ruimte code]],Ruimtegroepen[#All],4,1),2)</f>
        <v>Ve</v>
      </c>
      <c r="Q604" s="93"/>
      <c r="R604" s="84">
        <v>40</v>
      </c>
      <c r="S604" s="84" t="s">
        <v>318</v>
      </c>
      <c r="T604" s="85">
        <f>IF(R604&gt;0,IF(RIGHT(Ruimtestaat[[#This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4" s="85">
        <f>IF(T604&gt;0,VLOOKUP($J604,Ruimtegroepen[],3,FALSE)*VLOOKUP($L604,Vloersoorten[],3,FALSE)*VLOOKUP($S604,Frequenties[],3,FALSE)*VLOOKUP($A604,Locaties[],3,FALSE),0)</f>
        <v>0</v>
      </c>
      <c r="V604" s="86">
        <f>Ruimtestaat[[#This Row],[Uitvoeringen werkdagen]]*Ruimtestaat[[#This Row],[Oppervlak (netto)]]</f>
        <v>4340</v>
      </c>
      <c r="W604" s="87">
        <f>IF(U604&gt;0,Ruimtestaat[[#This Row],[Prest. (m2 /jaar) werkdagen]]/Ruimtestaat[[#This Row],[Norm (m2/uur) werkdagen]],0)</f>
        <v>0</v>
      </c>
      <c r="X604" s="88">
        <f>Ruimtestaat[[#This Row],[uren / jaar werkdagen]]*Tariefsopbouw!$E$35</f>
        <v>0</v>
      </c>
      <c r="Y604" s="85"/>
      <c r="Z604" s="89">
        <f>IF(Ruimtestaat[[#This Row],[Frequentie weekend]]&gt;0,VALUE(LEFT(Y604,1))*R604,0)</f>
        <v>0</v>
      </c>
      <c r="AA604" s="85">
        <f>IF($Z604&gt;0,VLOOKUP($J604,Ruimtegroepen[],3,FALSE)*VLOOKUP($L604,Vloersoorten[],3,FALSE)*VLOOKUP($Y604,Frequenties[],3,FALSE)*VLOOKUP(#REF!,Locaties[],3,FALSE),0)</f>
        <v>0</v>
      </c>
      <c r="AB604" s="87">
        <f>Ruimtestaat[[#This Row],[Uitvoeringen weekend]]*Ruimtestaat[[#This Row],[Oppervlak (netto)]]</f>
        <v>0</v>
      </c>
      <c r="AC604" s="90">
        <f>IF(AB604&gt;0,Ruimtestaat[[#This Row],[Prest. (m2 /jaar) weekend]]/Ruimtestaat[[#This Row],[Norm (m2/uur) weekend]],0)</f>
        <v>0</v>
      </c>
      <c r="AD604" s="91">
        <f>Ruimtestaat[[#This Row],[uren / jaar weekend]]*Tariefsopbouw!$D$40</f>
        <v>0</v>
      </c>
      <c r="AE604" s="60">
        <f>Ruimtestaat[[#This Row],[Prest. (m2 /jaar) weekend]]+Ruimtestaat[[#This Row],[Prest. (m2 /jaar) werkdagen]]</f>
        <v>4340</v>
      </c>
      <c r="AF604" s="60">
        <f>Ruimtestaat[[#This Row],[uren / jaar weekend]]+Ruimtestaat[[#This Row],[uren / jaar werkdagen]]</f>
        <v>0</v>
      </c>
      <c r="AG604" s="61">
        <f>Ruimtestaat[[#This Row],[kosten / jaar weekend]]+Ruimtestaat[[#This Row],[kosten / jaar werkdagen]]</f>
        <v>0</v>
      </c>
      <c r="AH604" s="92"/>
      <c r="HL604" s="59"/>
    </row>
    <row r="605" spans="1:220">
      <c r="A605" s="24">
        <v>5</v>
      </c>
      <c r="B605" s="24" t="str">
        <f>VLOOKUP(Ruimtestaat[[#This Row],[Code]],Locaties[#All],2,FALSE)</f>
        <v>Marke Zuid</v>
      </c>
      <c r="C605" s="24" t="str">
        <f>VLOOKUP(Ruimtestaat[[#This Row],[Code]],Locaties[#All],4,FALSE)</f>
        <v>Ludgerstraat 1</v>
      </c>
      <c r="D605" s="24" t="str">
        <f>VLOOKUP(Ruimtestaat[[#This Row],[Code]],Locaties[#All],5,FALSE)</f>
        <v>7415 DV</v>
      </c>
      <c r="E605" s="24" t="str">
        <f>VLOOKUP(Ruimtestaat[[#This Row],[Code]],Locaties[#All],6,FALSE)</f>
        <v>Deventer</v>
      </c>
      <c r="F605" s="54"/>
      <c r="G605" s="24" t="s">
        <v>367</v>
      </c>
      <c r="H605" s="24" t="s">
        <v>1053</v>
      </c>
      <c r="I605" s="4" t="s">
        <v>1054</v>
      </c>
      <c r="J605" s="24">
        <v>11</v>
      </c>
      <c r="K605" s="54" t="str">
        <f>VLOOKUP(J605,Ruimtegroepen[],2,FALSE)</f>
        <v>Kooklokaal/leskeuken</v>
      </c>
      <c r="L605" s="24" t="s">
        <v>305</v>
      </c>
      <c r="M605" s="24" t="s">
        <v>1018</v>
      </c>
      <c r="N605" s="83">
        <v>24</v>
      </c>
      <c r="O605" s="83"/>
      <c r="P605" s="93" t="str">
        <f>LEFT(VLOOKUP(Ruimtestaat[[#This Row],[Ruimte code]],Ruimtegroepen[#All],4,1),2)</f>
        <v>Le</v>
      </c>
      <c r="Q605" s="93"/>
      <c r="R605" s="84">
        <v>40</v>
      </c>
      <c r="S605" s="84" t="s">
        <v>318</v>
      </c>
      <c r="T605" s="85">
        <f>IF(R605&gt;0,IF(RIGHT(Ruimtestaat[[#This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5" s="85">
        <f>IF(T605&gt;0,VLOOKUP($J605,Ruimtegroepen[],3,FALSE)*VLOOKUP($L605,Vloersoorten[],3,FALSE)*VLOOKUP($S605,Frequenties[],3,FALSE)*VLOOKUP($A605,Locaties[],3,FALSE),0)</f>
        <v>0</v>
      </c>
      <c r="V605" s="86">
        <f>Ruimtestaat[[#This Row],[Uitvoeringen werkdagen]]*Ruimtestaat[[#This Row],[Oppervlak (netto)]]</f>
        <v>4800</v>
      </c>
      <c r="W605" s="87">
        <f>IF(U605&gt;0,Ruimtestaat[[#This Row],[Prest. (m2 /jaar) werkdagen]]/Ruimtestaat[[#This Row],[Norm (m2/uur) werkdagen]],0)</f>
        <v>0</v>
      </c>
      <c r="X605" s="88">
        <f>Ruimtestaat[[#This Row],[uren / jaar werkdagen]]*Tariefsopbouw!$E$35</f>
        <v>0</v>
      </c>
      <c r="Y605" s="85"/>
      <c r="Z605" s="89">
        <f>IF(Ruimtestaat[[#This Row],[Frequentie weekend]]&gt;0,VALUE(LEFT(Y605,1))*R605,0)</f>
        <v>0</v>
      </c>
      <c r="AA605" s="85">
        <f>IF($Z605&gt;0,VLOOKUP($J605,Ruimtegroepen[],3,FALSE)*VLOOKUP($L605,Vloersoorten[],3,FALSE)*VLOOKUP($Y605,Frequenties[],3,FALSE)*VLOOKUP(#REF!,Locaties[],3,FALSE),0)</f>
        <v>0</v>
      </c>
      <c r="AB605" s="87">
        <f>Ruimtestaat[[#This Row],[Uitvoeringen weekend]]*Ruimtestaat[[#This Row],[Oppervlak (netto)]]</f>
        <v>0</v>
      </c>
      <c r="AC605" s="90">
        <f>IF(AB605&gt;0,Ruimtestaat[[#This Row],[Prest. (m2 /jaar) weekend]]/Ruimtestaat[[#This Row],[Norm (m2/uur) weekend]],0)</f>
        <v>0</v>
      </c>
      <c r="AD605" s="91">
        <f>Ruimtestaat[[#This Row],[uren / jaar weekend]]*Tariefsopbouw!$D$40</f>
        <v>0</v>
      </c>
      <c r="AE605" s="60">
        <f>Ruimtestaat[[#This Row],[Prest. (m2 /jaar) weekend]]+Ruimtestaat[[#This Row],[Prest. (m2 /jaar) werkdagen]]</f>
        <v>4800</v>
      </c>
      <c r="AF605" s="60">
        <f>Ruimtestaat[[#This Row],[uren / jaar weekend]]+Ruimtestaat[[#This Row],[uren / jaar werkdagen]]</f>
        <v>0</v>
      </c>
      <c r="AG605" s="61">
        <f>Ruimtestaat[[#This Row],[kosten / jaar weekend]]+Ruimtestaat[[#This Row],[kosten / jaar werkdagen]]</f>
        <v>0</v>
      </c>
      <c r="AH605" s="92"/>
      <c r="HL605" s="59"/>
    </row>
    <row r="606" spans="1:220">
      <c r="A606" s="24">
        <v>5</v>
      </c>
      <c r="B606" s="24" t="str">
        <f>VLOOKUP(Ruimtestaat[[#This Row],[Code]],Locaties[#All],2,FALSE)</f>
        <v>Marke Zuid</v>
      </c>
      <c r="C606" s="24" t="str">
        <f>VLOOKUP(Ruimtestaat[[#This Row],[Code]],Locaties[#All],4,FALSE)</f>
        <v>Ludgerstraat 1</v>
      </c>
      <c r="D606" s="24" t="str">
        <f>VLOOKUP(Ruimtestaat[[#This Row],[Code]],Locaties[#All],5,FALSE)</f>
        <v>7415 DV</v>
      </c>
      <c r="E606" s="24" t="str">
        <f>VLOOKUP(Ruimtestaat[[#This Row],[Code]],Locaties[#All],6,FALSE)</f>
        <v>Deventer</v>
      </c>
      <c r="F606" s="54"/>
      <c r="G606" s="24" t="s">
        <v>367</v>
      </c>
      <c r="H606" s="24" t="s">
        <v>1055</v>
      </c>
      <c r="I606" s="4" t="s">
        <v>1056</v>
      </c>
      <c r="J606" s="24">
        <v>12</v>
      </c>
      <c r="K606" s="54" t="str">
        <f>VLOOKUP(J606,Ruimtegroepen[],2,FALSE)</f>
        <v>Kantine</v>
      </c>
      <c r="L606" s="24" t="s">
        <v>305</v>
      </c>
      <c r="M606" s="24" t="s">
        <v>1018</v>
      </c>
      <c r="N606" s="83">
        <v>144.46</v>
      </c>
      <c r="O606" s="83"/>
      <c r="P606" s="93" t="str">
        <f>LEFT(VLOOKUP(Ruimtestaat[[#This Row],[Ruimte code]],Ruimtegroepen[#All],4,1),2)</f>
        <v>Ve</v>
      </c>
      <c r="Q606" s="93"/>
      <c r="R606" s="84">
        <v>40</v>
      </c>
      <c r="S606" s="84" t="s">
        <v>318</v>
      </c>
      <c r="T606" s="85">
        <f>IF(R606&gt;0,IF(RIGHT(Ruimtestaat[[#This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6" s="85">
        <f>IF(T606&gt;0,VLOOKUP($J606,Ruimtegroepen[],3,FALSE)*VLOOKUP($L606,Vloersoorten[],3,FALSE)*VLOOKUP($S606,Frequenties[],3,FALSE)*VLOOKUP($A606,Locaties[],3,FALSE),0)</f>
        <v>0</v>
      </c>
      <c r="V606" s="86">
        <f>Ruimtestaat[[#This Row],[Uitvoeringen werkdagen]]*Ruimtestaat[[#This Row],[Oppervlak (netto)]]</f>
        <v>28892</v>
      </c>
      <c r="W606" s="87">
        <f>IF(U606&gt;0,Ruimtestaat[[#This Row],[Prest. (m2 /jaar) werkdagen]]/Ruimtestaat[[#This Row],[Norm (m2/uur) werkdagen]],0)</f>
        <v>0</v>
      </c>
      <c r="X606" s="88">
        <f>Ruimtestaat[[#This Row],[uren / jaar werkdagen]]*Tariefsopbouw!$E$35</f>
        <v>0</v>
      </c>
      <c r="Y606" s="85"/>
      <c r="Z606" s="89">
        <f>IF(Ruimtestaat[[#This Row],[Frequentie weekend]]&gt;0,VALUE(LEFT(Y606,1))*R606,0)</f>
        <v>0</v>
      </c>
      <c r="AA606" s="85">
        <f>IF($Z606&gt;0,VLOOKUP($J606,Ruimtegroepen[],3,FALSE)*VLOOKUP($L606,Vloersoorten[],3,FALSE)*VLOOKUP($Y606,Frequenties[],3,FALSE)*VLOOKUP(#REF!,Locaties[],3,FALSE),0)</f>
        <v>0</v>
      </c>
      <c r="AB606" s="87">
        <f>Ruimtestaat[[#This Row],[Uitvoeringen weekend]]*Ruimtestaat[[#This Row],[Oppervlak (netto)]]</f>
        <v>0</v>
      </c>
      <c r="AC606" s="90">
        <f>IF(AB606&gt;0,Ruimtestaat[[#This Row],[Prest. (m2 /jaar) weekend]]/Ruimtestaat[[#This Row],[Norm (m2/uur) weekend]],0)</f>
        <v>0</v>
      </c>
      <c r="AD606" s="91">
        <f>Ruimtestaat[[#This Row],[uren / jaar weekend]]*Tariefsopbouw!$D$40</f>
        <v>0</v>
      </c>
      <c r="AE606" s="60">
        <f>Ruimtestaat[[#This Row],[Prest. (m2 /jaar) weekend]]+Ruimtestaat[[#This Row],[Prest. (m2 /jaar) werkdagen]]</f>
        <v>28892</v>
      </c>
      <c r="AF606" s="60">
        <f>Ruimtestaat[[#This Row],[uren / jaar weekend]]+Ruimtestaat[[#This Row],[uren / jaar werkdagen]]</f>
        <v>0</v>
      </c>
      <c r="AG606" s="61">
        <f>Ruimtestaat[[#This Row],[kosten / jaar weekend]]+Ruimtestaat[[#This Row],[kosten / jaar werkdagen]]</f>
        <v>0</v>
      </c>
      <c r="AH606" s="92"/>
      <c r="HL606" s="59"/>
    </row>
    <row r="607" spans="1:220">
      <c r="A607" s="24">
        <v>5</v>
      </c>
      <c r="B607" s="24" t="str">
        <f>VLOOKUP(Ruimtestaat[[#This Row],[Code]],Locaties[#All],2,FALSE)</f>
        <v>Marke Zuid</v>
      </c>
      <c r="C607" s="24" t="str">
        <f>VLOOKUP(Ruimtestaat[[#This Row],[Code]],Locaties[#All],4,FALSE)</f>
        <v>Ludgerstraat 1</v>
      </c>
      <c r="D607" s="24" t="str">
        <f>VLOOKUP(Ruimtestaat[[#This Row],[Code]],Locaties[#All],5,FALSE)</f>
        <v>7415 DV</v>
      </c>
      <c r="E607" s="24" t="str">
        <f>VLOOKUP(Ruimtestaat[[#This Row],[Code]],Locaties[#All],6,FALSE)</f>
        <v>Deventer</v>
      </c>
      <c r="F607" s="54"/>
      <c r="G607" s="24" t="s">
        <v>367</v>
      </c>
      <c r="H607" s="24" t="s">
        <v>1057</v>
      </c>
      <c r="I607" s="4" t="s">
        <v>1058</v>
      </c>
      <c r="J607" s="24">
        <v>5</v>
      </c>
      <c r="K607" s="54" t="str">
        <f>VLOOKUP(J607,Ruimtegroepen[],2,FALSE)</f>
        <v>Sanitair</v>
      </c>
      <c r="L607" s="24" t="s">
        <v>305</v>
      </c>
      <c r="M607" s="24" t="s">
        <v>1018</v>
      </c>
      <c r="N607" s="83">
        <v>5.18</v>
      </c>
      <c r="O607" s="83"/>
      <c r="P607" s="93" t="str">
        <f>LEFT(VLOOKUP(Ruimtestaat[[#This Row],[Ruimte code]],Ruimtegroepen[#All],4,1),2)</f>
        <v>Sa</v>
      </c>
      <c r="Q607" s="93"/>
      <c r="R607" s="84">
        <v>42</v>
      </c>
      <c r="S607" s="84" t="s">
        <v>316</v>
      </c>
      <c r="T607" s="85">
        <f>IF(R607&gt;0,IF(RIGHT(Ruimtestaat[[#This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07" s="85">
        <f>IF(T607&gt;0,VLOOKUP($J607,Ruimtegroepen[],3,FALSE)*VLOOKUP($L607,Vloersoorten[],3,FALSE)*VLOOKUP($S607,Frequenties[],3,FALSE)*VLOOKUP($A607,Locaties[],3,FALSE),0)</f>
        <v>0</v>
      </c>
      <c r="V607" s="86">
        <f>Ruimtestaat[[#This Row],[Uitvoeringen werkdagen]]*Ruimtestaat[[#This Row],[Oppervlak (netto)]]</f>
        <v>2175.6</v>
      </c>
      <c r="W607" s="87">
        <f>IF(U607&gt;0,Ruimtestaat[[#This Row],[Prest. (m2 /jaar) werkdagen]]/Ruimtestaat[[#This Row],[Norm (m2/uur) werkdagen]],0)</f>
        <v>0</v>
      </c>
      <c r="X607" s="88">
        <f>Ruimtestaat[[#This Row],[uren / jaar werkdagen]]*Tariefsopbouw!$E$35</f>
        <v>0</v>
      </c>
      <c r="Y607" s="85"/>
      <c r="Z607" s="89">
        <f>IF(Ruimtestaat[[#This Row],[Frequentie weekend]]&gt;0,VALUE(LEFT(Y607,1))*R607,0)</f>
        <v>0</v>
      </c>
      <c r="AA607" s="85">
        <f>IF($Z607&gt;0,VLOOKUP($J607,Ruimtegroepen[],3,FALSE)*VLOOKUP($L607,Vloersoorten[],3,FALSE)*VLOOKUP($Y607,Frequenties[],3,FALSE)*VLOOKUP(#REF!,Locaties[],3,FALSE),0)</f>
        <v>0</v>
      </c>
      <c r="AB607" s="87">
        <f>Ruimtestaat[[#This Row],[Uitvoeringen weekend]]*Ruimtestaat[[#This Row],[Oppervlak (netto)]]</f>
        <v>0</v>
      </c>
      <c r="AC607" s="90">
        <f>IF(AB607&gt;0,Ruimtestaat[[#This Row],[Prest. (m2 /jaar) weekend]]/Ruimtestaat[[#This Row],[Norm (m2/uur) weekend]],0)</f>
        <v>0</v>
      </c>
      <c r="AD607" s="91">
        <f>Ruimtestaat[[#This Row],[uren / jaar weekend]]*Tariefsopbouw!$D$40</f>
        <v>0</v>
      </c>
      <c r="AE607" s="60">
        <f>Ruimtestaat[[#This Row],[Prest. (m2 /jaar) weekend]]+Ruimtestaat[[#This Row],[Prest. (m2 /jaar) werkdagen]]</f>
        <v>2175.6</v>
      </c>
      <c r="AF607" s="60">
        <f>Ruimtestaat[[#This Row],[uren / jaar weekend]]+Ruimtestaat[[#This Row],[uren / jaar werkdagen]]</f>
        <v>0</v>
      </c>
      <c r="AG607" s="61">
        <f>Ruimtestaat[[#This Row],[kosten / jaar weekend]]+Ruimtestaat[[#This Row],[kosten / jaar werkdagen]]</f>
        <v>0</v>
      </c>
      <c r="AH607" s="92"/>
      <c r="HL607" s="59"/>
    </row>
    <row r="608" spans="1:220">
      <c r="A608" s="24">
        <v>5</v>
      </c>
      <c r="B608" s="24" t="str">
        <f>VLOOKUP(Ruimtestaat[[#This Row],[Code]],Locaties[#All],2,FALSE)</f>
        <v>Marke Zuid</v>
      </c>
      <c r="C608" s="24" t="str">
        <f>VLOOKUP(Ruimtestaat[[#This Row],[Code]],Locaties[#All],4,FALSE)</f>
        <v>Ludgerstraat 1</v>
      </c>
      <c r="D608" s="24" t="str">
        <f>VLOOKUP(Ruimtestaat[[#This Row],[Code]],Locaties[#All],5,FALSE)</f>
        <v>7415 DV</v>
      </c>
      <c r="E608" s="24" t="str">
        <f>VLOOKUP(Ruimtestaat[[#This Row],[Code]],Locaties[#All],6,FALSE)</f>
        <v>Deventer</v>
      </c>
      <c r="F608" s="54"/>
      <c r="G608" s="24" t="s">
        <v>367</v>
      </c>
      <c r="H608" s="24" t="s">
        <v>1059</v>
      </c>
      <c r="I608" s="4" t="s">
        <v>1010</v>
      </c>
      <c r="J608" s="24">
        <v>5</v>
      </c>
      <c r="K608" s="54" t="str">
        <f>VLOOKUP(J608,Ruimtegroepen[],2,FALSE)</f>
        <v>Sanitair</v>
      </c>
      <c r="L608" s="24" t="s">
        <v>305</v>
      </c>
      <c r="M608" s="24" t="s">
        <v>1018</v>
      </c>
      <c r="N608" s="83">
        <v>1.1299999999999999</v>
      </c>
      <c r="O608" s="83"/>
      <c r="P608" s="93" t="str">
        <f>LEFT(VLOOKUP(Ruimtestaat[[#This Row],[Ruimte code]],Ruimtegroepen[#All],4,1),2)</f>
        <v>Sa</v>
      </c>
      <c r="Q608" s="93"/>
      <c r="R608" s="84">
        <v>42</v>
      </c>
      <c r="S608" s="84" t="s">
        <v>316</v>
      </c>
      <c r="T608" s="85">
        <f>IF(R608&gt;0,IF(RIGHT(Ruimtestaat[[#This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08" s="85">
        <f>IF(T608&gt;0,VLOOKUP($J608,Ruimtegroepen[],3,FALSE)*VLOOKUP($L608,Vloersoorten[],3,FALSE)*VLOOKUP($S608,Frequenties[],3,FALSE)*VLOOKUP($A608,Locaties[],3,FALSE),0)</f>
        <v>0</v>
      </c>
      <c r="V608" s="86">
        <f>Ruimtestaat[[#This Row],[Uitvoeringen werkdagen]]*Ruimtestaat[[#This Row],[Oppervlak (netto)]]</f>
        <v>474.59999999999997</v>
      </c>
      <c r="W608" s="87">
        <f>IF(U608&gt;0,Ruimtestaat[[#This Row],[Prest. (m2 /jaar) werkdagen]]/Ruimtestaat[[#This Row],[Norm (m2/uur) werkdagen]],0)</f>
        <v>0</v>
      </c>
      <c r="X608" s="88">
        <f>Ruimtestaat[[#This Row],[uren / jaar werkdagen]]*Tariefsopbouw!$E$35</f>
        <v>0</v>
      </c>
      <c r="Y608" s="85"/>
      <c r="Z608" s="89">
        <f>IF(Ruimtestaat[[#This Row],[Frequentie weekend]]&gt;0,VALUE(LEFT(Y608,1))*R608,0)</f>
        <v>0</v>
      </c>
      <c r="AA608" s="85">
        <f>IF($Z608&gt;0,VLOOKUP($J608,Ruimtegroepen[],3,FALSE)*VLOOKUP($L608,Vloersoorten[],3,FALSE)*VLOOKUP($Y608,Frequenties[],3,FALSE)*VLOOKUP(#REF!,Locaties[],3,FALSE),0)</f>
        <v>0</v>
      </c>
      <c r="AB608" s="87">
        <f>Ruimtestaat[[#This Row],[Uitvoeringen weekend]]*Ruimtestaat[[#This Row],[Oppervlak (netto)]]</f>
        <v>0</v>
      </c>
      <c r="AC608" s="90">
        <f>IF(AB608&gt;0,Ruimtestaat[[#This Row],[Prest. (m2 /jaar) weekend]]/Ruimtestaat[[#This Row],[Norm (m2/uur) weekend]],0)</f>
        <v>0</v>
      </c>
      <c r="AD608" s="91">
        <f>Ruimtestaat[[#This Row],[uren / jaar weekend]]*Tariefsopbouw!$D$40</f>
        <v>0</v>
      </c>
      <c r="AE608" s="60">
        <f>Ruimtestaat[[#This Row],[Prest. (m2 /jaar) weekend]]+Ruimtestaat[[#This Row],[Prest. (m2 /jaar) werkdagen]]</f>
        <v>474.59999999999997</v>
      </c>
      <c r="AF608" s="60">
        <f>Ruimtestaat[[#This Row],[uren / jaar weekend]]+Ruimtestaat[[#This Row],[uren / jaar werkdagen]]</f>
        <v>0</v>
      </c>
      <c r="AG608" s="61">
        <f>Ruimtestaat[[#This Row],[kosten / jaar weekend]]+Ruimtestaat[[#This Row],[kosten / jaar werkdagen]]</f>
        <v>0</v>
      </c>
      <c r="AH608" s="92"/>
      <c r="HL608" s="59"/>
    </row>
    <row r="609" spans="1:220">
      <c r="A609" s="24">
        <v>5</v>
      </c>
      <c r="B609" s="24" t="str">
        <f>VLOOKUP(Ruimtestaat[[#This Row],[Code]],Locaties[#All],2,FALSE)</f>
        <v>Marke Zuid</v>
      </c>
      <c r="C609" s="24" t="str">
        <f>VLOOKUP(Ruimtestaat[[#This Row],[Code]],Locaties[#All],4,FALSE)</f>
        <v>Ludgerstraat 1</v>
      </c>
      <c r="D609" s="24" t="str">
        <f>VLOOKUP(Ruimtestaat[[#This Row],[Code]],Locaties[#All],5,FALSE)</f>
        <v>7415 DV</v>
      </c>
      <c r="E609" s="24" t="str">
        <f>VLOOKUP(Ruimtestaat[[#This Row],[Code]],Locaties[#All],6,FALSE)</f>
        <v>Deventer</v>
      </c>
      <c r="F609" s="54"/>
      <c r="G609" s="24" t="s">
        <v>367</v>
      </c>
      <c r="H609" s="24" t="s">
        <v>1060</v>
      </c>
      <c r="I609" s="4" t="s">
        <v>1010</v>
      </c>
      <c r="J609" s="24">
        <v>5</v>
      </c>
      <c r="K609" s="54" t="str">
        <f>VLOOKUP(J609,Ruimtegroepen[],2,FALSE)</f>
        <v>Sanitair</v>
      </c>
      <c r="L609" s="24" t="s">
        <v>305</v>
      </c>
      <c r="M609" s="24" t="s">
        <v>1018</v>
      </c>
      <c r="N609" s="83">
        <v>1.1000000000000001</v>
      </c>
      <c r="O609" s="83"/>
      <c r="P609" s="93" t="str">
        <f>LEFT(VLOOKUP(Ruimtestaat[[#This Row],[Ruimte code]],Ruimtegroepen[#All],4,1),2)</f>
        <v>Sa</v>
      </c>
      <c r="Q609" s="93"/>
      <c r="R609" s="84">
        <v>42</v>
      </c>
      <c r="S609" s="84" t="s">
        <v>316</v>
      </c>
      <c r="T609" s="85">
        <f>IF(R609&gt;0,IF(RIGHT(Ruimtestaat[[#This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09" s="85">
        <f>IF(T609&gt;0,VLOOKUP($J609,Ruimtegroepen[],3,FALSE)*VLOOKUP($L609,Vloersoorten[],3,FALSE)*VLOOKUP($S609,Frequenties[],3,FALSE)*VLOOKUP($A609,Locaties[],3,FALSE),0)</f>
        <v>0</v>
      </c>
      <c r="V609" s="86">
        <f>Ruimtestaat[[#This Row],[Uitvoeringen werkdagen]]*Ruimtestaat[[#This Row],[Oppervlak (netto)]]</f>
        <v>462.00000000000006</v>
      </c>
      <c r="W609" s="87">
        <f>IF(U609&gt;0,Ruimtestaat[[#This Row],[Prest. (m2 /jaar) werkdagen]]/Ruimtestaat[[#This Row],[Norm (m2/uur) werkdagen]],0)</f>
        <v>0</v>
      </c>
      <c r="X609" s="88">
        <f>Ruimtestaat[[#This Row],[uren / jaar werkdagen]]*Tariefsopbouw!$E$35</f>
        <v>0</v>
      </c>
      <c r="Y609" s="85"/>
      <c r="Z609" s="89">
        <f>IF(Ruimtestaat[[#This Row],[Frequentie weekend]]&gt;0,VALUE(LEFT(Y609,1))*R609,0)</f>
        <v>0</v>
      </c>
      <c r="AA609" s="85">
        <f>IF($Z609&gt;0,VLOOKUP($J609,Ruimtegroepen[],3,FALSE)*VLOOKUP($L609,Vloersoorten[],3,FALSE)*VLOOKUP($Y609,Frequenties[],3,FALSE)*VLOOKUP(#REF!,Locaties[],3,FALSE),0)</f>
        <v>0</v>
      </c>
      <c r="AB609" s="87">
        <f>Ruimtestaat[[#This Row],[Uitvoeringen weekend]]*Ruimtestaat[[#This Row],[Oppervlak (netto)]]</f>
        <v>0</v>
      </c>
      <c r="AC609" s="90">
        <f>IF(AB609&gt;0,Ruimtestaat[[#This Row],[Prest. (m2 /jaar) weekend]]/Ruimtestaat[[#This Row],[Norm (m2/uur) weekend]],0)</f>
        <v>0</v>
      </c>
      <c r="AD609" s="91">
        <f>Ruimtestaat[[#This Row],[uren / jaar weekend]]*Tariefsopbouw!$D$40</f>
        <v>0</v>
      </c>
      <c r="AE609" s="60">
        <f>Ruimtestaat[[#This Row],[Prest. (m2 /jaar) weekend]]+Ruimtestaat[[#This Row],[Prest. (m2 /jaar) werkdagen]]</f>
        <v>462.00000000000006</v>
      </c>
      <c r="AF609" s="60">
        <f>Ruimtestaat[[#This Row],[uren / jaar weekend]]+Ruimtestaat[[#This Row],[uren / jaar werkdagen]]</f>
        <v>0</v>
      </c>
      <c r="AG609" s="61">
        <f>Ruimtestaat[[#This Row],[kosten / jaar weekend]]+Ruimtestaat[[#This Row],[kosten / jaar werkdagen]]</f>
        <v>0</v>
      </c>
      <c r="AH609" s="92"/>
      <c r="HL609" s="59"/>
    </row>
    <row r="610" spans="1:220">
      <c r="A610" s="24">
        <v>5</v>
      </c>
      <c r="B610" s="24" t="str">
        <f>VLOOKUP(Ruimtestaat[[#This Row],[Code]],Locaties[#All],2,FALSE)</f>
        <v>Marke Zuid</v>
      </c>
      <c r="C610" s="24" t="str">
        <f>VLOOKUP(Ruimtestaat[[#This Row],[Code]],Locaties[#All],4,FALSE)</f>
        <v>Ludgerstraat 1</v>
      </c>
      <c r="D610" s="24" t="str">
        <f>VLOOKUP(Ruimtestaat[[#This Row],[Code]],Locaties[#All],5,FALSE)</f>
        <v>7415 DV</v>
      </c>
      <c r="E610" s="24" t="str">
        <f>VLOOKUP(Ruimtestaat[[#This Row],[Code]],Locaties[#All],6,FALSE)</f>
        <v>Deventer</v>
      </c>
      <c r="F610" s="54"/>
      <c r="G610" s="24" t="s">
        <v>367</v>
      </c>
      <c r="H610" s="24" t="s">
        <v>1061</v>
      </c>
      <c r="I610" s="4" t="s">
        <v>375</v>
      </c>
      <c r="J610" s="24">
        <v>22</v>
      </c>
      <c r="K610" s="54" t="str">
        <f>VLOOKUP(J610,Ruimtegroepen[],2,FALSE)</f>
        <v>Niet in onderhoud</v>
      </c>
      <c r="L610" s="24" t="s">
        <v>305</v>
      </c>
      <c r="M610" s="24" t="s">
        <v>373</v>
      </c>
      <c r="N610" s="83"/>
      <c r="O610" s="83">
        <v>2.85</v>
      </c>
      <c r="P610" s="93" t="str">
        <f>LEFT(VLOOKUP(Ruimtestaat[[#This Row],[Ruimte code]],Ruimtegroepen[#All],4,1),2)</f>
        <v/>
      </c>
      <c r="Q610" s="93"/>
      <c r="R610" s="84"/>
      <c r="S610" s="84"/>
      <c r="T610" s="85">
        <f>IF(R610&gt;0,IF(RIGHT(Ruimtestaat[[#This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10" s="85">
        <f>IF(T610&gt;0,VLOOKUP($J610,Ruimtegroepen[],3,FALSE)*VLOOKUP($L610,Vloersoorten[],3,FALSE)*VLOOKUP($S610,Frequenties[],3,FALSE)*VLOOKUP($A610,Locaties[],3,FALSE),0)</f>
        <v>0</v>
      </c>
      <c r="V610" s="86">
        <f>Ruimtestaat[[#This Row],[Uitvoeringen werkdagen]]*Ruimtestaat[[#This Row],[Oppervlak (netto)]]</f>
        <v>0</v>
      </c>
      <c r="W610" s="87">
        <f>IF(U610&gt;0,Ruimtestaat[[#This Row],[Prest. (m2 /jaar) werkdagen]]/Ruimtestaat[[#This Row],[Norm (m2/uur) werkdagen]],0)</f>
        <v>0</v>
      </c>
      <c r="X610" s="88">
        <f>Ruimtestaat[[#This Row],[uren / jaar werkdagen]]*Tariefsopbouw!$E$35</f>
        <v>0</v>
      </c>
      <c r="Y610" s="85"/>
      <c r="Z610" s="89">
        <f>IF(Ruimtestaat[[#This Row],[Frequentie weekend]]&gt;0,VALUE(LEFT(Y610,1))*R610,0)</f>
        <v>0</v>
      </c>
      <c r="AA610" s="85">
        <f>IF($Z610&gt;0,VLOOKUP($J610,Ruimtegroepen[],3,FALSE)*VLOOKUP($L610,Vloersoorten[],3,FALSE)*VLOOKUP($Y610,Frequenties[],3,FALSE)*VLOOKUP(#REF!,Locaties[],3,FALSE),0)</f>
        <v>0</v>
      </c>
      <c r="AB610" s="87">
        <f>Ruimtestaat[[#This Row],[Uitvoeringen weekend]]*Ruimtestaat[[#This Row],[Oppervlak (netto)]]</f>
        <v>0</v>
      </c>
      <c r="AC610" s="90">
        <f>IF(AB610&gt;0,Ruimtestaat[[#This Row],[Prest. (m2 /jaar) weekend]]/Ruimtestaat[[#This Row],[Norm (m2/uur) weekend]],0)</f>
        <v>0</v>
      </c>
      <c r="AD610" s="91">
        <f>Ruimtestaat[[#This Row],[uren / jaar weekend]]*Tariefsopbouw!$D$40</f>
        <v>0</v>
      </c>
      <c r="AE610" s="60">
        <f>Ruimtestaat[[#This Row],[Prest. (m2 /jaar) weekend]]+Ruimtestaat[[#This Row],[Prest. (m2 /jaar) werkdagen]]</f>
        <v>0</v>
      </c>
      <c r="AF610" s="60">
        <f>Ruimtestaat[[#This Row],[uren / jaar weekend]]+Ruimtestaat[[#This Row],[uren / jaar werkdagen]]</f>
        <v>0</v>
      </c>
      <c r="AG610" s="61">
        <f>Ruimtestaat[[#This Row],[kosten / jaar weekend]]+Ruimtestaat[[#This Row],[kosten / jaar werkdagen]]</f>
        <v>0</v>
      </c>
      <c r="AH610" s="92"/>
      <c r="HL610" s="59"/>
    </row>
    <row r="611" spans="1:220">
      <c r="A611" s="24">
        <v>5</v>
      </c>
      <c r="B611" s="24" t="str">
        <f>VLOOKUP(Ruimtestaat[[#This Row],[Code]],Locaties[#All],2,FALSE)</f>
        <v>Marke Zuid</v>
      </c>
      <c r="C611" s="24" t="str">
        <f>VLOOKUP(Ruimtestaat[[#This Row],[Code]],Locaties[#All],4,FALSE)</f>
        <v>Ludgerstraat 1</v>
      </c>
      <c r="D611" s="24" t="str">
        <f>VLOOKUP(Ruimtestaat[[#This Row],[Code]],Locaties[#All],5,FALSE)</f>
        <v>7415 DV</v>
      </c>
      <c r="E611" s="24" t="str">
        <f>VLOOKUP(Ruimtestaat[[#This Row],[Code]],Locaties[#All],6,FALSE)</f>
        <v>Deventer</v>
      </c>
      <c r="F611" s="54"/>
      <c r="G611" s="24" t="s">
        <v>367</v>
      </c>
      <c r="H611" s="24" t="s">
        <v>1062</v>
      </c>
      <c r="I611" s="4" t="s">
        <v>375</v>
      </c>
      <c r="J611" s="24">
        <v>22</v>
      </c>
      <c r="K611" s="54" t="str">
        <f>VLOOKUP(J611,Ruimtegroepen[],2,FALSE)</f>
        <v>Niet in onderhoud</v>
      </c>
      <c r="L611" s="24" t="s">
        <v>305</v>
      </c>
      <c r="M611" s="24" t="s">
        <v>373</v>
      </c>
      <c r="N611" s="83"/>
      <c r="O611" s="83">
        <v>10.08</v>
      </c>
      <c r="P611" s="93" t="str">
        <f>LEFT(VLOOKUP(Ruimtestaat[[#This Row],[Ruimte code]],Ruimtegroepen[#All],4,1),2)</f>
        <v/>
      </c>
      <c r="Q611" s="93"/>
      <c r="R611" s="84"/>
      <c r="S611" s="84"/>
      <c r="T611" s="85">
        <f>IF(R611&gt;0,IF(RIGHT(Ruimtestaat[[#This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11" s="85">
        <f>IF(T611&gt;0,VLOOKUP($J611,Ruimtegroepen[],3,FALSE)*VLOOKUP($L611,Vloersoorten[],3,FALSE)*VLOOKUP($S611,Frequenties[],3,FALSE)*VLOOKUP($A611,Locaties[],3,FALSE),0)</f>
        <v>0</v>
      </c>
      <c r="V611" s="86">
        <f>Ruimtestaat[[#This Row],[Uitvoeringen werkdagen]]*Ruimtestaat[[#This Row],[Oppervlak (netto)]]</f>
        <v>0</v>
      </c>
      <c r="W611" s="87">
        <f>IF(U611&gt;0,Ruimtestaat[[#This Row],[Prest. (m2 /jaar) werkdagen]]/Ruimtestaat[[#This Row],[Norm (m2/uur) werkdagen]],0)</f>
        <v>0</v>
      </c>
      <c r="X611" s="88">
        <f>Ruimtestaat[[#This Row],[uren / jaar werkdagen]]*Tariefsopbouw!$E$35</f>
        <v>0</v>
      </c>
      <c r="Y611" s="85"/>
      <c r="Z611" s="89">
        <f>IF(Ruimtestaat[[#This Row],[Frequentie weekend]]&gt;0,VALUE(LEFT(Y611,1))*R611,0)</f>
        <v>0</v>
      </c>
      <c r="AA611" s="85">
        <f>IF($Z611&gt;0,VLOOKUP($J611,Ruimtegroepen[],3,FALSE)*VLOOKUP($L611,Vloersoorten[],3,FALSE)*VLOOKUP($Y611,Frequenties[],3,FALSE)*VLOOKUP(#REF!,Locaties[],3,FALSE),0)</f>
        <v>0</v>
      </c>
      <c r="AB611" s="87">
        <f>Ruimtestaat[[#This Row],[Uitvoeringen weekend]]*Ruimtestaat[[#This Row],[Oppervlak (netto)]]</f>
        <v>0</v>
      </c>
      <c r="AC611" s="90">
        <f>IF(AB611&gt;0,Ruimtestaat[[#This Row],[Prest. (m2 /jaar) weekend]]/Ruimtestaat[[#This Row],[Norm (m2/uur) weekend]],0)</f>
        <v>0</v>
      </c>
      <c r="AD611" s="91">
        <f>Ruimtestaat[[#This Row],[uren / jaar weekend]]*Tariefsopbouw!$D$40</f>
        <v>0</v>
      </c>
      <c r="AE611" s="60">
        <f>Ruimtestaat[[#This Row],[Prest. (m2 /jaar) weekend]]+Ruimtestaat[[#This Row],[Prest. (m2 /jaar) werkdagen]]</f>
        <v>0</v>
      </c>
      <c r="AF611" s="60">
        <f>Ruimtestaat[[#This Row],[uren / jaar weekend]]+Ruimtestaat[[#This Row],[uren / jaar werkdagen]]</f>
        <v>0</v>
      </c>
      <c r="AG611" s="61">
        <f>Ruimtestaat[[#This Row],[kosten / jaar weekend]]+Ruimtestaat[[#This Row],[kosten / jaar werkdagen]]</f>
        <v>0</v>
      </c>
      <c r="AH611" s="92"/>
      <c r="HL611" s="59"/>
    </row>
    <row r="612" spans="1:220">
      <c r="A612" s="24">
        <v>5</v>
      </c>
      <c r="B612" s="24" t="str">
        <f>VLOOKUP(Ruimtestaat[[#This Row],[Code]],Locaties[#All],2,FALSE)</f>
        <v>Marke Zuid</v>
      </c>
      <c r="C612" s="24" t="str">
        <f>VLOOKUP(Ruimtestaat[[#This Row],[Code]],Locaties[#All],4,FALSE)</f>
        <v>Ludgerstraat 1</v>
      </c>
      <c r="D612" s="24" t="str">
        <f>VLOOKUP(Ruimtestaat[[#This Row],[Code]],Locaties[#All],5,FALSE)</f>
        <v>7415 DV</v>
      </c>
      <c r="E612" s="24" t="str">
        <f>VLOOKUP(Ruimtestaat[[#This Row],[Code]],Locaties[#All],6,FALSE)</f>
        <v>Deventer</v>
      </c>
      <c r="F612" s="54"/>
      <c r="G612" s="24" t="s">
        <v>367</v>
      </c>
      <c r="H612" s="24" t="s">
        <v>1063</v>
      </c>
      <c r="I612" s="4" t="s">
        <v>1010</v>
      </c>
      <c r="J612" s="24">
        <v>5</v>
      </c>
      <c r="K612" s="54" t="str">
        <f>VLOOKUP(J612,Ruimtegroepen[],2,FALSE)</f>
        <v>Sanitair</v>
      </c>
      <c r="L612" s="24" t="s">
        <v>305</v>
      </c>
      <c r="M612" s="24" t="s">
        <v>373</v>
      </c>
      <c r="N612" s="83">
        <v>1.1100000000000001</v>
      </c>
      <c r="O612" s="83"/>
      <c r="P612" s="93" t="str">
        <f>LEFT(VLOOKUP(Ruimtestaat[[#This Row],[Ruimte code]],Ruimtegroepen[#All],4,1),2)</f>
        <v>Sa</v>
      </c>
      <c r="Q612" s="93"/>
      <c r="R612" s="84">
        <v>42</v>
      </c>
      <c r="S612" s="84" t="s">
        <v>316</v>
      </c>
      <c r="T612" s="85">
        <f>IF(R612&gt;0,IF(RIGHT(Ruimtestaat[[#This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2" s="85">
        <f>IF(T612&gt;0,VLOOKUP($J612,Ruimtegroepen[],3,FALSE)*VLOOKUP($L612,Vloersoorten[],3,FALSE)*VLOOKUP($S612,Frequenties[],3,FALSE)*VLOOKUP($A612,Locaties[],3,FALSE),0)</f>
        <v>0</v>
      </c>
      <c r="V612" s="86">
        <f>Ruimtestaat[[#This Row],[Uitvoeringen werkdagen]]*Ruimtestaat[[#This Row],[Oppervlak (netto)]]</f>
        <v>466.20000000000005</v>
      </c>
      <c r="W612" s="87">
        <f>IF(U612&gt;0,Ruimtestaat[[#This Row],[Prest. (m2 /jaar) werkdagen]]/Ruimtestaat[[#This Row],[Norm (m2/uur) werkdagen]],0)</f>
        <v>0</v>
      </c>
      <c r="X612" s="88">
        <f>Ruimtestaat[[#This Row],[uren / jaar werkdagen]]*Tariefsopbouw!$E$35</f>
        <v>0</v>
      </c>
      <c r="Y612" s="85"/>
      <c r="Z612" s="89">
        <f>IF(Ruimtestaat[[#This Row],[Frequentie weekend]]&gt;0,VALUE(LEFT(Y612,1))*R612,0)</f>
        <v>0</v>
      </c>
      <c r="AA612" s="85">
        <f>IF($Z612&gt;0,VLOOKUP($J612,Ruimtegroepen[],3,FALSE)*VLOOKUP($L612,Vloersoorten[],3,FALSE)*VLOOKUP($Y612,Frequenties[],3,FALSE)*VLOOKUP(#REF!,Locaties[],3,FALSE),0)</f>
        <v>0</v>
      </c>
      <c r="AB612" s="87">
        <f>Ruimtestaat[[#This Row],[Uitvoeringen weekend]]*Ruimtestaat[[#This Row],[Oppervlak (netto)]]</f>
        <v>0</v>
      </c>
      <c r="AC612" s="90">
        <f>IF(AB612&gt;0,Ruimtestaat[[#This Row],[Prest. (m2 /jaar) weekend]]/Ruimtestaat[[#This Row],[Norm (m2/uur) weekend]],0)</f>
        <v>0</v>
      </c>
      <c r="AD612" s="91">
        <f>Ruimtestaat[[#This Row],[uren / jaar weekend]]*Tariefsopbouw!$D$40</f>
        <v>0</v>
      </c>
      <c r="AE612" s="60">
        <f>Ruimtestaat[[#This Row],[Prest. (m2 /jaar) weekend]]+Ruimtestaat[[#This Row],[Prest. (m2 /jaar) werkdagen]]</f>
        <v>466.20000000000005</v>
      </c>
      <c r="AF612" s="60">
        <f>Ruimtestaat[[#This Row],[uren / jaar weekend]]+Ruimtestaat[[#This Row],[uren / jaar werkdagen]]</f>
        <v>0</v>
      </c>
      <c r="AG612" s="61">
        <f>Ruimtestaat[[#This Row],[kosten / jaar weekend]]+Ruimtestaat[[#This Row],[kosten / jaar werkdagen]]</f>
        <v>0</v>
      </c>
      <c r="AH612" s="92"/>
      <c r="HL612" s="59"/>
    </row>
    <row r="613" spans="1:220">
      <c r="A613" s="24">
        <v>5</v>
      </c>
      <c r="B613" s="24" t="str">
        <f>VLOOKUP(Ruimtestaat[[#This Row],[Code]],Locaties[#All],2,FALSE)</f>
        <v>Marke Zuid</v>
      </c>
      <c r="C613" s="24" t="str">
        <f>VLOOKUP(Ruimtestaat[[#This Row],[Code]],Locaties[#All],4,FALSE)</f>
        <v>Ludgerstraat 1</v>
      </c>
      <c r="D613" s="24" t="str">
        <f>VLOOKUP(Ruimtestaat[[#This Row],[Code]],Locaties[#All],5,FALSE)</f>
        <v>7415 DV</v>
      </c>
      <c r="E613" s="24" t="str">
        <f>VLOOKUP(Ruimtestaat[[#This Row],[Code]],Locaties[#All],6,FALSE)</f>
        <v>Deventer</v>
      </c>
      <c r="F613" s="54"/>
      <c r="G613" s="24" t="s">
        <v>367</v>
      </c>
      <c r="H613" s="24" t="s">
        <v>1064</v>
      </c>
      <c r="I613" s="4" t="s">
        <v>1010</v>
      </c>
      <c r="J613" s="24">
        <v>5</v>
      </c>
      <c r="K613" s="54" t="str">
        <f>VLOOKUP(J613,Ruimtegroepen[],2,FALSE)</f>
        <v>Sanitair</v>
      </c>
      <c r="L613" s="24" t="s">
        <v>305</v>
      </c>
      <c r="M613" s="24" t="s">
        <v>373</v>
      </c>
      <c r="N613" s="83">
        <v>1.0900000000000001</v>
      </c>
      <c r="O613" s="83"/>
      <c r="P613" s="93" t="str">
        <f>LEFT(VLOOKUP(Ruimtestaat[[#This Row],[Ruimte code]],Ruimtegroepen[#All],4,1),2)</f>
        <v>Sa</v>
      </c>
      <c r="Q613" s="93"/>
      <c r="R613" s="84">
        <v>42</v>
      </c>
      <c r="S613" s="84" t="s">
        <v>316</v>
      </c>
      <c r="T613" s="85">
        <f>IF(R613&gt;0,IF(RIGHT(Ruimtestaat[[#This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3" s="85">
        <f>IF(T613&gt;0,VLOOKUP($J613,Ruimtegroepen[],3,FALSE)*VLOOKUP($L613,Vloersoorten[],3,FALSE)*VLOOKUP($S613,Frequenties[],3,FALSE)*VLOOKUP($A613,Locaties[],3,FALSE),0)</f>
        <v>0</v>
      </c>
      <c r="V613" s="86">
        <f>Ruimtestaat[[#This Row],[Uitvoeringen werkdagen]]*Ruimtestaat[[#This Row],[Oppervlak (netto)]]</f>
        <v>457.8</v>
      </c>
      <c r="W613" s="87">
        <f>IF(U613&gt;0,Ruimtestaat[[#This Row],[Prest. (m2 /jaar) werkdagen]]/Ruimtestaat[[#This Row],[Norm (m2/uur) werkdagen]],0)</f>
        <v>0</v>
      </c>
      <c r="X613" s="88">
        <f>Ruimtestaat[[#This Row],[uren / jaar werkdagen]]*Tariefsopbouw!$E$35</f>
        <v>0</v>
      </c>
      <c r="Y613" s="85"/>
      <c r="Z613" s="89">
        <f>IF(Ruimtestaat[[#This Row],[Frequentie weekend]]&gt;0,VALUE(LEFT(Y613,1))*R613,0)</f>
        <v>0</v>
      </c>
      <c r="AA613" s="85">
        <f>IF($Z613&gt;0,VLOOKUP($J613,Ruimtegroepen[],3,FALSE)*VLOOKUP($L613,Vloersoorten[],3,FALSE)*VLOOKUP($Y613,Frequenties[],3,FALSE)*VLOOKUP(#REF!,Locaties[],3,FALSE),0)</f>
        <v>0</v>
      </c>
      <c r="AB613" s="87">
        <f>Ruimtestaat[[#This Row],[Uitvoeringen weekend]]*Ruimtestaat[[#This Row],[Oppervlak (netto)]]</f>
        <v>0</v>
      </c>
      <c r="AC613" s="90">
        <f>IF(AB613&gt;0,Ruimtestaat[[#This Row],[Prest. (m2 /jaar) weekend]]/Ruimtestaat[[#This Row],[Norm (m2/uur) weekend]],0)</f>
        <v>0</v>
      </c>
      <c r="AD613" s="91">
        <f>Ruimtestaat[[#This Row],[uren / jaar weekend]]*Tariefsopbouw!$D$40</f>
        <v>0</v>
      </c>
      <c r="AE613" s="60">
        <f>Ruimtestaat[[#This Row],[Prest. (m2 /jaar) weekend]]+Ruimtestaat[[#This Row],[Prest. (m2 /jaar) werkdagen]]</f>
        <v>457.8</v>
      </c>
      <c r="AF613" s="60">
        <f>Ruimtestaat[[#This Row],[uren / jaar weekend]]+Ruimtestaat[[#This Row],[uren / jaar werkdagen]]</f>
        <v>0</v>
      </c>
      <c r="AG613" s="61">
        <f>Ruimtestaat[[#This Row],[kosten / jaar weekend]]+Ruimtestaat[[#This Row],[kosten / jaar werkdagen]]</f>
        <v>0</v>
      </c>
      <c r="AH613" s="92"/>
      <c r="HL613" s="59"/>
    </row>
    <row r="614" spans="1:220">
      <c r="A614" s="24">
        <v>5</v>
      </c>
      <c r="B614" s="24" t="str">
        <f>VLOOKUP(Ruimtestaat[[#This Row],[Code]],Locaties[#All],2,FALSE)</f>
        <v>Marke Zuid</v>
      </c>
      <c r="C614" s="24" t="str">
        <f>VLOOKUP(Ruimtestaat[[#This Row],[Code]],Locaties[#All],4,FALSE)</f>
        <v>Ludgerstraat 1</v>
      </c>
      <c r="D614" s="24" t="str">
        <f>VLOOKUP(Ruimtestaat[[#This Row],[Code]],Locaties[#All],5,FALSE)</f>
        <v>7415 DV</v>
      </c>
      <c r="E614" s="24" t="str">
        <f>VLOOKUP(Ruimtestaat[[#This Row],[Code]],Locaties[#All],6,FALSE)</f>
        <v>Deventer</v>
      </c>
      <c r="F614" s="54"/>
      <c r="G614" s="24" t="s">
        <v>367</v>
      </c>
      <c r="H614" s="24" t="s">
        <v>417</v>
      </c>
      <c r="I614" s="4" t="s">
        <v>639</v>
      </c>
      <c r="J614" s="24">
        <v>22</v>
      </c>
      <c r="K614" s="54" t="str">
        <f>VLOOKUP(J614,Ruimtegroepen[],2,FALSE)</f>
        <v>Niet in onderhoud</v>
      </c>
      <c r="L614" s="24" t="s">
        <v>305</v>
      </c>
      <c r="M614" s="24" t="s">
        <v>1018</v>
      </c>
      <c r="N614" s="83"/>
      <c r="O614" s="83">
        <v>11.09</v>
      </c>
      <c r="P614" s="93" t="str">
        <f>LEFT(VLOOKUP(Ruimtestaat[[#This Row],[Ruimte code]],Ruimtegroepen[#All],4,1),2)</f>
        <v/>
      </c>
      <c r="Q614" s="93"/>
      <c r="R614" s="84"/>
      <c r="S614" s="84"/>
      <c r="T614" s="85">
        <f>IF(R614&gt;0,IF(RIGHT(Ruimtestaat[[#This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14" s="85">
        <f>IF(T614&gt;0,VLOOKUP($J614,Ruimtegroepen[],3,FALSE)*VLOOKUP($L614,Vloersoorten[],3,FALSE)*VLOOKUP($S614,Frequenties[],3,FALSE)*VLOOKUP($A614,Locaties[],3,FALSE),0)</f>
        <v>0</v>
      </c>
      <c r="V614" s="86">
        <f>Ruimtestaat[[#This Row],[Uitvoeringen werkdagen]]*Ruimtestaat[[#This Row],[Oppervlak (netto)]]</f>
        <v>0</v>
      </c>
      <c r="W614" s="87">
        <f>IF(U614&gt;0,Ruimtestaat[[#This Row],[Prest. (m2 /jaar) werkdagen]]/Ruimtestaat[[#This Row],[Norm (m2/uur) werkdagen]],0)</f>
        <v>0</v>
      </c>
      <c r="X614" s="88">
        <f>Ruimtestaat[[#This Row],[uren / jaar werkdagen]]*Tariefsopbouw!$E$35</f>
        <v>0</v>
      </c>
      <c r="Y614" s="85"/>
      <c r="Z614" s="89">
        <f>IF(Ruimtestaat[[#This Row],[Frequentie weekend]]&gt;0,VALUE(LEFT(Y614,1))*R614,0)</f>
        <v>0</v>
      </c>
      <c r="AA614" s="85">
        <f>IF($Z614&gt;0,VLOOKUP($J614,Ruimtegroepen[],3,FALSE)*VLOOKUP($L614,Vloersoorten[],3,FALSE)*VLOOKUP($Y614,Frequenties[],3,FALSE)*VLOOKUP(#REF!,Locaties[],3,FALSE),0)</f>
        <v>0</v>
      </c>
      <c r="AB614" s="87">
        <f>Ruimtestaat[[#This Row],[Uitvoeringen weekend]]*Ruimtestaat[[#This Row],[Oppervlak (netto)]]</f>
        <v>0</v>
      </c>
      <c r="AC614" s="90">
        <f>IF(AB614&gt;0,Ruimtestaat[[#This Row],[Prest. (m2 /jaar) weekend]]/Ruimtestaat[[#This Row],[Norm (m2/uur) weekend]],0)</f>
        <v>0</v>
      </c>
      <c r="AD614" s="91">
        <f>Ruimtestaat[[#This Row],[uren / jaar weekend]]*Tariefsopbouw!$D$40</f>
        <v>0</v>
      </c>
      <c r="AE614" s="60">
        <f>Ruimtestaat[[#This Row],[Prest. (m2 /jaar) weekend]]+Ruimtestaat[[#This Row],[Prest. (m2 /jaar) werkdagen]]</f>
        <v>0</v>
      </c>
      <c r="AF614" s="60">
        <f>Ruimtestaat[[#This Row],[uren / jaar weekend]]+Ruimtestaat[[#This Row],[uren / jaar werkdagen]]</f>
        <v>0</v>
      </c>
      <c r="AG614" s="61">
        <f>Ruimtestaat[[#This Row],[kosten / jaar weekend]]+Ruimtestaat[[#This Row],[kosten / jaar werkdagen]]</f>
        <v>0</v>
      </c>
      <c r="AH614" s="92"/>
      <c r="HL614" s="59"/>
    </row>
    <row r="615" spans="1:220">
      <c r="A615" s="24">
        <v>5</v>
      </c>
      <c r="B615" s="24" t="str">
        <f>VLOOKUP(Ruimtestaat[[#This Row],[Code]],Locaties[#All],2,FALSE)</f>
        <v>Marke Zuid</v>
      </c>
      <c r="C615" s="24" t="str">
        <f>VLOOKUP(Ruimtestaat[[#This Row],[Code]],Locaties[#All],4,FALSE)</f>
        <v>Ludgerstraat 1</v>
      </c>
      <c r="D615" s="24" t="str">
        <f>VLOOKUP(Ruimtestaat[[#This Row],[Code]],Locaties[#All],5,FALSE)</f>
        <v>7415 DV</v>
      </c>
      <c r="E615" s="24" t="str">
        <f>VLOOKUP(Ruimtestaat[[#This Row],[Code]],Locaties[#All],6,FALSE)</f>
        <v>Deventer</v>
      </c>
      <c r="F615" s="54"/>
      <c r="G615" s="24" t="s">
        <v>367</v>
      </c>
      <c r="H615" s="24" t="s">
        <v>418</v>
      </c>
      <c r="I615" s="4" t="s">
        <v>473</v>
      </c>
      <c r="J615" s="24">
        <v>5</v>
      </c>
      <c r="K615" s="54" t="str">
        <f>VLOOKUP(J615,Ruimtegroepen[],2,FALSE)</f>
        <v>Sanitair</v>
      </c>
      <c r="L615" s="24" t="s">
        <v>305</v>
      </c>
      <c r="M615" s="24" t="s">
        <v>373</v>
      </c>
      <c r="N615" s="83">
        <v>5.09</v>
      </c>
      <c r="O615" s="83"/>
      <c r="P615" s="93" t="str">
        <f>LEFT(VLOOKUP(Ruimtestaat[[#This Row],[Ruimte code]],Ruimtegroepen[#All],4,1),2)</f>
        <v>Sa</v>
      </c>
      <c r="Q615" s="93"/>
      <c r="R615" s="84">
        <v>42</v>
      </c>
      <c r="S615" s="84" t="s">
        <v>316</v>
      </c>
      <c r="T615" s="85">
        <f>IF(R615&gt;0,IF(RIGHT(Ruimtestaat[[#This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5" s="85">
        <f>IF(T615&gt;0,VLOOKUP($J615,Ruimtegroepen[],3,FALSE)*VLOOKUP($L615,Vloersoorten[],3,FALSE)*VLOOKUP($S615,Frequenties[],3,FALSE)*VLOOKUP($A615,Locaties[],3,FALSE),0)</f>
        <v>0</v>
      </c>
      <c r="V615" s="86">
        <f>Ruimtestaat[[#This Row],[Uitvoeringen werkdagen]]*Ruimtestaat[[#This Row],[Oppervlak (netto)]]</f>
        <v>2137.7999999999997</v>
      </c>
      <c r="W615" s="87">
        <f>IF(U615&gt;0,Ruimtestaat[[#This Row],[Prest. (m2 /jaar) werkdagen]]/Ruimtestaat[[#This Row],[Norm (m2/uur) werkdagen]],0)</f>
        <v>0</v>
      </c>
      <c r="X615" s="88">
        <f>Ruimtestaat[[#This Row],[uren / jaar werkdagen]]*Tariefsopbouw!$E$35</f>
        <v>0</v>
      </c>
      <c r="Y615" s="85"/>
      <c r="Z615" s="89">
        <f>IF(Ruimtestaat[[#This Row],[Frequentie weekend]]&gt;0,VALUE(LEFT(Y615,1))*R615,0)</f>
        <v>0</v>
      </c>
      <c r="AA615" s="85">
        <f>IF($Z615&gt;0,VLOOKUP($J615,Ruimtegroepen[],3,FALSE)*VLOOKUP($L615,Vloersoorten[],3,FALSE)*VLOOKUP($Y615,Frequenties[],3,FALSE)*VLOOKUP(#REF!,Locaties[],3,FALSE),0)</f>
        <v>0</v>
      </c>
      <c r="AB615" s="87">
        <f>Ruimtestaat[[#This Row],[Uitvoeringen weekend]]*Ruimtestaat[[#This Row],[Oppervlak (netto)]]</f>
        <v>0</v>
      </c>
      <c r="AC615" s="90">
        <f>IF(AB615&gt;0,Ruimtestaat[[#This Row],[Prest. (m2 /jaar) weekend]]/Ruimtestaat[[#This Row],[Norm (m2/uur) weekend]],0)</f>
        <v>0</v>
      </c>
      <c r="AD615" s="91">
        <f>Ruimtestaat[[#This Row],[uren / jaar weekend]]*Tariefsopbouw!$D$40</f>
        <v>0</v>
      </c>
      <c r="AE615" s="60">
        <f>Ruimtestaat[[#This Row],[Prest. (m2 /jaar) weekend]]+Ruimtestaat[[#This Row],[Prest. (m2 /jaar) werkdagen]]</f>
        <v>2137.7999999999997</v>
      </c>
      <c r="AF615" s="60">
        <f>Ruimtestaat[[#This Row],[uren / jaar weekend]]+Ruimtestaat[[#This Row],[uren / jaar werkdagen]]</f>
        <v>0</v>
      </c>
      <c r="AG615" s="61">
        <f>Ruimtestaat[[#This Row],[kosten / jaar weekend]]+Ruimtestaat[[#This Row],[kosten / jaar werkdagen]]</f>
        <v>0</v>
      </c>
      <c r="AH615" s="92"/>
      <c r="HL615" s="59"/>
    </row>
    <row r="616" spans="1:220">
      <c r="A616" s="24">
        <v>5</v>
      </c>
      <c r="B616" s="24" t="str">
        <f>VLOOKUP(Ruimtestaat[[#This Row],[Code]],Locaties[#All],2,FALSE)</f>
        <v>Marke Zuid</v>
      </c>
      <c r="C616" s="24" t="str">
        <f>VLOOKUP(Ruimtestaat[[#This Row],[Code]],Locaties[#All],4,FALSE)</f>
        <v>Ludgerstraat 1</v>
      </c>
      <c r="D616" s="24" t="str">
        <f>VLOOKUP(Ruimtestaat[[#This Row],[Code]],Locaties[#All],5,FALSE)</f>
        <v>7415 DV</v>
      </c>
      <c r="E616" s="24" t="str">
        <f>VLOOKUP(Ruimtestaat[[#This Row],[Code]],Locaties[#All],6,FALSE)</f>
        <v>Deventer</v>
      </c>
      <c r="F616" s="54"/>
      <c r="G616" s="24" t="s">
        <v>367</v>
      </c>
      <c r="H616" s="24" t="s">
        <v>1065</v>
      </c>
      <c r="I616" s="4" t="s">
        <v>1010</v>
      </c>
      <c r="J616" s="24">
        <v>5</v>
      </c>
      <c r="K616" s="54" t="str">
        <f>VLOOKUP(J616,Ruimtegroepen[],2,FALSE)</f>
        <v>Sanitair</v>
      </c>
      <c r="L616" s="24" t="s">
        <v>305</v>
      </c>
      <c r="M616" s="24" t="s">
        <v>373</v>
      </c>
      <c r="N616" s="83">
        <v>1.1100000000000001</v>
      </c>
      <c r="O616" s="83"/>
      <c r="P616" s="93" t="str">
        <f>LEFT(VLOOKUP(Ruimtestaat[[#This Row],[Ruimte code]],Ruimtegroepen[#All],4,1),2)</f>
        <v>Sa</v>
      </c>
      <c r="Q616" s="93"/>
      <c r="R616" s="84">
        <v>42</v>
      </c>
      <c r="S616" s="84" t="s">
        <v>316</v>
      </c>
      <c r="T616" s="85">
        <f>IF(R616&gt;0,IF(RIGHT(Ruimtestaat[[#This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6" s="85">
        <f>IF(T616&gt;0,VLOOKUP($J616,Ruimtegroepen[],3,FALSE)*VLOOKUP($L616,Vloersoorten[],3,FALSE)*VLOOKUP($S616,Frequenties[],3,FALSE)*VLOOKUP($A616,Locaties[],3,FALSE),0)</f>
        <v>0</v>
      </c>
      <c r="V616" s="86">
        <f>Ruimtestaat[[#This Row],[Uitvoeringen werkdagen]]*Ruimtestaat[[#This Row],[Oppervlak (netto)]]</f>
        <v>466.20000000000005</v>
      </c>
      <c r="W616" s="87">
        <f>IF(U616&gt;0,Ruimtestaat[[#This Row],[Prest. (m2 /jaar) werkdagen]]/Ruimtestaat[[#This Row],[Norm (m2/uur) werkdagen]],0)</f>
        <v>0</v>
      </c>
      <c r="X616" s="88">
        <f>Ruimtestaat[[#This Row],[uren / jaar werkdagen]]*Tariefsopbouw!$E$35</f>
        <v>0</v>
      </c>
      <c r="Y616" s="85"/>
      <c r="Z616" s="89">
        <f>IF(Ruimtestaat[[#This Row],[Frequentie weekend]]&gt;0,VALUE(LEFT(Y616,1))*R616,0)</f>
        <v>0</v>
      </c>
      <c r="AA616" s="85">
        <f>IF($Z616&gt;0,VLOOKUP($J616,Ruimtegroepen[],3,FALSE)*VLOOKUP($L616,Vloersoorten[],3,FALSE)*VLOOKUP($Y616,Frequenties[],3,FALSE)*VLOOKUP(#REF!,Locaties[],3,FALSE),0)</f>
        <v>0</v>
      </c>
      <c r="AB616" s="87">
        <f>Ruimtestaat[[#This Row],[Uitvoeringen weekend]]*Ruimtestaat[[#This Row],[Oppervlak (netto)]]</f>
        <v>0</v>
      </c>
      <c r="AC616" s="90">
        <f>IF(AB616&gt;0,Ruimtestaat[[#This Row],[Prest. (m2 /jaar) weekend]]/Ruimtestaat[[#This Row],[Norm (m2/uur) weekend]],0)</f>
        <v>0</v>
      </c>
      <c r="AD616" s="91">
        <f>Ruimtestaat[[#This Row],[uren / jaar weekend]]*Tariefsopbouw!$D$40</f>
        <v>0</v>
      </c>
      <c r="AE616" s="60">
        <f>Ruimtestaat[[#This Row],[Prest. (m2 /jaar) weekend]]+Ruimtestaat[[#This Row],[Prest. (m2 /jaar) werkdagen]]</f>
        <v>466.20000000000005</v>
      </c>
      <c r="AF616" s="60">
        <f>Ruimtestaat[[#This Row],[uren / jaar weekend]]+Ruimtestaat[[#This Row],[uren / jaar werkdagen]]</f>
        <v>0</v>
      </c>
      <c r="AG616" s="61">
        <f>Ruimtestaat[[#This Row],[kosten / jaar weekend]]+Ruimtestaat[[#This Row],[kosten / jaar werkdagen]]</f>
        <v>0</v>
      </c>
      <c r="AH616" s="92"/>
      <c r="HL616" s="59"/>
    </row>
    <row r="617" spans="1:220">
      <c r="A617" s="24">
        <v>5</v>
      </c>
      <c r="B617" s="24" t="str">
        <f>VLOOKUP(Ruimtestaat[[#This Row],[Code]],Locaties[#All],2,FALSE)</f>
        <v>Marke Zuid</v>
      </c>
      <c r="C617" s="24" t="str">
        <f>VLOOKUP(Ruimtestaat[[#This Row],[Code]],Locaties[#All],4,FALSE)</f>
        <v>Ludgerstraat 1</v>
      </c>
      <c r="D617" s="24" t="str">
        <f>VLOOKUP(Ruimtestaat[[#This Row],[Code]],Locaties[#All],5,FALSE)</f>
        <v>7415 DV</v>
      </c>
      <c r="E617" s="24" t="str">
        <f>VLOOKUP(Ruimtestaat[[#This Row],[Code]],Locaties[#All],6,FALSE)</f>
        <v>Deventer</v>
      </c>
      <c r="F617" s="54"/>
      <c r="G617" s="24" t="s">
        <v>367</v>
      </c>
      <c r="H617" s="24" t="s">
        <v>1066</v>
      </c>
      <c r="I617" s="4" t="s">
        <v>1010</v>
      </c>
      <c r="J617" s="24">
        <v>5</v>
      </c>
      <c r="K617" s="54" t="str">
        <f>VLOOKUP(J617,Ruimtegroepen[],2,FALSE)</f>
        <v>Sanitair</v>
      </c>
      <c r="L617" s="24" t="s">
        <v>305</v>
      </c>
      <c r="M617" s="24" t="s">
        <v>373</v>
      </c>
      <c r="N617" s="83">
        <v>1.1100000000000001</v>
      </c>
      <c r="O617" s="83"/>
      <c r="P617" s="93" t="str">
        <f>LEFT(VLOOKUP(Ruimtestaat[[#This Row],[Ruimte code]],Ruimtegroepen[#All],4,1),2)</f>
        <v>Sa</v>
      </c>
      <c r="Q617" s="93"/>
      <c r="R617" s="84">
        <v>42</v>
      </c>
      <c r="S617" s="84" t="s">
        <v>316</v>
      </c>
      <c r="T617" s="85">
        <f>IF(R617&gt;0,IF(RIGHT(Ruimtestaat[[#This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7" s="85">
        <f>IF(T617&gt;0,VLOOKUP($J617,Ruimtegroepen[],3,FALSE)*VLOOKUP($L617,Vloersoorten[],3,FALSE)*VLOOKUP($S617,Frequenties[],3,FALSE)*VLOOKUP($A617,Locaties[],3,FALSE),0)</f>
        <v>0</v>
      </c>
      <c r="V617" s="86">
        <f>Ruimtestaat[[#This Row],[Uitvoeringen werkdagen]]*Ruimtestaat[[#This Row],[Oppervlak (netto)]]</f>
        <v>466.20000000000005</v>
      </c>
      <c r="W617" s="87">
        <f>IF(U617&gt;0,Ruimtestaat[[#This Row],[Prest. (m2 /jaar) werkdagen]]/Ruimtestaat[[#This Row],[Norm (m2/uur) werkdagen]],0)</f>
        <v>0</v>
      </c>
      <c r="X617" s="88">
        <f>Ruimtestaat[[#This Row],[uren / jaar werkdagen]]*Tariefsopbouw!$E$35</f>
        <v>0</v>
      </c>
      <c r="Y617" s="85"/>
      <c r="Z617" s="89">
        <f>IF(Ruimtestaat[[#This Row],[Frequentie weekend]]&gt;0,VALUE(LEFT(Y617,1))*R617,0)</f>
        <v>0</v>
      </c>
      <c r="AA617" s="85">
        <f>IF($Z617&gt;0,VLOOKUP($J617,Ruimtegroepen[],3,FALSE)*VLOOKUP($L617,Vloersoorten[],3,FALSE)*VLOOKUP($Y617,Frequenties[],3,FALSE)*VLOOKUP(#REF!,Locaties[],3,FALSE),0)</f>
        <v>0</v>
      </c>
      <c r="AB617" s="87">
        <f>Ruimtestaat[[#This Row],[Uitvoeringen weekend]]*Ruimtestaat[[#This Row],[Oppervlak (netto)]]</f>
        <v>0</v>
      </c>
      <c r="AC617" s="90">
        <f>IF(AB617&gt;0,Ruimtestaat[[#This Row],[Prest. (m2 /jaar) weekend]]/Ruimtestaat[[#This Row],[Norm (m2/uur) weekend]],0)</f>
        <v>0</v>
      </c>
      <c r="AD617" s="91">
        <f>Ruimtestaat[[#This Row],[uren / jaar weekend]]*Tariefsopbouw!$D$40</f>
        <v>0</v>
      </c>
      <c r="AE617" s="60">
        <f>Ruimtestaat[[#This Row],[Prest. (m2 /jaar) weekend]]+Ruimtestaat[[#This Row],[Prest. (m2 /jaar) werkdagen]]</f>
        <v>466.20000000000005</v>
      </c>
      <c r="AF617" s="60">
        <f>Ruimtestaat[[#This Row],[uren / jaar weekend]]+Ruimtestaat[[#This Row],[uren / jaar werkdagen]]</f>
        <v>0</v>
      </c>
      <c r="AG617" s="61">
        <f>Ruimtestaat[[#This Row],[kosten / jaar weekend]]+Ruimtestaat[[#This Row],[kosten / jaar werkdagen]]</f>
        <v>0</v>
      </c>
      <c r="AH617" s="92"/>
      <c r="HL617" s="59"/>
    </row>
    <row r="618" spans="1:220">
      <c r="A618" s="24">
        <v>5</v>
      </c>
      <c r="B618" s="24" t="str">
        <f>VLOOKUP(Ruimtestaat[[#This Row],[Code]],Locaties[#All],2,FALSE)</f>
        <v>Marke Zuid</v>
      </c>
      <c r="C618" s="24" t="str">
        <f>VLOOKUP(Ruimtestaat[[#This Row],[Code]],Locaties[#All],4,FALSE)</f>
        <v>Ludgerstraat 1</v>
      </c>
      <c r="D618" s="24" t="str">
        <f>VLOOKUP(Ruimtestaat[[#This Row],[Code]],Locaties[#All],5,FALSE)</f>
        <v>7415 DV</v>
      </c>
      <c r="E618" s="24" t="str">
        <f>VLOOKUP(Ruimtestaat[[#This Row],[Code]],Locaties[#All],6,FALSE)</f>
        <v>Deventer</v>
      </c>
      <c r="F618" s="54"/>
      <c r="G618" s="24" t="s">
        <v>367</v>
      </c>
      <c r="H618" s="24" t="s">
        <v>419</v>
      </c>
      <c r="I618" s="4" t="s">
        <v>1067</v>
      </c>
      <c r="J618" s="24">
        <v>5</v>
      </c>
      <c r="K618" s="54" t="str">
        <f>VLOOKUP(J618,Ruimtegroepen[],2,FALSE)</f>
        <v>Sanitair</v>
      </c>
      <c r="L618" s="24" t="s">
        <v>305</v>
      </c>
      <c r="M618" s="24" t="s">
        <v>373</v>
      </c>
      <c r="N618" s="83">
        <v>6.79</v>
      </c>
      <c r="O618" s="83"/>
      <c r="P618" s="93" t="str">
        <f>LEFT(VLOOKUP(Ruimtestaat[[#This Row],[Ruimte code]],Ruimtegroepen[#All],4,1),2)</f>
        <v>Sa</v>
      </c>
      <c r="Q618" s="93"/>
      <c r="R618" s="84">
        <v>42</v>
      </c>
      <c r="S618" s="84" t="s">
        <v>316</v>
      </c>
      <c r="T618" s="85">
        <f>IF(R618&gt;0,IF(RIGHT(Ruimtestaat[[#This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8" s="85">
        <f>IF(T618&gt;0,VLOOKUP($J618,Ruimtegroepen[],3,FALSE)*VLOOKUP($L618,Vloersoorten[],3,FALSE)*VLOOKUP($S618,Frequenties[],3,FALSE)*VLOOKUP($A618,Locaties[],3,FALSE),0)</f>
        <v>0</v>
      </c>
      <c r="V618" s="86">
        <f>Ruimtestaat[[#This Row],[Uitvoeringen werkdagen]]*Ruimtestaat[[#This Row],[Oppervlak (netto)]]</f>
        <v>2851.8</v>
      </c>
      <c r="W618" s="87">
        <f>IF(U618&gt;0,Ruimtestaat[[#This Row],[Prest. (m2 /jaar) werkdagen]]/Ruimtestaat[[#This Row],[Norm (m2/uur) werkdagen]],0)</f>
        <v>0</v>
      </c>
      <c r="X618" s="88">
        <f>Ruimtestaat[[#This Row],[uren / jaar werkdagen]]*Tariefsopbouw!$E$35</f>
        <v>0</v>
      </c>
      <c r="Y618" s="85"/>
      <c r="Z618" s="89">
        <f>IF(Ruimtestaat[[#This Row],[Frequentie weekend]]&gt;0,VALUE(LEFT(Y618,1))*R618,0)</f>
        <v>0</v>
      </c>
      <c r="AA618" s="85">
        <f>IF($Z618&gt;0,VLOOKUP($J618,Ruimtegroepen[],3,FALSE)*VLOOKUP($L618,Vloersoorten[],3,FALSE)*VLOOKUP($Y618,Frequenties[],3,FALSE)*VLOOKUP(#REF!,Locaties[],3,FALSE),0)</f>
        <v>0</v>
      </c>
      <c r="AB618" s="87">
        <f>Ruimtestaat[[#This Row],[Uitvoeringen weekend]]*Ruimtestaat[[#This Row],[Oppervlak (netto)]]</f>
        <v>0</v>
      </c>
      <c r="AC618" s="90">
        <f>IF(AB618&gt;0,Ruimtestaat[[#This Row],[Prest. (m2 /jaar) weekend]]/Ruimtestaat[[#This Row],[Norm (m2/uur) weekend]],0)</f>
        <v>0</v>
      </c>
      <c r="AD618" s="91">
        <f>Ruimtestaat[[#This Row],[uren / jaar weekend]]*Tariefsopbouw!$D$40</f>
        <v>0</v>
      </c>
      <c r="AE618" s="60">
        <f>Ruimtestaat[[#This Row],[Prest. (m2 /jaar) weekend]]+Ruimtestaat[[#This Row],[Prest. (m2 /jaar) werkdagen]]</f>
        <v>2851.8</v>
      </c>
      <c r="AF618" s="60">
        <f>Ruimtestaat[[#This Row],[uren / jaar weekend]]+Ruimtestaat[[#This Row],[uren / jaar werkdagen]]</f>
        <v>0</v>
      </c>
      <c r="AG618" s="61">
        <f>Ruimtestaat[[#This Row],[kosten / jaar weekend]]+Ruimtestaat[[#This Row],[kosten / jaar werkdagen]]</f>
        <v>0</v>
      </c>
      <c r="AH618" s="92"/>
      <c r="HL618" s="59"/>
    </row>
    <row r="619" spans="1:220">
      <c r="A619" s="24">
        <v>5</v>
      </c>
      <c r="B619" s="24" t="str">
        <f>VLOOKUP(Ruimtestaat[[#This Row],[Code]],Locaties[#All],2,FALSE)</f>
        <v>Marke Zuid</v>
      </c>
      <c r="C619" s="24" t="str">
        <f>VLOOKUP(Ruimtestaat[[#This Row],[Code]],Locaties[#All],4,FALSE)</f>
        <v>Ludgerstraat 1</v>
      </c>
      <c r="D619" s="24" t="str">
        <f>VLOOKUP(Ruimtestaat[[#This Row],[Code]],Locaties[#All],5,FALSE)</f>
        <v>7415 DV</v>
      </c>
      <c r="E619" s="24" t="str">
        <f>VLOOKUP(Ruimtestaat[[#This Row],[Code]],Locaties[#All],6,FALSE)</f>
        <v>Deventer</v>
      </c>
      <c r="F619" s="54"/>
      <c r="G619" s="24" t="s">
        <v>367</v>
      </c>
      <c r="H619" s="24" t="s">
        <v>421</v>
      </c>
      <c r="I619" s="4" t="s">
        <v>1068</v>
      </c>
      <c r="J619" s="24">
        <v>5</v>
      </c>
      <c r="K619" s="54" t="str">
        <f>VLOOKUP(J619,Ruimtegroepen[],2,FALSE)</f>
        <v>Sanitair</v>
      </c>
      <c r="L619" s="24" t="s">
        <v>305</v>
      </c>
      <c r="M619" s="24" t="s">
        <v>373</v>
      </c>
      <c r="N619" s="83">
        <v>5.09</v>
      </c>
      <c r="O619" s="83"/>
      <c r="P619" s="93" t="str">
        <f>LEFT(VLOOKUP(Ruimtestaat[[#This Row],[Ruimte code]],Ruimtegroepen[#All],4,1),2)</f>
        <v>Sa</v>
      </c>
      <c r="Q619" s="93"/>
      <c r="R619" s="84">
        <v>42</v>
      </c>
      <c r="S619" s="84" t="s">
        <v>316</v>
      </c>
      <c r="T619" s="85">
        <f>IF(R619&gt;0,IF(RIGHT(Ruimtestaat[[#This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9" s="85">
        <f>IF(T619&gt;0,VLOOKUP($J619,Ruimtegroepen[],3,FALSE)*VLOOKUP($L619,Vloersoorten[],3,FALSE)*VLOOKUP($S619,Frequenties[],3,FALSE)*VLOOKUP($A619,Locaties[],3,FALSE),0)</f>
        <v>0</v>
      </c>
      <c r="V619" s="86">
        <f>Ruimtestaat[[#This Row],[Uitvoeringen werkdagen]]*Ruimtestaat[[#This Row],[Oppervlak (netto)]]</f>
        <v>2137.7999999999997</v>
      </c>
      <c r="W619" s="87">
        <f>IF(U619&gt;0,Ruimtestaat[[#This Row],[Prest. (m2 /jaar) werkdagen]]/Ruimtestaat[[#This Row],[Norm (m2/uur) werkdagen]],0)</f>
        <v>0</v>
      </c>
      <c r="X619" s="88">
        <f>Ruimtestaat[[#This Row],[uren / jaar werkdagen]]*Tariefsopbouw!$E$35</f>
        <v>0</v>
      </c>
      <c r="Y619" s="85"/>
      <c r="Z619" s="89">
        <f>IF(Ruimtestaat[[#This Row],[Frequentie weekend]]&gt;0,VALUE(LEFT(Y619,1))*R619,0)</f>
        <v>0</v>
      </c>
      <c r="AA619" s="85">
        <f>IF($Z619&gt;0,VLOOKUP($J619,Ruimtegroepen[],3,FALSE)*VLOOKUP($L619,Vloersoorten[],3,FALSE)*VLOOKUP($Y619,Frequenties[],3,FALSE)*VLOOKUP(#REF!,Locaties[],3,FALSE),0)</f>
        <v>0</v>
      </c>
      <c r="AB619" s="87">
        <f>Ruimtestaat[[#This Row],[Uitvoeringen weekend]]*Ruimtestaat[[#This Row],[Oppervlak (netto)]]</f>
        <v>0</v>
      </c>
      <c r="AC619" s="90">
        <f>IF(AB619&gt;0,Ruimtestaat[[#This Row],[Prest. (m2 /jaar) weekend]]/Ruimtestaat[[#This Row],[Norm (m2/uur) weekend]],0)</f>
        <v>0</v>
      </c>
      <c r="AD619" s="91">
        <f>Ruimtestaat[[#This Row],[uren / jaar weekend]]*Tariefsopbouw!$D$40</f>
        <v>0</v>
      </c>
      <c r="AE619" s="60">
        <f>Ruimtestaat[[#This Row],[Prest. (m2 /jaar) weekend]]+Ruimtestaat[[#This Row],[Prest. (m2 /jaar) werkdagen]]</f>
        <v>2137.7999999999997</v>
      </c>
      <c r="AF619" s="60">
        <f>Ruimtestaat[[#This Row],[uren / jaar weekend]]+Ruimtestaat[[#This Row],[uren / jaar werkdagen]]</f>
        <v>0</v>
      </c>
      <c r="AG619" s="61">
        <f>Ruimtestaat[[#This Row],[kosten / jaar weekend]]+Ruimtestaat[[#This Row],[kosten / jaar werkdagen]]</f>
        <v>0</v>
      </c>
      <c r="AH619" s="92"/>
      <c r="HL619" s="59"/>
    </row>
    <row r="620" spans="1:220">
      <c r="A620" s="24">
        <v>5</v>
      </c>
      <c r="B620" s="24" t="str">
        <f>VLOOKUP(Ruimtestaat[[#This Row],[Code]],Locaties[#All],2,FALSE)</f>
        <v>Marke Zuid</v>
      </c>
      <c r="C620" s="24" t="str">
        <f>VLOOKUP(Ruimtestaat[[#This Row],[Code]],Locaties[#All],4,FALSE)</f>
        <v>Ludgerstraat 1</v>
      </c>
      <c r="D620" s="24" t="str">
        <f>VLOOKUP(Ruimtestaat[[#This Row],[Code]],Locaties[#All],5,FALSE)</f>
        <v>7415 DV</v>
      </c>
      <c r="E620" s="24" t="str">
        <f>VLOOKUP(Ruimtestaat[[#This Row],[Code]],Locaties[#All],6,FALSE)</f>
        <v>Deventer</v>
      </c>
      <c r="F620" s="54"/>
      <c r="G620" s="24" t="s">
        <v>367</v>
      </c>
      <c r="H620" s="24" t="s">
        <v>1069</v>
      </c>
      <c r="I620" s="4" t="s">
        <v>1070</v>
      </c>
      <c r="J620" s="24">
        <v>5</v>
      </c>
      <c r="K620" s="54" t="str">
        <f>VLOOKUP(J620,Ruimtegroepen[],2,FALSE)</f>
        <v>Sanitair</v>
      </c>
      <c r="L620" s="24" t="s">
        <v>305</v>
      </c>
      <c r="M620" s="24" t="s">
        <v>373</v>
      </c>
      <c r="N620" s="83">
        <v>5.09</v>
      </c>
      <c r="O620" s="83"/>
      <c r="P620" s="93" t="str">
        <f>LEFT(VLOOKUP(Ruimtestaat[[#This Row],[Ruimte code]],Ruimtegroepen[#All],4,1),2)</f>
        <v>Sa</v>
      </c>
      <c r="Q620" s="93"/>
      <c r="R620" s="84">
        <v>42</v>
      </c>
      <c r="S620" s="84" t="s">
        <v>316</v>
      </c>
      <c r="T620" s="85">
        <f>IF(R620&gt;0,IF(RIGHT(Ruimtestaat[[#This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0" s="85">
        <f>IF(T620&gt;0,VLOOKUP($J620,Ruimtegroepen[],3,FALSE)*VLOOKUP($L620,Vloersoorten[],3,FALSE)*VLOOKUP($S620,Frequenties[],3,FALSE)*VLOOKUP($A620,Locaties[],3,FALSE),0)</f>
        <v>0</v>
      </c>
      <c r="V620" s="86">
        <f>Ruimtestaat[[#This Row],[Uitvoeringen werkdagen]]*Ruimtestaat[[#This Row],[Oppervlak (netto)]]</f>
        <v>2137.7999999999997</v>
      </c>
      <c r="W620" s="87">
        <f>IF(U620&gt;0,Ruimtestaat[[#This Row],[Prest. (m2 /jaar) werkdagen]]/Ruimtestaat[[#This Row],[Norm (m2/uur) werkdagen]],0)</f>
        <v>0</v>
      </c>
      <c r="X620" s="88">
        <f>Ruimtestaat[[#This Row],[uren / jaar werkdagen]]*Tariefsopbouw!$E$35</f>
        <v>0</v>
      </c>
      <c r="Y620" s="85"/>
      <c r="Z620" s="89">
        <f>IF(Ruimtestaat[[#This Row],[Frequentie weekend]]&gt;0,VALUE(LEFT(Y620,1))*R620,0)</f>
        <v>0</v>
      </c>
      <c r="AA620" s="85">
        <f>IF($Z620&gt;0,VLOOKUP($J620,Ruimtegroepen[],3,FALSE)*VLOOKUP($L620,Vloersoorten[],3,FALSE)*VLOOKUP($Y620,Frequenties[],3,FALSE)*VLOOKUP(#REF!,Locaties[],3,FALSE),0)</f>
        <v>0</v>
      </c>
      <c r="AB620" s="87">
        <f>Ruimtestaat[[#This Row],[Uitvoeringen weekend]]*Ruimtestaat[[#This Row],[Oppervlak (netto)]]</f>
        <v>0</v>
      </c>
      <c r="AC620" s="90">
        <f>IF(AB620&gt;0,Ruimtestaat[[#This Row],[Prest. (m2 /jaar) weekend]]/Ruimtestaat[[#This Row],[Norm (m2/uur) weekend]],0)</f>
        <v>0</v>
      </c>
      <c r="AD620" s="91">
        <f>Ruimtestaat[[#This Row],[uren / jaar weekend]]*Tariefsopbouw!$D$40</f>
        <v>0</v>
      </c>
      <c r="AE620" s="60">
        <f>Ruimtestaat[[#This Row],[Prest. (m2 /jaar) weekend]]+Ruimtestaat[[#This Row],[Prest. (m2 /jaar) werkdagen]]</f>
        <v>2137.7999999999997</v>
      </c>
      <c r="AF620" s="60">
        <f>Ruimtestaat[[#This Row],[uren / jaar weekend]]+Ruimtestaat[[#This Row],[uren / jaar werkdagen]]</f>
        <v>0</v>
      </c>
      <c r="AG620" s="61">
        <f>Ruimtestaat[[#This Row],[kosten / jaar weekend]]+Ruimtestaat[[#This Row],[kosten / jaar werkdagen]]</f>
        <v>0</v>
      </c>
      <c r="AH620" s="92"/>
      <c r="HL620" s="59"/>
    </row>
    <row r="621" spans="1:220">
      <c r="A621" s="24">
        <v>5</v>
      </c>
      <c r="B621" s="24" t="str">
        <f>VLOOKUP(Ruimtestaat[[#This Row],[Code]],Locaties[#All],2,FALSE)</f>
        <v>Marke Zuid</v>
      </c>
      <c r="C621" s="24" t="str">
        <f>VLOOKUP(Ruimtestaat[[#This Row],[Code]],Locaties[#All],4,FALSE)</f>
        <v>Ludgerstraat 1</v>
      </c>
      <c r="D621" s="24" t="str">
        <f>VLOOKUP(Ruimtestaat[[#This Row],[Code]],Locaties[#All],5,FALSE)</f>
        <v>7415 DV</v>
      </c>
      <c r="E621" s="24" t="str">
        <f>VLOOKUP(Ruimtestaat[[#This Row],[Code]],Locaties[#All],6,FALSE)</f>
        <v>Deventer</v>
      </c>
      <c r="F621" s="54"/>
      <c r="G621" s="24" t="s">
        <v>367</v>
      </c>
      <c r="H621" s="24" t="s">
        <v>1071</v>
      </c>
      <c r="I621" s="4" t="s">
        <v>1010</v>
      </c>
      <c r="J621" s="24">
        <v>5</v>
      </c>
      <c r="K621" s="54" t="str">
        <f>VLOOKUP(J621,Ruimtegroepen[],2,FALSE)</f>
        <v>Sanitair</v>
      </c>
      <c r="L621" s="24" t="s">
        <v>305</v>
      </c>
      <c r="M621" s="24" t="s">
        <v>373</v>
      </c>
      <c r="N621" s="83">
        <v>1.1100000000000001</v>
      </c>
      <c r="O621" s="83"/>
      <c r="P621" s="93" t="str">
        <f>LEFT(VLOOKUP(Ruimtestaat[[#This Row],[Ruimte code]],Ruimtegroepen[#All],4,1),2)</f>
        <v>Sa</v>
      </c>
      <c r="Q621" s="93"/>
      <c r="R621" s="84">
        <v>42</v>
      </c>
      <c r="S621" s="84" t="s">
        <v>316</v>
      </c>
      <c r="T621" s="85">
        <f>IF(R621&gt;0,IF(RIGHT(Ruimtestaat[[#This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1" s="85">
        <f>IF(T621&gt;0,VLOOKUP($J621,Ruimtegroepen[],3,FALSE)*VLOOKUP($L621,Vloersoorten[],3,FALSE)*VLOOKUP($S621,Frequenties[],3,FALSE)*VLOOKUP($A621,Locaties[],3,FALSE),0)</f>
        <v>0</v>
      </c>
      <c r="V621" s="86">
        <f>Ruimtestaat[[#This Row],[Uitvoeringen werkdagen]]*Ruimtestaat[[#This Row],[Oppervlak (netto)]]</f>
        <v>466.20000000000005</v>
      </c>
      <c r="W621" s="87">
        <f>IF(U621&gt;0,Ruimtestaat[[#This Row],[Prest. (m2 /jaar) werkdagen]]/Ruimtestaat[[#This Row],[Norm (m2/uur) werkdagen]],0)</f>
        <v>0</v>
      </c>
      <c r="X621" s="88">
        <f>Ruimtestaat[[#This Row],[uren / jaar werkdagen]]*Tariefsopbouw!$E$35</f>
        <v>0</v>
      </c>
      <c r="Y621" s="85"/>
      <c r="Z621" s="89">
        <f>IF(Ruimtestaat[[#This Row],[Frequentie weekend]]&gt;0,VALUE(LEFT(Y621,1))*R621,0)</f>
        <v>0</v>
      </c>
      <c r="AA621" s="85">
        <f>IF($Z621&gt;0,VLOOKUP($J621,Ruimtegroepen[],3,FALSE)*VLOOKUP($L621,Vloersoorten[],3,FALSE)*VLOOKUP($Y621,Frequenties[],3,FALSE)*VLOOKUP(#REF!,Locaties[],3,FALSE),0)</f>
        <v>0</v>
      </c>
      <c r="AB621" s="87">
        <f>Ruimtestaat[[#This Row],[Uitvoeringen weekend]]*Ruimtestaat[[#This Row],[Oppervlak (netto)]]</f>
        <v>0</v>
      </c>
      <c r="AC621" s="90">
        <f>IF(AB621&gt;0,Ruimtestaat[[#This Row],[Prest. (m2 /jaar) weekend]]/Ruimtestaat[[#This Row],[Norm (m2/uur) weekend]],0)</f>
        <v>0</v>
      </c>
      <c r="AD621" s="91">
        <f>Ruimtestaat[[#This Row],[uren / jaar weekend]]*Tariefsopbouw!$D$40</f>
        <v>0</v>
      </c>
      <c r="AE621" s="60">
        <f>Ruimtestaat[[#This Row],[Prest. (m2 /jaar) weekend]]+Ruimtestaat[[#This Row],[Prest. (m2 /jaar) werkdagen]]</f>
        <v>466.20000000000005</v>
      </c>
      <c r="AF621" s="60">
        <f>Ruimtestaat[[#This Row],[uren / jaar weekend]]+Ruimtestaat[[#This Row],[uren / jaar werkdagen]]</f>
        <v>0</v>
      </c>
      <c r="AG621" s="61">
        <f>Ruimtestaat[[#This Row],[kosten / jaar weekend]]+Ruimtestaat[[#This Row],[kosten / jaar werkdagen]]</f>
        <v>0</v>
      </c>
      <c r="AH621" s="92"/>
      <c r="HL621" s="59"/>
    </row>
    <row r="622" spans="1:220">
      <c r="A622" s="24">
        <v>5</v>
      </c>
      <c r="B622" s="24" t="str">
        <f>VLOOKUP(Ruimtestaat[[#This Row],[Code]],Locaties[#All],2,FALSE)</f>
        <v>Marke Zuid</v>
      </c>
      <c r="C622" s="24" t="str">
        <f>VLOOKUP(Ruimtestaat[[#This Row],[Code]],Locaties[#All],4,FALSE)</f>
        <v>Ludgerstraat 1</v>
      </c>
      <c r="D622" s="24" t="str">
        <f>VLOOKUP(Ruimtestaat[[#This Row],[Code]],Locaties[#All],5,FALSE)</f>
        <v>7415 DV</v>
      </c>
      <c r="E622" s="24" t="str">
        <f>VLOOKUP(Ruimtestaat[[#This Row],[Code]],Locaties[#All],6,FALSE)</f>
        <v>Deventer</v>
      </c>
      <c r="F622" s="54"/>
      <c r="G622" s="24" t="s">
        <v>367</v>
      </c>
      <c r="H622" s="24" t="s">
        <v>1072</v>
      </c>
      <c r="I622" s="4" t="s">
        <v>1010</v>
      </c>
      <c r="J622" s="24">
        <v>5</v>
      </c>
      <c r="K622" s="54" t="str">
        <f>VLOOKUP(J622,Ruimtegroepen[],2,FALSE)</f>
        <v>Sanitair</v>
      </c>
      <c r="L622" s="24" t="s">
        <v>305</v>
      </c>
      <c r="M622" s="24" t="s">
        <v>373</v>
      </c>
      <c r="N622" s="83">
        <v>1.1100000000000001</v>
      </c>
      <c r="O622" s="83"/>
      <c r="P622" s="93" t="str">
        <f>LEFT(VLOOKUP(Ruimtestaat[[#This Row],[Ruimte code]],Ruimtegroepen[#All],4,1),2)</f>
        <v>Sa</v>
      </c>
      <c r="Q622" s="93"/>
      <c r="R622" s="84">
        <v>42</v>
      </c>
      <c r="S622" s="84" t="s">
        <v>316</v>
      </c>
      <c r="T622" s="85">
        <f>IF(R622&gt;0,IF(RIGHT(Ruimtestaat[[#This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2" s="85">
        <f>IF(T622&gt;0,VLOOKUP($J622,Ruimtegroepen[],3,FALSE)*VLOOKUP($L622,Vloersoorten[],3,FALSE)*VLOOKUP($S622,Frequenties[],3,FALSE)*VLOOKUP($A622,Locaties[],3,FALSE),0)</f>
        <v>0</v>
      </c>
      <c r="V622" s="86">
        <f>Ruimtestaat[[#This Row],[Uitvoeringen werkdagen]]*Ruimtestaat[[#This Row],[Oppervlak (netto)]]</f>
        <v>466.20000000000005</v>
      </c>
      <c r="W622" s="87">
        <f>IF(U622&gt;0,Ruimtestaat[[#This Row],[Prest. (m2 /jaar) werkdagen]]/Ruimtestaat[[#This Row],[Norm (m2/uur) werkdagen]],0)</f>
        <v>0</v>
      </c>
      <c r="X622" s="88">
        <f>Ruimtestaat[[#This Row],[uren / jaar werkdagen]]*Tariefsopbouw!$E$35</f>
        <v>0</v>
      </c>
      <c r="Y622" s="85"/>
      <c r="Z622" s="89">
        <f>IF(Ruimtestaat[[#This Row],[Frequentie weekend]]&gt;0,VALUE(LEFT(Y622,1))*R622,0)</f>
        <v>0</v>
      </c>
      <c r="AA622" s="85">
        <f>IF($Z622&gt;0,VLOOKUP($J622,Ruimtegroepen[],3,FALSE)*VLOOKUP($L622,Vloersoorten[],3,FALSE)*VLOOKUP($Y622,Frequenties[],3,FALSE)*VLOOKUP(#REF!,Locaties[],3,FALSE),0)</f>
        <v>0</v>
      </c>
      <c r="AB622" s="87">
        <f>Ruimtestaat[[#This Row],[Uitvoeringen weekend]]*Ruimtestaat[[#This Row],[Oppervlak (netto)]]</f>
        <v>0</v>
      </c>
      <c r="AC622" s="90">
        <f>IF(AB622&gt;0,Ruimtestaat[[#This Row],[Prest. (m2 /jaar) weekend]]/Ruimtestaat[[#This Row],[Norm (m2/uur) weekend]],0)</f>
        <v>0</v>
      </c>
      <c r="AD622" s="91">
        <f>Ruimtestaat[[#This Row],[uren / jaar weekend]]*Tariefsopbouw!$D$40</f>
        <v>0</v>
      </c>
      <c r="AE622" s="60">
        <f>Ruimtestaat[[#This Row],[Prest. (m2 /jaar) weekend]]+Ruimtestaat[[#This Row],[Prest. (m2 /jaar) werkdagen]]</f>
        <v>466.20000000000005</v>
      </c>
      <c r="AF622" s="60">
        <f>Ruimtestaat[[#This Row],[uren / jaar weekend]]+Ruimtestaat[[#This Row],[uren / jaar werkdagen]]</f>
        <v>0</v>
      </c>
      <c r="AG622" s="61">
        <f>Ruimtestaat[[#This Row],[kosten / jaar weekend]]+Ruimtestaat[[#This Row],[kosten / jaar werkdagen]]</f>
        <v>0</v>
      </c>
      <c r="AH622" s="92"/>
      <c r="HL622" s="59"/>
    </row>
    <row r="623" spans="1:220">
      <c r="A623" s="24">
        <v>5</v>
      </c>
      <c r="B623" s="24" t="str">
        <f>VLOOKUP(Ruimtestaat[[#This Row],[Code]],Locaties[#All],2,FALSE)</f>
        <v>Marke Zuid</v>
      </c>
      <c r="C623" s="24" t="str">
        <f>VLOOKUP(Ruimtestaat[[#This Row],[Code]],Locaties[#All],4,FALSE)</f>
        <v>Ludgerstraat 1</v>
      </c>
      <c r="D623" s="24" t="str">
        <f>VLOOKUP(Ruimtestaat[[#This Row],[Code]],Locaties[#All],5,FALSE)</f>
        <v>7415 DV</v>
      </c>
      <c r="E623" s="24" t="str">
        <f>VLOOKUP(Ruimtestaat[[#This Row],[Code]],Locaties[#All],6,FALSE)</f>
        <v>Deventer</v>
      </c>
      <c r="F623" s="54"/>
      <c r="G623" s="24" t="s">
        <v>367</v>
      </c>
      <c r="H623" s="24" t="s">
        <v>1073</v>
      </c>
      <c r="I623" s="4" t="s">
        <v>1010</v>
      </c>
      <c r="J623" s="24">
        <v>5</v>
      </c>
      <c r="K623" s="54" t="str">
        <f>VLOOKUP(J623,Ruimtegroepen[],2,FALSE)</f>
        <v>Sanitair</v>
      </c>
      <c r="L623" s="24" t="s">
        <v>305</v>
      </c>
      <c r="M623" s="24" t="s">
        <v>373</v>
      </c>
      <c r="N623" s="83">
        <v>1.1100000000000001</v>
      </c>
      <c r="O623" s="83"/>
      <c r="P623" s="93" t="str">
        <f>LEFT(VLOOKUP(Ruimtestaat[[#This Row],[Ruimte code]],Ruimtegroepen[#All],4,1),2)</f>
        <v>Sa</v>
      </c>
      <c r="Q623" s="93"/>
      <c r="R623" s="84">
        <v>42</v>
      </c>
      <c r="S623" s="84" t="s">
        <v>316</v>
      </c>
      <c r="T623" s="85">
        <f>IF(R623&gt;0,IF(RIGHT(Ruimtestaat[[#This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3" s="85">
        <f>IF(T623&gt;0,VLOOKUP($J623,Ruimtegroepen[],3,FALSE)*VLOOKUP($L623,Vloersoorten[],3,FALSE)*VLOOKUP($S623,Frequenties[],3,FALSE)*VLOOKUP($A623,Locaties[],3,FALSE),0)</f>
        <v>0</v>
      </c>
      <c r="V623" s="86">
        <f>Ruimtestaat[[#This Row],[Uitvoeringen werkdagen]]*Ruimtestaat[[#This Row],[Oppervlak (netto)]]</f>
        <v>466.20000000000005</v>
      </c>
      <c r="W623" s="87">
        <f>IF(U623&gt;0,Ruimtestaat[[#This Row],[Prest. (m2 /jaar) werkdagen]]/Ruimtestaat[[#This Row],[Norm (m2/uur) werkdagen]],0)</f>
        <v>0</v>
      </c>
      <c r="X623" s="88">
        <f>Ruimtestaat[[#This Row],[uren / jaar werkdagen]]*Tariefsopbouw!$E$35</f>
        <v>0</v>
      </c>
      <c r="Y623" s="85"/>
      <c r="Z623" s="89">
        <f>IF(Ruimtestaat[[#This Row],[Frequentie weekend]]&gt;0,VALUE(LEFT(Y623,1))*R623,0)</f>
        <v>0</v>
      </c>
      <c r="AA623" s="85">
        <f>IF($Z623&gt;0,VLOOKUP($J623,Ruimtegroepen[],3,FALSE)*VLOOKUP($L623,Vloersoorten[],3,FALSE)*VLOOKUP($Y623,Frequenties[],3,FALSE)*VLOOKUP(#REF!,Locaties[],3,FALSE),0)</f>
        <v>0</v>
      </c>
      <c r="AB623" s="87">
        <f>Ruimtestaat[[#This Row],[Uitvoeringen weekend]]*Ruimtestaat[[#This Row],[Oppervlak (netto)]]</f>
        <v>0</v>
      </c>
      <c r="AC623" s="90">
        <f>IF(AB623&gt;0,Ruimtestaat[[#This Row],[Prest. (m2 /jaar) weekend]]/Ruimtestaat[[#This Row],[Norm (m2/uur) weekend]],0)</f>
        <v>0</v>
      </c>
      <c r="AD623" s="91">
        <f>Ruimtestaat[[#This Row],[uren / jaar weekend]]*Tariefsopbouw!$D$40</f>
        <v>0</v>
      </c>
      <c r="AE623" s="60">
        <f>Ruimtestaat[[#This Row],[Prest. (m2 /jaar) weekend]]+Ruimtestaat[[#This Row],[Prest. (m2 /jaar) werkdagen]]</f>
        <v>466.20000000000005</v>
      </c>
      <c r="AF623" s="60">
        <f>Ruimtestaat[[#This Row],[uren / jaar weekend]]+Ruimtestaat[[#This Row],[uren / jaar werkdagen]]</f>
        <v>0</v>
      </c>
      <c r="AG623" s="61">
        <f>Ruimtestaat[[#This Row],[kosten / jaar weekend]]+Ruimtestaat[[#This Row],[kosten / jaar werkdagen]]</f>
        <v>0</v>
      </c>
      <c r="AH623" s="92"/>
      <c r="HL623" s="59"/>
    </row>
    <row r="624" spans="1:220">
      <c r="A624" s="24">
        <v>5</v>
      </c>
      <c r="B624" s="24" t="str">
        <f>VLOOKUP(Ruimtestaat[[#This Row],[Code]],Locaties[#All],2,FALSE)</f>
        <v>Marke Zuid</v>
      </c>
      <c r="C624" s="24" t="str">
        <f>VLOOKUP(Ruimtestaat[[#This Row],[Code]],Locaties[#All],4,FALSE)</f>
        <v>Ludgerstraat 1</v>
      </c>
      <c r="D624" s="24" t="str">
        <f>VLOOKUP(Ruimtestaat[[#This Row],[Code]],Locaties[#All],5,FALSE)</f>
        <v>7415 DV</v>
      </c>
      <c r="E624" s="24" t="str">
        <f>VLOOKUP(Ruimtestaat[[#This Row],[Code]],Locaties[#All],6,FALSE)</f>
        <v>Deventer</v>
      </c>
      <c r="F624" s="54"/>
      <c r="G624" s="24" t="s">
        <v>367</v>
      </c>
      <c r="H624" s="24" t="s">
        <v>1074</v>
      </c>
      <c r="I624" s="4" t="s">
        <v>1010</v>
      </c>
      <c r="J624" s="24">
        <v>5</v>
      </c>
      <c r="K624" s="54" t="str">
        <f>VLOOKUP(J624,Ruimtegroepen[],2,FALSE)</f>
        <v>Sanitair</v>
      </c>
      <c r="L624" s="24" t="s">
        <v>305</v>
      </c>
      <c r="M624" s="24" t="s">
        <v>373</v>
      </c>
      <c r="N624" s="83">
        <v>1.1100000000000001</v>
      </c>
      <c r="O624" s="83"/>
      <c r="P624" s="93" t="str">
        <f>LEFT(VLOOKUP(Ruimtestaat[[#This Row],[Ruimte code]],Ruimtegroepen[#All],4,1),2)</f>
        <v>Sa</v>
      </c>
      <c r="Q624" s="93"/>
      <c r="R624" s="84">
        <v>42</v>
      </c>
      <c r="S624" s="84" t="s">
        <v>316</v>
      </c>
      <c r="T624" s="85">
        <f>IF(R624&gt;0,IF(RIGHT(Ruimtestaat[[#This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4" s="85">
        <f>IF(T624&gt;0,VLOOKUP($J624,Ruimtegroepen[],3,FALSE)*VLOOKUP($L624,Vloersoorten[],3,FALSE)*VLOOKUP($S624,Frequenties[],3,FALSE)*VLOOKUP($A624,Locaties[],3,FALSE),0)</f>
        <v>0</v>
      </c>
      <c r="V624" s="86">
        <f>Ruimtestaat[[#This Row],[Uitvoeringen werkdagen]]*Ruimtestaat[[#This Row],[Oppervlak (netto)]]</f>
        <v>466.20000000000005</v>
      </c>
      <c r="W624" s="87">
        <f>IF(U624&gt;0,Ruimtestaat[[#This Row],[Prest. (m2 /jaar) werkdagen]]/Ruimtestaat[[#This Row],[Norm (m2/uur) werkdagen]],0)</f>
        <v>0</v>
      </c>
      <c r="X624" s="88">
        <f>Ruimtestaat[[#This Row],[uren / jaar werkdagen]]*Tariefsopbouw!$E$35</f>
        <v>0</v>
      </c>
      <c r="Y624" s="85"/>
      <c r="Z624" s="89">
        <f>IF(Ruimtestaat[[#This Row],[Frequentie weekend]]&gt;0,VALUE(LEFT(Y624,1))*R624,0)</f>
        <v>0</v>
      </c>
      <c r="AA624" s="85">
        <f>IF($Z624&gt;0,VLOOKUP($J624,Ruimtegroepen[],3,FALSE)*VLOOKUP($L624,Vloersoorten[],3,FALSE)*VLOOKUP($Y624,Frequenties[],3,FALSE)*VLOOKUP(#REF!,Locaties[],3,FALSE),0)</f>
        <v>0</v>
      </c>
      <c r="AB624" s="87">
        <f>Ruimtestaat[[#This Row],[Uitvoeringen weekend]]*Ruimtestaat[[#This Row],[Oppervlak (netto)]]</f>
        <v>0</v>
      </c>
      <c r="AC624" s="90">
        <f>IF(AB624&gt;0,Ruimtestaat[[#This Row],[Prest. (m2 /jaar) weekend]]/Ruimtestaat[[#This Row],[Norm (m2/uur) weekend]],0)</f>
        <v>0</v>
      </c>
      <c r="AD624" s="91">
        <f>Ruimtestaat[[#This Row],[uren / jaar weekend]]*Tariefsopbouw!$D$40</f>
        <v>0</v>
      </c>
      <c r="AE624" s="60">
        <f>Ruimtestaat[[#This Row],[Prest. (m2 /jaar) weekend]]+Ruimtestaat[[#This Row],[Prest. (m2 /jaar) werkdagen]]</f>
        <v>466.20000000000005</v>
      </c>
      <c r="AF624" s="60">
        <f>Ruimtestaat[[#This Row],[uren / jaar weekend]]+Ruimtestaat[[#This Row],[uren / jaar werkdagen]]</f>
        <v>0</v>
      </c>
      <c r="AG624" s="61">
        <f>Ruimtestaat[[#This Row],[kosten / jaar weekend]]+Ruimtestaat[[#This Row],[kosten / jaar werkdagen]]</f>
        <v>0</v>
      </c>
      <c r="AH624" s="92"/>
      <c r="HL624" s="59"/>
    </row>
    <row r="625" spans="1:220">
      <c r="A625" s="24">
        <v>5</v>
      </c>
      <c r="B625" s="24" t="str">
        <f>VLOOKUP(Ruimtestaat[[#This Row],[Code]],Locaties[#All],2,FALSE)</f>
        <v>Marke Zuid</v>
      </c>
      <c r="C625" s="24" t="str">
        <f>VLOOKUP(Ruimtestaat[[#This Row],[Code]],Locaties[#All],4,FALSE)</f>
        <v>Ludgerstraat 1</v>
      </c>
      <c r="D625" s="24" t="str">
        <f>VLOOKUP(Ruimtestaat[[#This Row],[Code]],Locaties[#All],5,FALSE)</f>
        <v>7415 DV</v>
      </c>
      <c r="E625" s="24" t="str">
        <f>VLOOKUP(Ruimtestaat[[#This Row],[Code]],Locaties[#All],6,FALSE)</f>
        <v>Deventer</v>
      </c>
      <c r="F625" s="54"/>
      <c r="G625" s="24" t="s">
        <v>367</v>
      </c>
      <c r="H625" s="24" t="s">
        <v>423</v>
      </c>
      <c r="I625" s="4" t="s">
        <v>1075</v>
      </c>
      <c r="J625" s="24">
        <v>2</v>
      </c>
      <c r="K625" s="54" t="str">
        <f>VLOOKUP(J625,Ruimtegroepen[],2,FALSE)</f>
        <v>Kantoren</v>
      </c>
      <c r="L625" s="24" t="s">
        <v>300</v>
      </c>
      <c r="M625" s="24" t="s">
        <v>997</v>
      </c>
      <c r="N625" s="83">
        <v>141.44999999999999</v>
      </c>
      <c r="O625" s="83"/>
      <c r="P625" s="93" t="str">
        <f>LEFT(VLOOKUP(Ruimtestaat[[#This Row],[Ruimte code]],Ruimtegroepen[#All],4,1),2)</f>
        <v>Bu</v>
      </c>
      <c r="Q625" s="93"/>
      <c r="R625" s="84">
        <v>42</v>
      </c>
      <c r="S625" s="84" t="s">
        <v>322</v>
      </c>
      <c r="T625" s="85">
        <f>IF(R625&gt;0,IF(RIGHT(Ruimtestaat[[#This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25" s="85">
        <f>IF(T625&gt;0,VLOOKUP($J625,Ruimtegroepen[],3,FALSE)*VLOOKUP($L625,Vloersoorten[],3,FALSE)*VLOOKUP($S625,Frequenties[],3,FALSE)*VLOOKUP($A625,Locaties[],3,FALSE),0)</f>
        <v>0</v>
      </c>
      <c r="V625" s="86">
        <f>Ruimtestaat[[#This Row],[Uitvoeringen werkdagen]]*Ruimtestaat[[#This Row],[Oppervlak (netto)]]</f>
        <v>17822.699999999997</v>
      </c>
      <c r="W625" s="87">
        <f>IF(U625&gt;0,Ruimtestaat[[#This Row],[Prest. (m2 /jaar) werkdagen]]/Ruimtestaat[[#This Row],[Norm (m2/uur) werkdagen]],0)</f>
        <v>0</v>
      </c>
      <c r="X625" s="88">
        <f>Ruimtestaat[[#This Row],[uren / jaar werkdagen]]*Tariefsopbouw!$E$35</f>
        <v>0</v>
      </c>
      <c r="Y625" s="85"/>
      <c r="Z625" s="89">
        <f>IF(Ruimtestaat[[#This Row],[Frequentie weekend]]&gt;0,VALUE(LEFT(Y625,1))*R625,0)</f>
        <v>0</v>
      </c>
      <c r="AA625" s="85">
        <f>IF($Z625&gt;0,VLOOKUP($J625,Ruimtegroepen[],3,FALSE)*VLOOKUP($L625,Vloersoorten[],3,FALSE)*VLOOKUP($Y625,Frequenties[],3,FALSE)*VLOOKUP(#REF!,Locaties[],3,FALSE),0)</f>
        <v>0</v>
      </c>
      <c r="AB625" s="87">
        <f>Ruimtestaat[[#This Row],[Uitvoeringen weekend]]*Ruimtestaat[[#This Row],[Oppervlak (netto)]]</f>
        <v>0</v>
      </c>
      <c r="AC625" s="90">
        <f>IF(AB625&gt;0,Ruimtestaat[[#This Row],[Prest. (m2 /jaar) weekend]]/Ruimtestaat[[#This Row],[Norm (m2/uur) weekend]],0)</f>
        <v>0</v>
      </c>
      <c r="AD625" s="91">
        <f>Ruimtestaat[[#This Row],[uren / jaar weekend]]*Tariefsopbouw!$D$40</f>
        <v>0</v>
      </c>
      <c r="AE625" s="60">
        <f>Ruimtestaat[[#This Row],[Prest. (m2 /jaar) weekend]]+Ruimtestaat[[#This Row],[Prest. (m2 /jaar) werkdagen]]</f>
        <v>17822.699999999997</v>
      </c>
      <c r="AF625" s="60">
        <f>Ruimtestaat[[#This Row],[uren / jaar weekend]]+Ruimtestaat[[#This Row],[uren / jaar werkdagen]]</f>
        <v>0</v>
      </c>
      <c r="AG625" s="61">
        <f>Ruimtestaat[[#This Row],[kosten / jaar weekend]]+Ruimtestaat[[#This Row],[kosten / jaar werkdagen]]</f>
        <v>0</v>
      </c>
      <c r="AH625" s="92"/>
      <c r="HL625" s="59"/>
    </row>
    <row r="626" spans="1:220">
      <c r="A626" s="24">
        <v>5</v>
      </c>
      <c r="B626" s="24" t="str">
        <f>VLOOKUP(Ruimtestaat[[#This Row],[Code]],Locaties[#All],2,FALSE)</f>
        <v>Marke Zuid</v>
      </c>
      <c r="C626" s="24" t="str">
        <f>VLOOKUP(Ruimtestaat[[#This Row],[Code]],Locaties[#All],4,FALSE)</f>
        <v>Ludgerstraat 1</v>
      </c>
      <c r="D626" s="24" t="str">
        <f>VLOOKUP(Ruimtestaat[[#This Row],[Code]],Locaties[#All],5,FALSE)</f>
        <v>7415 DV</v>
      </c>
      <c r="E626" s="24" t="str">
        <f>VLOOKUP(Ruimtestaat[[#This Row],[Code]],Locaties[#All],6,FALSE)</f>
        <v>Deventer</v>
      </c>
      <c r="F626" s="54"/>
      <c r="G626" s="24" t="s">
        <v>367</v>
      </c>
      <c r="H626" s="24" t="s">
        <v>425</v>
      </c>
      <c r="I626" s="4" t="s">
        <v>1076</v>
      </c>
      <c r="J626" s="24">
        <v>14</v>
      </c>
      <c r="K626" s="54" t="str">
        <f>VLOOKUP(J626,Ruimtegroepen[],2,FALSE)</f>
        <v>Praktijklokalen binas/zorg</v>
      </c>
      <c r="L626" s="24" t="s">
        <v>300</v>
      </c>
      <c r="M626" s="24" t="s">
        <v>997</v>
      </c>
      <c r="N626" s="83">
        <v>49.06</v>
      </c>
      <c r="O626" s="83"/>
      <c r="P626" s="93" t="str">
        <f>LEFT(VLOOKUP(Ruimtestaat[[#This Row],[Ruimte code]],Ruimtegroepen[#All],4,1),2)</f>
        <v>Le</v>
      </c>
      <c r="Q626" s="93"/>
      <c r="R626" s="84">
        <v>40</v>
      </c>
      <c r="S626" s="84" t="s">
        <v>318</v>
      </c>
      <c r="T626" s="85">
        <f>IF(R626&gt;0,IF(RIGHT(Ruimtestaat[[#This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6" s="85">
        <f>IF(T626&gt;0,VLOOKUP($J626,Ruimtegroepen[],3,FALSE)*VLOOKUP($L626,Vloersoorten[],3,FALSE)*VLOOKUP($S626,Frequenties[],3,FALSE)*VLOOKUP($A626,Locaties[],3,FALSE),0)</f>
        <v>0</v>
      </c>
      <c r="V626" s="86">
        <f>Ruimtestaat[[#This Row],[Uitvoeringen werkdagen]]*Ruimtestaat[[#This Row],[Oppervlak (netto)]]</f>
        <v>9812</v>
      </c>
      <c r="W626" s="87">
        <f>IF(U626&gt;0,Ruimtestaat[[#This Row],[Prest. (m2 /jaar) werkdagen]]/Ruimtestaat[[#This Row],[Norm (m2/uur) werkdagen]],0)</f>
        <v>0</v>
      </c>
      <c r="X626" s="88">
        <f>Ruimtestaat[[#This Row],[uren / jaar werkdagen]]*Tariefsopbouw!$E$35</f>
        <v>0</v>
      </c>
      <c r="Y626" s="85"/>
      <c r="Z626" s="89">
        <f>IF(Ruimtestaat[[#This Row],[Frequentie weekend]]&gt;0,VALUE(LEFT(Y626,1))*R626,0)</f>
        <v>0</v>
      </c>
      <c r="AA626" s="85">
        <f>IF($Z626&gt;0,VLOOKUP($J626,Ruimtegroepen[],3,FALSE)*VLOOKUP($L626,Vloersoorten[],3,FALSE)*VLOOKUP($Y626,Frequenties[],3,FALSE)*VLOOKUP(#REF!,Locaties[],3,FALSE),0)</f>
        <v>0</v>
      </c>
      <c r="AB626" s="87">
        <f>Ruimtestaat[[#This Row],[Uitvoeringen weekend]]*Ruimtestaat[[#This Row],[Oppervlak (netto)]]</f>
        <v>0</v>
      </c>
      <c r="AC626" s="90">
        <f>IF(AB626&gt;0,Ruimtestaat[[#This Row],[Prest. (m2 /jaar) weekend]]/Ruimtestaat[[#This Row],[Norm (m2/uur) weekend]],0)</f>
        <v>0</v>
      </c>
      <c r="AD626" s="91">
        <f>Ruimtestaat[[#This Row],[uren / jaar weekend]]*Tariefsopbouw!$D$40</f>
        <v>0</v>
      </c>
      <c r="AE626" s="60">
        <f>Ruimtestaat[[#This Row],[Prest. (m2 /jaar) weekend]]+Ruimtestaat[[#This Row],[Prest. (m2 /jaar) werkdagen]]</f>
        <v>9812</v>
      </c>
      <c r="AF626" s="60">
        <f>Ruimtestaat[[#This Row],[uren / jaar weekend]]+Ruimtestaat[[#This Row],[uren / jaar werkdagen]]</f>
        <v>0</v>
      </c>
      <c r="AG626" s="61">
        <f>Ruimtestaat[[#This Row],[kosten / jaar weekend]]+Ruimtestaat[[#This Row],[kosten / jaar werkdagen]]</f>
        <v>0</v>
      </c>
      <c r="AH626" s="92"/>
      <c r="HL626" s="59"/>
    </row>
    <row r="627" spans="1:220">
      <c r="A627" s="24">
        <v>5</v>
      </c>
      <c r="B627" s="24" t="str">
        <f>VLOOKUP(Ruimtestaat[[#This Row],[Code]],Locaties[#All],2,FALSE)</f>
        <v>Marke Zuid</v>
      </c>
      <c r="C627" s="24" t="str">
        <f>VLOOKUP(Ruimtestaat[[#This Row],[Code]],Locaties[#All],4,FALSE)</f>
        <v>Ludgerstraat 1</v>
      </c>
      <c r="D627" s="24" t="str">
        <f>VLOOKUP(Ruimtestaat[[#This Row],[Code]],Locaties[#All],5,FALSE)</f>
        <v>7415 DV</v>
      </c>
      <c r="E627" s="24" t="str">
        <f>VLOOKUP(Ruimtestaat[[#This Row],[Code]],Locaties[#All],6,FALSE)</f>
        <v>Deventer</v>
      </c>
      <c r="F627" s="54"/>
      <c r="G627" s="24" t="s">
        <v>367</v>
      </c>
      <c r="H627" s="24" t="s">
        <v>1077</v>
      </c>
      <c r="I627" s="4" t="s">
        <v>1078</v>
      </c>
      <c r="J627" s="24">
        <v>2</v>
      </c>
      <c r="K627" s="54" t="str">
        <f>VLOOKUP(J627,Ruimtegroepen[],2,FALSE)</f>
        <v>Kantoren</v>
      </c>
      <c r="L627" s="24" t="s">
        <v>300</v>
      </c>
      <c r="M627" s="24" t="s">
        <v>997</v>
      </c>
      <c r="N627" s="83">
        <v>11.03</v>
      </c>
      <c r="O627" s="83"/>
      <c r="P627" s="93" t="str">
        <f>LEFT(VLOOKUP(Ruimtestaat[[#This Row],[Ruimte code]],Ruimtegroepen[#All],4,1),2)</f>
        <v>Bu</v>
      </c>
      <c r="Q627" s="93"/>
      <c r="R627" s="84">
        <v>42</v>
      </c>
      <c r="S627" s="84" t="s">
        <v>322</v>
      </c>
      <c r="T627" s="85">
        <f>IF(R627&gt;0,IF(RIGHT(Ruimtestaat[[#This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27" s="85">
        <f>IF(T627&gt;0,VLOOKUP($J627,Ruimtegroepen[],3,FALSE)*VLOOKUP($L627,Vloersoorten[],3,FALSE)*VLOOKUP($S627,Frequenties[],3,FALSE)*VLOOKUP($A627,Locaties[],3,FALSE),0)</f>
        <v>0</v>
      </c>
      <c r="V627" s="86">
        <f>Ruimtestaat[[#This Row],[Uitvoeringen werkdagen]]*Ruimtestaat[[#This Row],[Oppervlak (netto)]]</f>
        <v>1389.78</v>
      </c>
      <c r="W627" s="87">
        <f>IF(U627&gt;0,Ruimtestaat[[#This Row],[Prest. (m2 /jaar) werkdagen]]/Ruimtestaat[[#This Row],[Norm (m2/uur) werkdagen]],0)</f>
        <v>0</v>
      </c>
      <c r="X627" s="88">
        <f>Ruimtestaat[[#This Row],[uren / jaar werkdagen]]*Tariefsopbouw!$E$35</f>
        <v>0</v>
      </c>
      <c r="Y627" s="85"/>
      <c r="Z627" s="89">
        <f>IF(Ruimtestaat[[#This Row],[Frequentie weekend]]&gt;0,VALUE(LEFT(Y627,1))*R627,0)</f>
        <v>0</v>
      </c>
      <c r="AA627" s="85">
        <f>IF($Z627&gt;0,VLOOKUP($J627,Ruimtegroepen[],3,FALSE)*VLOOKUP($L627,Vloersoorten[],3,FALSE)*VLOOKUP($Y627,Frequenties[],3,FALSE)*VLOOKUP(#REF!,Locaties[],3,FALSE),0)</f>
        <v>0</v>
      </c>
      <c r="AB627" s="87">
        <f>Ruimtestaat[[#This Row],[Uitvoeringen weekend]]*Ruimtestaat[[#This Row],[Oppervlak (netto)]]</f>
        <v>0</v>
      </c>
      <c r="AC627" s="90">
        <f>IF(AB627&gt;0,Ruimtestaat[[#This Row],[Prest. (m2 /jaar) weekend]]/Ruimtestaat[[#This Row],[Norm (m2/uur) weekend]],0)</f>
        <v>0</v>
      </c>
      <c r="AD627" s="91">
        <f>Ruimtestaat[[#This Row],[uren / jaar weekend]]*Tariefsopbouw!$D$40</f>
        <v>0</v>
      </c>
      <c r="AE627" s="60">
        <f>Ruimtestaat[[#This Row],[Prest. (m2 /jaar) weekend]]+Ruimtestaat[[#This Row],[Prest. (m2 /jaar) werkdagen]]</f>
        <v>1389.78</v>
      </c>
      <c r="AF627" s="60">
        <f>Ruimtestaat[[#This Row],[uren / jaar weekend]]+Ruimtestaat[[#This Row],[uren / jaar werkdagen]]</f>
        <v>0</v>
      </c>
      <c r="AG627" s="61">
        <f>Ruimtestaat[[#This Row],[kosten / jaar weekend]]+Ruimtestaat[[#This Row],[kosten / jaar werkdagen]]</f>
        <v>0</v>
      </c>
      <c r="AH627" s="92"/>
      <c r="HL627" s="59"/>
    </row>
    <row r="628" spans="1:220">
      <c r="A628" s="24">
        <v>5</v>
      </c>
      <c r="B628" s="24" t="str">
        <f>VLOOKUP(Ruimtestaat[[#This Row],[Code]],Locaties[#All],2,FALSE)</f>
        <v>Marke Zuid</v>
      </c>
      <c r="C628" s="24" t="str">
        <f>VLOOKUP(Ruimtestaat[[#This Row],[Code]],Locaties[#All],4,FALSE)</f>
        <v>Ludgerstraat 1</v>
      </c>
      <c r="D628" s="24" t="str">
        <f>VLOOKUP(Ruimtestaat[[#This Row],[Code]],Locaties[#All],5,FALSE)</f>
        <v>7415 DV</v>
      </c>
      <c r="E628" s="24" t="str">
        <f>VLOOKUP(Ruimtestaat[[#This Row],[Code]],Locaties[#All],6,FALSE)</f>
        <v>Deventer</v>
      </c>
      <c r="F628" s="54"/>
      <c r="G628" s="24" t="s">
        <v>367</v>
      </c>
      <c r="H628" s="24" t="s">
        <v>1079</v>
      </c>
      <c r="I628" s="4" t="s">
        <v>1080</v>
      </c>
      <c r="J628" s="24">
        <v>14</v>
      </c>
      <c r="K628" s="54" t="str">
        <f>VLOOKUP(J628,Ruimtegroepen[],2,FALSE)</f>
        <v>Praktijklokalen binas/zorg</v>
      </c>
      <c r="L628" s="24" t="s">
        <v>300</v>
      </c>
      <c r="M628" s="24" t="s">
        <v>997</v>
      </c>
      <c r="N628" s="83">
        <v>16.72</v>
      </c>
      <c r="O628" s="83"/>
      <c r="P628" s="93" t="str">
        <f>LEFT(VLOOKUP(Ruimtestaat[[#This Row],[Ruimte code]],Ruimtegroepen[#All],4,1),2)</f>
        <v>Le</v>
      </c>
      <c r="Q628" s="93"/>
      <c r="R628" s="84">
        <v>40</v>
      </c>
      <c r="S628" s="84" t="s">
        <v>318</v>
      </c>
      <c r="T628" s="85">
        <f>IF(R628&gt;0,IF(RIGHT(Ruimtestaat[[#This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8" s="85">
        <f>IF(T628&gt;0,VLOOKUP($J628,Ruimtegroepen[],3,FALSE)*VLOOKUP($L628,Vloersoorten[],3,FALSE)*VLOOKUP($S628,Frequenties[],3,FALSE)*VLOOKUP($A628,Locaties[],3,FALSE),0)</f>
        <v>0</v>
      </c>
      <c r="V628" s="86">
        <f>Ruimtestaat[[#This Row],[Uitvoeringen werkdagen]]*Ruimtestaat[[#This Row],[Oppervlak (netto)]]</f>
        <v>3344</v>
      </c>
      <c r="W628" s="87">
        <f>IF(U628&gt;0,Ruimtestaat[[#This Row],[Prest. (m2 /jaar) werkdagen]]/Ruimtestaat[[#This Row],[Norm (m2/uur) werkdagen]],0)</f>
        <v>0</v>
      </c>
      <c r="X628" s="88">
        <f>Ruimtestaat[[#This Row],[uren / jaar werkdagen]]*Tariefsopbouw!$E$35</f>
        <v>0</v>
      </c>
      <c r="Y628" s="85"/>
      <c r="Z628" s="89">
        <f>IF(Ruimtestaat[[#This Row],[Frequentie weekend]]&gt;0,VALUE(LEFT(Y628,1))*R628,0)</f>
        <v>0</v>
      </c>
      <c r="AA628" s="85">
        <f>IF($Z628&gt;0,VLOOKUP($J628,Ruimtegroepen[],3,FALSE)*VLOOKUP($L628,Vloersoorten[],3,FALSE)*VLOOKUP($Y628,Frequenties[],3,FALSE)*VLOOKUP(#REF!,Locaties[],3,FALSE),0)</f>
        <v>0</v>
      </c>
      <c r="AB628" s="87">
        <f>Ruimtestaat[[#This Row],[Uitvoeringen weekend]]*Ruimtestaat[[#This Row],[Oppervlak (netto)]]</f>
        <v>0</v>
      </c>
      <c r="AC628" s="90">
        <f>IF(AB628&gt;0,Ruimtestaat[[#This Row],[Prest. (m2 /jaar) weekend]]/Ruimtestaat[[#This Row],[Norm (m2/uur) weekend]],0)</f>
        <v>0</v>
      </c>
      <c r="AD628" s="91">
        <f>Ruimtestaat[[#This Row],[uren / jaar weekend]]*Tariefsopbouw!$D$40</f>
        <v>0</v>
      </c>
      <c r="AE628" s="60">
        <f>Ruimtestaat[[#This Row],[Prest. (m2 /jaar) weekend]]+Ruimtestaat[[#This Row],[Prest. (m2 /jaar) werkdagen]]</f>
        <v>3344</v>
      </c>
      <c r="AF628" s="60">
        <f>Ruimtestaat[[#This Row],[uren / jaar weekend]]+Ruimtestaat[[#This Row],[uren / jaar werkdagen]]</f>
        <v>0</v>
      </c>
      <c r="AG628" s="61">
        <f>Ruimtestaat[[#This Row],[kosten / jaar weekend]]+Ruimtestaat[[#This Row],[kosten / jaar werkdagen]]</f>
        <v>0</v>
      </c>
      <c r="AH628" s="92"/>
      <c r="HL628" s="59"/>
    </row>
    <row r="629" spans="1:220">
      <c r="A629" s="24">
        <v>5</v>
      </c>
      <c r="B629" s="24" t="str">
        <f>VLOOKUP(Ruimtestaat[[#This Row],[Code]],Locaties[#All],2,FALSE)</f>
        <v>Marke Zuid</v>
      </c>
      <c r="C629" s="24" t="str">
        <f>VLOOKUP(Ruimtestaat[[#This Row],[Code]],Locaties[#All],4,FALSE)</f>
        <v>Ludgerstraat 1</v>
      </c>
      <c r="D629" s="24" t="str">
        <f>VLOOKUP(Ruimtestaat[[#This Row],[Code]],Locaties[#All],5,FALSE)</f>
        <v>7415 DV</v>
      </c>
      <c r="E629" s="24" t="str">
        <f>VLOOKUP(Ruimtestaat[[#This Row],[Code]],Locaties[#All],6,FALSE)</f>
        <v>Deventer</v>
      </c>
      <c r="F629" s="54"/>
      <c r="G629" s="24" t="s">
        <v>367</v>
      </c>
      <c r="H629" s="24" t="s">
        <v>1081</v>
      </c>
      <c r="I629" s="4" t="s">
        <v>1076</v>
      </c>
      <c r="J629" s="24">
        <v>14</v>
      </c>
      <c r="K629" s="54" t="str">
        <f>VLOOKUP(J629,Ruimtegroepen[],2,FALSE)</f>
        <v>Praktijklokalen binas/zorg</v>
      </c>
      <c r="L629" s="24" t="s">
        <v>300</v>
      </c>
      <c r="M629" s="24" t="s">
        <v>997</v>
      </c>
      <c r="N629" s="83">
        <v>17.55</v>
      </c>
      <c r="O629" s="83"/>
      <c r="P629" s="93" t="str">
        <f>LEFT(VLOOKUP(Ruimtestaat[[#This Row],[Ruimte code]],Ruimtegroepen[#All],4,1),2)</f>
        <v>Le</v>
      </c>
      <c r="Q629" s="93"/>
      <c r="R629" s="84">
        <v>40</v>
      </c>
      <c r="S629" s="84" t="s">
        <v>318</v>
      </c>
      <c r="T629" s="85">
        <f>IF(R629&gt;0,IF(RIGHT(Ruimtestaat[[#This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9" s="85">
        <f>IF(T629&gt;0,VLOOKUP($J629,Ruimtegroepen[],3,FALSE)*VLOOKUP($L629,Vloersoorten[],3,FALSE)*VLOOKUP($S629,Frequenties[],3,FALSE)*VLOOKUP($A629,Locaties[],3,FALSE),0)</f>
        <v>0</v>
      </c>
      <c r="V629" s="86">
        <f>Ruimtestaat[[#This Row],[Uitvoeringen werkdagen]]*Ruimtestaat[[#This Row],[Oppervlak (netto)]]</f>
        <v>3510</v>
      </c>
      <c r="W629" s="87">
        <f>IF(U629&gt;0,Ruimtestaat[[#This Row],[Prest. (m2 /jaar) werkdagen]]/Ruimtestaat[[#This Row],[Norm (m2/uur) werkdagen]],0)</f>
        <v>0</v>
      </c>
      <c r="X629" s="88">
        <f>Ruimtestaat[[#This Row],[uren / jaar werkdagen]]*Tariefsopbouw!$E$35</f>
        <v>0</v>
      </c>
      <c r="Y629" s="85"/>
      <c r="Z629" s="89">
        <f>IF(Ruimtestaat[[#This Row],[Frequentie weekend]]&gt;0,VALUE(LEFT(Y629,1))*R629,0)</f>
        <v>0</v>
      </c>
      <c r="AA629" s="85">
        <f>IF($Z629&gt;0,VLOOKUP($J629,Ruimtegroepen[],3,FALSE)*VLOOKUP($L629,Vloersoorten[],3,FALSE)*VLOOKUP($Y629,Frequenties[],3,FALSE)*VLOOKUP(#REF!,Locaties[],3,FALSE),0)</f>
        <v>0</v>
      </c>
      <c r="AB629" s="87">
        <f>Ruimtestaat[[#This Row],[Uitvoeringen weekend]]*Ruimtestaat[[#This Row],[Oppervlak (netto)]]</f>
        <v>0</v>
      </c>
      <c r="AC629" s="90">
        <f>IF(AB629&gt;0,Ruimtestaat[[#This Row],[Prest. (m2 /jaar) weekend]]/Ruimtestaat[[#This Row],[Norm (m2/uur) weekend]],0)</f>
        <v>0</v>
      </c>
      <c r="AD629" s="91">
        <f>Ruimtestaat[[#This Row],[uren / jaar weekend]]*Tariefsopbouw!$D$40</f>
        <v>0</v>
      </c>
      <c r="AE629" s="60">
        <f>Ruimtestaat[[#This Row],[Prest. (m2 /jaar) weekend]]+Ruimtestaat[[#This Row],[Prest. (m2 /jaar) werkdagen]]</f>
        <v>3510</v>
      </c>
      <c r="AF629" s="60">
        <f>Ruimtestaat[[#This Row],[uren / jaar weekend]]+Ruimtestaat[[#This Row],[uren / jaar werkdagen]]</f>
        <v>0</v>
      </c>
      <c r="AG629" s="61">
        <f>Ruimtestaat[[#This Row],[kosten / jaar weekend]]+Ruimtestaat[[#This Row],[kosten / jaar werkdagen]]</f>
        <v>0</v>
      </c>
      <c r="AH629" s="92"/>
      <c r="HL629" s="59"/>
    </row>
    <row r="630" spans="1:220">
      <c r="A630" s="24">
        <v>5</v>
      </c>
      <c r="B630" s="24" t="str">
        <f>VLOOKUP(Ruimtestaat[[#This Row],[Code]],Locaties[#All],2,FALSE)</f>
        <v>Marke Zuid</v>
      </c>
      <c r="C630" s="24" t="str">
        <f>VLOOKUP(Ruimtestaat[[#This Row],[Code]],Locaties[#All],4,FALSE)</f>
        <v>Ludgerstraat 1</v>
      </c>
      <c r="D630" s="24" t="str">
        <f>VLOOKUP(Ruimtestaat[[#This Row],[Code]],Locaties[#All],5,FALSE)</f>
        <v>7415 DV</v>
      </c>
      <c r="E630" s="24" t="str">
        <f>VLOOKUP(Ruimtestaat[[#This Row],[Code]],Locaties[#All],6,FALSE)</f>
        <v>Deventer</v>
      </c>
      <c r="F630" s="54"/>
      <c r="G630" s="24" t="s">
        <v>367</v>
      </c>
      <c r="H630" s="24" t="s">
        <v>1082</v>
      </c>
      <c r="I630" s="4" t="s">
        <v>1076</v>
      </c>
      <c r="J630" s="24">
        <v>14</v>
      </c>
      <c r="K630" s="54" t="str">
        <f>VLOOKUP(J630,Ruimtegroepen[],2,FALSE)</f>
        <v>Praktijklokalen binas/zorg</v>
      </c>
      <c r="L630" s="24" t="s">
        <v>300</v>
      </c>
      <c r="M630" s="24" t="s">
        <v>997</v>
      </c>
      <c r="N630" s="83">
        <v>23.32</v>
      </c>
      <c r="O630" s="83"/>
      <c r="P630" s="93" t="str">
        <f>LEFT(VLOOKUP(Ruimtestaat[[#This Row],[Ruimte code]],Ruimtegroepen[#All],4,1),2)</f>
        <v>Le</v>
      </c>
      <c r="Q630" s="93"/>
      <c r="R630" s="84">
        <v>40</v>
      </c>
      <c r="S630" s="84" t="s">
        <v>318</v>
      </c>
      <c r="T630" s="85">
        <f>IF(R630&gt;0,IF(RIGHT(Ruimtestaat[[#This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0" s="85">
        <f>IF(T630&gt;0,VLOOKUP($J630,Ruimtegroepen[],3,FALSE)*VLOOKUP($L630,Vloersoorten[],3,FALSE)*VLOOKUP($S630,Frequenties[],3,FALSE)*VLOOKUP($A630,Locaties[],3,FALSE),0)</f>
        <v>0</v>
      </c>
      <c r="V630" s="86">
        <f>Ruimtestaat[[#This Row],[Uitvoeringen werkdagen]]*Ruimtestaat[[#This Row],[Oppervlak (netto)]]</f>
        <v>4664</v>
      </c>
      <c r="W630" s="87">
        <f>IF(U630&gt;0,Ruimtestaat[[#This Row],[Prest. (m2 /jaar) werkdagen]]/Ruimtestaat[[#This Row],[Norm (m2/uur) werkdagen]],0)</f>
        <v>0</v>
      </c>
      <c r="X630" s="88">
        <f>Ruimtestaat[[#This Row],[uren / jaar werkdagen]]*Tariefsopbouw!$E$35</f>
        <v>0</v>
      </c>
      <c r="Y630" s="85"/>
      <c r="Z630" s="89">
        <f>IF(Ruimtestaat[[#This Row],[Frequentie weekend]]&gt;0,VALUE(LEFT(Y630,1))*R630,0)</f>
        <v>0</v>
      </c>
      <c r="AA630" s="85">
        <f>IF($Z630&gt;0,VLOOKUP($J630,Ruimtegroepen[],3,FALSE)*VLOOKUP($L630,Vloersoorten[],3,FALSE)*VLOOKUP($Y630,Frequenties[],3,FALSE)*VLOOKUP(#REF!,Locaties[],3,FALSE),0)</f>
        <v>0</v>
      </c>
      <c r="AB630" s="87">
        <f>Ruimtestaat[[#This Row],[Uitvoeringen weekend]]*Ruimtestaat[[#This Row],[Oppervlak (netto)]]</f>
        <v>0</v>
      </c>
      <c r="AC630" s="90">
        <f>IF(AB630&gt;0,Ruimtestaat[[#This Row],[Prest. (m2 /jaar) weekend]]/Ruimtestaat[[#This Row],[Norm (m2/uur) weekend]],0)</f>
        <v>0</v>
      </c>
      <c r="AD630" s="91">
        <f>Ruimtestaat[[#This Row],[uren / jaar weekend]]*Tariefsopbouw!$D$40</f>
        <v>0</v>
      </c>
      <c r="AE630" s="60">
        <f>Ruimtestaat[[#This Row],[Prest. (m2 /jaar) weekend]]+Ruimtestaat[[#This Row],[Prest. (m2 /jaar) werkdagen]]</f>
        <v>4664</v>
      </c>
      <c r="AF630" s="60">
        <f>Ruimtestaat[[#This Row],[uren / jaar weekend]]+Ruimtestaat[[#This Row],[uren / jaar werkdagen]]</f>
        <v>0</v>
      </c>
      <c r="AG630" s="61">
        <f>Ruimtestaat[[#This Row],[kosten / jaar weekend]]+Ruimtestaat[[#This Row],[kosten / jaar werkdagen]]</f>
        <v>0</v>
      </c>
      <c r="AH630" s="92"/>
      <c r="HL630" s="59"/>
    </row>
    <row r="631" spans="1:220">
      <c r="A631" s="24">
        <v>5</v>
      </c>
      <c r="B631" s="24" t="str">
        <f>VLOOKUP(Ruimtestaat[[#This Row],[Code]],Locaties[#All],2,FALSE)</f>
        <v>Marke Zuid</v>
      </c>
      <c r="C631" s="24" t="str">
        <f>VLOOKUP(Ruimtestaat[[#This Row],[Code]],Locaties[#All],4,FALSE)</f>
        <v>Ludgerstraat 1</v>
      </c>
      <c r="D631" s="24" t="str">
        <f>VLOOKUP(Ruimtestaat[[#This Row],[Code]],Locaties[#All],5,FALSE)</f>
        <v>7415 DV</v>
      </c>
      <c r="E631" s="24" t="str">
        <f>VLOOKUP(Ruimtestaat[[#This Row],[Code]],Locaties[#All],6,FALSE)</f>
        <v>Deventer</v>
      </c>
      <c r="F631" s="54"/>
      <c r="G631" s="24" t="s">
        <v>367</v>
      </c>
      <c r="H631" s="24" t="s">
        <v>1083</v>
      </c>
      <c r="I631" s="4" t="s">
        <v>1076</v>
      </c>
      <c r="J631" s="24">
        <v>14</v>
      </c>
      <c r="K631" s="54" t="str">
        <f>VLOOKUP(J631,Ruimtegroepen[],2,FALSE)</f>
        <v>Praktijklokalen binas/zorg</v>
      </c>
      <c r="L631" s="24" t="s">
        <v>300</v>
      </c>
      <c r="M631" s="24" t="s">
        <v>997</v>
      </c>
      <c r="N631" s="83">
        <v>42.38</v>
      </c>
      <c r="O631" s="83"/>
      <c r="P631" s="93" t="str">
        <f>LEFT(VLOOKUP(Ruimtestaat[[#This Row],[Ruimte code]],Ruimtegroepen[#All],4,1),2)</f>
        <v>Le</v>
      </c>
      <c r="Q631" s="93"/>
      <c r="R631" s="84">
        <v>40</v>
      </c>
      <c r="S631" s="84" t="s">
        <v>318</v>
      </c>
      <c r="T631" s="85">
        <f>IF(R631&gt;0,IF(RIGHT(Ruimtestaat[[#This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1" s="85">
        <f>IF(T631&gt;0,VLOOKUP($J631,Ruimtegroepen[],3,FALSE)*VLOOKUP($L631,Vloersoorten[],3,FALSE)*VLOOKUP($S631,Frequenties[],3,FALSE)*VLOOKUP($A631,Locaties[],3,FALSE),0)</f>
        <v>0</v>
      </c>
      <c r="V631" s="86">
        <f>Ruimtestaat[[#This Row],[Uitvoeringen werkdagen]]*Ruimtestaat[[#This Row],[Oppervlak (netto)]]</f>
        <v>8476</v>
      </c>
      <c r="W631" s="87">
        <f>IF(U631&gt;0,Ruimtestaat[[#This Row],[Prest. (m2 /jaar) werkdagen]]/Ruimtestaat[[#This Row],[Norm (m2/uur) werkdagen]],0)</f>
        <v>0</v>
      </c>
      <c r="X631" s="88">
        <f>Ruimtestaat[[#This Row],[uren / jaar werkdagen]]*Tariefsopbouw!$E$35</f>
        <v>0</v>
      </c>
      <c r="Y631" s="85"/>
      <c r="Z631" s="89">
        <f>IF(Ruimtestaat[[#This Row],[Frequentie weekend]]&gt;0,VALUE(LEFT(Y631,1))*R631,0)</f>
        <v>0</v>
      </c>
      <c r="AA631" s="85">
        <f>IF($Z631&gt;0,VLOOKUP($J631,Ruimtegroepen[],3,FALSE)*VLOOKUP($L631,Vloersoorten[],3,FALSE)*VLOOKUP($Y631,Frequenties[],3,FALSE)*VLOOKUP(#REF!,Locaties[],3,FALSE),0)</f>
        <v>0</v>
      </c>
      <c r="AB631" s="87">
        <f>Ruimtestaat[[#This Row],[Uitvoeringen weekend]]*Ruimtestaat[[#This Row],[Oppervlak (netto)]]</f>
        <v>0</v>
      </c>
      <c r="AC631" s="90">
        <f>IF(AB631&gt;0,Ruimtestaat[[#This Row],[Prest. (m2 /jaar) weekend]]/Ruimtestaat[[#This Row],[Norm (m2/uur) weekend]],0)</f>
        <v>0</v>
      </c>
      <c r="AD631" s="91">
        <f>Ruimtestaat[[#This Row],[uren / jaar weekend]]*Tariefsopbouw!$D$40</f>
        <v>0</v>
      </c>
      <c r="AE631" s="60">
        <f>Ruimtestaat[[#This Row],[Prest. (m2 /jaar) weekend]]+Ruimtestaat[[#This Row],[Prest. (m2 /jaar) werkdagen]]</f>
        <v>8476</v>
      </c>
      <c r="AF631" s="60">
        <f>Ruimtestaat[[#This Row],[uren / jaar weekend]]+Ruimtestaat[[#This Row],[uren / jaar werkdagen]]</f>
        <v>0</v>
      </c>
      <c r="AG631" s="61">
        <f>Ruimtestaat[[#This Row],[kosten / jaar weekend]]+Ruimtestaat[[#This Row],[kosten / jaar werkdagen]]</f>
        <v>0</v>
      </c>
      <c r="AH631" s="92"/>
      <c r="HL631" s="59"/>
    </row>
    <row r="632" spans="1:220">
      <c r="A632" s="24">
        <v>5</v>
      </c>
      <c r="B632" s="24" t="str">
        <f>VLOOKUP(Ruimtestaat[[#This Row],[Code]],Locaties[#All],2,FALSE)</f>
        <v>Marke Zuid</v>
      </c>
      <c r="C632" s="24" t="str">
        <f>VLOOKUP(Ruimtestaat[[#This Row],[Code]],Locaties[#All],4,FALSE)</f>
        <v>Ludgerstraat 1</v>
      </c>
      <c r="D632" s="24" t="str">
        <f>VLOOKUP(Ruimtestaat[[#This Row],[Code]],Locaties[#All],5,FALSE)</f>
        <v>7415 DV</v>
      </c>
      <c r="E632" s="24" t="str">
        <f>VLOOKUP(Ruimtestaat[[#This Row],[Code]],Locaties[#All],6,FALSE)</f>
        <v>Deventer</v>
      </c>
      <c r="F632" s="54"/>
      <c r="G632" s="24" t="s">
        <v>367</v>
      </c>
      <c r="H632" s="24" t="s">
        <v>1084</v>
      </c>
      <c r="I632" s="4" t="s">
        <v>1076</v>
      </c>
      <c r="J632" s="24">
        <v>14</v>
      </c>
      <c r="K632" s="54" t="str">
        <f>VLOOKUP(J632,Ruimtegroepen[],2,FALSE)</f>
        <v>Praktijklokalen binas/zorg</v>
      </c>
      <c r="L632" s="24" t="s">
        <v>300</v>
      </c>
      <c r="M632" s="24" t="s">
        <v>997</v>
      </c>
      <c r="N632" s="83">
        <v>11.36</v>
      </c>
      <c r="O632" s="83"/>
      <c r="P632" s="93" t="str">
        <f>LEFT(VLOOKUP(Ruimtestaat[[#This Row],[Ruimte code]],Ruimtegroepen[#All],4,1),2)</f>
        <v>Le</v>
      </c>
      <c r="Q632" s="93"/>
      <c r="R632" s="84">
        <v>40</v>
      </c>
      <c r="S632" s="84" t="s">
        <v>318</v>
      </c>
      <c r="T632" s="85">
        <f>IF(R632&gt;0,IF(RIGHT(Ruimtestaat[[#This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2" s="85">
        <f>IF(T632&gt;0,VLOOKUP($J632,Ruimtegroepen[],3,FALSE)*VLOOKUP($L632,Vloersoorten[],3,FALSE)*VLOOKUP($S632,Frequenties[],3,FALSE)*VLOOKUP($A632,Locaties[],3,FALSE),0)</f>
        <v>0</v>
      </c>
      <c r="V632" s="86">
        <f>Ruimtestaat[[#This Row],[Uitvoeringen werkdagen]]*Ruimtestaat[[#This Row],[Oppervlak (netto)]]</f>
        <v>2272</v>
      </c>
      <c r="W632" s="87">
        <f>IF(U632&gt;0,Ruimtestaat[[#This Row],[Prest. (m2 /jaar) werkdagen]]/Ruimtestaat[[#This Row],[Norm (m2/uur) werkdagen]],0)</f>
        <v>0</v>
      </c>
      <c r="X632" s="88">
        <f>Ruimtestaat[[#This Row],[uren / jaar werkdagen]]*Tariefsopbouw!$E$35</f>
        <v>0</v>
      </c>
      <c r="Y632" s="85"/>
      <c r="Z632" s="89">
        <f>IF(Ruimtestaat[[#This Row],[Frequentie weekend]]&gt;0,VALUE(LEFT(Y632,1))*R632,0)</f>
        <v>0</v>
      </c>
      <c r="AA632" s="85">
        <f>IF($Z632&gt;0,VLOOKUP($J632,Ruimtegroepen[],3,FALSE)*VLOOKUP($L632,Vloersoorten[],3,FALSE)*VLOOKUP($Y632,Frequenties[],3,FALSE)*VLOOKUP(#REF!,Locaties[],3,FALSE),0)</f>
        <v>0</v>
      </c>
      <c r="AB632" s="87">
        <f>Ruimtestaat[[#This Row],[Uitvoeringen weekend]]*Ruimtestaat[[#This Row],[Oppervlak (netto)]]</f>
        <v>0</v>
      </c>
      <c r="AC632" s="90">
        <f>IF(AB632&gt;0,Ruimtestaat[[#This Row],[Prest. (m2 /jaar) weekend]]/Ruimtestaat[[#This Row],[Norm (m2/uur) weekend]],0)</f>
        <v>0</v>
      </c>
      <c r="AD632" s="91">
        <f>Ruimtestaat[[#This Row],[uren / jaar weekend]]*Tariefsopbouw!$D$40</f>
        <v>0</v>
      </c>
      <c r="AE632" s="60">
        <f>Ruimtestaat[[#This Row],[Prest. (m2 /jaar) weekend]]+Ruimtestaat[[#This Row],[Prest. (m2 /jaar) werkdagen]]</f>
        <v>2272</v>
      </c>
      <c r="AF632" s="60">
        <f>Ruimtestaat[[#This Row],[uren / jaar weekend]]+Ruimtestaat[[#This Row],[uren / jaar werkdagen]]</f>
        <v>0</v>
      </c>
      <c r="AG632" s="61">
        <f>Ruimtestaat[[#This Row],[kosten / jaar weekend]]+Ruimtestaat[[#This Row],[kosten / jaar werkdagen]]</f>
        <v>0</v>
      </c>
      <c r="AH632" s="92"/>
      <c r="HL632" s="59"/>
    </row>
    <row r="633" spans="1:220">
      <c r="A633" s="24">
        <v>5</v>
      </c>
      <c r="B633" s="24" t="str">
        <f>VLOOKUP(Ruimtestaat[[#This Row],[Code]],Locaties[#All],2,FALSE)</f>
        <v>Marke Zuid</v>
      </c>
      <c r="C633" s="24" t="str">
        <f>VLOOKUP(Ruimtestaat[[#This Row],[Code]],Locaties[#All],4,FALSE)</f>
        <v>Ludgerstraat 1</v>
      </c>
      <c r="D633" s="24" t="str">
        <f>VLOOKUP(Ruimtestaat[[#This Row],[Code]],Locaties[#All],5,FALSE)</f>
        <v>7415 DV</v>
      </c>
      <c r="E633" s="24" t="str">
        <f>VLOOKUP(Ruimtestaat[[#This Row],[Code]],Locaties[#All],6,FALSE)</f>
        <v>Deventer</v>
      </c>
      <c r="F633" s="54"/>
      <c r="G633" s="24" t="s">
        <v>367</v>
      </c>
      <c r="H633" s="24" t="s">
        <v>1085</v>
      </c>
      <c r="I633" s="4" t="s">
        <v>1076</v>
      </c>
      <c r="J633" s="24">
        <v>14</v>
      </c>
      <c r="K633" s="54" t="str">
        <f>VLOOKUP(J633,Ruimtegroepen[],2,FALSE)</f>
        <v>Praktijklokalen binas/zorg</v>
      </c>
      <c r="L633" s="24" t="s">
        <v>300</v>
      </c>
      <c r="M633" s="24" t="s">
        <v>997</v>
      </c>
      <c r="N633" s="83">
        <v>31.15</v>
      </c>
      <c r="O633" s="83"/>
      <c r="P633" s="93" t="str">
        <f>LEFT(VLOOKUP(Ruimtestaat[[#This Row],[Ruimte code]],Ruimtegroepen[#All],4,1),2)</f>
        <v>Le</v>
      </c>
      <c r="Q633" s="93"/>
      <c r="R633" s="84">
        <v>40</v>
      </c>
      <c r="S633" s="84" t="s">
        <v>318</v>
      </c>
      <c r="T633" s="85">
        <f>IF(R633&gt;0,IF(RIGHT(Ruimtestaat[[#This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3" s="85">
        <f>IF(T633&gt;0,VLOOKUP($J633,Ruimtegroepen[],3,FALSE)*VLOOKUP($L633,Vloersoorten[],3,FALSE)*VLOOKUP($S633,Frequenties[],3,FALSE)*VLOOKUP($A633,Locaties[],3,FALSE),0)</f>
        <v>0</v>
      </c>
      <c r="V633" s="86">
        <f>Ruimtestaat[[#This Row],[Uitvoeringen werkdagen]]*Ruimtestaat[[#This Row],[Oppervlak (netto)]]</f>
        <v>6230</v>
      </c>
      <c r="W633" s="87">
        <f>IF(U633&gt;0,Ruimtestaat[[#This Row],[Prest. (m2 /jaar) werkdagen]]/Ruimtestaat[[#This Row],[Norm (m2/uur) werkdagen]],0)</f>
        <v>0</v>
      </c>
      <c r="X633" s="88">
        <f>Ruimtestaat[[#This Row],[uren / jaar werkdagen]]*Tariefsopbouw!$E$35</f>
        <v>0</v>
      </c>
      <c r="Y633" s="85"/>
      <c r="Z633" s="89">
        <f>IF(Ruimtestaat[[#This Row],[Frequentie weekend]]&gt;0,VALUE(LEFT(Y633,1))*R633,0)</f>
        <v>0</v>
      </c>
      <c r="AA633" s="85">
        <f>IF($Z633&gt;0,VLOOKUP($J633,Ruimtegroepen[],3,FALSE)*VLOOKUP($L633,Vloersoorten[],3,FALSE)*VLOOKUP($Y633,Frequenties[],3,FALSE)*VLOOKUP(#REF!,Locaties[],3,FALSE),0)</f>
        <v>0</v>
      </c>
      <c r="AB633" s="87">
        <f>Ruimtestaat[[#This Row],[Uitvoeringen weekend]]*Ruimtestaat[[#This Row],[Oppervlak (netto)]]</f>
        <v>0</v>
      </c>
      <c r="AC633" s="90">
        <f>IF(AB633&gt;0,Ruimtestaat[[#This Row],[Prest. (m2 /jaar) weekend]]/Ruimtestaat[[#This Row],[Norm (m2/uur) weekend]],0)</f>
        <v>0</v>
      </c>
      <c r="AD633" s="91">
        <f>Ruimtestaat[[#This Row],[uren / jaar weekend]]*Tariefsopbouw!$D$40</f>
        <v>0</v>
      </c>
      <c r="AE633" s="60">
        <f>Ruimtestaat[[#This Row],[Prest. (m2 /jaar) weekend]]+Ruimtestaat[[#This Row],[Prest. (m2 /jaar) werkdagen]]</f>
        <v>6230</v>
      </c>
      <c r="AF633" s="60">
        <f>Ruimtestaat[[#This Row],[uren / jaar weekend]]+Ruimtestaat[[#This Row],[uren / jaar werkdagen]]</f>
        <v>0</v>
      </c>
      <c r="AG633" s="61">
        <f>Ruimtestaat[[#This Row],[kosten / jaar weekend]]+Ruimtestaat[[#This Row],[kosten / jaar werkdagen]]</f>
        <v>0</v>
      </c>
      <c r="AH633" s="92"/>
      <c r="HL633" s="59"/>
    </row>
    <row r="634" spans="1:220">
      <c r="A634" s="24">
        <v>5</v>
      </c>
      <c r="B634" s="24" t="str">
        <f>VLOOKUP(Ruimtestaat[[#This Row],[Code]],Locaties[#All],2,FALSE)</f>
        <v>Marke Zuid</v>
      </c>
      <c r="C634" s="24" t="str">
        <f>VLOOKUP(Ruimtestaat[[#This Row],[Code]],Locaties[#All],4,FALSE)</f>
        <v>Ludgerstraat 1</v>
      </c>
      <c r="D634" s="24" t="str">
        <f>VLOOKUP(Ruimtestaat[[#This Row],[Code]],Locaties[#All],5,FALSE)</f>
        <v>7415 DV</v>
      </c>
      <c r="E634" s="24" t="str">
        <f>VLOOKUP(Ruimtestaat[[#This Row],[Code]],Locaties[#All],6,FALSE)</f>
        <v>Deventer</v>
      </c>
      <c r="F634" s="54"/>
      <c r="G634" s="24" t="s">
        <v>367</v>
      </c>
      <c r="H634" s="24" t="s">
        <v>1086</v>
      </c>
      <c r="I634" s="4" t="s">
        <v>1076</v>
      </c>
      <c r="J634" s="24">
        <v>14</v>
      </c>
      <c r="K634" s="54" t="str">
        <f>VLOOKUP(J634,Ruimtegroepen[],2,FALSE)</f>
        <v>Praktijklokalen binas/zorg</v>
      </c>
      <c r="L634" s="24" t="s">
        <v>300</v>
      </c>
      <c r="M634" s="24" t="s">
        <v>997</v>
      </c>
      <c r="N634" s="83">
        <v>22.81</v>
      </c>
      <c r="O634" s="83"/>
      <c r="P634" s="93" t="str">
        <f>LEFT(VLOOKUP(Ruimtestaat[[#This Row],[Ruimte code]],Ruimtegroepen[#All],4,1),2)</f>
        <v>Le</v>
      </c>
      <c r="Q634" s="93"/>
      <c r="R634" s="84">
        <v>40</v>
      </c>
      <c r="S634" s="84" t="s">
        <v>318</v>
      </c>
      <c r="T634" s="85">
        <f>IF(R634&gt;0,IF(RIGHT(Ruimtestaat[[#This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4" s="85">
        <f>IF(T634&gt;0,VLOOKUP($J634,Ruimtegroepen[],3,FALSE)*VLOOKUP($L634,Vloersoorten[],3,FALSE)*VLOOKUP($S634,Frequenties[],3,FALSE)*VLOOKUP($A634,Locaties[],3,FALSE),0)</f>
        <v>0</v>
      </c>
      <c r="V634" s="86">
        <f>Ruimtestaat[[#This Row],[Uitvoeringen werkdagen]]*Ruimtestaat[[#This Row],[Oppervlak (netto)]]</f>
        <v>4562</v>
      </c>
      <c r="W634" s="87">
        <f>IF(U634&gt;0,Ruimtestaat[[#This Row],[Prest. (m2 /jaar) werkdagen]]/Ruimtestaat[[#This Row],[Norm (m2/uur) werkdagen]],0)</f>
        <v>0</v>
      </c>
      <c r="X634" s="88">
        <f>Ruimtestaat[[#This Row],[uren / jaar werkdagen]]*Tariefsopbouw!$E$35</f>
        <v>0</v>
      </c>
      <c r="Y634" s="85"/>
      <c r="Z634" s="89">
        <f>IF(Ruimtestaat[[#This Row],[Frequentie weekend]]&gt;0,VALUE(LEFT(Y634,1))*R634,0)</f>
        <v>0</v>
      </c>
      <c r="AA634" s="85">
        <f>IF($Z634&gt;0,VLOOKUP($J634,Ruimtegroepen[],3,FALSE)*VLOOKUP($L634,Vloersoorten[],3,FALSE)*VLOOKUP($Y634,Frequenties[],3,FALSE)*VLOOKUP(#REF!,Locaties[],3,FALSE),0)</f>
        <v>0</v>
      </c>
      <c r="AB634" s="87">
        <f>Ruimtestaat[[#This Row],[Uitvoeringen weekend]]*Ruimtestaat[[#This Row],[Oppervlak (netto)]]</f>
        <v>0</v>
      </c>
      <c r="AC634" s="90">
        <f>IF(AB634&gt;0,Ruimtestaat[[#This Row],[Prest. (m2 /jaar) weekend]]/Ruimtestaat[[#This Row],[Norm (m2/uur) weekend]],0)</f>
        <v>0</v>
      </c>
      <c r="AD634" s="91">
        <f>Ruimtestaat[[#This Row],[uren / jaar weekend]]*Tariefsopbouw!$D$40</f>
        <v>0</v>
      </c>
      <c r="AE634" s="60">
        <f>Ruimtestaat[[#This Row],[Prest. (m2 /jaar) weekend]]+Ruimtestaat[[#This Row],[Prest. (m2 /jaar) werkdagen]]</f>
        <v>4562</v>
      </c>
      <c r="AF634" s="60">
        <f>Ruimtestaat[[#This Row],[uren / jaar weekend]]+Ruimtestaat[[#This Row],[uren / jaar werkdagen]]</f>
        <v>0</v>
      </c>
      <c r="AG634" s="61">
        <f>Ruimtestaat[[#This Row],[kosten / jaar weekend]]+Ruimtestaat[[#This Row],[kosten / jaar werkdagen]]</f>
        <v>0</v>
      </c>
      <c r="AH634" s="92"/>
      <c r="HL634" s="59"/>
    </row>
    <row r="635" spans="1:220">
      <c r="A635" s="24">
        <v>5</v>
      </c>
      <c r="B635" s="24" t="str">
        <f>VLOOKUP(Ruimtestaat[[#This Row],[Code]],Locaties[#All],2,FALSE)</f>
        <v>Marke Zuid</v>
      </c>
      <c r="C635" s="24" t="str">
        <f>VLOOKUP(Ruimtestaat[[#This Row],[Code]],Locaties[#All],4,FALSE)</f>
        <v>Ludgerstraat 1</v>
      </c>
      <c r="D635" s="24" t="str">
        <f>VLOOKUP(Ruimtestaat[[#This Row],[Code]],Locaties[#All],5,FALSE)</f>
        <v>7415 DV</v>
      </c>
      <c r="E635" s="24" t="str">
        <f>VLOOKUP(Ruimtestaat[[#This Row],[Code]],Locaties[#All],6,FALSE)</f>
        <v>Deventer</v>
      </c>
      <c r="F635" s="54"/>
      <c r="G635" s="24" t="s">
        <v>367</v>
      </c>
      <c r="H635" s="24" t="s">
        <v>1087</v>
      </c>
      <c r="I635" s="4" t="s">
        <v>1076</v>
      </c>
      <c r="J635" s="24">
        <v>14</v>
      </c>
      <c r="K635" s="54" t="str">
        <f>VLOOKUP(J635,Ruimtegroepen[],2,FALSE)</f>
        <v>Praktijklokalen binas/zorg</v>
      </c>
      <c r="L635" s="24" t="s">
        <v>300</v>
      </c>
      <c r="M635" s="24" t="s">
        <v>997</v>
      </c>
      <c r="N635" s="83">
        <v>45.61</v>
      </c>
      <c r="O635" s="83"/>
      <c r="P635" s="93" t="str">
        <f>LEFT(VLOOKUP(Ruimtestaat[[#This Row],[Ruimte code]],Ruimtegroepen[#All],4,1),2)</f>
        <v>Le</v>
      </c>
      <c r="Q635" s="93"/>
      <c r="R635" s="84">
        <v>40</v>
      </c>
      <c r="S635" s="84" t="s">
        <v>318</v>
      </c>
      <c r="T635" s="85">
        <f>IF(R635&gt;0,IF(RIGHT(Ruimtestaat[[#This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5" s="85">
        <f>IF(T635&gt;0,VLOOKUP($J635,Ruimtegroepen[],3,FALSE)*VLOOKUP($L635,Vloersoorten[],3,FALSE)*VLOOKUP($S635,Frequenties[],3,FALSE)*VLOOKUP($A635,Locaties[],3,FALSE),0)</f>
        <v>0</v>
      </c>
      <c r="V635" s="86">
        <f>Ruimtestaat[[#This Row],[Uitvoeringen werkdagen]]*Ruimtestaat[[#This Row],[Oppervlak (netto)]]</f>
        <v>9122</v>
      </c>
      <c r="W635" s="87">
        <f>IF(U635&gt;0,Ruimtestaat[[#This Row],[Prest. (m2 /jaar) werkdagen]]/Ruimtestaat[[#This Row],[Norm (m2/uur) werkdagen]],0)</f>
        <v>0</v>
      </c>
      <c r="X635" s="88">
        <f>Ruimtestaat[[#This Row],[uren / jaar werkdagen]]*Tariefsopbouw!$E$35</f>
        <v>0</v>
      </c>
      <c r="Y635" s="85"/>
      <c r="Z635" s="89">
        <f>IF(Ruimtestaat[[#This Row],[Frequentie weekend]]&gt;0,VALUE(LEFT(Y635,1))*R635,0)</f>
        <v>0</v>
      </c>
      <c r="AA635" s="85">
        <f>IF($Z635&gt;0,VLOOKUP($J635,Ruimtegroepen[],3,FALSE)*VLOOKUP($L635,Vloersoorten[],3,FALSE)*VLOOKUP($Y635,Frequenties[],3,FALSE)*VLOOKUP(#REF!,Locaties[],3,FALSE),0)</f>
        <v>0</v>
      </c>
      <c r="AB635" s="87">
        <f>Ruimtestaat[[#This Row],[Uitvoeringen weekend]]*Ruimtestaat[[#This Row],[Oppervlak (netto)]]</f>
        <v>0</v>
      </c>
      <c r="AC635" s="90">
        <f>IF(AB635&gt;0,Ruimtestaat[[#This Row],[Prest. (m2 /jaar) weekend]]/Ruimtestaat[[#This Row],[Norm (m2/uur) weekend]],0)</f>
        <v>0</v>
      </c>
      <c r="AD635" s="91">
        <f>Ruimtestaat[[#This Row],[uren / jaar weekend]]*Tariefsopbouw!$D$40</f>
        <v>0</v>
      </c>
      <c r="AE635" s="60">
        <f>Ruimtestaat[[#This Row],[Prest. (m2 /jaar) weekend]]+Ruimtestaat[[#This Row],[Prest. (m2 /jaar) werkdagen]]</f>
        <v>9122</v>
      </c>
      <c r="AF635" s="60">
        <f>Ruimtestaat[[#This Row],[uren / jaar weekend]]+Ruimtestaat[[#This Row],[uren / jaar werkdagen]]</f>
        <v>0</v>
      </c>
      <c r="AG635" s="61">
        <f>Ruimtestaat[[#This Row],[kosten / jaar weekend]]+Ruimtestaat[[#This Row],[kosten / jaar werkdagen]]</f>
        <v>0</v>
      </c>
      <c r="AH635" s="92"/>
      <c r="HL635" s="59"/>
    </row>
    <row r="636" spans="1:220">
      <c r="A636" s="24">
        <v>5</v>
      </c>
      <c r="B636" s="24" t="str">
        <f>VLOOKUP(Ruimtestaat[[#This Row],[Code]],Locaties[#All],2,FALSE)</f>
        <v>Marke Zuid</v>
      </c>
      <c r="C636" s="24" t="str">
        <f>VLOOKUP(Ruimtestaat[[#This Row],[Code]],Locaties[#All],4,FALSE)</f>
        <v>Ludgerstraat 1</v>
      </c>
      <c r="D636" s="24" t="str">
        <f>VLOOKUP(Ruimtestaat[[#This Row],[Code]],Locaties[#All],5,FALSE)</f>
        <v>7415 DV</v>
      </c>
      <c r="E636" s="24" t="str">
        <f>VLOOKUP(Ruimtestaat[[#This Row],[Code]],Locaties[#All],6,FALSE)</f>
        <v>Deventer</v>
      </c>
      <c r="F636" s="54"/>
      <c r="G636" s="24" t="s">
        <v>367</v>
      </c>
      <c r="H636" s="24" t="s">
        <v>1088</v>
      </c>
      <c r="I636" s="4" t="s">
        <v>1076</v>
      </c>
      <c r="J636" s="24">
        <v>14</v>
      </c>
      <c r="K636" s="54" t="str">
        <f>VLOOKUP(J636,Ruimtegroepen[],2,FALSE)</f>
        <v>Praktijklokalen binas/zorg</v>
      </c>
      <c r="L636" s="24" t="s">
        <v>300</v>
      </c>
      <c r="M636" s="24" t="s">
        <v>997</v>
      </c>
      <c r="N636" s="83">
        <v>27</v>
      </c>
      <c r="O636" s="83"/>
      <c r="P636" s="93" t="str">
        <f>LEFT(VLOOKUP(Ruimtestaat[[#This Row],[Ruimte code]],Ruimtegroepen[#All],4,1),2)</f>
        <v>Le</v>
      </c>
      <c r="Q636" s="93"/>
      <c r="R636" s="84">
        <v>40</v>
      </c>
      <c r="S636" s="84" t="s">
        <v>318</v>
      </c>
      <c r="T636" s="85">
        <f>IF(R636&gt;0,IF(RIGHT(Ruimtestaat[[#This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6" s="85">
        <f>IF(T636&gt;0,VLOOKUP($J636,Ruimtegroepen[],3,FALSE)*VLOOKUP($L636,Vloersoorten[],3,FALSE)*VLOOKUP($S636,Frequenties[],3,FALSE)*VLOOKUP($A636,Locaties[],3,FALSE),0)</f>
        <v>0</v>
      </c>
      <c r="V636" s="86">
        <f>Ruimtestaat[[#This Row],[Uitvoeringen werkdagen]]*Ruimtestaat[[#This Row],[Oppervlak (netto)]]</f>
        <v>5400</v>
      </c>
      <c r="W636" s="87">
        <f>IF(U636&gt;0,Ruimtestaat[[#This Row],[Prest. (m2 /jaar) werkdagen]]/Ruimtestaat[[#This Row],[Norm (m2/uur) werkdagen]],0)</f>
        <v>0</v>
      </c>
      <c r="X636" s="88">
        <f>Ruimtestaat[[#This Row],[uren / jaar werkdagen]]*Tariefsopbouw!$E$35</f>
        <v>0</v>
      </c>
      <c r="Y636" s="85"/>
      <c r="Z636" s="89">
        <f>IF(Ruimtestaat[[#This Row],[Frequentie weekend]]&gt;0,VALUE(LEFT(Y636,1))*R636,0)</f>
        <v>0</v>
      </c>
      <c r="AA636" s="85">
        <f>IF($Z636&gt;0,VLOOKUP($J636,Ruimtegroepen[],3,FALSE)*VLOOKUP($L636,Vloersoorten[],3,FALSE)*VLOOKUP($Y636,Frequenties[],3,FALSE)*VLOOKUP(#REF!,Locaties[],3,FALSE),0)</f>
        <v>0</v>
      </c>
      <c r="AB636" s="87">
        <f>Ruimtestaat[[#This Row],[Uitvoeringen weekend]]*Ruimtestaat[[#This Row],[Oppervlak (netto)]]</f>
        <v>0</v>
      </c>
      <c r="AC636" s="90">
        <f>IF(AB636&gt;0,Ruimtestaat[[#This Row],[Prest. (m2 /jaar) weekend]]/Ruimtestaat[[#This Row],[Norm (m2/uur) weekend]],0)</f>
        <v>0</v>
      </c>
      <c r="AD636" s="91">
        <f>Ruimtestaat[[#This Row],[uren / jaar weekend]]*Tariefsopbouw!$D$40</f>
        <v>0</v>
      </c>
      <c r="AE636" s="60">
        <f>Ruimtestaat[[#This Row],[Prest. (m2 /jaar) weekend]]+Ruimtestaat[[#This Row],[Prest. (m2 /jaar) werkdagen]]</f>
        <v>5400</v>
      </c>
      <c r="AF636" s="60">
        <f>Ruimtestaat[[#This Row],[uren / jaar weekend]]+Ruimtestaat[[#This Row],[uren / jaar werkdagen]]</f>
        <v>0</v>
      </c>
      <c r="AG636" s="61">
        <f>Ruimtestaat[[#This Row],[kosten / jaar weekend]]+Ruimtestaat[[#This Row],[kosten / jaar werkdagen]]</f>
        <v>0</v>
      </c>
      <c r="AH636" s="92"/>
      <c r="HL636" s="59"/>
    </row>
    <row r="637" spans="1:220">
      <c r="A637" s="24">
        <v>5</v>
      </c>
      <c r="B637" s="24" t="str">
        <f>VLOOKUP(Ruimtestaat[[#This Row],[Code]],Locaties[#All],2,FALSE)</f>
        <v>Marke Zuid</v>
      </c>
      <c r="C637" s="24" t="str">
        <f>VLOOKUP(Ruimtestaat[[#This Row],[Code]],Locaties[#All],4,FALSE)</f>
        <v>Ludgerstraat 1</v>
      </c>
      <c r="D637" s="24" t="str">
        <f>VLOOKUP(Ruimtestaat[[#This Row],[Code]],Locaties[#All],5,FALSE)</f>
        <v>7415 DV</v>
      </c>
      <c r="E637" s="24" t="str">
        <f>VLOOKUP(Ruimtestaat[[#This Row],[Code]],Locaties[#All],6,FALSE)</f>
        <v>Deventer</v>
      </c>
      <c r="F637" s="54"/>
      <c r="G637" s="24" t="s">
        <v>367</v>
      </c>
      <c r="H637" s="24" t="s">
        <v>1089</v>
      </c>
      <c r="I637" s="4" t="s">
        <v>1090</v>
      </c>
      <c r="J637" s="24">
        <v>6</v>
      </c>
      <c r="K637" s="54" t="str">
        <f>VLOOKUP(J637,Ruimtegroepen[],2,FALSE)</f>
        <v>Gangen/hallen</v>
      </c>
      <c r="L637" s="24" t="s">
        <v>300</v>
      </c>
      <c r="M637" s="24" t="s">
        <v>997</v>
      </c>
      <c r="N637" s="83">
        <v>122.11</v>
      </c>
      <c r="O637" s="83"/>
      <c r="P637" s="93" t="str">
        <f>LEFT(VLOOKUP(Ruimtestaat[[#This Row],[Ruimte code]],Ruimtegroepen[#All],4,1),2)</f>
        <v>Ve</v>
      </c>
      <c r="Q637" s="93"/>
      <c r="R637" s="84">
        <v>40</v>
      </c>
      <c r="S637" s="84" t="s">
        <v>318</v>
      </c>
      <c r="T637" s="85">
        <f>IF(R637&gt;0,IF(RIGHT(Ruimtestaat[[#This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7" s="85">
        <f>IF(T637&gt;0,VLOOKUP($J637,Ruimtegroepen[],3,FALSE)*VLOOKUP($L637,Vloersoorten[],3,FALSE)*VLOOKUP($S637,Frequenties[],3,FALSE)*VLOOKUP($A637,Locaties[],3,FALSE),0)</f>
        <v>0</v>
      </c>
      <c r="V637" s="86">
        <f>Ruimtestaat[[#This Row],[Uitvoeringen werkdagen]]*Ruimtestaat[[#This Row],[Oppervlak (netto)]]</f>
        <v>24422</v>
      </c>
      <c r="W637" s="87">
        <f>IF(U637&gt;0,Ruimtestaat[[#This Row],[Prest. (m2 /jaar) werkdagen]]/Ruimtestaat[[#This Row],[Norm (m2/uur) werkdagen]],0)</f>
        <v>0</v>
      </c>
      <c r="X637" s="88">
        <f>Ruimtestaat[[#This Row],[uren / jaar werkdagen]]*Tariefsopbouw!$E$35</f>
        <v>0</v>
      </c>
      <c r="Y637" s="85"/>
      <c r="Z637" s="89">
        <f>IF(Ruimtestaat[[#This Row],[Frequentie weekend]]&gt;0,VALUE(LEFT(Y637,1))*R637,0)</f>
        <v>0</v>
      </c>
      <c r="AA637" s="85">
        <f>IF($Z637&gt;0,VLOOKUP($J637,Ruimtegroepen[],3,FALSE)*VLOOKUP($L637,Vloersoorten[],3,FALSE)*VLOOKUP($Y637,Frequenties[],3,FALSE)*VLOOKUP(#REF!,Locaties[],3,FALSE),0)</f>
        <v>0</v>
      </c>
      <c r="AB637" s="87">
        <f>Ruimtestaat[[#This Row],[Uitvoeringen weekend]]*Ruimtestaat[[#This Row],[Oppervlak (netto)]]</f>
        <v>0</v>
      </c>
      <c r="AC637" s="90">
        <f>IF(AB637&gt;0,Ruimtestaat[[#This Row],[Prest. (m2 /jaar) weekend]]/Ruimtestaat[[#This Row],[Norm (m2/uur) weekend]],0)</f>
        <v>0</v>
      </c>
      <c r="AD637" s="91">
        <f>Ruimtestaat[[#This Row],[uren / jaar weekend]]*Tariefsopbouw!$D$40</f>
        <v>0</v>
      </c>
      <c r="AE637" s="60">
        <f>Ruimtestaat[[#This Row],[Prest. (m2 /jaar) weekend]]+Ruimtestaat[[#This Row],[Prest. (m2 /jaar) werkdagen]]</f>
        <v>24422</v>
      </c>
      <c r="AF637" s="60">
        <f>Ruimtestaat[[#This Row],[uren / jaar weekend]]+Ruimtestaat[[#This Row],[uren / jaar werkdagen]]</f>
        <v>0</v>
      </c>
      <c r="AG637" s="61">
        <f>Ruimtestaat[[#This Row],[kosten / jaar weekend]]+Ruimtestaat[[#This Row],[kosten / jaar werkdagen]]</f>
        <v>0</v>
      </c>
      <c r="AH637" s="92"/>
      <c r="HL637" s="59"/>
    </row>
    <row r="638" spans="1:220">
      <c r="A638" s="24">
        <v>5</v>
      </c>
      <c r="B638" s="24" t="str">
        <f>VLOOKUP(Ruimtestaat[[#This Row],[Code]],Locaties[#All],2,FALSE)</f>
        <v>Marke Zuid</v>
      </c>
      <c r="C638" s="24" t="str">
        <f>VLOOKUP(Ruimtestaat[[#This Row],[Code]],Locaties[#All],4,FALSE)</f>
        <v>Ludgerstraat 1</v>
      </c>
      <c r="D638" s="24" t="str">
        <f>VLOOKUP(Ruimtestaat[[#This Row],[Code]],Locaties[#All],5,FALSE)</f>
        <v>7415 DV</v>
      </c>
      <c r="E638" s="24" t="str">
        <f>VLOOKUP(Ruimtestaat[[#This Row],[Code]],Locaties[#All],6,FALSE)</f>
        <v>Deventer</v>
      </c>
      <c r="F638" s="54"/>
      <c r="G638" s="24" t="s">
        <v>367</v>
      </c>
      <c r="H638" s="24" t="s">
        <v>1091</v>
      </c>
      <c r="I638" s="4" t="s">
        <v>1076</v>
      </c>
      <c r="J638" s="24">
        <v>14</v>
      </c>
      <c r="K638" s="54" t="str">
        <f>VLOOKUP(J638,Ruimtegroepen[],2,FALSE)</f>
        <v>Praktijklokalen binas/zorg</v>
      </c>
      <c r="L638" s="24" t="s">
        <v>300</v>
      </c>
      <c r="M638" s="24" t="s">
        <v>997</v>
      </c>
      <c r="N638" s="83">
        <v>22.56</v>
      </c>
      <c r="O638" s="83"/>
      <c r="P638" s="93" t="str">
        <f>LEFT(VLOOKUP(Ruimtestaat[[#This Row],[Ruimte code]],Ruimtegroepen[#All],4,1),2)</f>
        <v>Le</v>
      </c>
      <c r="Q638" s="93"/>
      <c r="R638" s="84">
        <v>40</v>
      </c>
      <c r="S638" s="84" t="s">
        <v>318</v>
      </c>
      <c r="T638" s="85">
        <f>IF(R638&gt;0,IF(RIGHT(Ruimtestaat[[#This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8" s="85">
        <f>IF(T638&gt;0,VLOOKUP($J638,Ruimtegroepen[],3,FALSE)*VLOOKUP($L638,Vloersoorten[],3,FALSE)*VLOOKUP($S638,Frequenties[],3,FALSE)*VLOOKUP($A638,Locaties[],3,FALSE),0)</f>
        <v>0</v>
      </c>
      <c r="V638" s="86">
        <f>Ruimtestaat[[#This Row],[Uitvoeringen werkdagen]]*Ruimtestaat[[#This Row],[Oppervlak (netto)]]</f>
        <v>4512</v>
      </c>
      <c r="W638" s="87">
        <f>IF(U638&gt;0,Ruimtestaat[[#This Row],[Prest. (m2 /jaar) werkdagen]]/Ruimtestaat[[#This Row],[Norm (m2/uur) werkdagen]],0)</f>
        <v>0</v>
      </c>
      <c r="X638" s="88">
        <f>Ruimtestaat[[#This Row],[uren / jaar werkdagen]]*Tariefsopbouw!$E$35</f>
        <v>0</v>
      </c>
      <c r="Y638" s="85"/>
      <c r="Z638" s="89">
        <f>IF(Ruimtestaat[[#This Row],[Frequentie weekend]]&gt;0,VALUE(LEFT(Y638,1))*R638,0)</f>
        <v>0</v>
      </c>
      <c r="AA638" s="85">
        <f>IF($Z638&gt;0,VLOOKUP($J638,Ruimtegroepen[],3,FALSE)*VLOOKUP($L638,Vloersoorten[],3,FALSE)*VLOOKUP($Y638,Frequenties[],3,FALSE)*VLOOKUP(#REF!,Locaties[],3,FALSE),0)</f>
        <v>0</v>
      </c>
      <c r="AB638" s="87">
        <f>Ruimtestaat[[#This Row],[Uitvoeringen weekend]]*Ruimtestaat[[#This Row],[Oppervlak (netto)]]</f>
        <v>0</v>
      </c>
      <c r="AC638" s="90">
        <f>IF(AB638&gt;0,Ruimtestaat[[#This Row],[Prest. (m2 /jaar) weekend]]/Ruimtestaat[[#This Row],[Norm (m2/uur) weekend]],0)</f>
        <v>0</v>
      </c>
      <c r="AD638" s="91">
        <f>Ruimtestaat[[#This Row],[uren / jaar weekend]]*Tariefsopbouw!$D$40</f>
        <v>0</v>
      </c>
      <c r="AE638" s="60">
        <f>Ruimtestaat[[#This Row],[Prest. (m2 /jaar) weekend]]+Ruimtestaat[[#This Row],[Prest. (m2 /jaar) werkdagen]]</f>
        <v>4512</v>
      </c>
      <c r="AF638" s="60">
        <f>Ruimtestaat[[#This Row],[uren / jaar weekend]]+Ruimtestaat[[#This Row],[uren / jaar werkdagen]]</f>
        <v>0</v>
      </c>
      <c r="AG638" s="61">
        <f>Ruimtestaat[[#This Row],[kosten / jaar weekend]]+Ruimtestaat[[#This Row],[kosten / jaar werkdagen]]</f>
        <v>0</v>
      </c>
      <c r="AH638" s="92"/>
      <c r="HL638" s="59"/>
    </row>
    <row r="639" spans="1:220">
      <c r="A639" s="24">
        <v>5</v>
      </c>
      <c r="B639" s="24" t="str">
        <f>VLOOKUP(Ruimtestaat[[#This Row],[Code]],Locaties[#All],2,FALSE)</f>
        <v>Marke Zuid</v>
      </c>
      <c r="C639" s="24" t="str">
        <f>VLOOKUP(Ruimtestaat[[#This Row],[Code]],Locaties[#All],4,FALSE)</f>
        <v>Ludgerstraat 1</v>
      </c>
      <c r="D639" s="24" t="str">
        <f>VLOOKUP(Ruimtestaat[[#This Row],[Code]],Locaties[#All],5,FALSE)</f>
        <v>7415 DV</v>
      </c>
      <c r="E639" s="24" t="str">
        <f>VLOOKUP(Ruimtestaat[[#This Row],[Code]],Locaties[#All],6,FALSE)</f>
        <v>Deventer</v>
      </c>
      <c r="F639" s="54"/>
      <c r="G639" s="24" t="s">
        <v>367</v>
      </c>
      <c r="H639" s="24" t="s">
        <v>1092</v>
      </c>
      <c r="I639" s="4" t="s">
        <v>380</v>
      </c>
      <c r="J639" s="24">
        <v>2</v>
      </c>
      <c r="K639" s="54" t="str">
        <f>VLOOKUP(J639,Ruimtegroepen[],2,FALSE)</f>
        <v>Kantoren</v>
      </c>
      <c r="L639" s="24" t="s">
        <v>300</v>
      </c>
      <c r="M639" s="24" t="s">
        <v>997</v>
      </c>
      <c r="N639" s="83">
        <v>44.47</v>
      </c>
      <c r="O639" s="83"/>
      <c r="P639" s="93" t="str">
        <f>LEFT(VLOOKUP(Ruimtestaat[[#This Row],[Ruimte code]],Ruimtegroepen[#All],4,1),2)</f>
        <v>Bu</v>
      </c>
      <c r="Q639" s="93"/>
      <c r="R639" s="84">
        <v>42</v>
      </c>
      <c r="S639" s="84" t="s">
        <v>322</v>
      </c>
      <c r="T639" s="85">
        <f>IF(R639&gt;0,IF(RIGHT(Ruimtestaat[[#This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39" s="85">
        <f>IF(T639&gt;0,VLOOKUP($J639,Ruimtegroepen[],3,FALSE)*VLOOKUP($L639,Vloersoorten[],3,FALSE)*VLOOKUP($S639,Frequenties[],3,FALSE)*VLOOKUP($A639,Locaties[],3,FALSE),0)</f>
        <v>0</v>
      </c>
      <c r="V639" s="86">
        <f>Ruimtestaat[[#This Row],[Uitvoeringen werkdagen]]*Ruimtestaat[[#This Row],[Oppervlak (netto)]]</f>
        <v>5603.22</v>
      </c>
      <c r="W639" s="87">
        <f>IF(U639&gt;0,Ruimtestaat[[#This Row],[Prest. (m2 /jaar) werkdagen]]/Ruimtestaat[[#This Row],[Norm (m2/uur) werkdagen]],0)</f>
        <v>0</v>
      </c>
      <c r="X639" s="88">
        <f>Ruimtestaat[[#This Row],[uren / jaar werkdagen]]*Tariefsopbouw!$E$35</f>
        <v>0</v>
      </c>
      <c r="Y639" s="85"/>
      <c r="Z639" s="89">
        <f>IF(Ruimtestaat[[#This Row],[Frequentie weekend]]&gt;0,VALUE(LEFT(Y639,1))*R639,0)</f>
        <v>0</v>
      </c>
      <c r="AA639" s="85">
        <f>IF($Z639&gt;0,VLOOKUP($J639,Ruimtegroepen[],3,FALSE)*VLOOKUP($L639,Vloersoorten[],3,FALSE)*VLOOKUP($Y639,Frequenties[],3,FALSE)*VLOOKUP(#REF!,Locaties[],3,FALSE),0)</f>
        <v>0</v>
      </c>
      <c r="AB639" s="87">
        <f>Ruimtestaat[[#This Row],[Uitvoeringen weekend]]*Ruimtestaat[[#This Row],[Oppervlak (netto)]]</f>
        <v>0</v>
      </c>
      <c r="AC639" s="90">
        <f>IF(AB639&gt;0,Ruimtestaat[[#This Row],[Prest. (m2 /jaar) weekend]]/Ruimtestaat[[#This Row],[Norm (m2/uur) weekend]],0)</f>
        <v>0</v>
      </c>
      <c r="AD639" s="91">
        <f>Ruimtestaat[[#This Row],[uren / jaar weekend]]*Tariefsopbouw!$D$40</f>
        <v>0</v>
      </c>
      <c r="AE639" s="60">
        <f>Ruimtestaat[[#This Row],[Prest. (m2 /jaar) weekend]]+Ruimtestaat[[#This Row],[Prest. (m2 /jaar) werkdagen]]</f>
        <v>5603.22</v>
      </c>
      <c r="AF639" s="60">
        <f>Ruimtestaat[[#This Row],[uren / jaar weekend]]+Ruimtestaat[[#This Row],[uren / jaar werkdagen]]</f>
        <v>0</v>
      </c>
      <c r="AG639" s="61">
        <f>Ruimtestaat[[#This Row],[kosten / jaar weekend]]+Ruimtestaat[[#This Row],[kosten / jaar werkdagen]]</f>
        <v>0</v>
      </c>
      <c r="AH639" s="92"/>
      <c r="HL639" s="59"/>
    </row>
    <row r="640" spans="1:220">
      <c r="A640" s="24">
        <v>5</v>
      </c>
      <c r="B640" s="24" t="str">
        <f>VLOOKUP(Ruimtestaat[[#This Row],[Code]],Locaties[#All],2,FALSE)</f>
        <v>Marke Zuid</v>
      </c>
      <c r="C640" s="24" t="str">
        <f>VLOOKUP(Ruimtestaat[[#This Row],[Code]],Locaties[#All],4,FALSE)</f>
        <v>Ludgerstraat 1</v>
      </c>
      <c r="D640" s="24" t="str">
        <f>VLOOKUP(Ruimtestaat[[#This Row],[Code]],Locaties[#All],5,FALSE)</f>
        <v>7415 DV</v>
      </c>
      <c r="E640" s="24" t="str">
        <f>VLOOKUP(Ruimtestaat[[#This Row],[Code]],Locaties[#All],6,FALSE)</f>
        <v>Deventer</v>
      </c>
      <c r="F640" s="54"/>
      <c r="G640" s="24" t="s">
        <v>367</v>
      </c>
      <c r="H640" s="24" t="s">
        <v>1093</v>
      </c>
      <c r="I640" s="4" t="s">
        <v>1094</v>
      </c>
      <c r="J640" s="24">
        <v>2</v>
      </c>
      <c r="K640" s="54" t="str">
        <f>VLOOKUP(J640,Ruimtegroepen[],2,FALSE)</f>
        <v>Kantoren</v>
      </c>
      <c r="L640" s="24" t="s">
        <v>303</v>
      </c>
      <c r="M640" s="252" t="s">
        <v>1095</v>
      </c>
      <c r="N640" s="83">
        <v>15.33</v>
      </c>
      <c r="O640" s="83"/>
      <c r="P640" s="93" t="str">
        <f>LEFT(VLOOKUP(Ruimtestaat[[#This Row],[Ruimte code]],Ruimtegroepen[#All],4,1),2)</f>
        <v>Bu</v>
      </c>
      <c r="Q640" s="93"/>
      <c r="R640" s="84">
        <v>42</v>
      </c>
      <c r="S640" s="84" t="s">
        <v>322</v>
      </c>
      <c r="T640" s="85">
        <f>IF(R640&gt;0,IF(RIGHT(Ruimtestaat[[#This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40" s="85">
        <f>IF(T640&gt;0,VLOOKUP($J640,Ruimtegroepen[],3,FALSE)*VLOOKUP($L640,Vloersoorten[],3,FALSE)*VLOOKUP($S640,Frequenties[],3,FALSE)*VLOOKUP($A640,Locaties[],3,FALSE),0)</f>
        <v>0</v>
      </c>
      <c r="V640" s="86">
        <f>Ruimtestaat[[#This Row],[Uitvoeringen werkdagen]]*Ruimtestaat[[#This Row],[Oppervlak (netto)]]</f>
        <v>1931.58</v>
      </c>
      <c r="W640" s="87">
        <f>IF(U640&gt;0,Ruimtestaat[[#This Row],[Prest. (m2 /jaar) werkdagen]]/Ruimtestaat[[#This Row],[Norm (m2/uur) werkdagen]],0)</f>
        <v>0</v>
      </c>
      <c r="X640" s="88">
        <f>Ruimtestaat[[#This Row],[uren / jaar werkdagen]]*Tariefsopbouw!$E$35</f>
        <v>0</v>
      </c>
      <c r="Y640" s="85"/>
      <c r="Z640" s="89">
        <f>IF(Ruimtestaat[[#This Row],[Frequentie weekend]]&gt;0,VALUE(LEFT(Y640,1))*R640,0)</f>
        <v>0</v>
      </c>
      <c r="AA640" s="85">
        <f>IF($Z640&gt;0,VLOOKUP($J640,Ruimtegroepen[],3,FALSE)*VLOOKUP($L640,Vloersoorten[],3,FALSE)*VLOOKUP($Y640,Frequenties[],3,FALSE)*VLOOKUP(#REF!,Locaties[],3,FALSE),0)</f>
        <v>0</v>
      </c>
      <c r="AB640" s="87">
        <f>Ruimtestaat[[#This Row],[Uitvoeringen weekend]]*Ruimtestaat[[#This Row],[Oppervlak (netto)]]</f>
        <v>0</v>
      </c>
      <c r="AC640" s="90">
        <f>IF(AB640&gt;0,Ruimtestaat[[#This Row],[Prest. (m2 /jaar) weekend]]/Ruimtestaat[[#This Row],[Norm (m2/uur) weekend]],0)</f>
        <v>0</v>
      </c>
      <c r="AD640" s="91">
        <f>Ruimtestaat[[#This Row],[uren / jaar weekend]]*Tariefsopbouw!$D$40</f>
        <v>0</v>
      </c>
      <c r="AE640" s="60">
        <f>Ruimtestaat[[#This Row],[Prest. (m2 /jaar) weekend]]+Ruimtestaat[[#This Row],[Prest. (m2 /jaar) werkdagen]]</f>
        <v>1931.58</v>
      </c>
      <c r="AF640" s="60">
        <f>Ruimtestaat[[#This Row],[uren / jaar weekend]]+Ruimtestaat[[#This Row],[uren / jaar werkdagen]]</f>
        <v>0</v>
      </c>
      <c r="AG640" s="61">
        <f>Ruimtestaat[[#This Row],[kosten / jaar weekend]]+Ruimtestaat[[#This Row],[kosten / jaar werkdagen]]</f>
        <v>0</v>
      </c>
      <c r="AH640" s="92"/>
      <c r="HL640" s="59"/>
    </row>
    <row r="641" spans="1:220">
      <c r="A641" s="24">
        <v>5</v>
      </c>
      <c r="B641" s="24" t="str">
        <f>VLOOKUP(Ruimtestaat[[#This Row],[Code]],Locaties[#All],2,FALSE)</f>
        <v>Marke Zuid</v>
      </c>
      <c r="C641" s="24" t="str">
        <f>VLOOKUP(Ruimtestaat[[#This Row],[Code]],Locaties[#All],4,FALSE)</f>
        <v>Ludgerstraat 1</v>
      </c>
      <c r="D641" s="24" t="str">
        <f>VLOOKUP(Ruimtestaat[[#This Row],[Code]],Locaties[#All],5,FALSE)</f>
        <v>7415 DV</v>
      </c>
      <c r="E641" s="24" t="str">
        <f>VLOOKUP(Ruimtestaat[[#This Row],[Code]],Locaties[#All],6,FALSE)</f>
        <v>Deventer</v>
      </c>
      <c r="F641" s="54"/>
      <c r="G641" s="24" t="s">
        <v>367</v>
      </c>
      <c r="H641" s="24" t="s">
        <v>431</v>
      </c>
      <c r="I641" s="4" t="s">
        <v>1096</v>
      </c>
      <c r="J641" s="24">
        <v>22</v>
      </c>
      <c r="K641" s="54" t="str">
        <f>VLOOKUP(J641,Ruimtegroepen[],2,FALSE)</f>
        <v>Niet in onderhoud</v>
      </c>
      <c r="L641" s="24" t="s">
        <v>305</v>
      </c>
      <c r="M641" s="24" t="s">
        <v>1018</v>
      </c>
      <c r="N641" s="83"/>
      <c r="O641" s="83">
        <v>14.65</v>
      </c>
      <c r="P641" s="93" t="str">
        <f>LEFT(VLOOKUP(Ruimtestaat[[#This Row],[Ruimte code]],Ruimtegroepen[#All],4,1),2)</f>
        <v/>
      </c>
      <c r="Q641" s="93"/>
      <c r="R641" s="84"/>
      <c r="S641" s="84"/>
      <c r="T641" s="85">
        <f>IF(R641&gt;0,IF(RIGHT(Ruimtestaat[[#This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41" s="85">
        <f>IF(T641&gt;0,VLOOKUP($J641,Ruimtegroepen[],3,FALSE)*VLOOKUP($L641,Vloersoorten[],3,FALSE)*VLOOKUP($S641,Frequenties[],3,FALSE)*VLOOKUP($A641,Locaties[],3,FALSE),0)</f>
        <v>0</v>
      </c>
      <c r="V641" s="86">
        <f>Ruimtestaat[[#This Row],[Uitvoeringen werkdagen]]*Ruimtestaat[[#This Row],[Oppervlak (netto)]]</f>
        <v>0</v>
      </c>
      <c r="W641" s="87">
        <f>IF(U641&gt;0,Ruimtestaat[[#This Row],[Prest. (m2 /jaar) werkdagen]]/Ruimtestaat[[#This Row],[Norm (m2/uur) werkdagen]],0)</f>
        <v>0</v>
      </c>
      <c r="X641" s="88">
        <f>Ruimtestaat[[#This Row],[uren / jaar werkdagen]]*Tariefsopbouw!$E$35</f>
        <v>0</v>
      </c>
      <c r="Y641" s="85"/>
      <c r="Z641" s="89">
        <f>IF(Ruimtestaat[[#This Row],[Frequentie weekend]]&gt;0,VALUE(LEFT(Y641,1))*R641,0)</f>
        <v>0</v>
      </c>
      <c r="AA641" s="85">
        <f>IF($Z641&gt;0,VLOOKUP($J641,Ruimtegroepen[],3,FALSE)*VLOOKUP($L641,Vloersoorten[],3,FALSE)*VLOOKUP($Y641,Frequenties[],3,FALSE)*VLOOKUP(#REF!,Locaties[],3,FALSE),0)</f>
        <v>0</v>
      </c>
      <c r="AB641" s="87">
        <f>Ruimtestaat[[#This Row],[Uitvoeringen weekend]]*Ruimtestaat[[#This Row],[Oppervlak (netto)]]</f>
        <v>0</v>
      </c>
      <c r="AC641" s="90">
        <f>IF(AB641&gt;0,Ruimtestaat[[#This Row],[Prest. (m2 /jaar) weekend]]/Ruimtestaat[[#This Row],[Norm (m2/uur) weekend]],0)</f>
        <v>0</v>
      </c>
      <c r="AD641" s="91">
        <f>Ruimtestaat[[#This Row],[uren / jaar weekend]]*Tariefsopbouw!$D$40</f>
        <v>0</v>
      </c>
      <c r="AE641" s="60">
        <f>Ruimtestaat[[#This Row],[Prest. (m2 /jaar) weekend]]+Ruimtestaat[[#This Row],[Prest. (m2 /jaar) werkdagen]]</f>
        <v>0</v>
      </c>
      <c r="AF641" s="60">
        <f>Ruimtestaat[[#This Row],[uren / jaar weekend]]+Ruimtestaat[[#This Row],[uren / jaar werkdagen]]</f>
        <v>0</v>
      </c>
      <c r="AG641" s="61">
        <f>Ruimtestaat[[#This Row],[kosten / jaar weekend]]+Ruimtestaat[[#This Row],[kosten / jaar werkdagen]]</f>
        <v>0</v>
      </c>
      <c r="AH641" s="92"/>
      <c r="HL641" s="59"/>
    </row>
    <row r="642" spans="1:220">
      <c r="A642" s="24">
        <v>5</v>
      </c>
      <c r="B642" s="24" t="str">
        <f>VLOOKUP(Ruimtestaat[[#This Row],[Code]],Locaties[#All],2,FALSE)</f>
        <v>Marke Zuid</v>
      </c>
      <c r="C642" s="24" t="str">
        <f>VLOOKUP(Ruimtestaat[[#This Row],[Code]],Locaties[#All],4,FALSE)</f>
        <v>Ludgerstraat 1</v>
      </c>
      <c r="D642" s="24" t="str">
        <f>VLOOKUP(Ruimtestaat[[#This Row],[Code]],Locaties[#All],5,FALSE)</f>
        <v>7415 DV</v>
      </c>
      <c r="E642" s="24" t="str">
        <f>VLOOKUP(Ruimtestaat[[#This Row],[Code]],Locaties[#All],6,FALSE)</f>
        <v>Deventer</v>
      </c>
      <c r="F642" s="54"/>
      <c r="G642" s="24" t="s">
        <v>367</v>
      </c>
      <c r="H642" s="24" t="s">
        <v>433</v>
      </c>
      <c r="I642" s="4" t="s">
        <v>1097</v>
      </c>
      <c r="J642" s="24">
        <v>2</v>
      </c>
      <c r="K642" s="54" t="str">
        <f>VLOOKUP(J642,Ruimtegroepen[],2,FALSE)</f>
        <v>Kantoren</v>
      </c>
      <c r="L642" s="24" t="s">
        <v>300</v>
      </c>
      <c r="M642" s="24" t="s">
        <v>997</v>
      </c>
      <c r="N642" s="83">
        <v>10.5</v>
      </c>
      <c r="O642" s="83"/>
      <c r="P642" s="93" t="str">
        <f>LEFT(VLOOKUP(Ruimtestaat[[#This Row],[Ruimte code]],Ruimtegroepen[#All],4,1),2)</f>
        <v>Bu</v>
      </c>
      <c r="Q642" s="93"/>
      <c r="R642" s="84">
        <v>42</v>
      </c>
      <c r="S642" s="84" t="s">
        <v>322</v>
      </c>
      <c r="T642" s="85">
        <f>IF(R642&gt;0,IF(RIGHT(Ruimtestaat[[#This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42" s="85">
        <f>IF(T642&gt;0,VLOOKUP($J642,Ruimtegroepen[],3,FALSE)*VLOOKUP($L642,Vloersoorten[],3,FALSE)*VLOOKUP($S642,Frequenties[],3,FALSE)*VLOOKUP($A642,Locaties[],3,FALSE),0)</f>
        <v>0</v>
      </c>
      <c r="V642" s="86">
        <f>Ruimtestaat[[#This Row],[Uitvoeringen werkdagen]]*Ruimtestaat[[#This Row],[Oppervlak (netto)]]</f>
        <v>1323</v>
      </c>
      <c r="W642" s="87">
        <f>IF(U642&gt;0,Ruimtestaat[[#This Row],[Prest. (m2 /jaar) werkdagen]]/Ruimtestaat[[#This Row],[Norm (m2/uur) werkdagen]],0)</f>
        <v>0</v>
      </c>
      <c r="X642" s="88">
        <f>Ruimtestaat[[#This Row],[uren / jaar werkdagen]]*Tariefsopbouw!$E$35</f>
        <v>0</v>
      </c>
      <c r="Y642" s="85"/>
      <c r="Z642" s="89">
        <f>IF(Ruimtestaat[[#This Row],[Frequentie weekend]]&gt;0,VALUE(LEFT(Y642,1))*R642,0)</f>
        <v>0</v>
      </c>
      <c r="AA642" s="85">
        <f>IF($Z642&gt;0,VLOOKUP($J642,Ruimtegroepen[],3,FALSE)*VLOOKUP($L642,Vloersoorten[],3,FALSE)*VLOOKUP($Y642,Frequenties[],3,FALSE)*VLOOKUP(#REF!,Locaties[],3,FALSE),0)</f>
        <v>0</v>
      </c>
      <c r="AB642" s="87">
        <f>Ruimtestaat[[#This Row],[Uitvoeringen weekend]]*Ruimtestaat[[#This Row],[Oppervlak (netto)]]</f>
        <v>0</v>
      </c>
      <c r="AC642" s="90">
        <f>IF(AB642&gt;0,Ruimtestaat[[#This Row],[Prest. (m2 /jaar) weekend]]/Ruimtestaat[[#This Row],[Norm (m2/uur) weekend]],0)</f>
        <v>0</v>
      </c>
      <c r="AD642" s="91">
        <f>Ruimtestaat[[#This Row],[uren / jaar weekend]]*Tariefsopbouw!$D$40</f>
        <v>0</v>
      </c>
      <c r="AE642" s="60">
        <f>Ruimtestaat[[#This Row],[Prest. (m2 /jaar) weekend]]+Ruimtestaat[[#This Row],[Prest. (m2 /jaar) werkdagen]]</f>
        <v>1323</v>
      </c>
      <c r="AF642" s="60">
        <f>Ruimtestaat[[#This Row],[uren / jaar weekend]]+Ruimtestaat[[#This Row],[uren / jaar werkdagen]]</f>
        <v>0</v>
      </c>
      <c r="AG642" s="61">
        <f>Ruimtestaat[[#This Row],[kosten / jaar weekend]]+Ruimtestaat[[#This Row],[kosten / jaar werkdagen]]</f>
        <v>0</v>
      </c>
      <c r="AH642" s="92"/>
      <c r="HL642" s="59"/>
    </row>
    <row r="643" spans="1:220">
      <c r="A643" s="24">
        <v>5</v>
      </c>
      <c r="B643" s="24" t="str">
        <f>VLOOKUP(Ruimtestaat[[#This Row],[Code]],Locaties[#All],2,FALSE)</f>
        <v>Marke Zuid</v>
      </c>
      <c r="C643" s="24" t="str">
        <f>VLOOKUP(Ruimtestaat[[#This Row],[Code]],Locaties[#All],4,FALSE)</f>
        <v>Ludgerstraat 1</v>
      </c>
      <c r="D643" s="24" t="str">
        <f>VLOOKUP(Ruimtestaat[[#This Row],[Code]],Locaties[#All],5,FALSE)</f>
        <v>7415 DV</v>
      </c>
      <c r="E643" s="24" t="str">
        <f>VLOOKUP(Ruimtestaat[[#This Row],[Code]],Locaties[#All],6,FALSE)</f>
        <v>Deventer</v>
      </c>
      <c r="F643" s="54"/>
      <c r="G643" s="24" t="s">
        <v>367</v>
      </c>
      <c r="H643" s="24" t="s">
        <v>435</v>
      </c>
      <c r="I643" s="4" t="s">
        <v>449</v>
      </c>
      <c r="J643" s="24">
        <v>11</v>
      </c>
      <c r="K643" s="54" t="str">
        <f>VLOOKUP(J643,Ruimtegroepen[],2,FALSE)</f>
        <v>Kooklokaal/leskeuken</v>
      </c>
      <c r="L643" s="24" t="s">
        <v>305</v>
      </c>
      <c r="M643" s="24" t="s">
        <v>373</v>
      </c>
      <c r="N643" s="83">
        <v>17.010000000000002</v>
      </c>
      <c r="O643" s="83"/>
      <c r="P643" s="93" t="str">
        <f>LEFT(VLOOKUP(Ruimtestaat[[#This Row],[Ruimte code]],Ruimtegroepen[#All],4,1),2)</f>
        <v>Le</v>
      </c>
      <c r="Q643" s="93"/>
      <c r="R643" s="84">
        <v>40</v>
      </c>
      <c r="S643" s="84" t="s">
        <v>318</v>
      </c>
      <c r="T643" s="85">
        <f>IF(R643&gt;0,IF(RIGHT(Ruimtestaat[[#This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3" s="85">
        <f>IF(T643&gt;0,VLOOKUP($J643,Ruimtegroepen[],3,FALSE)*VLOOKUP($L643,Vloersoorten[],3,FALSE)*VLOOKUP($S643,Frequenties[],3,FALSE)*VLOOKUP($A643,Locaties[],3,FALSE),0)</f>
        <v>0</v>
      </c>
      <c r="V643" s="86">
        <f>Ruimtestaat[[#This Row],[Uitvoeringen werkdagen]]*Ruimtestaat[[#This Row],[Oppervlak (netto)]]</f>
        <v>3402.0000000000005</v>
      </c>
      <c r="W643" s="87">
        <f>IF(U643&gt;0,Ruimtestaat[[#This Row],[Prest. (m2 /jaar) werkdagen]]/Ruimtestaat[[#This Row],[Norm (m2/uur) werkdagen]],0)</f>
        <v>0</v>
      </c>
      <c r="X643" s="88">
        <f>Ruimtestaat[[#This Row],[uren / jaar werkdagen]]*Tariefsopbouw!$E$35</f>
        <v>0</v>
      </c>
      <c r="Y643" s="85"/>
      <c r="Z643" s="89">
        <f>IF(Ruimtestaat[[#This Row],[Frequentie weekend]]&gt;0,VALUE(LEFT(Y643,1))*R643,0)</f>
        <v>0</v>
      </c>
      <c r="AA643" s="85">
        <f>IF($Z643&gt;0,VLOOKUP($J643,Ruimtegroepen[],3,FALSE)*VLOOKUP($L643,Vloersoorten[],3,FALSE)*VLOOKUP($Y643,Frequenties[],3,FALSE)*VLOOKUP(#REF!,Locaties[],3,FALSE),0)</f>
        <v>0</v>
      </c>
      <c r="AB643" s="87">
        <f>Ruimtestaat[[#This Row],[Uitvoeringen weekend]]*Ruimtestaat[[#This Row],[Oppervlak (netto)]]</f>
        <v>0</v>
      </c>
      <c r="AC643" s="90">
        <f>IF(AB643&gt;0,Ruimtestaat[[#This Row],[Prest. (m2 /jaar) weekend]]/Ruimtestaat[[#This Row],[Norm (m2/uur) weekend]],0)</f>
        <v>0</v>
      </c>
      <c r="AD643" s="91">
        <f>Ruimtestaat[[#This Row],[uren / jaar weekend]]*Tariefsopbouw!$D$40</f>
        <v>0</v>
      </c>
      <c r="AE643" s="60">
        <f>Ruimtestaat[[#This Row],[Prest. (m2 /jaar) weekend]]+Ruimtestaat[[#This Row],[Prest. (m2 /jaar) werkdagen]]</f>
        <v>3402.0000000000005</v>
      </c>
      <c r="AF643" s="60">
        <f>Ruimtestaat[[#This Row],[uren / jaar weekend]]+Ruimtestaat[[#This Row],[uren / jaar werkdagen]]</f>
        <v>0</v>
      </c>
      <c r="AG643" s="61">
        <f>Ruimtestaat[[#This Row],[kosten / jaar weekend]]+Ruimtestaat[[#This Row],[kosten / jaar werkdagen]]</f>
        <v>0</v>
      </c>
      <c r="AH643" s="92"/>
      <c r="HL643" s="59"/>
    </row>
    <row r="644" spans="1:220">
      <c r="A644" s="24">
        <v>5</v>
      </c>
      <c r="B644" s="24" t="str">
        <f>VLOOKUP(Ruimtestaat[[#This Row],[Code]],Locaties[#All],2,FALSE)</f>
        <v>Marke Zuid</v>
      </c>
      <c r="C644" s="24" t="str">
        <f>VLOOKUP(Ruimtestaat[[#This Row],[Code]],Locaties[#All],4,FALSE)</f>
        <v>Ludgerstraat 1</v>
      </c>
      <c r="D644" s="24" t="str">
        <f>VLOOKUP(Ruimtestaat[[#This Row],[Code]],Locaties[#All],5,FALSE)</f>
        <v>7415 DV</v>
      </c>
      <c r="E644" s="24" t="str">
        <f>VLOOKUP(Ruimtestaat[[#This Row],[Code]],Locaties[#All],6,FALSE)</f>
        <v>Deventer</v>
      </c>
      <c r="F644" s="54"/>
      <c r="G644" s="24" t="s">
        <v>367</v>
      </c>
      <c r="H644" s="24" t="s">
        <v>438</v>
      </c>
      <c r="I644" s="4" t="s">
        <v>941</v>
      </c>
      <c r="J644" s="24">
        <v>2</v>
      </c>
      <c r="K644" s="54" t="str">
        <f>VLOOKUP(J644,Ruimtegroepen[],2,FALSE)</f>
        <v>Kantoren</v>
      </c>
      <c r="L644" s="24" t="s">
        <v>300</v>
      </c>
      <c r="M644" s="24" t="s">
        <v>997</v>
      </c>
      <c r="N644" s="83">
        <v>15.23</v>
      </c>
      <c r="O644" s="83"/>
      <c r="P644" s="93" t="str">
        <f>LEFT(VLOOKUP(Ruimtestaat[[#This Row],[Ruimte code]],Ruimtegroepen[#All],4,1),2)</f>
        <v>Bu</v>
      </c>
      <c r="Q644" s="93"/>
      <c r="R644" s="84">
        <v>42</v>
      </c>
      <c r="S644" s="84" t="s">
        <v>322</v>
      </c>
      <c r="T644" s="85">
        <f>IF(R644&gt;0,IF(RIGHT(Ruimtestaat[[#This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44" s="85">
        <f>IF(T644&gt;0,VLOOKUP($J644,Ruimtegroepen[],3,FALSE)*VLOOKUP($L644,Vloersoorten[],3,FALSE)*VLOOKUP($S644,Frequenties[],3,FALSE)*VLOOKUP($A644,Locaties[],3,FALSE),0)</f>
        <v>0</v>
      </c>
      <c r="V644" s="86">
        <f>Ruimtestaat[[#This Row],[Uitvoeringen werkdagen]]*Ruimtestaat[[#This Row],[Oppervlak (netto)]]</f>
        <v>1918.98</v>
      </c>
      <c r="W644" s="87">
        <f>IF(U644&gt;0,Ruimtestaat[[#This Row],[Prest. (m2 /jaar) werkdagen]]/Ruimtestaat[[#This Row],[Norm (m2/uur) werkdagen]],0)</f>
        <v>0</v>
      </c>
      <c r="X644" s="88">
        <f>Ruimtestaat[[#This Row],[uren / jaar werkdagen]]*Tariefsopbouw!$E$35</f>
        <v>0</v>
      </c>
      <c r="Y644" s="85"/>
      <c r="Z644" s="89">
        <f>IF(Ruimtestaat[[#This Row],[Frequentie weekend]]&gt;0,VALUE(LEFT(Y644,1))*R644,0)</f>
        <v>0</v>
      </c>
      <c r="AA644" s="85">
        <f>IF($Z644&gt;0,VLOOKUP($J644,Ruimtegroepen[],3,FALSE)*VLOOKUP($L644,Vloersoorten[],3,FALSE)*VLOOKUP($Y644,Frequenties[],3,FALSE)*VLOOKUP(#REF!,Locaties[],3,FALSE),0)</f>
        <v>0</v>
      </c>
      <c r="AB644" s="87">
        <f>Ruimtestaat[[#This Row],[Uitvoeringen weekend]]*Ruimtestaat[[#This Row],[Oppervlak (netto)]]</f>
        <v>0</v>
      </c>
      <c r="AC644" s="90">
        <f>IF(AB644&gt;0,Ruimtestaat[[#This Row],[Prest. (m2 /jaar) weekend]]/Ruimtestaat[[#This Row],[Norm (m2/uur) weekend]],0)</f>
        <v>0</v>
      </c>
      <c r="AD644" s="91">
        <f>Ruimtestaat[[#This Row],[uren / jaar weekend]]*Tariefsopbouw!$D$40</f>
        <v>0</v>
      </c>
      <c r="AE644" s="60">
        <f>Ruimtestaat[[#This Row],[Prest. (m2 /jaar) weekend]]+Ruimtestaat[[#This Row],[Prest. (m2 /jaar) werkdagen]]</f>
        <v>1918.98</v>
      </c>
      <c r="AF644" s="60">
        <f>Ruimtestaat[[#This Row],[uren / jaar weekend]]+Ruimtestaat[[#This Row],[uren / jaar werkdagen]]</f>
        <v>0</v>
      </c>
      <c r="AG644" s="61">
        <f>Ruimtestaat[[#This Row],[kosten / jaar weekend]]+Ruimtestaat[[#This Row],[kosten / jaar werkdagen]]</f>
        <v>0</v>
      </c>
      <c r="AH644" s="92"/>
      <c r="HL644" s="59"/>
    </row>
    <row r="645" spans="1:220">
      <c r="A645" s="24">
        <v>5</v>
      </c>
      <c r="B645" s="24" t="str">
        <f>VLOOKUP(Ruimtestaat[[#This Row],[Code]],Locaties[#All],2,FALSE)</f>
        <v>Marke Zuid</v>
      </c>
      <c r="C645" s="24" t="str">
        <f>VLOOKUP(Ruimtestaat[[#This Row],[Code]],Locaties[#All],4,FALSE)</f>
        <v>Ludgerstraat 1</v>
      </c>
      <c r="D645" s="24" t="str">
        <f>VLOOKUP(Ruimtestaat[[#This Row],[Code]],Locaties[#All],5,FALSE)</f>
        <v>7415 DV</v>
      </c>
      <c r="E645" s="24" t="str">
        <f>VLOOKUP(Ruimtestaat[[#This Row],[Code]],Locaties[#All],6,FALSE)</f>
        <v>Deventer</v>
      </c>
      <c r="F645" s="54"/>
      <c r="G645" s="24" t="s">
        <v>367</v>
      </c>
      <c r="H645" s="24" t="s">
        <v>446</v>
      </c>
      <c r="I645" s="4" t="s">
        <v>1098</v>
      </c>
      <c r="J645" s="24">
        <v>16</v>
      </c>
      <c r="K645" s="54" t="str">
        <f>VLOOKUP(J645,Ruimtegroepen[],2,FALSE)</f>
        <v>Leslokalen theorie</v>
      </c>
      <c r="L645" s="24" t="s">
        <v>300</v>
      </c>
      <c r="M645" s="24" t="s">
        <v>997</v>
      </c>
      <c r="N645" s="83">
        <v>55.43</v>
      </c>
      <c r="O645" s="83"/>
      <c r="P645" s="93" t="str">
        <f>LEFT(VLOOKUP(Ruimtestaat[[#This Row],[Ruimte code]],Ruimtegroepen[#All],4,1),2)</f>
        <v>Le</v>
      </c>
      <c r="Q645" s="93"/>
      <c r="R645" s="84">
        <v>40</v>
      </c>
      <c r="S645" s="84" t="s">
        <v>318</v>
      </c>
      <c r="T645" s="85">
        <f>IF(R645&gt;0,IF(RIGHT(Ruimtestaat[[#This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5" s="85">
        <f>IF(T645&gt;0,VLOOKUP($J645,Ruimtegroepen[],3,FALSE)*VLOOKUP($L645,Vloersoorten[],3,FALSE)*VLOOKUP($S645,Frequenties[],3,FALSE)*VLOOKUP($A645,Locaties[],3,FALSE),0)</f>
        <v>0</v>
      </c>
      <c r="V645" s="86">
        <f>Ruimtestaat[[#This Row],[Uitvoeringen werkdagen]]*Ruimtestaat[[#This Row],[Oppervlak (netto)]]</f>
        <v>11086</v>
      </c>
      <c r="W645" s="87">
        <f>IF(U645&gt;0,Ruimtestaat[[#This Row],[Prest. (m2 /jaar) werkdagen]]/Ruimtestaat[[#This Row],[Norm (m2/uur) werkdagen]],0)</f>
        <v>0</v>
      </c>
      <c r="X645" s="88">
        <f>Ruimtestaat[[#This Row],[uren / jaar werkdagen]]*Tariefsopbouw!$E$35</f>
        <v>0</v>
      </c>
      <c r="Y645" s="85"/>
      <c r="Z645" s="89">
        <f>IF(Ruimtestaat[[#This Row],[Frequentie weekend]]&gt;0,VALUE(LEFT(Y645,1))*R645,0)</f>
        <v>0</v>
      </c>
      <c r="AA645" s="85">
        <f>IF($Z645&gt;0,VLOOKUP($J645,Ruimtegroepen[],3,FALSE)*VLOOKUP($L645,Vloersoorten[],3,FALSE)*VLOOKUP($Y645,Frequenties[],3,FALSE)*VLOOKUP(#REF!,Locaties[],3,FALSE),0)</f>
        <v>0</v>
      </c>
      <c r="AB645" s="87">
        <f>Ruimtestaat[[#This Row],[Uitvoeringen weekend]]*Ruimtestaat[[#This Row],[Oppervlak (netto)]]</f>
        <v>0</v>
      </c>
      <c r="AC645" s="90">
        <f>IF(AB645&gt;0,Ruimtestaat[[#This Row],[Prest. (m2 /jaar) weekend]]/Ruimtestaat[[#This Row],[Norm (m2/uur) weekend]],0)</f>
        <v>0</v>
      </c>
      <c r="AD645" s="91">
        <f>Ruimtestaat[[#This Row],[uren / jaar weekend]]*Tariefsopbouw!$D$40</f>
        <v>0</v>
      </c>
      <c r="AE645" s="60">
        <f>Ruimtestaat[[#This Row],[Prest. (m2 /jaar) weekend]]+Ruimtestaat[[#This Row],[Prest. (m2 /jaar) werkdagen]]</f>
        <v>11086</v>
      </c>
      <c r="AF645" s="60">
        <f>Ruimtestaat[[#This Row],[uren / jaar weekend]]+Ruimtestaat[[#This Row],[uren / jaar werkdagen]]</f>
        <v>0</v>
      </c>
      <c r="AG645" s="61">
        <f>Ruimtestaat[[#This Row],[kosten / jaar weekend]]+Ruimtestaat[[#This Row],[kosten / jaar werkdagen]]</f>
        <v>0</v>
      </c>
      <c r="AH645" s="92"/>
      <c r="HL645" s="59"/>
    </row>
    <row r="646" spans="1:220">
      <c r="A646" s="24">
        <v>5</v>
      </c>
      <c r="B646" s="24" t="str">
        <f>VLOOKUP(Ruimtestaat[[#This Row],[Code]],Locaties[#All],2,FALSE)</f>
        <v>Marke Zuid</v>
      </c>
      <c r="C646" s="24" t="str">
        <f>VLOOKUP(Ruimtestaat[[#This Row],[Code]],Locaties[#All],4,FALSE)</f>
        <v>Ludgerstraat 1</v>
      </c>
      <c r="D646" s="24" t="str">
        <f>VLOOKUP(Ruimtestaat[[#This Row],[Code]],Locaties[#All],5,FALSE)</f>
        <v>7415 DV</v>
      </c>
      <c r="E646" s="24" t="str">
        <f>VLOOKUP(Ruimtestaat[[#This Row],[Code]],Locaties[#All],6,FALSE)</f>
        <v>Deventer</v>
      </c>
      <c r="F646" s="54"/>
      <c r="G646" s="24" t="s">
        <v>367</v>
      </c>
      <c r="H646" s="24" t="s">
        <v>448</v>
      </c>
      <c r="I646" s="4" t="s">
        <v>415</v>
      </c>
      <c r="J646" s="24">
        <v>16</v>
      </c>
      <c r="K646" s="54" t="str">
        <f>VLOOKUP(J646,Ruimtegroepen[],2,FALSE)</f>
        <v>Leslokalen theorie</v>
      </c>
      <c r="L646" s="24" t="s">
        <v>300</v>
      </c>
      <c r="M646" s="24" t="s">
        <v>997</v>
      </c>
      <c r="N646" s="83">
        <v>55.42</v>
      </c>
      <c r="O646" s="83"/>
      <c r="P646" s="93" t="str">
        <f>LEFT(VLOOKUP(Ruimtestaat[[#This Row],[Ruimte code]],Ruimtegroepen[#All],4,1),2)</f>
        <v>Le</v>
      </c>
      <c r="Q646" s="93"/>
      <c r="R646" s="84">
        <v>40</v>
      </c>
      <c r="S646" s="84" t="s">
        <v>318</v>
      </c>
      <c r="T646" s="85">
        <f>IF(R646&gt;0,IF(RIGHT(Ruimtestaat[[#This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6" s="85">
        <f>IF(T646&gt;0,VLOOKUP($J646,Ruimtegroepen[],3,FALSE)*VLOOKUP($L646,Vloersoorten[],3,FALSE)*VLOOKUP($S646,Frequenties[],3,FALSE)*VLOOKUP($A646,Locaties[],3,FALSE),0)</f>
        <v>0</v>
      </c>
      <c r="V646" s="86">
        <f>Ruimtestaat[[#This Row],[Uitvoeringen werkdagen]]*Ruimtestaat[[#This Row],[Oppervlak (netto)]]</f>
        <v>11084</v>
      </c>
      <c r="W646" s="87">
        <f>IF(U646&gt;0,Ruimtestaat[[#This Row],[Prest. (m2 /jaar) werkdagen]]/Ruimtestaat[[#This Row],[Norm (m2/uur) werkdagen]],0)</f>
        <v>0</v>
      </c>
      <c r="X646" s="88">
        <f>Ruimtestaat[[#This Row],[uren / jaar werkdagen]]*Tariefsopbouw!$E$35</f>
        <v>0</v>
      </c>
      <c r="Y646" s="85"/>
      <c r="Z646" s="89">
        <f>IF(Ruimtestaat[[#This Row],[Frequentie weekend]]&gt;0,VALUE(LEFT(Y646,1))*R646,0)</f>
        <v>0</v>
      </c>
      <c r="AA646" s="85">
        <f>IF($Z646&gt;0,VLOOKUP($J646,Ruimtegroepen[],3,FALSE)*VLOOKUP($L646,Vloersoorten[],3,FALSE)*VLOOKUP($Y646,Frequenties[],3,FALSE)*VLOOKUP(#REF!,Locaties[],3,FALSE),0)</f>
        <v>0</v>
      </c>
      <c r="AB646" s="87">
        <f>Ruimtestaat[[#This Row],[Uitvoeringen weekend]]*Ruimtestaat[[#This Row],[Oppervlak (netto)]]</f>
        <v>0</v>
      </c>
      <c r="AC646" s="90">
        <f>IF(AB646&gt;0,Ruimtestaat[[#This Row],[Prest. (m2 /jaar) weekend]]/Ruimtestaat[[#This Row],[Norm (m2/uur) weekend]],0)</f>
        <v>0</v>
      </c>
      <c r="AD646" s="91">
        <f>Ruimtestaat[[#This Row],[uren / jaar weekend]]*Tariefsopbouw!$D$40</f>
        <v>0</v>
      </c>
      <c r="AE646" s="60">
        <f>Ruimtestaat[[#This Row],[Prest. (m2 /jaar) weekend]]+Ruimtestaat[[#This Row],[Prest. (m2 /jaar) werkdagen]]</f>
        <v>11084</v>
      </c>
      <c r="AF646" s="60">
        <f>Ruimtestaat[[#This Row],[uren / jaar weekend]]+Ruimtestaat[[#This Row],[uren / jaar werkdagen]]</f>
        <v>0</v>
      </c>
      <c r="AG646" s="61">
        <f>Ruimtestaat[[#This Row],[kosten / jaar weekend]]+Ruimtestaat[[#This Row],[kosten / jaar werkdagen]]</f>
        <v>0</v>
      </c>
      <c r="AH646" s="92"/>
      <c r="HL646" s="59"/>
    </row>
    <row r="647" spans="1:220">
      <c r="A647" s="24">
        <v>5</v>
      </c>
      <c r="B647" s="24" t="str">
        <f>VLOOKUP(Ruimtestaat[[#This Row],[Code]],Locaties[#All],2,FALSE)</f>
        <v>Marke Zuid</v>
      </c>
      <c r="C647" s="24" t="str">
        <f>VLOOKUP(Ruimtestaat[[#This Row],[Code]],Locaties[#All],4,FALSE)</f>
        <v>Ludgerstraat 1</v>
      </c>
      <c r="D647" s="24" t="str">
        <f>VLOOKUP(Ruimtestaat[[#This Row],[Code]],Locaties[#All],5,FALSE)</f>
        <v>7415 DV</v>
      </c>
      <c r="E647" s="24" t="str">
        <f>VLOOKUP(Ruimtestaat[[#This Row],[Code]],Locaties[#All],6,FALSE)</f>
        <v>Deventer</v>
      </c>
      <c r="F647" s="54"/>
      <c r="G647" s="24" t="s">
        <v>367</v>
      </c>
      <c r="H647" s="24" t="s">
        <v>453</v>
      </c>
      <c r="I647" s="4" t="s">
        <v>1099</v>
      </c>
      <c r="J647" s="24">
        <v>14</v>
      </c>
      <c r="K647" s="54" t="str">
        <f>VLOOKUP(J647,Ruimtegroepen[],2,FALSE)</f>
        <v>Praktijklokalen binas/zorg</v>
      </c>
      <c r="L647" s="24" t="s">
        <v>300</v>
      </c>
      <c r="M647" s="24" t="s">
        <v>997</v>
      </c>
      <c r="N647" s="83">
        <v>94.56</v>
      </c>
      <c r="O647" s="83"/>
      <c r="P647" s="93" t="str">
        <f>LEFT(VLOOKUP(Ruimtestaat[[#This Row],[Ruimte code]],Ruimtegroepen[#All],4,1),2)</f>
        <v>Le</v>
      </c>
      <c r="Q647" s="93"/>
      <c r="R647" s="84">
        <v>40</v>
      </c>
      <c r="S647" s="84" t="s">
        <v>318</v>
      </c>
      <c r="T647" s="85">
        <f>IF(R647&gt;0,IF(RIGHT(Ruimtestaat[[#This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7" s="85">
        <f>IF(T647&gt;0,VLOOKUP($J647,Ruimtegroepen[],3,FALSE)*VLOOKUP($L647,Vloersoorten[],3,FALSE)*VLOOKUP($S647,Frequenties[],3,FALSE)*VLOOKUP($A647,Locaties[],3,FALSE),0)</f>
        <v>0</v>
      </c>
      <c r="V647" s="86">
        <f>Ruimtestaat[[#This Row],[Uitvoeringen werkdagen]]*Ruimtestaat[[#This Row],[Oppervlak (netto)]]</f>
        <v>18912</v>
      </c>
      <c r="W647" s="87">
        <f>IF(U647&gt;0,Ruimtestaat[[#This Row],[Prest. (m2 /jaar) werkdagen]]/Ruimtestaat[[#This Row],[Norm (m2/uur) werkdagen]],0)</f>
        <v>0</v>
      </c>
      <c r="X647" s="88">
        <f>Ruimtestaat[[#This Row],[uren / jaar werkdagen]]*Tariefsopbouw!$E$35</f>
        <v>0</v>
      </c>
      <c r="Y647" s="85"/>
      <c r="Z647" s="89">
        <f>IF(Ruimtestaat[[#This Row],[Frequentie weekend]]&gt;0,VALUE(LEFT(Y647,1))*R647,0)</f>
        <v>0</v>
      </c>
      <c r="AA647" s="85">
        <f>IF($Z647&gt;0,VLOOKUP($J647,Ruimtegroepen[],3,FALSE)*VLOOKUP($L647,Vloersoorten[],3,FALSE)*VLOOKUP($Y647,Frequenties[],3,FALSE)*VLOOKUP(#REF!,Locaties[],3,FALSE),0)</f>
        <v>0</v>
      </c>
      <c r="AB647" s="87">
        <f>Ruimtestaat[[#This Row],[Uitvoeringen weekend]]*Ruimtestaat[[#This Row],[Oppervlak (netto)]]</f>
        <v>0</v>
      </c>
      <c r="AC647" s="90">
        <f>IF(AB647&gt;0,Ruimtestaat[[#This Row],[Prest. (m2 /jaar) weekend]]/Ruimtestaat[[#This Row],[Norm (m2/uur) weekend]],0)</f>
        <v>0</v>
      </c>
      <c r="AD647" s="91">
        <f>Ruimtestaat[[#This Row],[uren / jaar weekend]]*Tariefsopbouw!$D$40</f>
        <v>0</v>
      </c>
      <c r="AE647" s="60">
        <f>Ruimtestaat[[#This Row],[Prest. (m2 /jaar) weekend]]+Ruimtestaat[[#This Row],[Prest. (m2 /jaar) werkdagen]]</f>
        <v>18912</v>
      </c>
      <c r="AF647" s="60">
        <f>Ruimtestaat[[#This Row],[uren / jaar weekend]]+Ruimtestaat[[#This Row],[uren / jaar werkdagen]]</f>
        <v>0</v>
      </c>
      <c r="AG647" s="61">
        <f>Ruimtestaat[[#This Row],[kosten / jaar weekend]]+Ruimtestaat[[#This Row],[kosten / jaar werkdagen]]</f>
        <v>0</v>
      </c>
      <c r="AH647" s="92"/>
      <c r="HL647" s="59"/>
    </row>
    <row r="648" spans="1:220">
      <c r="A648" s="24">
        <v>5</v>
      </c>
      <c r="B648" s="24" t="str">
        <f>VLOOKUP(Ruimtestaat[[#This Row],[Code]],Locaties[#All],2,FALSE)</f>
        <v>Marke Zuid</v>
      </c>
      <c r="C648" s="24" t="str">
        <f>VLOOKUP(Ruimtestaat[[#This Row],[Code]],Locaties[#All],4,FALSE)</f>
        <v>Ludgerstraat 1</v>
      </c>
      <c r="D648" s="24" t="str">
        <f>VLOOKUP(Ruimtestaat[[#This Row],[Code]],Locaties[#All],5,FALSE)</f>
        <v>7415 DV</v>
      </c>
      <c r="E648" s="24" t="str">
        <f>VLOOKUP(Ruimtestaat[[#This Row],[Code]],Locaties[#All],6,FALSE)</f>
        <v>Deventer</v>
      </c>
      <c r="F648" s="54"/>
      <c r="G648" s="24" t="s">
        <v>367</v>
      </c>
      <c r="H648" s="24" t="s">
        <v>1100</v>
      </c>
      <c r="I648" s="4" t="s">
        <v>1099</v>
      </c>
      <c r="J648" s="24">
        <v>14</v>
      </c>
      <c r="K648" s="54" t="str">
        <f>VLOOKUP(J648,Ruimtegroepen[],2,FALSE)</f>
        <v>Praktijklokalen binas/zorg</v>
      </c>
      <c r="L648" s="24" t="s">
        <v>300</v>
      </c>
      <c r="M648" s="24" t="s">
        <v>997</v>
      </c>
      <c r="N648" s="83">
        <v>48.53</v>
      </c>
      <c r="O648" s="83"/>
      <c r="P648" s="93" t="str">
        <f>LEFT(VLOOKUP(Ruimtestaat[[#This Row],[Ruimte code]],Ruimtegroepen[#All],4,1),2)</f>
        <v>Le</v>
      </c>
      <c r="Q648" s="93"/>
      <c r="R648" s="84">
        <v>40</v>
      </c>
      <c r="S648" s="84" t="s">
        <v>318</v>
      </c>
      <c r="T648" s="85">
        <f>IF(R648&gt;0,IF(RIGHT(Ruimtestaat[[#This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8" s="85">
        <f>IF(T648&gt;0,VLOOKUP($J648,Ruimtegroepen[],3,FALSE)*VLOOKUP($L648,Vloersoorten[],3,FALSE)*VLOOKUP($S648,Frequenties[],3,FALSE)*VLOOKUP($A648,Locaties[],3,FALSE),0)</f>
        <v>0</v>
      </c>
      <c r="V648" s="86">
        <f>Ruimtestaat[[#This Row],[Uitvoeringen werkdagen]]*Ruimtestaat[[#This Row],[Oppervlak (netto)]]</f>
        <v>9706</v>
      </c>
      <c r="W648" s="87">
        <f>IF(U648&gt;0,Ruimtestaat[[#This Row],[Prest. (m2 /jaar) werkdagen]]/Ruimtestaat[[#This Row],[Norm (m2/uur) werkdagen]],0)</f>
        <v>0</v>
      </c>
      <c r="X648" s="88">
        <f>Ruimtestaat[[#This Row],[uren / jaar werkdagen]]*Tariefsopbouw!$E$35</f>
        <v>0</v>
      </c>
      <c r="Y648" s="85"/>
      <c r="Z648" s="89">
        <f>IF(Ruimtestaat[[#This Row],[Frequentie weekend]]&gt;0,VALUE(LEFT(Y648,1))*R648,0)</f>
        <v>0</v>
      </c>
      <c r="AA648" s="85">
        <f>IF($Z648&gt;0,VLOOKUP($J648,Ruimtegroepen[],3,FALSE)*VLOOKUP($L648,Vloersoorten[],3,FALSE)*VLOOKUP($Y648,Frequenties[],3,FALSE)*VLOOKUP(#REF!,Locaties[],3,FALSE),0)</f>
        <v>0</v>
      </c>
      <c r="AB648" s="87">
        <f>Ruimtestaat[[#This Row],[Uitvoeringen weekend]]*Ruimtestaat[[#This Row],[Oppervlak (netto)]]</f>
        <v>0</v>
      </c>
      <c r="AC648" s="90">
        <f>IF(AB648&gt;0,Ruimtestaat[[#This Row],[Prest. (m2 /jaar) weekend]]/Ruimtestaat[[#This Row],[Norm (m2/uur) weekend]],0)</f>
        <v>0</v>
      </c>
      <c r="AD648" s="91">
        <f>Ruimtestaat[[#This Row],[uren / jaar weekend]]*Tariefsopbouw!$D$40</f>
        <v>0</v>
      </c>
      <c r="AE648" s="60">
        <f>Ruimtestaat[[#This Row],[Prest. (m2 /jaar) weekend]]+Ruimtestaat[[#This Row],[Prest. (m2 /jaar) werkdagen]]</f>
        <v>9706</v>
      </c>
      <c r="AF648" s="60">
        <f>Ruimtestaat[[#This Row],[uren / jaar weekend]]+Ruimtestaat[[#This Row],[uren / jaar werkdagen]]</f>
        <v>0</v>
      </c>
      <c r="AG648" s="61">
        <f>Ruimtestaat[[#This Row],[kosten / jaar weekend]]+Ruimtestaat[[#This Row],[kosten / jaar werkdagen]]</f>
        <v>0</v>
      </c>
      <c r="AH648" s="92"/>
      <c r="HL648" s="59"/>
    </row>
    <row r="649" spans="1:220">
      <c r="A649" s="24">
        <v>5</v>
      </c>
      <c r="B649" s="24" t="str">
        <f>VLOOKUP(Ruimtestaat[[#This Row],[Code]],Locaties[#All],2,FALSE)</f>
        <v>Marke Zuid</v>
      </c>
      <c r="C649" s="24" t="str">
        <f>VLOOKUP(Ruimtestaat[[#This Row],[Code]],Locaties[#All],4,FALSE)</f>
        <v>Ludgerstraat 1</v>
      </c>
      <c r="D649" s="24" t="str">
        <f>VLOOKUP(Ruimtestaat[[#This Row],[Code]],Locaties[#All],5,FALSE)</f>
        <v>7415 DV</v>
      </c>
      <c r="E649" s="24" t="str">
        <f>VLOOKUP(Ruimtestaat[[#This Row],[Code]],Locaties[#All],6,FALSE)</f>
        <v>Deventer</v>
      </c>
      <c r="F649" s="54"/>
      <c r="G649" s="24" t="s">
        <v>367</v>
      </c>
      <c r="H649" s="24" t="s">
        <v>459</v>
      </c>
      <c r="I649" s="4" t="s">
        <v>1101</v>
      </c>
      <c r="J649" s="24">
        <v>5</v>
      </c>
      <c r="K649" s="54" t="str">
        <f>VLOOKUP(J649,Ruimtegroepen[],2,FALSE)</f>
        <v>Sanitair</v>
      </c>
      <c r="L649" s="24" t="s">
        <v>305</v>
      </c>
      <c r="M649" s="24" t="s">
        <v>373</v>
      </c>
      <c r="N649" s="83">
        <v>14.69</v>
      </c>
      <c r="O649" s="83"/>
      <c r="P649" s="93" t="str">
        <f>LEFT(VLOOKUP(Ruimtestaat[[#This Row],[Ruimte code]],Ruimtegroepen[#All],4,1),2)</f>
        <v>Sa</v>
      </c>
      <c r="Q649" s="93"/>
      <c r="R649" s="84">
        <v>42</v>
      </c>
      <c r="S649" s="84" t="s">
        <v>316</v>
      </c>
      <c r="T649" s="85">
        <f>IF(R649&gt;0,IF(RIGHT(Ruimtestaat[[#This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49" s="85">
        <f>IF(T649&gt;0,VLOOKUP($J649,Ruimtegroepen[],3,FALSE)*VLOOKUP($L649,Vloersoorten[],3,FALSE)*VLOOKUP($S649,Frequenties[],3,FALSE)*VLOOKUP($A649,Locaties[],3,FALSE),0)</f>
        <v>0</v>
      </c>
      <c r="V649" s="86">
        <f>Ruimtestaat[[#This Row],[Uitvoeringen werkdagen]]*Ruimtestaat[[#This Row],[Oppervlak (netto)]]</f>
        <v>6169.8</v>
      </c>
      <c r="W649" s="87">
        <f>IF(U649&gt;0,Ruimtestaat[[#This Row],[Prest. (m2 /jaar) werkdagen]]/Ruimtestaat[[#This Row],[Norm (m2/uur) werkdagen]],0)</f>
        <v>0</v>
      </c>
      <c r="X649" s="88">
        <f>Ruimtestaat[[#This Row],[uren / jaar werkdagen]]*Tariefsopbouw!$E$35</f>
        <v>0</v>
      </c>
      <c r="Y649" s="85"/>
      <c r="Z649" s="89">
        <f>IF(Ruimtestaat[[#This Row],[Frequentie weekend]]&gt;0,VALUE(LEFT(Y649,1))*R649,0)</f>
        <v>0</v>
      </c>
      <c r="AA649" s="85">
        <f>IF($Z649&gt;0,VLOOKUP($J649,Ruimtegroepen[],3,FALSE)*VLOOKUP($L649,Vloersoorten[],3,FALSE)*VLOOKUP($Y649,Frequenties[],3,FALSE)*VLOOKUP(#REF!,Locaties[],3,FALSE),0)</f>
        <v>0</v>
      </c>
      <c r="AB649" s="87">
        <f>Ruimtestaat[[#This Row],[Uitvoeringen weekend]]*Ruimtestaat[[#This Row],[Oppervlak (netto)]]</f>
        <v>0</v>
      </c>
      <c r="AC649" s="90">
        <f>IF(AB649&gt;0,Ruimtestaat[[#This Row],[Prest. (m2 /jaar) weekend]]/Ruimtestaat[[#This Row],[Norm (m2/uur) weekend]],0)</f>
        <v>0</v>
      </c>
      <c r="AD649" s="91">
        <f>Ruimtestaat[[#This Row],[uren / jaar weekend]]*Tariefsopbouw!$D$40</f>
        <v>0</v>
      </c>
      <c r="AE649" s="60">
        <f>Ruimtestaat[[#This Row],[Prest. (m2 /jaar) weekend]]+Ruimtestaat[[#This Row],[Prest. (m2 /jaar) werkdagen]]</f>
        <v>6169.8</v>
      </c>
      <c r="AF649" s="60">
        <f>Ruimtestaat[[#This Row],[uren / jaar weekend]]+Ruimtestaat[[#This Row],[uren / jaar werkdagen]]</f>
        <v>0</v>
      </c>
      <c r="AG649" s="61">
        <f>Ruimtestaat[[#This Row],[kosten / jaar weekend]]+Ruimtestaat[[#This Row],[kosten / jaar werkdagen]]</f>
        <v>0</v>
      </c>
      <c r="AH649" s="92"/>
      <c r="HL649" s="59"/>
    </row>
    <row r="650" spans="1:220">
      <c r="A650" s="24">
        <v>5</v>
      </c>
      <c r="B650" s="24" t="str">
        <f>VLOOKUP(Ruimtestaat[[#This Row],[Code]],Locaties[#All],2,FALSE)</f>
        <v>Marke Zuid</v>
      </c>
      <c r="C650" s="24" t="str">
        <f>VLOOKUP(Ruimtestaat[[#This Row],[Code]],Locaties[#All],4,FALSE)</f>
        <v>Ludgerstraat 1</v>
      </c>
      <c r="D650" s="24" t="str">
        <f>VLOOKUP(Ruimtestaat[[#This Row],[Code]],Locaties[#All],5,FALSE)</f>
        <v>7415 DV</v>
      </c>
      <c r="E650" s="24" t="str">
        <f>VLOOKUP(Ruimtestaat[[#This Row],[Code]],Locaties[#All],6,FALSE)</f>
        <v>Deventer</v>
      </c>
      <c r="F650" s="54"/>
      <c r="G650" s="24" t="s">
        <v>367</v>
      </c>
      <c r="H650" s="24" t="s">
        <v>1102</v>
      </c>
      <c r="I650" s="4" t="s">
        <v>1010</v>
      </c>
      <c r="J650" s="24">
        <v>5</v>
      </c>
      <c r="K650" s="54" t="str">
        <f>VLOOKUP(J650,Ruimtegroepen[],2,FALSE)</f>
        <v>Sanitair</v>
      </c>
      <c r="L650" s="24" t="s">
        <v>305</v>
      </c>
      <c r="M650" s="24" t="s">
        <v>373</v>
      </c>
      <c r="N650" s="83">
        <v>1.1499999999999999</v>
      </c>
      <c r="O650" s="83"/>
      <c r="P650" s="93" t="str">
        <f>LEFT(VLOOKUP(Ruimtestaat[[#This Row],[Ruimte code]],Ruimtegroepen[#All],4,1),2)</f>
        <v>Sa</v>
      </c>
      <c r="Q650" s="93"/>
      <c r="R650" s="84">
        <v>42</v>
      </c>
      <c r="S650" s="84" t="s">
        <v>316</v>
      </c>
      <c r="T650" s="85">
        <f>IF(R650&gt;0,IF(RIGHT(Ruimtestaat[[#This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0" s="85">
        <f>IF(T650&gt;0,VLOOKUP($J650,Ruimtegroepen[],3,FALSE)*VLOOKUP($L650,Vloersoorten[],3,FALSE)*VLOOKUP($S650,Frequenties[],3,FALSE)*VLOOKUP($A650,Locaties[],3,FALSE),0)</f>
        <v>0</v>
      </c>
      <c r="V650" s="86">
        <f>Ruimtestaat[[#This Row],[Uitvoeringen werkdagen]]*Ruimtestaat[[#This Row],[Oppervlak (netto)]]</f>
        <v>482.99999999999994</v>
      </c>
      <c r="W650" s="87">
        <f>IF(U650&gt;0,Ruimtestaat[[#This Row],[Prest. (m2 /jaar) werkdagen]]/Ruimtestaat[[#This Row],[Norm (m2/uur) werkdagen]],0)</f>
        <v>0</v>
      </c>
      <c r="X650" s="88">
        <f>Ruimtestaat[[#This Row],[uren / jaar werkdagen]]*Tariefsopbouw!$E$35</f>
        <v>0</v>
      </c>
      <c r="Y650" s="85"/>
      <c r="Z650" s="89">
        <f>IF(Ruimtestaat[[#This Row],[Frequentie weekend]]&gt;0,VALUE(LEFT(Y650,1))*R650,0)</f>
        <v>0</v>
      </c>
      <c r="AA650" s="85">
        <f>IF($Z650&gt;0,VLOOKUP($J650,Ruimtegroepen[],3,FALSE)*VLOOKUP($L650,Vloersoorten[],3,FALSE)*VLOOKUP($Y650,Frequenties[],3,FALSE)*VLOOKUP(#REF!,Locaties[],3,FALSE),0)</f>
        <v>0</v>
      </c>
      <c r="AB650" s="87">
        <f>Ruimtestaat[[#This Row],[Uitvoeringen weekend]]*Ruimtestaat[[#This Row],[Oppervlak (netto)]]</f>
        <v>0</v>
      </c>
      <c r="AC650" s="90">
        <f>IF(AB650&gt;0,Ruimtestaat[[#This Row],[Prest. (m2 /jaar) weekend]]/Ruimtestaat[[#This Row],[Norm (m2/uur) weekend]],0)</f>
        <v>0</v>
      </c>
      <c r="AD650" s="91">
        <f>Ruimtestaat[[#This Row],[uren / jaar weekend]]*Tariefsopbouw!$D$40</f>
        <v>0</v>
      </c>
      <c r="AE650" s="60">
        <f>Ruimtestaat[[#This Row],[Prest. (m2 /jaar) weekend]]+Ruimtestaat[[#This Row],[Prest. (m2 /jaar) werkdagen]]</f>
        <v>482.99999999999994</v>
      </c>
      <c r="AF650" s="60">
        <f>Ruimtestaat[[#This Row],[uren / jaar weekend]]+Ruimtestaat[[#This Row],[uren / jaar werkdagen]]</f>
        <v>0</v>
      </c>
      <c r="AG650" s="61">
        <f>Ruimtestaat[[#This Row],[kosten / jaar weekend]]+Ruimtestaat[[#This Row],[kosten / jaar werkdagen]]</f>
        <v>0</v>
      </c>
      <c r="AH650" s="92"/>
      <c r="HL650" s="59"/>
    </row>
    <row r="651" spans="1:220">
      <c r="A651" s="24">
        <v>5</v>
      </c>
      <c r="B651" s="24" t="str">
        <f>VLOOKUP(Ruimtestaat[[#This Row],[Code]],Locaties[#All],2,FALSE)</f>
        <v>Marke Zuid</v>
      </c>
      <c r="C651" s="24" t="str">
        <f>VLOOKUP(Ruimtestaat[[#This Row],[Code]],Locaties[#All],4,FALSE)</f>
        <v>Ludgerstraat 1</v>
      </c>
      <c r="D651" s="24" t="str">
        <f>VLOOKUP(Ruimtestaat[[#This Row],[Code]],Locaties[#All],5,FALSE)</f>
        <v>7415 DV</v>
      </c>
      <c r="E651" s="24" t="str">
        <f>VLOOKUP(Ruimtestaat[[#This Row],[Code]],Locaties[#All],6,FALSE)</f>
        <v>Deventer</v>
      </c>
      <c r="F651" s="54"/>
      <c r="G651" s="24" t="s">
        <v>367</v>
      </c>
      <c r="H651" s="24" t="s">
        <v>1103</v>
      </c>
      <c r="I651" s="4" t="s">
        <v>1010</v>
      </c>
      <c r="J651" s="24">
        <v>5</v>
      </c>
      <c r="K651" s="54" t="str">
        <f>VLOOKUP(J651,Ruimtegroepen[],2,FALSE)</f>
        <v>Sanitair</v>
      </c>
      <c r="L651" s="24" t="s">
        <v>305</v>
      </c>
      <c r="M651" s="24" t="s">
        <v>373</v>
      </c>
      <c r="N651" s="83">
        <v>0.91</v>
      </c>
      <c r="O651" s="83"/>
      <c r="P651" s="93" t="str">
        <f>LEFT(VLOOKUP(Ruimtestaat[[#This Row],[Ruimte code]],Ruimtegroepen[#All],4,1),2)</f>
        <v>Sa</v>
      </c>
      <c r="Q651" s="93"/>
      <c r="R651" s="84">
        <v>42</v>
      </c>
      <c r="S651" s="84" t="s">
        <v>316</v>
      </c>
      <c r="T651" s="85">
        <f>IF(R651&gt;0,IF(RIGHT(Ruimtestaat[[#This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1" s="85">
        <f>IF(T651&gt;0,VLOOKUP($J651,Ruimtegroepen[],3,FALSE)*VLOOKUP($L651,Vloersoorten[],3,FALSE)*VLOOKUP($S651,Frequenties[],3,FALSE)*VLOOKUP($A651,Locaties[],3,FALSE),0)</f>
        <v>0</v>
      </c>
      <c r="V651" s="86">
        <f>Ruimtestaat[[#This Row],[Uitvoeringen werkdagen]]*Ruimtestaat[[#This Row],[Oppervlak (netto)]]</f>
        <v>382.2</v>
      </c>
      <c r="W651" s="87">
        <f>IF(U651&gt;0,Ruimtestaat[[#This Row],[Prest. (m2 /jaar) werkdagen]]/Ruimtestaat[[#This Row],[Norm (m2/uur) werkdagen]],0)</f>
        <v>0</v>
      </c>
      <c r="X651" s="88">
        <f>Ruimtestaat[[#This Row],[uren / jaar werkdagen]]*Tariefsopbouw!$E$35</f>
        <v>0</v>
      </c>
      <c r="Y651" s="85"/>
      <c r="Z651" s="89">
        <f>IF(Ruimtestaat[[#This Row],[Frequentie weekend]]&gt;0,VALUE(LEFT(Y651,1))*R651,0)</f>
        <v>0</v>
      </c>
      <c r="AA651" s="85">
        <f>IF($Z651&gt;0,VLOOKUP($J651,Ruimtegroepen[],3,FALSE)*VLOOKUP($L651,Vloersoorten[],3,FALSE)*VLOOKUP($Y651,Frequenties[],3,FALSE)*VLOOKUP(#REF!,Locaties[],3,FALSE),0)</f>
        <v>0</v>
      </c>
      <c r="AB651" s="87">
        <f>Ruimtestaat[[#This Row],[Uitvoeringen weekend]]*Ruimtestaat[[#This Row],[Oppervlak (netto)]]</f>
        <v>0</v>
      </c>
      <c r="AC651" s="90">
        <f>IF(AB651&gt;0,Ruimtestaat[[#This Row],[Prest. (m2 /jaar) weekend]]/Ruimtestaat[[#This Row],[Norm (m2/uur) weekend]],0)</f>
        <v>0</v>
      </c>
      <c r="AD651" s="91">
        <f>Ruimtestaat[[#This Row],[uren / jaar weekend]]*Tariefsopbouw!$D$40</f>
        <v>0</v>
      </c>
      <c r="AE651" s="60">
        <f>Ruimtestaat[[#This Row],[Prest. (m2 /jaar) weekend]]+Ruimtestaat[[#This Row],[Prest. (m2 /jaar) werkdagen]]</f>
        <v>382.2</v>
      </c>
      <c r="AF651" s="60">
        <f>Ruimtestaat[[#This Row],[uren / jaar weekend]]+Ruimtestaat[[#This Row],[uren / jaar werkdagen]]</f>
        <v>0</v>
      </c>
      <c r="AG651" s="61">
        <f>Ruimtestaat[[#This Row],[kosten / jaar weekend]]+Ruimtestaat[[#This Row],[kosten / jaar werkdagen]]</f>
        <v>0</v>
      </c>
      <c r="AH651" s="92"/>
      <c r="HL651" s="59"/>
    </row>
    <row r="652" spans="1:220">
      <c r="A652" s="24">
        <v>5</v>
      </c>
      <c r="B652" s="24" t="str">
        <f>VLOOKUP(Ruimtestaat[[#This Row],[Code]],Locaties[#All],2,FALSE)</f>
        <v>Marke Zuid</v>
      </c>
      <c r="C652" s="24" t="str">
        <f>VLOOKUP(Ruimtestaat[[#This Row],[Code]],Locaties[#All],4,FALSE)</f>
        <v>Ludgerstraat 1</v>
      </c>
      <c r="D652" s="24" t="str">
        <f>VLOOKUP(Ruimtestaat[[#This Row],[Code]],Locaties[#All],5,FALSE)</f>
        <v>7415 DV</v>
      </c>
      <c r="E652" s="24" t="str">
        <f>VLOOKUP(Ruimtestaat[[#This Row],[Code]],Locaties[#All],6,FALSE)</f>
        <v>Deventer</v>
      </c>
      <c r="F652" s="54"/>
      <c r="G652" s="24" t="s">
        <v>367</v>
      </c>
      <c r="H652" s="24" t="s">
        <v>1104</v>
      </c>
      <c r="I652" s="4" t="s">
        <v>1010</v>
      </c>
      <c r="J652" s="24">
        <v>5</v>
      </c>
      <c r="K652" s="54" t="str">
        <f>VLOOKUP(J652,Ruimtegroepen[],2,FALSE)</f>
        <v>Sanitair</v>
      </c>
      <c r="L652" s="24" t="s">
        <v>305</v>
      </c>
      <c r="M652" s="24" t="s">
        <v>373</v>
      </c>
      <c r="N652" s="83">
        <v>0.91</v>
      </c>
      <c r="O652" s="83"/>
      <c r="P652" s="93" t="str">
        <f>LEFT(VLOOKUP(Ruimtestaat[[#This Row],[Ruimte code]],Ruimtegroepen[#All],4,1),2)</f>
        <v>Sa</v>
      </c>
      <c r="Q652" s="93"/>
      <c r="R652" s="84">
        <v>42</v>
      </c>
      <c r="S652" s="84" t="s">
        <v>316</v>
      </c>
      <c r="T652" s="85">
        <f>IF(R652&gt;0,IF(RIGHT(Ruimtestaat[[#This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2" s="85">
        <f>IF(T652&gt;0,VLOOKUP($J652,Ruimtegroepen[],3,FALSE)*VLOOKUP($L652,Vloersoorten[],3,FALSE)*VLOOKUP($S652,Frequenties[],3,FALSE)*VLOOKUP($A652,Locaties[],3,FALSE),0)</f>
        <v>0</v>
      </c>
      <c r="V652" s="86">
        <f>Ruimtestaat[[#This Row],[Uitvoeringen werkdagen]]*Ruimtestaat[[#This Row],[Oppervlak (netto)]]</f>
        <v>382.2</v>
      </c>
      <c r="W652" s="87">
        <f>IF(U652&gt;0,Ruimtestaat[[#This Row],[Prest. (m2 /jaar) werkdagen]]/Ruimtestaat[[#This Row],[Norm (m2/uur) werkdagen]],0)</f>
        <v>0</v>
      </c>
      <c r="X652" s="88">
        <f>Ruimtestaat[[#This Row],[uren / jaar werkdagen]]*Tariefsopbouw!$E$35</f>
        <v>0</v>
      </c>
      <c r="Y652" s="85"/>
      <c r="Z652" s="89">
        <f>IF(Ruimtestaat[[#This Row],[Frequentie weekend]]&gt;0,VALUE(LEFT(Y652,1))*R652,0)</f>
        <v>0</v>
      </c>
      <c r="AA652" s="85">
        <f>IF($Z652&gt;0,VLOOKUP($J652,Ruimtegroepen[],3,FALSE)*VLOOKUP($L652,Vloersoorten[],3,FALSE)*VLOOKUP($Y652,Frequenties[],3,FALSE)*VLOOKUP(#REF!,Locaties[],3,FALSE),0)</f>
        <v>0</v>
      </c>
      <c r="AB652" s="87">
        <f>Ruimtestaat[[#This Row],[Uitvoeringen weekend]]*Ruimtestaat[[#This Row],[Oppervlak (netto)]]</f>
        <v>0</v>
      </c>
      <c r="AC652" s="90">
        <f>IF(AB652&gt;0,Ruimtestaat[[#This Row],[Prest. (m2 /jaar) weekend]]/Ruimtestaat[[#This Row],[Norm (m2/uur) weekend]],0)</f>
        <v>0</v>
      </c>
      <c r="AD652" s="91">
        <f>Ruimtestaat[[#This Row],[uren / jaar weekend]]*Tariefsopbouw!$D$40</f>
        <v>0</v>
      </c>
      <c r="AE652" s="60">
        <f>Ruimtestaat[[#This Row],[Prest. (m2 /jaar) weekend]]+Ruimtestaat[[#This Row],[Prest. (m2 /jaar) werkdagen]]</f>
        <v>382.2</v>
      </c>
      <c r="AF652" s="60">
        <f>Ruimtestaat[[#This Row],[uren / jaar weekend]]+Ruimtestaat[[#This Row],[uren / jaar werkdagen]]</f>
        <v>0</v>
      </c>
      <c r="AG652" s="61">
        <f>Ruimtestaat[[#This Row],[kosten / jaar weekend]]+Ruimtestaat[[#This Row],[kosten / jaar werkdagen]]</f>
        <v>0</v>
      </c>
      <c r="AH652" s="92"/>
      <c r="HL652" s="59"/>
    </row>
    <row r="653" spans="1:220">
      <c r="A653" s="24">
        <v>5</v>
      </c>
      <c r="B653" s="24" t="str">
        <f>VLOOKUP(Ruimtestaat[[#This Row],[Code]],Locaties[#All],2,FALSE)</f>
        <v>Marke Zuid</v>
      </c>
      <c r="C653" s="24" t="str">
        <f>VLOOKUP(Ruimtestaat[[#This Row],[Code]],Locaties[#All],4,FALSE)</f>
        <v>Ludgerstraat 1</v>
      </c>
      <c r="D653" s="24" t="str">
        <f>VLOOKUP(Ruimtestaat[[#This Row],[Code]],Locaties[#All],5,FALSE)</f>
        <v>7415 DV</v>
      </c>
      <c r="E653" s="24" t="str">
        <f>VLOOKUP(Ruimtestaat[[#This Row],[Code]],Locaties[#All],6,FALSE)</f>
        <v>Deventer</v>
      </c>
      <c r="F653" s="54"/>
      <c r="G653" s="24" t="s">
        <v>367</v>
      </c>
      <c r="H653" s="24" t="s">
        <v>1105</v>
      </c>
      <c r="I653" s="4" t="s">
        <v>1010</v>
      </c>
      <c r="J653" s="24">
        <v>5</v>
      </c>
      <c r="K653" s="54" t="str">
        <f>VLOOKUP(J653,Ruimtegroepen[],2,FALSE)</f>
        <v>Sanitair</v>
      </c>
      <c r="L653" s="24" t="s">
        <v>305</v>
      </c>
      <c r="M653" s="24" t="s">
        <v>373</v>
      </c>
      <c r="N653" s="83">
        <v>0.94</v>
      </c>
      <c r="O653" s="83"/>
      <c r="P653" s="93" t="str">
        <f>LEFT(VLOOKUP(Ruimtestaat[[#This Row],[Ruimte code]],Ruimtegroepen[#All],4,1),2)</f>
        <v>Sa</v>
      </c>
      <c r="Q653" s="93"/>
      <c r="R653" s="84">
        <v>42</v>
      </c>
      <c r="S653" s="84" t="s">
        <v>316</v>
      </c>
      <c r="T653" s="85">
        <f>IF(R653&gt;0,IF(RIGHT(Ruimtestaat[[#This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3" s="85">
        <f>IF(T653&gt;0,VLOOKUP($J653,Ruimtegroepen[],3,FALSE)*VLOOKUP($L653,Vloersoorten[],3,FALSE)*VLOOKUP($S653,Frequenties[],3,FALSE)*VLOOKUP($A653,Locaties[],3,FALSE),0)</f>
        <v>0</v>
      </c>
      <c r="V653" s="86">
        <f>Ruimtestaat[[#This Row],[Uitvoeringen werkdagen]]*Ruimtestaat[[#This Row],[Oppervlak (netto)]]</f>
        <v>394.79999999999995</v>
      </c>
      <c r="W653" s="87">
        <f>IF(U653&gt;0,Ruimtestaat[[#This Row],[Prest. (m2 /jaar) werkdagen]]/Ruimtestaat[[#This Row],[Norm (m2/uur) werkdagen]],0)</f>
        <v>0</v>
      </c>
      <c r="X653" s="88">
        <f>Ruimtestaat[[#This Row],[uren / jaar werkdagen]]*Tariefsopbouw!$E$35</f>
        <v>0</v>
      </c>
      <c r="Y653" s="85"/>
      <c r="Z653" s="89">
        <f>IF(Ruimtestaat[[#This Row],[Frequentie weekend]]&gt;0,VALUE(LEFT(Y653,1))*R653,0)</f>
        <v>0</v>
      </c>
      <c r="AA653" s="85">
        <f>IF($Z653&gt;0,VLOOKUP($J653,Ruimtegroepen[],3,FALSE)*VLOOKUP($L653,Vloersoorten[],3,FALSE)*VLOOKUP($Y653,Frequenties[],3,FALSE)*VLOOKUP(#REF!,Locaties[],3,FALSE),0)</f>
        <v>0</v>
      </c>
      <c r="AB653" s="87">
        <f>Ruimtestaat[[#This Row],[Uitvoeringen weekend]]*Ruimtestaat[[#This Row],[Oppervlak (netto)]]</f>
        <v>0</v>
      </c>
      <c r="AC653" s="90">
        <f>IF(AB653&gt;0,Ruimtestaat[[#This Row],[Prest. (m2 /jaar) weekend]]/Ruimtestaat[[#This Row],[Norm (m2/uur) weekend]],0)</f>
        <v>0</v>
      </c>
      <c r="AD653" s="91">
        <f>Ruimtestaat[[#This Row],[uren / jaar weekend]]*Tariefsopbouw!$D$40</f>
        <v>0</v>
      </c>
      <c r="AE653" s="60">
        <f>Ruimtestaat[[#This Row],[Prest. (m2 /jaar) weekend]]+Ruimtestaat[[#This Row],[Prest. (m2 /jaar) werkdagen]]</f>
        <v>394.79999999999995</v>
      </c>
      <c r="AF653" s="60">
        <f>Ruimtestaat[[#This Row],[uren / jaar weekend]]+Ruimtestaat[[#This Row],[uren / jaar werkdagen]]</f>
        <v>0</v>
      </c>
      <c r="AG653" s="61">
        <f>Ruimtestaat[[#This Row],[kosten / jaar weekend]]+Ruimtestaat[[#This Row],[kosten / jaar werkdagen]]</f>
        <v>0</v>
      </c>
      <c r="AH653" s="92"/>
      <c r="HL653" s="59"/>
    </row>
    <row r="654" spans="1:220">
      <c r="A654" s="24">
        <v>5</v>
      </c>
      <c r="B654" s="24" t="str">
        <f>VLOOKUP(Ruimtestaat[[#This Row],[Code]],Locaties[#All],2,FALSE)</f>
        <v>Marke Zuid</v>
      </c>
      <c r="C654" s="24" t="str">
        <f>VLOOKUP(Ruimtestaat[[#This Row],[Code]],Locaties[#All],4,FALSE)</f>
        <v>Ludgerstraat 1</v>
      </c>
      <c r="D654" s="24" t="str">
        <f>VLOOKUP(Ruimtestaat[[#This Row],[Code]],Locaties[#All],5,FALSE)</f>
        <v>7415 DV</v>
      </c>
      <c r="E654" s="24" t="str">
        <f>VLOOKUP(Ruimtestaat[[#This Row],[Code]],Locaties[#All],6,FALSE)</f>
        <v>Deventer</v>
      </c>
      <c r="F654" s="54"/>
      <c r="G654" s="24" t="s">
        <v>367</v>
      </c>
      <c r="H654" s="24" t="s">
        <v>463</v>
      </c>
      <c r="I654" s="4" t="s">
        <v>1106</v>
      </c>
      <c r="J654" s="24">
        <v>13</v>
      </c>
      <c r="K654" s="54" t="str">
        <f>VLOOKUP(J654,Ruimtegroepen[],2,FALSE)</f>
        <v>HV/Technieklokaal</v>
      </c>
      <c r="L654" s="24" t="s">
        <v>305</v>
      </c>
      <c r="M654" s="24" t="s">
        <v>1107</v>
      </c>
      <c r="N654" s="83">
        <v>241.76</v>
      </c>
      <c r="O654" s="83"/>
      <c r="P654" s="93" t="str">
        <f>LEFT(VLOOKUP(Ruimtestaat[[#This Row],[Ruimte code]],Ruimtegroepen[#All],4,1),2)</f>
        <v>Le</v>
      </c>
      <c r="Q654" s="93"/>
      <c r="R654" s="84">
        <v>40</v>
      </c>
      <c r="S654" s="84" t="s">
        <v>318</v>
      </c>
      <c r="T654" s="85">
        <f>IF(R654&gt;0,IF(RIGHT(Ruimtestaat[[#This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4" s="85">
        <f>IF(T654&gt;0,VLOOKUP($J654,Ruimtegroepen[],3,FALSE)*VLOOKUP($L654,Vloersoorten[],3,FALSE)*VLOOKUP($S654,Frequenties[],3,FALSE)*VLOOKUP($A654,Locaties[],3,FALSE),0)</f>
        <v>0</v>
      </c>
      <c r="V654" s="86">
        <f>Ruimtestaat[[#This Row],[Uitvoeringen werkdagen]]*Ruimtestaat[[#This Row],[Oppervlak (netto)]]</f>
        <v>48352</v>
      </c>
      <c r="W654" s="87">
        <f>IF(U654&gt;0,Ruimtestaat[[#This Row],[Prest. (m2 /jaar) werkdagen]]/Ruimtestaat[[#This Row],[Norm (m2/uur) werkdagen]],0)</f>
        <v>0</v>
      </c>
      <c r="X654" s="88">
        <f>Ruimtestaat[[#This Row],[uren / jaar werkdagen]]*Tariefsopbouw!$E$35</f>
        <v>0</v>
      </c>
      <c r="Y654" s="85"/>
      <c r="Z654" s="89">
        <f>IF(Ruimtestaat[[#This Row],[Frequentie weekend]]&gt;0,VALUE(LEFT(Y654,1))*R654,0)</f>
        <v>0</v>
      </c>
      <c r="AA654" s="85">
        <f>IF($Z654&gt;0,VLOOKUP($J654,Ruimtegroepen[],3,FALSE)*VLOOKUP($L654,Vloersoorten[],3,FALSE)*VLOOKUP($Y654,Frequenties[],3,FALSE)*VLOOKUP(#REF!,Locaties[],3,FALSE),0)</f>
        <v>0</v>
      </c>
      <c r="AB654" s="87">
        <f>Ruimtestaat[[#This Row],[Uitvoeringen weekend]]*Ruimtestaat[[#This Row],[Oppervlak (netto)]]</f>
        <v>0</v>
      </c>
      <c r="AC654" s="90">
        <f>IF(AB654&gt;0,Ruimtestaat[[#This Row],[Prest. (m2 /jaar) weekend]]/Ruimtestaat[[#This Row],[Norm (m2/uur) weekend]],0)</f>
        <v>0</v>
      </c>
      <c r="AD654" s="91">
        <f>Ruimtestaat[[#This Row],[uren / jaar weekend]]*Tariefsopbouw!$D$40</f>
        <v>0</v>
      </c>
      <c r="AE654" s="60">
        <f>Ruimtestaat[[#This Row],[Prest. (m2 /jaar) weekend]]+Ruimtestaat[[#This Row],[Prest. (m2 /jaar) werkdagen]]</f>
        <v>48352</v>
      </c>
      <c r="AF654" s="60">
        <f>Ruimtestaat[[#This Row],[uren / jaar weekend]]+Ruimtestaat[[#This Row],[uren / jaar werkdagen]]</f>
        <v>0</v>
      </c>
      <c r="AG654" s="61">
        <f>Ruimtestaat[[#This Row],[kosten / jaar weekend]]+Ruimtestaat[[#This Row],[kosten / jaar werkdagen]]</f>
        <v>0</v>
      </c>
      <c r="AH654" s="92"/>
      <c r="HL654" s="59"/>
    </row>
    <row r="655" spans="1:220">
      <c r="A655" s="24">
        <v>5</v>
      </c>
      <c r="B655" s="24" t="str">
        <f>VLOOKUP(Ruimtestaat[[#This Row],[Code]],Locaties[#All],2,FALSE)</f>
        <v>Marke Zuid</v>
      </c>
      <c r="C655" s="24" t="str">
        <f>VLOOKUP(Ruimtestaat[[#This Row],[Code]],Locaties[#All],4,FALSE)</f>
        <v>Ludgerstraat 1</v>
      </c>
      <c r="D655" s="24" t="str">
        <f>VLOOKUP(Ruimtestaat[[#This Row],[Code]],Locaties[#All],5,FALSE)</f>
        <v>7415 DV</v>
      </c>
      <c r="E655" s="24" t="str">
        <f>VLOOKUP(Ruimtestaat[[#This Row],[Code]],Locaties[#All],6,FALSE)</f>
        <v>Deventer</v>
      </c>
      <c r="F655" s="54"/>
      <c r="G655" s="24" t="s">
        <v>367</v>
      </c>
      <c r="H655" s="24" t="s">
        <v>465</v>
      </c>
      <c r="I655" s="4" t="s">
        <v>667</v>
      </c>
      <c r="J655" s="24">
        <v>22</v>
      </c>
      <c r="K655" s="54" t="str">
        <f>VLOOKUP(J655,Ruimtegroepen[],2,FALSE)</f>
        <v>Niet in onderhoud</v>
      </c>
      <c r="L655" s="24" t="s">
        <v>305</v>
      </c>
      <c r="M655" s="24" t="s">
        <v>373</v>
      </c>
      <c r="N655" s="83"/>
      <c r="O655" s="83">
        <v>24.55</v>
      </c>
      <c r="P655" s="93" t="str">
        <f>LEFT(VLOOKUP(Ruimtestaat[[#This Row],[Ruimte code]],Ruimtegroepen[#All],4,1),2)</f>
        <v/>
      </c>
      <c r="Q655" s="93"/>
      <c r="R655" s="84"/>
      <c r="S655" s="84"/>
      <c r="T655" s="85">
        <f>IF(R655&gt;0,IF(RIGHT(Ruimtestaat[[#This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55" s="85">
        <f>IF(T655&gt;0,VLOOKUP($J655,Ruimtegroepen[],3,FALSE)*VLOOKUP($L655,Vloersoorten[],3,FALSE)*VLOOKUP($S655,Frequenties[],3,FALSE)*VLOOKUP($A655,Locaties[],3,FALSE),0)</f>
        <v>0</v>
      </c>
      <c r="V655" s="86">
        <f>Ruimtestaat[[#This Row],[Uitvoeringen werkdagen]]*Ruimtestaat[[#This Row],[Oppervlak (netto)]]</f>
        <v>0</v>
      </c>
      <c r="W655" s="87">
        <f>IF(U655&gt;0,Ruimtestaat[[#This Row],[Prest. (m2 /jaar) werkdagen]]/Ruimtestaat[[#This Row],[Norm (m2/uur) werkdagen]],0)</f>
        <v>0</v>
      </c>
      <c r="X655" s="88">
        <f>Ruimtestaat[[#This Row],[uren / jaar werkdagen]]*Tariefsopbouw!$E$35</f>
        <v>0</v>
      </c>
      <c r="Y655" s="85"/>
      <c r="Z655" s="89">
        <f>IF(Ruimtestaat[[#This Row],[Frequentie weekend]]&gt;0,VALUE(LEFT(Y655,1))*R655,0)</f>
        <v>0</v>
      </c>
      <c r="AA655" s="85">
        <f>IF($Z655&gt;0,VLOOKUP($J655,Ruimtegroepen[],3,FALSE)*VLOOKUP($L655,Vloersoorten[],3,FALSE)*VLOOKUP($Y655,Frequenties[],3,FALSE)*VLOOKUP(#REF!,Locaties[],3,FALSE),0)</f>
        <v>0</v>
      </c>
      <c r="AB655" s="87">
        <f>Ruimtestaat[[#This Row],[Uitvoeringen weekend]]*Ruimtestaat[[#This Row],[Oppervlak (netto)]]</f>
        <v>0</v>
      </c>
      <c r="AC655" s="90">
        <f>IF(AB655&gt;0,Ruimtestaat[[#This Row],[Prest. (m2 /jaar) weekend]]/Ruimtestaat[[#This Row],[Norm (m2/uur) weekend]],0)</f>
        <v>0</v>
      </c>
      <c r="AD655" s="91">
        <f>Ruimtestaat[[#This Row],[uren / jaar weekend]]*Tariefsopbouw!$D$40</f>
        <v>0</v>
      </c>
      <c r="AE655" s="60">
        <f>Ruimtestaat[[#This Row],[Prest. (m2 /jaar) weekend]]+Ruimtestaat[[#This Row],[Prest. (m2 /jaar) werkdagen]]</f>
        <v>0</v>
      </c>
      <c r="AF655" s="60">
        <f>Ruimtestaat[[#This Row],[uren / jaar weekend]]+Ruimtestaat[[#This Row],[uren / jaar werkdagen]]</f>
        <v>0</v>
      </c>
      <c r="AG655" s="61">
        <f>Ruimtestaat[[#This Row],[kosten / jaar weekend]]+Ruimtestaat[[#This Row],[kosten / jaar werkdagen]]</f>
        <v>0</v>
      </c>
      <c r="AH655" s="92"/>
      <c r="HL655" s="59"/>
    </row>
    <row r="656" spans="1:220">
      <c r="A656" s="24">
        <v>5</v>
      </c>
      <c r="B656" s="24" t="str">
        <f>VLOOKUP(Ruimtestaat[[#This Row],[Code]],Locaties[#All],2,FALSE)</f>
        <v>Marke Zuid</v>
      </c>
      <c r="C656" s="24" t="str">
        <f>VLOOKUP(Ruimtestaat[[#This Row],[Code]],Locaties[#All],4,FALSE)</f>
        <v>Ludgerstraat 1</v>
      </c>
      <c r="D656" s="24" t="str">
        <f>VLOOKUP(Ruimtestaat[[#This Row],[Code]],Locaties[#All],5,FALSE)</f>
        <v>7415 DV</v>
      </c>
      <c r="E656" s="24" t="str">
        <f>VLOOKUP(Ruimtestaat[[#This Row],[Code]],Locaties[#All],6,FALSE)</f>
        <v>Deventer</v>
      </c>
      <c r="F656" s="54"/>
      <c r="G656" s="24" t="s">
        <v>367</v>
      </c>
      <c r="H656" s="24" t="s">
        <v>467</v>
      </c>
      <c r="I656" s="4" t="s">
        <v>667</v>
      </c>
      <c r="J656" s="24">
        <v>22</v>
      </c>
      <c r="K656" s="54" t="str">
        <f>VLOOKUP(J656,Ruimtegroepen[],2,FALSE)</f>
        <v>Niet in onderhoud</v>
      </c>
      <c r="L656" s="24" t="s">
        <v>305</v>
      </c>
      <c r="M656" s="24" t="s">
        <v>373</v>
      </c>
      <c r="N656" s="83"/>
      <c r="O656" s="83">
        <v>28.56</v>
      </c>
      <c r="P656" s="93" t="str">
        <f>LEFT(VLOOKUP(Ruimtestaat[[#This Row],[Ruimte code]],Ruimtegroepen[#All],4,1),2)</f>
        <v/>
      </c>
      <c r="Q656" s="93"/>
      <c r="R656" s="84"/>
      <c r="S656" s="84"/>
      <c r="T656" s="85">
        <f>IF(R656&gt;0,IF(RIGHT(Ruimtestaat[[#This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56" s="85">
        <f>IF(T656&gt;0,VLOOKUP($J656,Ruimtegroepen[],3,FALSE)*VLOOKUP($L656,Vloersoorten[],3,FALSE)*VLOOKUP($S656,Frequenties[],3,FALSE)*VLOOKUP($A656,Locaties[],3,FALSE),0)</f>
        <v>0</v>
      </c>
      <c r="V656" s="86">
        <f>Ruimtestaat[[#This Row],[Uitvoeringen werkdagen]]*Ruimtestaat[[#This Row],[Oppervlak (netto)]]</f>
        <v>0</v>
      </c>
      <c r="W656" s="87">
        <f>IF(U656&gt;0,Ruimtestaat[[#This Row],[Prest. (m2 /jaar) werkdagen]]/Ruimtestaat[[#This Row],[Norm (m2/uur) werkdagen]],0)</f>
        <v>0</v>
      </c>
      <c r="X656" s="88">
        <f>Ruimtestaat[[#This Row],[uren / jaar werkdagen]]*Tariefsopbouw!$E$35</f>
        <v>0</v>
      </c>
      <c r="Y656" s="85"/>
      <c r="Z656" s="89">
        <f>IF(Ruimtestaat[[#This Row],[Frequentie weekend]]&gt;0,VALUE(LEFT(Y656,1))*R656,0)</f>
        <v>0</v>
      </c>
      <c r="AA656" s="85">
        <f>IF($Z656&gt;0,VLOOKUP($J656,Ruimtegroepen[],3,FALSE)*VLOOKUP($L656,Vloersoorten[],3,FALSE)*VLOOKUP($Y656,Frequenties[],3,FALSE)*VLOOKUP(#REF!,Locaties[],3,FALSE),0)</f>
        <v>0</v>
      </c>
      <c r="AB656" s="87">
        <f>Ruimtestaat[[#This Row],[Uitvoeringen weekend]]*Ruimtestaat[[#This Row],[Oppervlak (netto)]]</f>
        <v>0</v>
      </c>
      <c r="AC656" s="90">
        <f>IF(AB656&gt;0,Ruimtestaat[[#This Row],[Prest. (m2 /jaar) weekend]]/Ruimtestaat[[#This Row],[Norm (m2/uur) weekend]],0)</f>
        <v>0</v>
      </c>
      <c r="AD656" s="91">
        <f>Ruimtestaat[[#This Row],[uren / jaar weekend]]*Tariefsopbouw!$D$40</f>
        <v>0</v>
      </c>
      <c r="AE656" s="60">
        <f>Ruimtestaat[[#This Row],[Prest. (m2 /jaar) weekend]]+Ruimtestaat[[#This Row],[Prest. (m2 /jaar) werkdagen]]</f>
        <v>0</v>
      </c>
      <c r="AF656" s="60">
        <f>Ruimtestaat[[#This Row],[uren / jaar weekend]]+Ruimtestaat[[#This Row],[uren / jaar werkdagen]]</f>
        <v>0</v>
      </c>
      <c r="AG656" s="61">
        <f>Ruimtestaat[[#This Row],[kosten / jaar weekend]]+Ruimtestaat[[#This Row],[kosten / jaar werkdagen]]</f>
        <v>0</v>
      </c>
      <c r="AH656" s="92"/>
      <c r="HL656" s="59"/>
    </row>
    <row r="657" spans="1:220">
      <c r="A657" s="24">
        <v>5</v>
      </c>
      <c r="B657" s="24" t="str">
        <f>VLOOKUP(Ruimtestaat[[#This Row],[Code]],Locaties[#All],2,FALSE)</f>
        <v>Marke Zuid</v>
      </c>
      <c r="C657" s="24" t="str">
        <f>VLOOKUP(Ruimtestaat[[#This Row],[Code]],Locaties[#All],4,FALSE)</f>
        <v>Ludgerstraat 1</v>
      </c>
      <c r="D657" s="24" t="str">
        <f>VLOOKUP(Ruimtestaat[[#This Row],[Code]],Locaties[#All],5,FALSE)</f>
        <v>7415 DV</v>
      </c>
      <c r="E657" s="24" t="str">
        <f>VLOOKUP(Ruimtestaat[[#This Row],[Code]],Locaties[#All],6,FALSE)</f>
        <v>Deventer</v>
      </c>
      <c r="F657" s="54"/>
      <c r="G657" s="24" t="s">
        <v>367</v>
      </c>
      <c r="H657" s="24" t="s">
        <v>1108</v>
      </c>
      <c r="I657" s="4" t="s">
        <v>541</v>
      </c>
      <c r="J657" s="24">
        <v>2</v>
      </c>
      <c r="K657" s="54" t="str">
        <f>VLOOKUP(J657,Ruimtegroepen[],2,FALSE)</f>
        <v>Kantoren</v>
      </c>
      <c r="L657" s="24" t="s">
        <v>300</v>
      </c>
      <c r="M657" s="24" t="s">
        <v>997</v>
      </c>
      <c r="N657" s="83">
        <v>38.56</v>
      </c>
      <c r="O657" s="83"/>
      <c r="P657" s="93" t="str">
        <f>LEFT(VLOOKUP(Ruimtestaat[[#This Row],[Ruimte code]],Ruimtegroepen[#All],4,1),2)</f>
        <v>Bu</v>
      </c>
      <c r="Q657" s="93"/>
      <c r="R657" s="84">
        <v>42</v>
      </c>
      <c r="S657" s="84" t="s">
        <v>322</v>
      </c>
      <c r="T657" s="85">
        <f>IF(R657&gt;0,IF(RIGHT(Ruimtestaat[[#This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57" s="85">
        <f>IF(T657&gt;0,VLOOKUP($J657,Ruimtegroepen[],3,FALSE)*VLOOKUP($L657,Vloersoorten[],3,FALSE)*VLOOKUP($S657,Frequenties[],3,FALSE)*VLOOKUP($A657,Locaties[],3,FALSE),0)</f>
        <v>0</v>
      </c>
      <c r="V657" s="86">
        <f>Ruimtestaat[[#This Row],[Uitvoeringen werkdagen]]*Ruimtestaat[[#This Row],[Oppervlak (netto)]]</f>
        <v>4858.5600000000004</v>
      </c>
      <c r="W657" s="87">
        <f>IF(U657&gt;0,Ruimtestaat[[#This Row],[Prest. (m2 /jaar) werkdagen]]/Ruimtestaat[[#This Row],[Norm (m2/uur) werkdagen]],0)</f>
        <v>0</v>
      </c>
      <c r="X657" s="88">
        <f>Ruimtestaat[[#This Row],[uren / jaar werkdagen]]*Tariefsopbouw!$E$35</f>
        <v>0</v>
      </c>
      <c r="Y657" s="85"/>
      <c r="Z657" s="89">
        <f>IF(Ruimtestaat[[#This Row],[Frequentie weekend]]&gt;0,VALUE(LEFT(Y657,1))*R657,0)</f>
        <v>0</v>
      </c>
      <c r="AA657" s="85">
        <f>IF($Z657&gt;0,VLOOKUP($J657,Ruimtegroepen[],3,FALSE)*VLOOKUP($L657,Vloersoorten[],3,FALSE)*VLOOKUP($Y657,Frequenties[],3,FALSE)*VLOOKUP(#REF!,Locaties[],3,FALSE),0)</f>
        <v>0</v>
      </c>
      <c r="AB657" s="87">
        <f>Ruimtestaat[[#This Row],[Uitvoeringen weekend]]*Ruimtestaat[[#This Row],[Oppervlak (netto)]]</f>
        <v>0</v>
      </c>
      <c r="AC657" s="90">
        <f>IF(AB657&gt;0,Ruimtestaat[[#This Row],[Prest. (m2 /jaar) weekend]]/Ruimtestaat[[#This Row],[Norm (m2/uur) weekend]],0)</f>
        <v>0</v>
      </c>
      <c r="AD657" s="91">
        <f>Ruimtestaat[[#This Row],[uren / jaar weekend]]*Tariefsopbouw!$D$40</f>
        <v>0</v>
      </c>
      <c r="AE657" s="60">
        <f>Ruimtestaat[[#This Row],[Prest. (m2 /jaar) weekend]]+Ruimtestaat[[#This Row],[Prest. (m2 /jaar) werkdagen]]</f>
        <v>4858.5600000000004</v>
      </c>
      <c r="AF657" s="60">
        <f>Ruimtestaat[[#This Row],[uren / jaar weekend]]+Ruimtestaat[[#This Row],[uren / jaar werkdagen]]</f>
        <v>0</v>
      </c>
      <c r="AG657" s="61">
        <f>Ruimtestaat[[#This Row],[kosten / jaar weekend]]+Ruimtestaat[[#This Row],[kosten / jaar werkdagen]]</f>
        <v>0</v>
      </c>
      <c r="AH657" s="92"/>
      <c r="HL657" s="59"/>
    </row>
    <row r="658" spans="1:220">
      <c r="A658" s="24">
        <v>5</v>
      </c>
      <c r="B658" s="24" t="str">
        <f>VLOOKUP(Ruimtestaat[[#This Row],[Code]],Locaties[#All],2,FALSE)</f>
        <v>Marke Zuid</v>
      </c>
      <c r="C658" s="24" t="str">
        <f>VLOOKUP(Ruimtestaat[[#This Row],[Code]],Locaties[#All],4,FALSE)</f>
        <v>Ludgerstraat 1</v>
      </c>
      <c r="D658" s="24" t="str">
        <f>VLOOKUP(Ruimtestaat[[#This Row],[Code]],Locaties[#All],5,FALSE)</f>
        <v>7415 DV</v>
      </c>
      <c r="E658" s="24" t="str">
        <f>VLOOKUP(Ruimtestaat[[#This Row],[Code]],Locaties[#All],6,FALSE)</f>
        <v>Deventer</v>
      </c>
      <c r="F658" s="54"/>
      <c r="G658" s="24" t="s">
        <v>367</v>
      </c>
      <c r="H658" s="24" t="s">
        <v>1109</v>
      </c>
      <c r="I658" s="4" t="s">
        <v>1110</v>
      </c>
      <c r="J658" s="24">
        <v>22</v>
      </c>
      <c r="K658" s="54" t="str">
        <f>VLOOKUP(J658,Ruimtegroepen[],2,FALSE)</f>
        <v>Niet in onderhoud</v>
      </c>
      <c r="L658" s="24" t="s">
        <v>305</v>
      </c>
      <c r="M658" s="24" t="s">
        <v>376</v>
      </c>
      <c r="N658" s="83"/>
      <c r="O658" s="83">
        <v>8.32</v>
      </c>
      <c r="P658" s="93" t="str">
        <f>LEFT(VLOOKUP(Ruimtestaat[[#This Row],[Ruimte code]],Ruimtegroepen[#All],4,1),2)</f>
        <v/>
      </c>
      <c r="Q658" s="93"/>
      <c r="R658" s="84"/>
      <c r="S658" s="84"/>
      <c r="T658" s="85">
        <f>IF(R658&gt;0,IF(RIGHT(Ruimtestaat[[#This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58" s="85">
        <f>IF(T658&gt;0,VLOOKUP($J658,Ruimtegroepen[],3,FALSE)*VLOOKUP($L658,Vloersoorten[],3,FALSE)*VLOOKUP($S658,Frequenties[],3,FALSE)*VLOOKUP($A658,Locaties[],3,FALSE),0)</f>
        <v>0</v>
      </c>
      <c r="V658" s="86">
        <f>Ruimtestaat[[#This Row],[Uitvoeringen werkdagen]]*Ruimtestaat[[#This Row],[Oppervlak (netto)]]</f>
        <v>0</v>
      </c>
      <c r="W658" s="87">
        <f>IF(U658&gt;0,Ruimtestaat[[#This Row],[Prest. (m2 /jaar) werkdagen]]/Ruimtestaat[[#This Row],[Norm (m2/uur) werkdagen]],0)</f>
        <v>0</v>
      </c>
      <c r="X658" s="88">
        <f>Ruimtestaat[[#This Row],[uren / jaar werkdagen]]*Tariefsopbouw!$E$35</f>
        <v>0</v>
      </c>
      <c r="Y658" s="85"/>
      <c r="Z658" s="89">
        <f>IF(Ruimtestaat[[#This Row],[Frequentie weekend]]&gt;0,VALUE(LEFT(Y658,1))*R658,0)</f>
        <v>0</v>
      </c>
      <c r="AA658" s="85">
        <f>IF($Z658&gt;0,VLOOKUP($J658,Ruimtegroepen[],3,FALSE)*VLOOKUP($L658,Vloersoorten[],3,FALSE)*VLOOKUP($Y658,Frequenties[],3,FALSE)*VLOOKUP(#REF!,Locaties[],3,FALSE),0)</f>
        <v>0</v>
      </c>
      <c r="AB658" s="87">
        <f>Ruimtestaat[[#This Row],[Uitvoeringen weekend]]*Ruimtestaat[[#This Row],[Oppervlak (netto)]]</f>
        <v>0</v>
      </c>
      <c r="AC658" s="90">
        <f>IF(AB658&gt;0,Ruimtestaat[[#This Row],[Prest. (m2 /jaar) weekend]]/Ruimtestaat[[#This Row],[Norm (m2/uur) weekend]],0)</f>
        <v>0</v>
      </c>
      <c r="AD658" s="91">
        <f>Ruimtestaat[[#This Row],[uren / jaar weekend]]*Tariefsopbouw!$D$40</f>
        <v>0</v>
      </c>
      <c r="AE658" s="60">
        <f>Ruimtestaat[[#This Row],[Prest. (m2 /jaar) weekend]]+Ruimtestaat[[#This Row],[Prest. (m2 /jaar) werkdagen]]</f>
        <v>0</v>
      </c>
      <c r="AF658" s="60">
        <f>Ruimtestaat[[#This Row],[uren / jaar weekend]]+Ruimtestaat[[#This Row],[uren / jaar werkdagen]]</f>
        <v>0</v>
      </c>
      <c r="AG658" s="61">
        <f>Ruimtestaat[[#This Row],[kosten / jaar weekend]]+Ruimtestaat[[#This Row],[kosten / jaar werkdagen]]</f>
        <v>0</v>
      </c>
      <c r="AH658" s="92"/>
      <c r="HL658" s="59"/>
    </row>
    <row r="659" spans="1:220">
      <c r="A659" s="24">
        <v>5</v>
      </c>
      <c r="B659" s="24" t="str">
        <f>VLOOKUP(Ruimtestaat[[#This Row],[Code]],Locaties[#All],2,FALSE)</f>
        <v>Marke Zuid</v>
      </c>
      <c r="C659" s="24" t="str">
        <f>VLOOKUP(Ruimtestaat[[#This Row],[Code]],Locaties[#All],4,FALSE)</f>
        <v>Ludgerstraat 1</v>
      </c>
      <c r="D659" s="24" t="str">
        <f>VLOOKUP(Ruimtestaat[[#This Row],[Code]],Locaties[#All],5,FALSE)</f>
        <v>7415 DV</v>
      </c>
      <c r="E659" s="24" t="str">
        <f>VLOOKUP(Ruimtestaat[[#This Row],[Code]],Locaties[#All],6,FALSE)</f>
        <v>Deventer</v>
      </c>
      <c r="F659" s="54"/>
      <c r="G659" s="24" t="s">
        <v>367</v>
      </c>
      <c r="H659" s="24" t="s">
        <v>1111</v>
      </c>
      <c r="I659" s="4" t="s">
        <v>589</v>
      </c>
      <c r="J659" s="24">
        <v>22</v>
      </c>
      <c r="K659" s="54" t="str">
        <f>VLOOKUP(J659,Ruimtegroepen[],2,FALSE)</f>
        <v>Niet in onderhoud</v>
      </c>
      <c r="L659" s="24" t="s">
        <v>308</v>
      </c>
      <c r="M659" s="24" t="s">
        <v>590</v>
      </c>
      <c r="N659" s="83"/>
      <c r="O659" s="83">
        <v>64.02</v>
      </c>
      <c r="P659" s="93" t="str">
        <f>LEFT(VLOOKUP(Ruimtestaat[[#This Row],[Ruimte code]],Ruimtegroepen[#All],4,1),2)</f>
        <v/>
      </c>
      <c r="Q659" s="93"/>
      <c r="R659" s="84"/>
      <c r="S659" s="84"/>
      <c r="T659" s="85">
        <f>IF(R659&gt;0,IF(RIGHT(Ruimtestaat[[#This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59" s="85">
        <f>IF(T659&gt;0,VLOOKUP($J659,Ruimtegroepen[],3,FALSE)*VLOOKUP($L659,Vloersoorten[],3,FALSE)*VLOOKUP($S659,Frequenties[],3,FALSE)*VLOOKUP($A659,Locaties[],3,FALSE),0)</f>
        <v>0</v>
      </c>
      <c r="V659" s="86">
        <f>Ruimtestaat[[#This Row],[Uitvoeringen werkdagen]]*Ruimtestaat[[#This Row],[Oppervlak (netto)]]</f>
        <v>0</v>
      </c>
      <c r="W659" s="87">
        <f>IF(U659&gt;0,Ruimtestaat[[#This Row],[Prest. (m2 /jaar) werkdagen]]/Ruimtestaat[[#This Row],[Norm (m2/uur) werkdagen]],0)</f>
        <v>0</v>
      </c>
      <c r="X659" s="88">
        <f>Ruimtestaat[[#This Row],[uren / jaar werkdagen]]*Tariefsopbouw!$E$35</f>
        <v>0</v>
      </c>
      <c r="Y659" s="85"/>
      <c r="Z659" s="89">
        <f>IF(Ruimtestaat[[#This Row],[Frequentie weekend]]&gt;0,VALUE(LEFT(Y659,1))*R659,0)</f>
        <v>0</v>
      </c>
      <c r="AA659" s="85">
        <f>IF($Z659&gt;0,VLOOKUP($J659,Ruimtegroepen[],3,FALSE)*VLOOKUP($L659,Vloersoorten[],3,FALSE)*VLOOKUP($Y659,Frequenties[],3,FALSE)*VLOOKUP(#REF!,Locaties[],3,FALSE),0)</f>
        <v>0</v>
      </c>
      <c r="AB659" s="87">
        <f>Ruimtestaat[[#This Row],[Uitvoeringen weekend]]*Ruimtestaat[[#This Row],[Oppervlak (netto)]]</f>
        <v>0</v>
      </c>
      <c r="AC659" s="90">
        <f>IF(AB659&gt;0,Ruimtestaat[[#This Row],[Prest. (m2 /jaar) weekend]]/Ruimtestaat[[#This Row],[Norm (m2/uur) weekend]],0)</f>
        <v>0</v>
      </c>
      <c r="AD659" s="91">
        <f>Ruimtestaat[[#This Row],[uren / jaar weekend]]*Tariefsopbouw!$D$40</f>
        <v>0</v>
      </c>
      <c r="AE659" s="60">
        <f>Ruimtestaat[[#This Row],[Prest. (m2 /jaar) weekend]]+Ruimtestaat[[#This Row],[Prest. (m2 /jaar) werkdagen]]</f>
        <v>0</v>
      </c>
      <c r="AF659" s="60">
        <f>Ruimtestaat[[#This Row],[uren / jaar weekend]]+Ruimtestaat[[#This Row],[uren / jaar werkdagen]]</f>
        <v>0</v>
      </c>
      <c r="AG659" s="61">
        <f>Ruimtestaat[[#This Row],[kosten / jaar weekend]]+Ruimtestaat[[#This Row],[kosten / jaar werkdagen]]</f>
        <v>0</v>
      </c>
      <c r="AH659" s="92"/>
      <c r="HL659" s="59"/>
    </row>
    <row r="660" spans="1:220">
      <c r="A660" s="24">
        <v>5</v>
      </c>
      <c r="B660" s="24" t="str">
        <f>VLOOKUP(Ruimtestaat[[#This Row],[Code]],Locaties[#All],2,FALSE)</f>
        <v>Marke Zuid</v>
      </c>
      <c r="C660" s="24" t="str">
        <f>VLOOKUP(Ruimtestaat[[#This Row],[Code]],Locaties[#All],4,FALSE)</f>
        <v>Ludgerstraat 1</v>
      </c>
      <c r="D660" s="24" t="str">
        <f>VLOOKUP(Ruimtestaat[[#This Row],[Code]],Locaties[#All],5,FALSE)</f>
        <v>7415 DV</v>
      </c>
      <c r="E660" s="24" t="str">
        <f>VLOOKUP(Ruimtestaat[[#This Row],[Code]],Locaties[#All],6,FALSE)</f>
        <v>Deventer</v>
      </c>
      <c r="F660" s="54"/>
      <c r="G660" s="24" t="s">
        <v>367</v>
      </c>
      <c r="H660" s="24" t="s">
        <v>1112</v>
      </c>
      <c r="I660" s="4" t="s">
        <v>1113</v>
      </c>
      <c r="J660" s="24">
        <v>13</v>
      </c>
      <c r="K660" s="54" t="str">
        <f>VLOOKUP(J660,Ruimtegroepen[],2,FALSE)</f>
        <v>HV/Technieklokaal</v>
      </c>
      <c r="L660" s="24" t="s">
        <v>305</v>
      </c>
      <c r="M660" s="24" t="s">
        <v>373</v>
      </c>
      <c r="N660" s="83">
        <v>30.93</v>
      </c>
      <c r="O660" s="83"/>
      <c r="P660" s="93" t="str">
        <f>LEFT(VLOOKUP(Ruimtestaat[[#This Row],[Ruimte code]],Ruimtegroepen[#All],4,1),2)</f>
        <v>Le</v>
      </c>
      <c r="Q660" s="93"/>
      <c r="R660" s="84">
        <v>40</v>
      </c>
      <c r="S660" s="84" t="s">
        <v>318</v>
      </c>
      <c r="T660" s="85">
        <f>IF(R660&gt;0,IF(RIGHT(Ruimtestaat[[#This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0" s="85">
        <f>IF(T660&gt;0,VLOOKUP($J660,Ruimtegroepen[],3,FALSE)*VLOOKUP($L660,Vloersoorten[],3,FALSE)*VLOOKUP($S660,Frequenties[],3,FALSE)*VLOOKUP($A660,Locaties[],3,FALSE),0)</f>
        <v>0</v>
      </c>
      <c r="V660" s="86">
        <f>Ruimtestaat[[#This Row],[Uitvoeringen werkdagen]]*Ruimtestaat[[#This Row],[Oppervlak (netto)]]</f>
        <v>6186</v>
      </c>
      <c r="W660" s="87">
        <f>IF(U660&gt;0,Ruimtestaat[[#This Row],[Prest. (m2 /jaar) werkdagen]]/Ruimtestaat[[#This Row],[Norm (m2/uur) werkdagen]],0)</f>
        <v>0</v>
      </c>
      <c r="X660" s="88">
        <f>Ruimtestaat[[#This Row],[uren / jaar werkdagen]]*Tariefsopbouw!$E$35</f>
        <v>0</v>
      </c>
      <c r="Y660" s="85"/>
      <c r="Z660" s="89">
        <f>IF(Ruimtestaat[[#This Row],[Frequentie weekend]]&gt;0,VALUE(LEFT(Y660,1))*R660,0)</f>
        <v>0</v>
      </c>
      <c r="AA660" s="85">
        <f>IF($Z660&gt;0,VLOOKUP($J660,Ruimtegroepen[],3,FALSE)*VLOOKUP($L660,Vloersoorten[],3,FALSE)*VLOOKUP($Y660,Frequenties[],3,FALSE)*VLOOKUP(#REF!,Locaties[],3,FALSE),0)</f>
        <v>0</v>
      </c>
      <c r="AB660" s="87">
        <f>Ruimtestaat[[#This Row],[Uitvoeringen weekend]]*Ruimtestaat[[#This Row],[Oppervlak (netto)]]</f>
        <v>0</v>
      </c>
      <c r="AC660" s="90">
        <f>IF(AB660&gt;0,Ruimtestaat[[#This Row],[Prest. (m2 /jaar) weekend]]/Ruimtestaat[[#This Row],[Norm (m2/uur) weekend]],0)</f>
        <v>0</v>
      </c>
      <c r="AD660" s="91">
        <f>Ruimtestaat[[#This Row],[uren / jaar weekend]]*Tariefsopbouw!$D$40</f>
        <v>0</v>
      </c>
      <c r="AE660" s="60">
        <f>Ruimtestaat[[#This Row],[Prest. (m2 /jaar) weekend]]+Ruimtestaat[[#This Row],[Prest. (m2 /jaar) werkdagen]]</f>
        <v>6186</v>
      </c>
      <c r="AF660" s="60">
        <f>Ruimtestaat[[#This Row],[uren / jaar weekend]]+Ruimtestaat[[#This Row],[uren / jaar werkdagen]]</f>
        <v>0</v>
      </c>
      <c r="AG660" s="61">
        <f>Ruimtestaat[[#This Row],[kosten / jaar weekend]]+Ruimtestaat[[#This Row],[kosten / jaar werkdagen]]</f>
        <v>0</v>
      </c>
      <c r="AH660" s="92"/>
      <c r="HL660" s="59"/>
    </row>
    <row r="661" spans="1:220">
      <c r="A661" s="24">
        <v>5</v>
      </c>
      <c r="B661" s="24" t="str">
        <f>VLOOKUP(Ruimtestaat[[#This Row],[Code]],Locaties[#All],2,FALSE)</f>
        <v>Marke Zuid</v>
      </c>
      <c r="C661" s="24" t="str">
        <f>VLOOKUP(Ruimtestaat[[#This Row],[Code]],Locaties[#All],4,FALSE)</f>
        <v>Ludgerstraat 1</v>
      </c>
      <c r="D661" s="24" t="str">
        <f>VLOOKUP(Ruimtestaat[[#This Row],[Code]],Locaties[#All],5,FALSE)</f>
        <v>7415 DV</v>
      </c>
      <c r="E661" s="24" t="str">
        <f>VLOOKUP(Ruimtestaat[[#This Row],[Code]],Locaties[#All],6,FALSE)</f>
        <v>Deventer</v>
      </c>
      <c r="F661" s="54"/>
      <c r="G661" s="24" t="s">
        <v>367</v>
      </c>
      <c r="H661" s="24" t="s">
        <v>1114</v>
      </c>
      <c r="I661" s="4" t="s">
        <v>1115</v>
      </c>
      <c r="J661" s="24">
        <v>16</v>
      </c>
      <c r="K661" s="54" t="str">
        <f>VLOOKUP(J661,Ruimtegroepen[],2,FALSE)</f>
        <v>Leslokalen theorie</v>
      </c>
      <c r="L661" s="24" t="s">
        <v>300</v>
      </c>
      <c r="M661" s="24" t="s">
        <v>997</v>
      </c>
      <c r="N661" s="83">
        <v>19.23</v>
      </c>
      <c r="O661" s="83"/>
      <c r="P661" s="93" t="str">
        <f>LEFT(VLOOKUP(Ruimtestaat[[#This Row],[Ruimte code]],Ruimtegroepen[#All],4,1),2)</f>
        <v>Le</v>
      </c>
      <c r="Q661" s="93"/>
      <c r="R661" s="84">
        <v>40</v>
      </c>
      <c r="S661" s="84" t="s">
        <v>318</v>
      </c>
      <c r="T661" s="85">
        <f>IF(R661&gt;0,IF(RIGHT(Ruimtestaat[[#This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1" s="85">
        <f>IF(T661&gt;0,VLOOKUP($J661,Ruimtegroepen[],3,FALSE)*VLOOKUP($L661,Vloersoorten[],3,FALSE)*VLOOKUP($S661,Frequenties[],3,FALSE)*VLOOKUP($A661,Locaties[],3,FALSE),0)</f>
        <v>0</v>
      </c>
      <c r="V661" s="86">
        <f>Ruimtestaat[[#This Row],[Uitvoeringen werkdagen]]*Ruimtestaat[[#This Row],[Oppervlak (netto)]]</f>
        <v>3846</v>
      </c>
      <c r="W661" s="87">
        <f>IF(U661&gt;0,Ruimtestaat[[#This Row],[Prest. (m2 /jaar) werkdagen]]/Ruimtestaat[[#This Row],[Norm (m2/uur) werkdagen]],0)</f>
        <v>0</v>
      </c>
      <c r="X661" s="88">
        <f>Ruimtestaat[[#This Row],[uren / jaar werkdagen]]*Tariefsopbouw!$E$35</f>
        <v>0</v>
      </c>
      <c r="Y661" s="85"/>
      <c r="Z661" s="89">
        <f>IF(Ruimtestaat[[#This Row],[Frequentie weekend]]&gt;0,VALUE(LEFT(Y661,1))*R661,0)</f>
        <v>0</v>
      </c>
      <c r="AA661" s="85">
        <f>IF($Z661&gt;0,VLOOKUP($J661,Ruimtegroepen[],3,FALSE)*VLOOKUP($L661,Vloersoorten[],3,FALSE)*VLOOKUP($Y661,Frequenties[],3,FALSE)*VLOOKUP(#REF!,Locaties[],3,FALSE),0)</f>
        <v>0</v>
      </c>
      <c r="AB661" s="87">
        <f>Ruimtestaat[[#This Row],[Uitvoeringen weekend]]*Ruimtestaat[[#This Row],[Oppervlak (netto)]]</f>
        <v>0</v>
      </c>
      <c r="AC661" s="90">
        <f>IF(AB661&gt;0,Ruimtestaat[[#This Row],[Prest. (m2 /jaar) weekend]]/Ruimtestaat[[#This Row],[Norm (m2/uur) weekend]],0)</f>
        <v>0</v>
      </c>
      <c r="AD661" s="91">
        <f>Ruimtestaat[[#This Row],[uren / jaar weekend]]*Tariefsopbouw!$D$40</f>
        <v>0</v>
      </c>
      <c r="AE661" s="60">
        <f>Ruimtestaat[[#This Row],[Prest. (m2 /jaar) weekend]]+Ruimtestaat[[#This Row],[Prest. (m2 /jaar) werkdagen]]</f>
        <v>3846</v>
      </c>
      <c r="AF661" s="60">
        <f>Ruimtestaat[[#This Row],[uren / jaar weekend]]+Ruimtestaat[[#This Row],[uren / jaar werkdagen]]</f>
        <v>0</v>
      </c>
      <c r="AG661" s="61">
        <f>Ruimtestaat[[#This Row],[kosten / jaar weekend]]+Ruimtestaat[[#This Row],[kosten / jaar werkdagen]]</f>
        <v>0</v>
      </c>
      <c r="AH661" s="92"/>
      <c r="HL661" s="59"/>
    </row>
    <row r="662" spans="1:220">
      <c r="A662" s="24">
        <v>5</v>
      </c>
      <c r="B662" s="24" t="str">
        <f>VLOOKUP(Ruimtestaat[[#This Row],[Code]],Locaties[#All],2,FALSE)</f>
        <v>Marke Zuid</v>
      </c>
      <c r="C662" s="24" t="str">
        <f>VLOOKUP(Ruimtestaat[[#This Row],[Code]],Locaties[#All],4,FALSE)</f>
        <v>Ludgerstraat 1</v>
      </c>
      <c r="D662" s="24" t="str">
        <f>VLOOKUP(Ruimtestaat[[#This Row],[Code]],Locaties[#All],5,FALSE)</f>
        <v>7415 DV</v>
      </c>
      <c r="E662" s="24" t="str">
        <f>VLOOKUP(Ruimtestaat[[#This Row],[Code]],Locaties[#All],6,FALSE)</f>
        <v>Deventer</v>
      </c>
      <c r="F662" s="54"/>
      <c r="G662" s="24" t="s">
        <v>367</v>
      </c>
      <c r="H662" s="24" t="s">
        <v>1116</v>
      </c>
      <c r="I662" s="4" t="s">
        <v>1117</v>
      </c>
      <c r="J662" s="24">
        <v>22</v>
      </c>
      <c r="K662" s="54" t="str">
        <f>VLOOKUP(J662,Ruimtegroepen[],2,FALSE)</f>
        <v>Niet in onderhoud</v>
      </c>
      <c r="L662" s="24" t="s">
        <v>305</v>
      </c>
      <c r="M662" s="24" t="s">
        <v>373</v>
      </c>
      <c r="N662" s="83"/>
      <c r="O662" s="83">
        <v>11.28</v>
      </c>
      <c r="P662" s="93" t="str">
        <f>LEFT(VLOOKUP(Ruimtestaat[[#This Row],[Ruimte code]],Ruimtegroepen[#All],4,1),2)</f>
        <v/>
      </c>
      <c r="Q662" s="93"/>
      <c r="R662" s="84"/>
      <c r="S662" s="84"/>
      <c r="T662" s="85">
        <f>IF(R662&gt;0,IF(RIGHT(Ruimtestaat[[#This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2" s="85">
        <f>IF(T662&gt;0,VLOOKUP($J662,Ruimtegroepen[],3,FALSE)*VLOOKUP($L662,Vloersoorten[],3,FALSE)*VLOOKUP($S662,Frequenties[],3,FALSE)*VLOOKUP($A662,Locaties[],3,FALSE),0)</f>
        <v>0</v>
      </c>
      <c r="V662" s="86">
        <f>Ruimtestaat[[#This Row],[Uitvoeringen werkdagen]]*Ruimtestaat[[#This Row],[Oppervlak (netto)]]</f>
        <v>0</v>
      </c>
      <c r="W662" s="87">
        <f>IF(U662&gt;0,Ruimtestaat[[#This Row],[Prest. (m2 /jaar) werkdagen]]/Ruimtestaat[[#This Row],[Norm (m2/uur) werkdagen]],0)</f>
        <v>0</v>
      </c>
      <c r="X662" s="88">
        <f>Ruimtestaat[[#This Row],[uren / jaar werkdagen]]*Tariefsopbouw!$E$35</f>
        <v>0</v>
      </c>
      <c r="Y662" s="85"/>
      <c r="Z662" s="89">
        <f>IF(Ruimtestaat[[#This Row],[Frequentie weekend]]&gt;0,VALUE(LEFT(Y662,1))*R662,0)</f>
        <v>0</v>
      </c>
      <c r="AA662" s="85">
        <f>IF($Z662&gt;0,VLOOKUP($J662,Ruimtegroepen[],3,FALSE)*VLOOKUP($L662,Vloersoorten[],3,FALSE)*VLOOKUP($Y662,Frequenties[],3,FALSE)*VLOOKUP(#REF!,Locaties[],3,FALSE),0)</f>
        <v>0</v>
      </c>
      <c r="AB662" s="87">
        <f>Ruimtestaat[[#This Row],[Uitvoeringen weekend]]*Ruimtestaat[[#This Row],[Oppervlak (netto)]]</f>
        <v>0</v>
      </c>
      <c r="AC662" s="90">
        <f>IF(AB662&gt;0,Ruimtestaat[[#This Row],[Prest. (m2 /jaar) weekend]]/Ruimtestaat[[#This Row],[Norm (m2/uur) weekend]],0)</f>
        <v>0</v>
      </c>
      <c r="AD662" s="91">
        <f>Ruimtestaat[[#This Row],[uren / jaar weekend]]*Tariefsopbouw!$D$40</f>
        <v>0</v>
      </c>
      <c r="AE662" s="60">
        <f>Ruimtestaat[[#This Row],[Prest. (m2 /jaar) weekend]]+Ruimtestaat[[#This Row],[Prest. (m2 /jaar) werkdagen]]</f>
        <v>0</v>
      </c>
      <c r="AF662" s="60">
        <f>Ruimtestaat[[#This Row],[uren / jaar weekend]]+Ruimtestaat[[#This Row],[uren / jaar werkdagen]]</f>
        <v>0</v>
      </c>
      <c r="AG662" s="61">
        <f>Ruimtestaat[[#This Row],[kosten / jaar weekend]]+Ruimtestaat[[#This Row],[kosten / jaar werkdagen]]</f>
        <v>0</v>
      </c>
      <c r="AH662" s="92"/>
      <c r="HL662" s="59"/>
    </row>
    <row r="663" spans="1:220">
      <c r="A663" s="24">
        <v>5</v>
      </c>
      <c r="B663" s="24" t="str">
        <f>VLOOKUP(Ruimtestaat[[#This Row],[Code]],Locaties[#All],2,FALSE)</f>
        <v>Marke Zuid</v>
      </c>
      <c r="C663" s="24" t="str">
        <f>VLOOKUP(Ruimtestaat[[#This Row],[Code]],Locaties[#All],4,FALSE)</f>
        <v>Ludgerstraat 1</v>
      </c>
      <c r="D663" s="24" t="str">
        <f>VLOOKUP(Ruimtestaat[[#This Row],[Code]],Locaties[#All],5,FALSE)</f>
        <v>7415 DV</v>
      </c>
      <c r="E663" s="24" t="str">
        <f>VLOOKUP(Ruimtestaat[[#This Row],[Code]],Locaties[#All],6,FALSE)</f>
        <v>Deventer</v>
      </c>
      <c r="F663" s="54"/>
      <c r="G663" s="24" t="s">
        <v>367</v>
      </c>
      <c r="H663" s="24" t="s">
        <v>1118</v>
      </c>
      <c r="I663" s="4" t="s">
        <v>1119</v>
      </c>
      <c r="J663" s="24">
        <v>22</v>
      </c>
      <c r="K663" s="54" t="str">
        <f>VLOOKUP(J663,Ruimtegroepen[],2,FALSE)</f>
        <v>Niet in onderhoud</v>
      </c>
      <c r="L663" s="24" t="s">
        <v>305</v>
      </c>
      <c r="M663" s="24" t="s">
        <v>376</v>
      </c>
      <c r="N663" s="83"/>
      <c r="O663" s="83">
        <v>5.29</v>
      </c>
      <c r="P663" s="93" t="str">
        <f>LEFT(VLOOKUP(Ruimtestaat[[#This Row],[Ruimte code]],Ruimtegroepen[#All],4,1),2)</f>
        <v/>
      </c>
      <c r="Q663" s="93"/>
      <c r="R663" s="84"/>
      <c r="S663" s="84"/>
      <c r="T663" s="85">
        <f>IF(R663&gt;0,IF(RIGHT(Ruimtestaat[[#This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3" s="85">
        <f>IF(T663&gt;0,VLOOKUP($J663,Ruimtegroepen[],3,FALSE)*VLOOKUP($L663,Vloersoorten[],3,FALSE)*VLOOKUP($S663,Frequenties[],3,FALSE)*VLOOKUP($A663,Locaties[],3,FALSE),0)</f>
        <v>0</v>
      </c>
      <c r="V663" s="86">
        <f>Ruimtestaat[[#This Row],[Uitvoeringen werkdagen]]*Ruimtestaat[[#This Row],[Oppervlak (netto)]]</f>
        <v>0</v>
      </c>
      <c r="W663" s="87">
        <f>IF(U663&gt;0,Ruimtestaat[[#This Row],[Prest. (m2 /jaar) werkdagen]]/Ruimtestaat[[#This Row],[Norm (m2/uur) werkdagen]],0)</f>
        <v>0</v>
      </c>
      <c r="X663" s="88">
        <f>Ruimtestaat[[#This Row],[uren / jaar werkdagen]]*Tariefsopbouw!$E$35</f>
        <v>0</v>
      </c>
      <c r="Y663" s="85"/>
      <c r="Z663" s="89">
        <f>IF(Ruimtestaat[[#This Row],[Frequentie weekend]]&gt;0,VALUE(LEFT(Y663,1))*R663,0)</f>
        <v>0</v>
      </c>
      <c r="AA663" s="85">
        <f>IF($Z663&gt;0,VLOOKUP($J663,Ruimtegroepen[],3,FALSE)*VLOOKUP($L663,Vloersoorten[],3,FALSE)*VLOOKUP($Y663,Frequenties[],3,FALSE)*VLOOKUP(#REF!,Locaties[],3,FALSE),0)</f>
        <v>0</v>
      </c>
      <c r="AB663" s="87">
        <f>Ruimtestaat[[#This Row],[Uitvoeringen weekend]]*Ruimtestaat[[#This Row],[Oppervlak (netto)]]</f>
        <v>0</v>
      </c>
      <c r="AC663" s="90">
        <f>IF(AB663&gt;0,Ruimtestaat[[#This Row],[Prest. (m2 /jaar) weekend]]/Ruimtestaat[[#This Row],[Norm (m2/uur) weekend]],0)</f>
        <v>0</v>
      </c>
      <c r="AD663" s="91">
        <f>Ruimtestaat[[#This Row],[uren / jaar weekend]]*Tariefsopbouw!$D$40</f>
        <v>0</v>
      </c>
      <c r="AE663" s="60">
        <f>Ruimtestaat[[#This Row],[Prest. (m2 /jaar) weekend]]+Ruimtestaat[[#This Row],[Prest. (m2 /jaar) werkdagen]]</f>
        <v>0</v>
      </c>
      <c r="AF663" s="60">
        <f>Ruimtestaat[[#This Row],[uren / jaar weekend]]+Ruimtestaat[[#This Row],[uren / jaar werkdagen]]</f>
        <v>0</v>
      </c>
      <c r="AG663" s="61">
        <f>Ruimtestaat[[#This Row],[kosten / jaar weekend]]+Ruimtestaat[[#This Row],[kosten / jaar werkdagen]]</f>
        <v>0</v>
      </c>
      <c r="AH663" s="92"/>
      <c r="HL663" s="59"/>
    </row>
    <row r="664" spans="1:220">
      <c r="A664" s="24">
        <v>5</v>
      </c>
      <c r="B664" s="24" t="str">
        <f>VLOOKUP(Ruimtestaat[[#This Row],[Code]],Locaties[#All],2,FALSE)</f>
        <v>Marke Zuid</v>
      </c>
      <c r="C664" s="24" t="str">
        <f>VLOOKUP(Ruimtestaat[[#This Row],[Code]],Locaties[#All],4,FALSE)</f>
        <v>Ludgerstraat 1</v>
      </c>
      <c r="D664" s="24" t="str">
        <f>VLOOKUP(Ruimtestaat[[#This Row],[Code]],Locaties[#All],5,FALSE)</f>
        <v>7415 DV</v>
      </c>
      <c r="E664" s="24" t="str">
        <f>VLOOKUP(Ruimtestaat[[#This Row],[Code]],Locaties[#All],6,FALSE)</f>
        <v>Deventer</v>
      </c>
      <c r="F664" s="54"/>
      <c r="G664" s="24" t="s">
        <v>367</v>
      </c>
      <c r="H664" s="24" t="s">
        <v>1120</v>
      </c>
      <c r="I664" s="4" t="s">
        <v>1121</v>
      </c>
      <c r="J664" s="24">
        <v>22</v>
      </c>
      <c r="K664" s="54" t="str">
        <f>VLOOKUP(J664,Ruimtegroepen[],2,FALSE)</f>
        <v>Niet in onderhoud</v>
      </c>
      <c r="L664" s="24" t="s">
        <v>305</v>
      </c>
      <c r="M664" s="24" t="s">
        <v>376</v>
      </c>
      <c r="N664" s="83"/>
      <c r="O664" s="83">
        <v>5.29</v>
      </c>
      <c r="P664" s="93" t="str">
        <f>LEFT(VLOOKUP(Ruimtestaat[[#This Row],[Ruimte code]],Ruimtegroepen[#All],4,1),2)</f>
        <v/>
      </c>
      <c r="Q664" s="93"/>
      <c r="R664" s="84"/>
      <c r="S664" s="84"/>
      <c r="T664" s="85">
        <f>IF(R664&gt;0,IF(RIGHT(Ruimtestaat[[#This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4" s="85">
        <f>IF(T664&gt;0,VLOOKUP($J664,Ruimtegroepen[],3,FALSE)*VLOOKUP($L664,Vloersoorten[],3,FALSE)*VLOOKUP($S664,Frequenties[],3,FALSE)*VLOOKUP($A664,Locaties[],3,FALSE),0)</f>
        <v>0</v>
      </c>
      <c r="V664" s="86">
        <f>Ruimtestaat[[#This Row],[Uitvoeringen werkdagen]]*Ruimtestaat[[#This Row],[Oppervlak (netto)]]</f>
        <v>0</v>
      </c>
      <c r="W664" s="87">
        <f>IF(U664&gt;0,Ruimtestaat[[#This Row],[Prest. (m2 /jaar) werkdagen]]/Ruimtestaat[[#This Row],[Norm (m2/uur) werkdagen]],0)</f>
        <v>0</v>
      </c>
      <c r="X664" s="88">
        <f>Ruimtestaat[[#This Row],[uren / jaar werkdagen]]*Tariefsopbouw!$E$35</f>
        <v>0</v>
      </c>
      <c r="Y664" s="85"/>
      <c r="Z664" s="89">
        <f>IF(Ruimtestaat[[#This Row],[Frequentie weekend]]&gt;0,VALUE(LEFT(Y664,1))*R664,0)</f>
        <v>0</v>
      </c>
      <c r="AA664" s="85">
        <f>IF($Z664&gt;0,VLOOKUP($J664,Ruimtegroepen[],3,FALSE)*VLOOKUP($L664,Vloersoorten[],3,FALSE)*VLOOKUP($Y664,Frequenties[],3,FALSE)*VLOOKUP(#REF!,Locaties[],3,FALSE),0)</f>
        <v>0</v>
      </c>
      <c r="AB664" s="87">
        <f>Ruimtestaat[[#This Row],[Uitvoeringen weekend]]*Ruimtestaat[[#This Row],[Oppervlak (netto)]]</f>
        <v>0</v>
      </c>
      <c r="AC664" s="90">
        <f>IF(AB664&gt;0,Ruimtestaat[[#This Row],[Prest. (m2 /jaar) weekend]]/Ruimtestaat[[#This Row],[Norm (m2/uur) weekend]],0)</f>
        <v>0</v>
      </c>
      <c r="AD664" s="91">
        <f>Ruimtestaat[[#This Row],[uren / jaar weekend]]*Tariefsopbouw!$D$40</f>
        <v>0</v>
      </c>
      <c r="AE664" s="60">
        <f>Ruimtestaat[[#This Row],[Prest. (m2 /jaar) weekend]]+Ruimtestaat[[#This Row],[Prest. (m2 /jaar) werkdagen]]</f>
        <v>0</v>
      </c>
      <c r="AF664" s="60">
        <f>Ruimtestaat[[#This Row],[uren / jaar weekend]]+Ruimtestaat[[#This Row],[uren / jaar werkdagen]]</f>
        <v>0</v>
      </c>
      <c r="AG664" s="61">
        <f>Ruimtestaat[[#This Row],[kosten / jaar weekend]]+Ruimtestaat[[#This Row],[kosten / jaar werkdagen]]</f>
        <v>0</v>
      </c>
      <c r="AH664" s="92"/>
      <c r="HL664" s="59"/>
    </row>
    <row r="665" spans="1:220">
      <c r="A665" s="24">
        <v>5</v>
      </c>
      <c r="B665" s="24" t="str">
        <f>VLOOKUP(Ruimtestaat[[#This Row],[Code]],Locaties[#All],2,FALSE)</f>
        <v>Marke Zuid</v>
      </c>
      <c r="C665" s="24" t="str">
        <f>VLOOKUP(Ruimtestaat[[#This Row],[Code]],Locaties[#All],4,FALSE)</f>
        <v>Ludgerstraat 1</v>
      </c>
      <c r="D665" s="24" t="str">
        <f>VLOOKUP(Ruimtestaat[[#This Row],[Code]],Locaties[#All],5,FALSE)</f>
        <v>7415 DV</v>
      </c>
      <c r="E665" s="24" t="str">
        <f>VLOOKUP(Ruimtestaat[[#This Row],[Code]],Locaties[#All],6,FALSE)</f>
        <v>Deventer</v>
      </c>
      <c r="F665" s="54"/>
      <c r="G665" s="24" t="s">
        <v>367</v>
      </c>
      <c r="H665" s="24" t="s">
        <v>1122</v>
      </c>
      <c r="I665" s="4" t="s">
        <v>667</v>
      </c>
      <c r="J665" s="24">
        <v>22</v>
      </c>
      <c r="K665" s="54" t="str">
        <f>VLOOKUP(J665,Ruimtegroepen[],2,FALSE)</f>
        <v>Niet in onderhoud</v>
      </c>
      <c r="L665" s="24" t="s">
        <v>305</v>
      </c>
      <c r="M665" s="24" t="s">
        <v>373</v>
      </c>
      <c r="N665" s="83"/>
      <c r="O665" s="83">
        <v>11.33</v>
      </c>
      <c r="P665" s="93" t="str">
        <f>LEFT(VLOOKUP(Ruimtestaat[[#This Row],[Ruimte code]],Ruimtegroepen[#All],4,1),2)</f>
        <v/>
      </c>
      <c r="Q665" s="93"/>
      <c r="R665" s="84"/>
      <c r="S665" s="84"/>
      <c r="T665" s="85">
        <f>IF(R665&gt;0,IF(RIGHT(Ruimtestaat[[#This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5" s="85">
        <f>IF(T665&gt;0,VLOOKUP($J665,Ruimtegroepen[],3,FALSE)*VLOOKUP($L665,Vloersoorten[],3,FALSE)*VLOOKUP($S665,Frequenties[],3,FALSE)*VLOOKUP($A665,Locaties[],3,FALSE),0)</f>
        <v>0</v>
      </c>
      <c r="V665" s="86">
        <f>Ruimtestaat[[#This Row],[Uitvoeringen werkdagen]]*Ruimtestaat[[#This Row],[Oppervlak (netto)]]</f>
        <v>0</v>
      </c>
      <c r="W665" s="87">
        <f>IF(U665&gt;0,Ruimtestaat[[#This Row],[Prest. (m2 /jaar) werkdagen]]/Ruimtestaat[[#This Row],[Norm (m2/uur) werkdagen]],0)</f>
        <v>0</v>
      </c>
      <c r="X665" s="88">
        <f>Ruimtestaat[[#This Row],[uren / jaar werkdagen]]*Tariefsopbouw!$E$35</f>
        <v>0</v>
      </c>
      <c r="Y665" s="85"/>
      <c r="Z665" s="89">
        <f>IF(Ruimtestaat[[#This Row],[Frequentie weekend]]&gt;0,VALUE(LEFT(Y665,1))*R665,0)</f>
        <v>0</v>
      </c>
      <c r="AA665" s="85">
        <f>IF($Z665&gt;0,VLOOKUP($J665,Ruimtegroepen[],3,FALSE)*VLOOKUP($L665,Vloersoorten[],3,FALSE)*VLOOKUP($Y665,Frequenties[],3,FALSE)*VLOOKUP(#REF!,Locaties[],3,FALSE),0)</f>
        <v>0</v>
      </c>
      <c r="AB665" s="87">
        <f>Ruimtestaat[[#This Row],[Uitvoeringen weekend]]*Ruimtestaat[[#This Row],[Oppervlak (netto)]]</f>
        <v>0</v>
      </c>
      <c r="AC665" s="90">
        <f>IF(AB665&gt;0,Ruimtestaat[[#This Row],[Prest. (m2 /jaar) weekend]]/Ruimtestaat[[#This Row],[Norm (m2/uur) weekend]],0)</f>
        <v>0</v>
      </c>
      <c r="AD665" s="91">
        <f>Ruimtestaat[[#This Row],[uren / jaar weekend]]*Tariefsopbouw!$D$40</f>
        <v>0</v>
      </c>
      <c r="AE665" s="60">
        <f>Ruimtestaat[[#This Row],[Prest. (m2 /jaar) weekend]]+Ruimtestaat[[#This Row],[Prest. (m2 /jaar) werkdagen]]</f>
        <v>0</v>
      </c>
      <c r="AF665" s="60">
        <f>Ruimtestaat[[#This Row],[uren / jaar weekend]]+Ruimtestaat[[#This Row],[uren / jaar werkdagen]]</f>
        <v>0</v>
      </c>
      <c r="AG665" s="61">
        <f>Ruimtestaat[[#This Row],[kosten / jaar weekend]]+Ruimtestaat[[#This Row],[kosten / jaar werkdagen]]</f>
        <v>0</v>
      </c>
      <c r="AH665" s="92"/>
      <c r="HL665" s="59"/>
    </row>
    <row r="666" spans="1:220">
      <c r="A666" s="24">
        <v>5</v>
      </c>
      <c r="B666" s="24" t="str">
        <f>VLOOKUP(Ruimtestaat[[#This Row],[Code]],Locaties[#All],2,FALSE)</f>
        <v>Marke Zuid</v>
      </c>
      <c r="C666" s="24" t="str">
        <f>VLOOKUP(Ruimtestaat[[#This Row],[Code]],Locaties[#All],4,FALSE)</f>
        <v>Ludgerstraat 1</v>
      </c>
      <c r="D666" s="24" t="str">
        <f>VLOOKUP(Ruimtestaat[[#This Row],[Code]],Locaties[#All],5,FALSE)</f>
        <v>7415 DV</v>
      </c>
      <c r="E666" s="24" t="str">
        <f>VLOOKUP(Ruimtestaat[[#This Row],[Code]],Locaties[#All],6,FALSE)</f>
        <v>Deventer</v>
      </c>
      <c r="F666" s="54"/>
      <c r="G666" s="24" t="s">
        <v>367</v>
      </c>
      <c r="H666" s="24" t="s">
        <v>1123</v>
      </c>
      <c r="I666" s="4" t="s">
        <v>1124</v>
      </c>
      <c r="J666" s="24">
        <v>6</v>
      </c>
      <c r="K666" s="54" t="str">
        <f>VLOOKUP(J666,Ruimtegroepen[],2,FALSE)</f>
        <v>Gangen/hallen</v>
      </c>
      <c r="L666" s="24" t="s">
        <v>305</v>
      </c>
      <c r="M666" s="24" t="s">
        <v>1125</v>
      </c>
      <c r="N666" s="83">
        <v>78.319999999999993</v>
      </c>
      <c r="O666" s="83"/>
      <c r="P666" s="93" t="str">
        <f>LEFT(VLOOKUP(Ruimtestaat[[#This Row],[Ruimte code]],Ruimtegroepen[#All],4,1),2)</f>
        <v>Ve</v>
      </c>
      <c r="Q666" s="93"/>
      <c r="R666" s="84">
        <v>40</v>
      </c>
      <c r="S666" s="84" t="s">
        <v>318</v>
      </c>
      <c r="T666" s="85">
        <f>IF(R666&gt;0,IF(RIGHT(Ruimtestaat[[#This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6" s="85">
        <f>IF(T666&gt;0,VLOOKUP($J666,Ruimtegroepen[],3,FALSE)*VLOOKUP($L666,Vloersoorten[],3,FALSE)*VLOOKUP($S666,Frequenties[],3,FALSE)*VLOOKUP($A666,Locaties[],3,FALSE),0)</f>
        <v>0</v>
      </c>
      <c r="V666" s="86">
        <f>Ruimtestaat[[#This Row],[Uitvoeringen werkdagen]]*Ruimtestaat[[#This Row],[Oppervlak (netto)]]</f>
        <v>15663.999999999998</v>
      </c>
      <c r="W666" s="87">
        <f>IF(U666&gt;0,Ruimtestaat[[#This Row],[Prest. (m2 /jaar) werkdagen]]/Ruimtestaat[[#This Row],[Norm (m2/uur) werkdagen]],0)</f>
        <v>0</v>
      </c>
      <c r="X666" s="88">
        <f>Ruimtestaat[[#This Row],[uren / jaar werkdagen]]*Tariefsopbouw!$E$35</f>
        <v>0</v>
      </c>
      <c r="Y666" s="85"/>
      <c r="Z666" s="89">
        <f>IF(Ruimtestaat[[#This Row],[Frequentie weekend]]&gt;0,VALUE(LEFT(Y666,1))*R666,0)</f>
        <v>0</v>
      </c>
      <c r="AA666" s="85">
        <f>IF($Z666&gt;0,VLOOKUP($J666,Ruimtegroepen[],3,FALSE)*VLOOKUP($L666,Vloersoorten[],3,FALSE)*VLOOKUP($Y666,Frequenties[],3,FALSE)*VLOOKUP(#REF!,Locaties[],3,FALSE),0)</f>
        <v>0</v>
      </c>
      <c r="AB666" s="87">
        <f>Ruimtestaat[[#This Row],[Uitvoeringen weekend]]*Ruimtestaat[[#This Row],[Oppervlak (netto)]]</f>
        <v>0</v>
      </c>
      <c r="AC666" s="90">
        <f>IF(AB666&gt;0,Ruimtestaat[[#This Row],[Prest. (m2 /jaar) weekend]]/Ruimtestaat[[#This Row],[Norm (m2/uur) weekend]],0)</f>
        <v>0</v>
      </c>
      <c r="AD666" s="91">
        <f>Ruimtestaat[[#This Row],[uren / jaar weekend]]*Tariefsopbouw!$D$40</f>
        <v>0</v>
      </c>
      <c r="AE666" s="60">
        <f>Ruimtestaat[[#This Row],[Prest. (m2 /jaar) weekend]]+Ruimtestaat[[#This Row],[Prest. (m2 /jaar) werkdagen]]</f>
        <v>15663.999999999998</v>
      </c>
      <c r="AF666" s="60">
        <f>Ruimtestaat[[#This Row],[uren / jaar weekend]]+Ruimtestaat[[#This Row],[uren / jaar werkdagen]]</f>
        <v>0</v>
      </c>
      <c r="AG666" s="61">
        <f>Ruimtestaat[[#This Row],[kosten / jaar weekend]]+Ruimtestaat[[#This Row],[kosten / jaar werkdagen]]</f>
        <v>0</v>
      </c>
      <c r="AH666" s="92"/>
      <c r="HL666" s="59"/>
    </row>
    <row r="667" spans="1:220">
      <c r="A667" s="24">
        <v>5</v>
      </c>
      <c r="B667" s="24" t="str">
        <f>VLOOKUP(Ruimtestaat[[#This Row],[Code]],Locaties[#All],2,FALSE)</f>
        <v>Marke Zuid</v>
      </c>
      <c r="C667" s="24" t="str">
        <f>VLOOKUP(Ruimtestaat[[#This Row],[Code]],Locaties[#All],4,FALSE)</f>
        <v>Ludgerstraat 1</v>
      </c>
      <c r="D667" s="24" t="str">
        <f>VLOOKUP(Ruimtestaat[[#This Row],[Code]],Locaties[#All],5,FALSE)</f>
        <v>7415 DV</v>
      </c>
      <c r="E667" s="24" t="str">
        <f>VLOOKUP(Ruimtestaat[[#This Row],[Code]],Locaties[#All],6,FALSE)</f>
        <v>Deventer</v>
      </c>
      <c r="F667" s="54"/>
      <c r="G667" s="24" t="s">
        <v>367</v>
      </c>
      <c r="H667" s="24" t="s">
        <v>1126</v>
      </c>
      <c r="I667" s="4" t="s">
        <v>1127</v>
      </c>
      <c r="J667" s="24">
        <v>13</v>
      </c>
      <c r="K667" s="54" t="str">
        <f>VLOOKUP(J667,Ruimtegroepen[],2,FALSE)</f>
        <v>HV/Technieklokaal</v>
      </c>
      <c r="L667" s="24" t="s">
        <v>305</v>
      </c>
      <c r="M667" s="24" t="s">
        <v>373</v>
      </c>
      <c r="N667" s="83">
        <v>22.77</v>
      </c>
      <c r="O667" s="83"/>
      <c r="P667" s="93" t="str">
        <f>LEFT(VLOOKUP(Ruimtestaat[[#This Row],[Ruimte code]],Ruimtegroepen[#All],4,1),2)</f>
        <v>Le</v>
      </c>
      <c r="Q667" s="93"/>
      <c r="R667" s="84">
        <v>40</v>
      </c>
      <c r="S667" s="84" t="s">
        <v>318</v>
      </c>
      <c r="T667" s="85">
        <f>IF(R667&gt;0,IF(RIGHT(Ruimtestaat[[#This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7" s="85">
        <f>IF(T667&gt;0,VLOOKUP($J667,Ruimtegroepen[],3,FALSE)*VLOOKUP($L667,Vloersoorten[],3,FALSE)*VLOOKUP($S667,Frequenties[],3,FALSE)*VLOOKUP($A667,Locaties[],3,FALSE),0)</f>
        <v>0</v>
      </c>
      <c r="V667" s="86">
        <f>Ruimtestaat[[#This Row],[Uitvoeringen werkdagen]]*Ruimtestaat[[#This Row],[Oppervlak (netto)]]</f>
        <v>4554</v>
      </c>
      <c r="W667" s="87">
        <f>IF(U667&gt;0,Ruimtestaat[[#This Row],[Prest. (m2 /jaar) werkdagen]]/Ruimtestaat[[#This Row],[Norm (m2/uur) werkdagen]],0)</f>
        <v>0</v>
      </c>
      <c r="X667" s="88">
        <f>Ruimtestaat[[#This Row],[uren / jaar werkdagen]]*Tariefsopbouw!$E$35</f>
        <v>0</v>
      </c>
      <c r="Y667" s="85"/>
      <c r="Z667" s="89">
        <f>IF(Ruimtestaat[[#This Row],[Frequentie weekend]]&gt;0,VALUE(LEFT(Y667,1))*R667,0)</f>
        <v>0</v>
      </c>
      <c r="AA667" s="85">
        <f>IF($Z667&gt;0,VLOOKUP($J667,Ruimtegroepen[],3,FALSE)*VLOOKUP($L667,Vloersoorten[],3,FALSE)*VLOOKUP($Y667,Frequenties[],3,FALSE)*VLOOKUP(#REF!,Locaties[],3,FALSE),0)</f>
        <v>0</v>
      </c>
      <c r="AB667" s="87">
        <f>Ruimtestaat[[#This Row],[Uitvoeringen weekend]]*Ruimtestaat[[#This Row],[Oppervlak (netto)]]</f>
        <v>0</v>
      </c>
      <c r="AC667" s="90">
        <f>IF(AB667&gt;0,Ruimtestaat[[#This Row],[Prest. (m2 /jaar) weekend]]/Ruimtestaat[[#This Row],[Norm (m2/uur) weekend]],0)</f>
        <v>0</v>
      </c>
      <c r="AD667" s="91">
        <f>Ruimtestaat[[#This Row],[uren / jaar weekend]]*Tariefsopbouw!$D$40</f>
        <v>0</v>
      </c>
      <c r="AE667" s="60">
        <f>Ruimtestaat[[#This Row],[Prest. (m2 /jaar) weekend]]+Ruimtestaat[[#This Row],[Prest. (m2 /jaar) werkdagen]]</f>
        <v>4554</v>
      </c>
      <c r="AF667" s="60">
        <f>Ruimtestaat[[#This Row],[uren / jaar weekend]]+Ruimtestaat[[#This Row],[uren / jaar werkdagen]]</f>
        <v>0</v>
      </c>
      <c r="AG667" s="61">
        <f>Ruimtestaat[[#This Row],[kosten / jaar weekend]]+Ruimtestaat[[#This Row],[kosten / jaar werkdagen]]</f>
        <v>0</v>
      </c>
      <c r="AH667" s="92"/>
      <c r="HL667" s="59"/>
    </row>
    <row r="668" spans="1:220">
      <c r="A668" s="24">
        <v>5</v>
      </c>
      <c r="B668" s="24" t="str">
        <f>VLOOKUP(Ruimtestaat[[#This Row],[Code]],Locaties[#All],2,FALSE)</f>
        <v>Marke Zuid</v>
      </c>
      <c r="C668" s="24" t="str">
        <f>VLOOKUP(Ruimtestaat[[#This Row],[Code]],Locaties[#All],4,FALSE)</f>
        <v>Ludgerstraat 1</v>
      </c>
      <c r="D668" s="24" t="str">
        <f>VLOOKUP(Ruimtestaat[[#This Row],[Code]],Locaties[#All],5,FALSE)</f>
        <v>7415 DV</v>
      </c>
      <c r="E668" s="24" t="str">
        <f>VLOOKUP(Ruimtestaat[[#This Row],[Code]],Locaties[#All],6,FALSE)</f>
        <v>Deventer</v>
      </c>
      <c r="F668" s="54"/>
      <c r="G668" s="24" t="s">
        <v>367</v>
      </c>
      <c r="H668" s="24" t="s">
        <v>1128</v>
      </c>
      <c r="I668" s="4" t="s">
        <v>1129</v>
      </c>
      <c r="J668" s="24">
        <v>5</v>
      </c>
      <c r="K668" s="54" t="str">
        <f>VLOOKUP(J668,Ruimtegroepen[],2,FALSE)</f>
        <v>Sanitair</v>
      </c>
      <c r="L668" s="24" t="s">
        <v>305</v>
      </c>
      <c r="M668" s="24" t="s">
        <v>373</v>
      </c>
      <c r="N668" s="83">
        <v>16.670000000000002</v>
      </c>
      <c r="O668" s="83"/>
      <c r="P668" s="93" t="str">
        <f>LEFT(VLOOKUP(Ruimtestaat[[#This Row],[Ruimte code]],Ruimtegroepen[#All],4,1),2)</f>
        <v>Sa</v>
      </c>
      <c r="Q668" s="93"/>
      <c r="R668" s="84">
        <v>42</v>
      </c>
      <c r="S668" s="84" t="s">
        <v>316</v>
      </c>
      <c r="T668" s="85">
        <f>IF(R668&gt;0,IF(RIGHT(Ruimtestaat[[#This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68" s="85">
        <f>IF(T668&gt;0,VLOOKUP($J668,Ruimtegroepen[],3,FALSE)*VLOOKUP($L668,Vloersoorten[],3,FALSE)*VLOOKUP($S668,Frequenties[],3,FALSE)*VLOOKUP($A668,Locaties[],3,FALSE),0)</f>
        <v>0</v>
      </c>
      <c r="V668" s="86">
        <f>Ruimtestaat[[#This Row],[Uitvoeringen werkdagen]]*Ruimtestaat[[#This Row],[Oppervlak (netto)]]</f>
        <v>7001.4000000000005</v>
      </c>
      <c r="W668" s="87">
        <f>IF(U668&gt;0,Ruimtestaat[[#This Row],[Prest. (m2 /jaar) werkdagen]]/Ruimtestaat[[#This Row],[Norm (m2/uur) werkdagen]],0)</f>
        <v>0</v>
      </c>
      <c r="X668" s="88">
        <f>Ruimtestaat[[#This Row],[uren / jaar werkdagen]]*Tariefsopbouw!$E$35</f>
        <v>0</v>
      </c>
      <c r="Y668" s="85"/>
      <c r="Z668" s="89">
        <f>IF(Ruimtestaat[[#This Row],[Frequentie weekend]]&gt;0,VALUE(LEFT(Y668,1))*R668,0)</f>
        <v>0</v>
      </c>
      <c r="AA668" s="85">
        <f>IF($Z668&gt;0,VLOOKUP($J668,Ruimtegroepen[],3,FALSE)*VLOOKUP($L668,Vloersoorten[],3,FALSE)*VLOOKUP($Y668,Frequenties[],3,FALSE)*VLOOKUP(#REF!,Locaties[],3,FALSE),0)</f>
        <v>0</v>
      </c>
      <c r="AB668" s="87">
        <f>Ruimtestaat[[#This Row],[Uitvoeringen weekend]]*Ruimtestaat[[#This Row],[Oppervlak (netto)]]</f>
        <v>0</v>
      </c>
      <c r="AC668" s="90">
        <f>IF(AB668&gt;0,Ruimtestaat[[#This Row],[Prest. (m2 /jaar) weekend]]/Ruimtestaat[[#This Row],[Norm (m2/uur) weekend]],0)</f>
        <v>0</v>
      </c>
      <c r="AD668" s="91">
        <f>Ruimtestaat[[#This Row],[uren / jaar weekend]]*Tariefsopbouw!$D$40</f>
        <v>0</v>
      </c>
      <c r="AE668" s="60">
        <f>Ruimtestaat[[#This Row],[Prest. (m2 /jaar) weekend]]+Ruimtestaat[[#This Row],[Prest. (m2 /jaar) werkdagen]]</f>
        <v>7001.4000000000005</v>
      </c>
      <c r="AF668" s="60">
        <f>Ruimtestaat[[#This Row],[uren / jaar weekend]]+Ruimtestaat[[#This Row],[uren / jaar werkdagen]]</f>
        <v>0</v>
      </c>
      <c r="AG668" s="61">
        <f>Ruimtestaat[[#This Row],[kosten / jaar weekend]]+Ruimtestaat[[#This Row],[kosten / jaar werkdagen]]</f>
        <v>0</v>
      </c>
      <c r="AH668" s="92"/>
      <c r="HL668" s="59"/>
    </row>
    <row r="669" spans="1:220">
      <c r="A669" s="24">
        <v>5</v>
      </c>
      <c r="B669" s="24" t="str">
        <f>VLOOKUP(Ruimtestaat[[#This Row],[Code]],Locaties[#All],2,FALSE)</f>
        <v>Marke Zuid</v>
      </c>
      <c r="C669" s="24" t="str">
        <f>VLOOKUP(Ruimtestaat[[#This Row],[Code]],Locaties[#All],4,FALSE)</f>
        <v>Ludgerstraat 1</v>
      </c>
      <c r="D669" s="24" t="str">
        <f>VLOOKUP(Ruimtestaat[[#This Row],[Code]],Locaties[#All],5,FALSE)</f>
        <v>7415 DV</v>
      </c>
      <c r="E669" s="24" t="str">
        <f>VLOOKUP(Ruimtestaat[[#This Row],[Code]],Locaties[#All],6,FALSE)</f>
        <v>Deventer</v>
      </c>
      <c r="F669" s="54"/>
      <c r="G669" s="24" t="s">
        <v>367</v>
      </c>
      <c r="H669" s="24" t="s">
        <v>1130</v>
      </c>
      <c r="I669" s="4" t="s">
        <v>667</v>
      </c>
      <c r="J669" s="24">
        <v>22</v>
      </c>
      <c r="K669" s="54" t="str">
        <f>VLOOKUP(J669,Ruimtegroepen[],2,FALSE)</f>
        <v>Niet in onderhoud</v>
      </c>
      <c r="L669" s="24" t="s">
        <v>305</v>
      </c>
      <c r="M669" s="24" t="s">
        <v>373</v>
      </c>
      <c r="N669" s="83"/>
      <c r="O669" s="83">
        <v>7.26</v>
      </c>
      <c r="P669" s="93" t="str">
        <f>LEFT(VLOOKUP(Ruimtestaat[[#This Row],[Ruimte code]],Ruimtegroepen[#All],4,1),2)</f>
        <v/>
      </c>
      <c r="Q669" s="93"/>
      <c r="R669" s="84"/>
      <c r="S669" s="84"/>
      <c r="T669" s="85">
        <f>IF(R669&gt;0,IF(RIGHT(Ruimtestaat[[#This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9" s="85">
        <f>IF(T669&gt;0,VLOOKUP($J669,Ruimtegroepen[],3,FALSE)*VLOOKUP($L669,Vloersoorten[],3,FALSE)*VLOOKUP($S669,Frequenties[],3,FALSE)*VLOOKUP($A669,Locaties[],3,FALSE),0)</f>
        <v>0</v>
      </c>
      <c r="V669" s="86">
        <f>Ruimtestaat[[#This Row],[Uitvoeringen werkdagen]]*Ruimtestaat[[#This Row],[Oppervlak (netto)]]</f>
        <v>0</v>
      </c>
      <c r="W669" s="87">
        <f>IF(U669&gt;0,Ruimtestaat[[#This Row],[Prest. (m2 /jaar) werkdagen]]/Ruimtestaat[[#This Row],[Norm (m2/uur) werkdagen]],0)</f>
        <v>0</v>
      </c>
      <c r="X669" s="88">
        <f>Ruimtestaat[[#This Row],[uren / jaar werkdagen]]*Tariefsopbouw!$E$35</f>
        <v>0</v>
      </c>
      <c r="Y669" s="85"/>
      <c r="Z669" s="89">
        <f>IF(Ruimtestaat[[#This Row],[Frequentie weekend]]&gt;0,VALUE(LEFT(Y669,1))*R669,0)</f>
        <v>0</v>
      </c>
      <c r="AA669" s="85">
        <f>IF($Z669&gt;0,VLOOKUP($J669,Ruimtegroepen[],3,FALSE)*VLOOKUP($L669,Vloersoorten[],3,FALSE)*VLOOKUP($Y669,Frequenties[],3,FALSE)*VLOOKUP(#REF!,Locaties[],3,FALSE),0)</f>
        <v>0</v>
      </c>
      <c r="AB669" s="87">
        <f>Ruimtestaat[[#This Row],[Uitvoeringen weekend]]*Ruimtestaat[[#This Row],[Oppervlak (netto)]]</f>
        <v>0</v>
      </c>
      <c r="AC669" s="90">
        <f>IF(AB669&gt;0,Ruimtestaat[[#This Row],[Prest. (m2 /jaar) weekend]]/Ruimtestaat[[#This Row],[Norm (m2/uur) weekend]],0)</f>
        <v>0</v>
      </c>
      <c r="AD669" s="91">
        <f>Ruimtestaat[[#This Row],[uren / jaar weekend]]*Tariefsopbouw!$D$40</f>
        <v>0</v>
      </c>
      <c r="AE669" s="60">
        <f>Ruimtestaat[[#This Row],[Prest. (m2 /jaar) weekend]]+Ruimtestaat[[#This Row],[Prest. (m2 /jaar) werkdagen]]</f>
        <v>0</v>
      </c>
      <c r="AF669" s="60">
        <f>Ruimtestaat[[#This Row],[uren / jaar weekend]]+Ruimtestaat[[#This Row],[uren / jaar werkdagen]]</f>
        <v>0</v>
      </c>
      <c r="AG669" s="61">
        <f>Ruimtestaat[[#This Row],[kosten / jaar weekend]]+Ruimtestaat[[#This Row],[kosten / jaar werkdagen]]</f>
        <v>0</v>
      </c>
      <c r="AH669" s="92"/>
      <c r="HL669" s="59"/>
    </row>
    <row r="670" spans="1:220">
      <c r="A670" s="24">
        <v>5</v>
      </c>
      <c r="B670" s="24" t="str">
        <f>VLOOKUP(Ruimtestaat[[#This Row],[Code]],Locaties[#All],2,FALSE)</f>
        <v>Marke Zuid</v>
      </c>
      <c r="C670" s="24" t="str">
        <f>VLOOKUP(Ruimtestaat[[#This Row],[Code]],Locaties[#All],4,FALSE)</f>
        <v>Ludgerstraat 1</v>
      </c>
      <c r="D670" s="24" t="str">
        <f>VLOOKUP(Ruimtestaat[[#This Row],[Code]],Locaties[#All],5,FALSE)</f>
        <v>7415 DV</v>
      </c>
      <c r="E670" s="24" t="str">
        <f>VLOOKUP(Ruimtestaat[[#This Row],[Code]],Locaties[#All],6,FALSE)</f>
        <v>Deventer</v>
      </c>
      <c r="F670" s="54"/>
      <c r="G670" s="24" t="s">
        <v>367</v>
      </c>
      <c r="H670" s="24" t="s">
        <v>1131</v>
      </c>
      <c r="I670" s="4" t="s">
        <v>1132</v>
      </c>
      <c r="J670" s="24">
        <v>13</v>
      </c>
      <c r="K670" s="54" t="str">
        <f>VLOOKUP(J670,Ruimtegroepen[],2,FALSE)</f>
        <v>HV/Technieklokaal</v>
      </c>
      <c r="L670" s="24" t="s">
        <v>308</v>
      </c>
      <c r="M670" s="24" t="s">
        <v>590</v>
      </c>
      <c r="N670" s="83">
        <v>303.39</v>
      </c>
      <c r="O670" s="83"/>
      <c r="P670" s="93" t="str">
        <f>LEFT(VLOOKUP(Ruimtestaat[[#This Row],[Ruimte code]],Ruimtegroepen[#All],4,1),2)</f>
        <v>Le</v>
      </c>
      <c r="Q670" s="93"/>
      <c r="R670" s="84">
        <v>40</v>
      </c>
      <c r="S670" s="84" t="s">
        <v>318</v>
      </c>
      <c r="T670" s="85">
        <f>IF(R670&gt;0,IF(RIGHT(Ruimtestaat[[#This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0" s="85">
        <f>IF(T670&gt;0,VLOOKUP($J670,Ruimtegroepen[],3,FALSE)*VLOOKUP($L670,Vloersoorten[],3,FALSE)*VLOOKUP($S670,Frequenties[],3,FALSE)*VLOOKUP($A670,Locaties[],3,FALSE),0)</f>
        <v>0</v>
      </c>
      <c r="V670" s="86">
        <f>Ruimtestaat[[#This Row],[Uitvoeringen werkdagen]]*Ruimtestaat[[#This Row],[Oppervlak (netto)]]</f>
        <v>60678</v>
      </c>
      <c r="W670" s="87">
        <f>IF(U670&gt;0,Ruimtestaat[[#This Row],[Prest. (m2 /jaar) werkdagen]]/Ruimtestaat[[#This Row],[Norm (m2/uur) werkdagen]],0)</f>
        <v>0</v>
      </c>
      <c r="X670" s="88">
        <f>Ruimtestaat[[#This Row],[uren / jaar werkdagen]]*Tariefsopbouw!$E$35</f>
        <v>0</v>
      </c>
      <c r="Y670" s="85"/>
      <c r="Z670" s="89">
        <f>IF(Ruimtestaat[[#This Row],[Frequentie weekend]]&gt;0,VALUE(LEFT(Y670,1))*R670,0)</f>
        <v>0</v>
      </c>
      <c r="AA670" s="85">
        <f>IF($Z670&gt;0,VLOOKUP($J670,Ruimtegroepen[],3,FALSE)*VLOOKUP($L670,Vloersoorten[],3,FALSE)*VLOOKUP($Y670,Frequenties[],3,FALSE)*VLOOKUP(#REF!,Locaties[],3,FALSE),0)</f>
        <v>0</v>
      </c>
      <c r="AB670" s="87">
        <f>Ruimtestaat[[#This Row],[Uitvoeringen weekend]]*Ruimtestaat[[#This Row],[Oppervlak (netto)]]</f>
        <v>0</v>
      </c>
      <c r="AC670" s="90">
        <f>IF(AB670&gt;0,Ruimtestaat[[#This Row],[Prest. (m2 /jaar) weekend]]/Ruimtestaat[[#This Row],[Norm (m2/uur) weekend]],0)</f>
        <v>0</v>
      </c>
      <c r="AD670" s="91">
        <f>Ruimtestaat[[#This Row],[uren / jaar weekend]]*Tariefsopbouw!$D$40</f>
        <v>0</v>
      </c>
      <c r="AE670" s="60">
        <f>Ruimtestaat[[#This Row],[Prest. (m2 /jaar) weekend]]+Ruimtestaat[[#This Row],[Prest. (m2 /jaar) werkdagen]]</f>
        <v>60678</v>
      </c>
      <c r="AF670" s="60">
        <f>Ruimtestaat[[#This Row],[uren / jaar weekend]]+Ruimtestaat[[#This Row],[uren / jaar werkdagen]]</f>
        <v>0</v>
      </c>
      <c r="AG670" s="61">
        <f>Ruimtestaat[[#This Row],[kosten / jaar weekend]]+Ruimtestaat[[#This Row],[kosten / jaar werkdagen]]</f>
        <v>0</v>
      </c>
      <c r="AH670" s="92"/>
      <c r="HL670" s="59"/>
    </row>
    <row r="671" spans="1:220">
      <c r="A671" s="24">
        <v>5</v>
      </c>
      <c r="B671" s="24" t="str">
        <f>VLOOKUP(Ruimtestaat[[#This Row],[Code]],Locaties[#All],2,FALSE)</f>
        <v>Marke Zuid</v>
      </c>
      <c r="C671" s="24" t="str">
        <f>VLOOKUP(Ruimtestaat[[#This Row],[Code]],Locaties[#All],4,FALSE)</f>
        <v>Ludgerstraat 1</v>
      </c>
      <c r="D671" s="24" t="str">
        <f>VLOOKUP(Ruimtestaat[[#This Row],[Code]],Locaties[#All],5,FALSE)</f>
        <v>7415 DV</v>
      </c>
      <c r="E671" s="24" t="str">
        <f>VLOOKUP(Ruimtestaat[[#This Row],[Code]],Locaties[#All],6,FALSE)</f>
        <v>Deventer</v>
      </c>
      <c r="F671" s="54"/>
      <c r="G671" s="24" t="s">
        <v>367</v>
      </c>
      <c r="H671" s="24" t="s">
        <v>1133</v>
      </c>
      <c r="I671" s="4" t="s">
        <v>1134</v>
      </c>
      <c r="J671" s="24">
        <v>13</v>
      </c>
      <c r="K671" s="54" t="str">
        <f>VLOOKUP(J671,Ruimtegroepen[],2,FALSE)</f>
        <v>HV/Technieklokaal</v>
      </c>
      <c r="L671" s="24" t="s">
        <v>305</v>
      </c>
      <c r="M671" s="24" t="s">
        <v>1018</v>
      </c>
      <c r="N671" s="83">
        <v>293.83999999999997</v>
      </c>
      <c r="O671" s="83"/>
      <c r="P671" s="93" t="str">
        <f>LEFT(VLOOKUP(Ruimtestaat[[#This Row],[Ruimte code]],Ruimtegroepen[#All],4,1),2)</f>
        <v>Le</v>
      </c>
      <c r="Q671" s="93"/>
      <c r="R671" s="84">
        <v>40</v>
      </c>
      <c r="S671" s="84" t="s">
        <v>318</v>
      </c>
      <c r="T671" s="85">
        <f>IF(R671&gt;0,IF(RIGHT(Ruimtestaat[[#This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1" s="85">
        <f>IF(T671&gt;0,VLOOKUP($J671,Ruimtegroepen[],3,FALSE)*VLOOKUP($L671,Vloersoorten[],3,FALSE)*VLOOKUP($S671,Frequenties[],3,FALSE)*VLOOKUP($A671,Locaties[],3,FALSE),0)</f>
        <v>0</v>
      </c>
      <c r="V671" s="86">
        <f>Ruimtestaat[[#This Row],[Uitvoeringen werkdagen]]*Ruimtestaat[[#This Row],[Oppervlak (netto)]]</f>
        <v>58767.999999999993</v>
      </c>
      <c r="W671" s="87">
        <f>IF(U671&gt;0,Ruimtestaat[[#This Row],[Prest. (m2 /jaar) werkdagen]]/Ruimtestaat[[#This Row],[Norm (m2/uur) werkdagen]],0)</f>
        <v>0</v>
      </c>
      <c r="X671" s="88">
        <f>Ruimtestaat[[#This Row],[uren / jaar werkdagen]]*Tariefsopbouw!$E$35</f>
        <v>0</v>
      </c>
      <c r="Y671" s="85"/>
      <c r="Z671" s="89">
        <f>IF(Ruimtestaat[[#This Row],[Frequentie weekend]]&gt;0,VALUE(LEFT(Y671,1))*R671,0)</f>
        <v>0</v>
      </c>
      <c r="AA671" s="85">
        <f>IF($Z671&gt;0,VLOOKUP($J671,Ruimtegroepen[],3,FALSE)*VLOOKUP($L671,Vloersoorten[],3,FALSE)*VLOOKUP($Y671,Frequenties[],3,FALSE)*VLOOKUP(#REF!,Locaties[],3,FALSE),0)</f>
        <v>0</v>
      </c>
      <c r="AB671" s="87">
        <f>Ruimtestaat[[#This Row],[Uitvoeringen weekend]]*Ruimtestaat[[#This Row],[Oppervlak (netto)]]</f>
        <v>0</v>
      </c>
      <c r="AC671" s="90">
        <f>IF(AB671&gt;0,Ruimtestaat[[#This Row],[Prest. (m2 /jaar) weekend]]/Ruimtestaat[[#This Row],[Norm (m2/uur) weekend]],0)</f>
        <v>0</v>
      </c>
      <c r="AD671" s="91">
        <f>Ruimtestaat[[#This Row],[uren / jaar weekend]]*Tariefsopbouw!$D$40</f>
        <v>0</v>
      </c>
      <c r="AE671" s="60">
        <f>Ruimtestaat[[#This Row],[Prest. (m2 /jaar) weekend]]+Ruimtestaat[[#This Row],[Prest. (m2 /jaar) werkdagen]]</f>
        <v>58767.999999999993</v>
      </c>
      <c r="AF671" s="60">
        <f>Ruimtestaat[[#This Row],[uren / jaar weekend]]+Ruimtestaat[[#This Row],[uren / jaar werkdagen]]</f>
        <v>0</v>
      </c>
      <c r="AG671" s="61">
        <f>Ruimtestaat[[#This Row],[kosten / jaar weekend]]+Ruimtestaat[[#This Row],[kosten / jaar werkdagen]]</f>
        <v>0</v>
      </c>
      <c r="AH671" s="92"/>
      <c r="HL671" s="59"/>
    </row>
    <row r="672" spans="1:220">
      <c r="A672" s="24">
        <v>5</v>
      </c>
      <c r="B672" s="24" t="str">
        <f>VLOOKUP(Ruimtestaat[[#This Row],[Code]],Locaties[#All],2,FALSE)</f>
        <v>Marke Zuid</v>
      </c>
      <c r="C672" s="24" t="str">
        <f>VLOOKUP(Ruimtestaat[[#This Row],[Code]],Locaties[#All],4,FALSE)</f>
        <v>Ludgerstraat 1</v>
      </c>
      <c r="D672" s="24" t="str">
        <f>VLOOKUP(Ruimtestaat[[#This Row],[Code]],Locaties[#All],5,FALSE)</f>
        <v>7415 DV</v>
      </c>
      <c r="E672" s="24" t="str">
        <f>VLOOKUP(Ruimtestaat[[#This Row],[Code]],Locaties[#All],6,FALSE)</f>
        <v>Deventer</v>
      </c>
      <c r="F672" s="54"/>
      <c r="G672" s="24" t="s">
        <v>367</v>
      </c>
      <c r="H672" s="24" t="s">
        <v>1135</v>
      </c>
      <c r="I672" s="4" t="s">
        <v>1136</v>
      </c>
      <c r="J672" s="24">
        <v>13</v>
      </c>
      <c r="K672" s="54" t="str">
        <f>VLOOKUP(J672,Ruimtegroepen[],2,FALSE)</f>
        <v>HV/Technieklokaal</v>
      </c>
      <c r="L672" s="24" t="s">
        <v>305</v>
      </c>
      <c r="M672" s="24" t="s">
        <v>376</v>
      </c>
      <c r="N672" s="83">
        <v>68.150000000000006</v>
      </c>
      <c r="O672" s="83"/>
      <c r="P672" s="93" t="str">
        <f>LEFT(VLOOKUP(Ruimtestaat[[#This Row],[Ruimte code]],Ruimtegroepen[#All],4,1),2)</f>
        <v>Le</v>
      </c>
      <c r="Q672" s="93"/>
      <c r="R672" s="84">
        <v>40</v>
      </c>
      <c r="S672" s="84" t="s">
        <v>318</v>
      </c>
      <c r="T672" s="85">
        <f>IF(R672&gt;0,IF(RIGHT(Ruimtestaat[[#This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2" s="85">
        <f>IF(T672&gt;0,VLOOKUP($J672,Ruimtegroepen[],3,FALSE)*VLOOKUP($L672,Vloersoorten[],3,FALSE)*VLOOKUP($S672,Frequenties[],3,FALSE)*VLOOKUP($A672,Locaties[],3,FALSE),0)</f>
        <v>0</v>
      </c>
      <c r="V672" s="86">
        <f>Ruimtestaat[[#This Row],[Uitvoeringen werkdagen]]*Ruimtestaat[[#This Row],[Oppervlak (netto)]]</f>
        <v>13630.000000000002</v>
      </c>
      <c r="W672" s="87">
        <f>IF(U672&gt;0,Ruimtestaat[[#This Row],[Prest. (m2 /jaar) werkdagen]]/Ruimtestaat[[#This Row],[Norm (m2/uur) werkdagen]],0)</f>
        <v>0</v>
      </c>
      <c r="X672" s="88">
        <f>Ruimtestaat[[#This Row],[uren / jaar werkdagen]]*Tariefsopbouw!$E$35</f>
        <v>0</v>
      </c>
      <c r="Y672" s="85"/>
      <c r="Z672" s="89">
        <f>IF(Ruimtestaat[[#This Row],[Frequentie weekend]]&gt;0,VALUE(LEFT(Y672,1))*R672,0)</f>
        <v>0</v>
      </c>
      <c r="AA672" s="85">
        <f>IF($Z672&gt;0,VLOOKUP($J672,Ruimtegroepen[],3,FALSE)*VLOOKUP($L672,Vloersoorten[],3,FALSE)*VLOOKUP($Y672,Frequenties[],3,FALSE)*VLOOKUP(#REF!,Locaties[],3,FALSE),0)</f>
        <v>0</v>
      </c>
      <c r="AB672" s="87">
        <f>Ruimtestaat[[#This Row],[Uitvoeringen weekend]]*Ruimtestaat[[#This Row],[Oppervlak (netto)]]</f>
        <v>0</v>
      </c>
      <c r="AC672" s="90">
        <f>IF(AB672&gt;0,Ruimtestaat[[#This Row],[Prest. (m2 /jaar) weekend]]/Ruimtestaat[[#This Row],[Norm (m2/uur) weekend]],0)</f>
        <v>0</v>
      </c>
      <c r="AD672" s="91">
        <f>Ruimtestaat[[#This Row],[uren / jaar weekend]]*Tariefsopbouw!$D$40</f>
        <v>0</v>
      </c>
      <c r="AE672" s="60">
        <f>Ruimtestaat[[#This Row],[Prest. (m2 /jaar) weekend]]+Ruimtestaat[[#This Row],[Prest. (m2 /jaar) werkdagen]]</f>
        <v>13630.000000000002</v>
      </c>
      <c r="AF672" s="60">
        <f>Ruimtestaat[[#This Row],[uren / jaar weekend]]+Ruimtestaat[[#This Row],[uren / jaar werkdagen]]</f>
        <v>0</v>
      </c>
      <c r="AG672" s="61">
        <f>Ruimtestaat[[#This Row],[kosten / jaar weekend]]+Ruimtestaat[[#This Row],[kosten / jaar werkdagen]]</f>
        <v>0</v>
      </c>
      <c r="AH672" s="92"/>
      <c r="HL672" s="59"/>
    </row>
    <row r="673" spans="1:220">
      <c r="A673" s="24">
        <v>5</v>
      </c>
      <c r="B673" s="24" t="str">
        <f>VLOOKUP(Ruimtestaat[[#This Row],[Code]],Locaties[#All],2,FALSE)</f>
        <v>Marke Zuid</v>
      </c>
      <c r="C673" s="24" t="str">
        <f>VLOOKUP(Ruimtestaat[[#This Row],[Code]],Locaties[#All],4,FALSE)</f>
        <v>Ludgerstraat 1</v>
      </c>
      <c r="D673" s="24" t="str">
        <f>VLOOKUP(Ruimtestaat[[#This Row],[Code]],Locaties[#All],5,FALSE)</f>
        <v>7415 DV</v>
      </c>
      <c r="E673" s="24" t="str">
        <f>VLOOKUP(Ruimtestaat[[#This Row],[Code]],Locaties[#All],6,FALSE)</f>
        <v>Deventer</v>
      </c>
      <c r="F673" s="54"/>
      <c r="G673" s="24" t="s">
        <v>367</v>
      </c>
      <c r="H673" s="24" t="s">
        <v>1137</v>
      </c>
      <c r="I673" s="4" t="s">
        <v>1138</v>
      </c>
      <c r="J673" s="24">
        <v>13</v>
      </c>
      <c r="K673" s="54" t="str">
        <f>VLOOKUP(J673,Ruimtegroepen[],2,FALSE)</f>
        <v>HV/Technieklokaal</v>
      </c>
      <c r="L673" s="24" t="s">
        <v>305</v>
      </c>
      <c r="M673" s="24" t="s">
        <v>376</v>
      </c>
      <c r="N673" s="83">
        <v>6.33</v>
      </c>
      <c r="O673" s="83"/>
      <c r="P673" s="93" t="str">
        <f>LEFT(VLOOKUP(Ruimtestaat[[#This Row],[Ruimte code]],Ruimtegroepen[#All],4,1),2)</f>
        <v>Le</v>
      </c>
      <c r="Q673" s="93"/>
      <c r="R673" s="84">
        <v>40</v>
      </c>
      <c r="S673" s="84" t="s">
        <v>318</v>
      </c>
      <c r="T673" s="85">
        <f>IF(R673&gt;0,IF(RIGHT(Ruimtestaat[[#This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3" s="85">
        <f>IF(T673&gt;0,VLOOKUP($J673,Ruimtegroepen[],3,FALSE)*VLOOKUP($L673,Vloersoorten[],3,FALSE)*VLOOKUP($S673,Frequenties[],3,FALSE)*VLOOKUP($A673,Locaties[],3,FALSE),0)</f>
        <v>0</v>
      </c>
      <c r="V673" s="86">
        <f>Ruimtestaat[[#This Row],[Uitvoeringen werkdagen]]*Ruimtestaat[[#This Row],[Oppervlak (netto)]]</f>
        <v>1266</v>
      </c>
      <c r="W673" s="87">
        <f>IF(U673&gt;0,Ruimtestaat[[#This Row],[Prest. (m2 /jaar) werkdagen]]/Ruimtestaat[[#This Row],[Norm (m2/uur) werkdagen]],0)</f>
        <v>0</v>
      </c>
      <c r="X673" s="88">
        <f>Ruimtestaat[[#This Row],[uren / jaar werkdagen]]*Tariefsopbouw!$E$35</f>
        <v>0</v>
      </c>
      <c r="Y673" s="85"/>
      <c r="Z673" s="89">
        <f>IF(Ruimtestaat[[#This Row],[Frequentie weekend]]&gt;0,VALUE(LEFT(Y673,1))*R673,0)</f>
        <v>0</v>
      </c>
      <c r="AA673" s="85">
        <f>IF($Z673&gt;0,VLOOKUP($J673,Ruimtegroepen[],3,FALSE)*VLOOKUP($L673,Vloersoorten[],3,FALSE)*VLOOKUP($Y673,Frequenties[],3,FALSE)*VLOOKUP(#REF!,Locaties[],3,FALSE),0)</f>
        <v>0</v>
      </c>
      <c r="AB673" s="87">
        <f>Ruimtestaat[[#This Row],[Uitvoeringen weekend]]*Ruimtestaat[[#This Row],[Oppervlak (netto)]]</f>
        <v>0</v>
      </c>
      <c r="AC673" s="90">
        <f>IF(AB673&gt;0,Ruimtestaat[[#This Row],[Prest. (m2 /jaar) weekend]]/Ruimtestaat[[#This Row],[Norm (m2/uur) weekend]],0)</f>
        <v>0</v>
      </c>
      <c r="AD673" s="91">
        <f>Ruimtestaat[[#This Row],[uren / jaar weekend]]*Tariefsopbouw!$D$40</f>
        <v>0</v>
      </c>
      <c r="AE673" s="60">
        <f>Ruimtestaat[[#This Row],[Prest. (m2 /jaar) weekend]]+Ruimtestaat[[#This Row],[Prest. (m2 /jaar) werkdagen]]</f>
        <v>1266</v>
      </c>
      <c r="AF673" s="60">
        <f>Ruimtestaat[[#This Row],[uren / jaar weekend]]+Ruimtestaat[[#This Row],[uren / jaar werkdagen]]</f>
        <v>0</v>
      </c>
      <c r="AG673" s="61">
        <f>Ruimtestaat[[#This Row],[kosten / jaar weekend]]+Ruimtestaat[[#This Row],[kosten / jaar werkdagen]]</f>
        <v>0</v>
      </c>
      <c r="AH673" s="92"/>
      <c r="HL673" s="59"/>
    </row>
    <row r="674" spans="1:220">
      <c r="A674" s="24">
        <v>5</v>
      </c>
      <c r="B674" s="24" t="str">
        <f>VLOOKUP(Ruimtestaat[[#This Row],[Code]],Locaties[#All],2,FALSE)</f>
        <v>Marke Zuid</v>
      </c>
      <c r="C674" s="24" t="str">
        <f>VLOOKUP(Ruimtestaat[[#This Row],[Code]],Locaties[#All],4,FALSE)</f>
        <v>Ludgerstraat 1</v>
      </c>
      <c r="D674" s="24" t="str">
        <f>VLOOKUP(Ruimtestaat[[#This Row],[Code]],Locaties[#All],5,FALSE)</f>
        <v>7415 DV</v>
      </c>
      <c r="E674" s="24" t="str">
        <f>VLOOKUP(Ruimtestaat[[#This Row],[Code]],Locaties[#All],6,FALSE)</f>
        <v>Deventer</v>
      </c>
      <c r="F674" s="54"/>
      <c r="G674" s="24" t="s">
        <v>367</v>
      </c>
      <c r="H674" s="24" t="s">
        <v>1139</v>
      </c>
      <c r="I674" s="4" t="s">
        <v>1140</v>
      </c>
      <c r="J674" s="24">
        <v>16</v>
      </c>
      <c r="K674" s="54" t="str">
        <f>VLOOKUP(J674,Ruimtegroepen[],2,FALSE)</f>
        <v>Leslokalen theorie</v>
      </c>
      <c r="L674" s="24" t="s">
        <v>305</v>
      </c>
      <c r="M674" s="24" t="s">
        <v>376</v>
      </c>
      <c r="N674" s="83">
        <v>95.09</v>
      </c>
      <c r="O674" s="83"/>
      <c r="P674" s="93" t="str">
        <f>LEFT(VLOOKUP(Ruimtestaat[[#This Row],[Ruimte code]],Ruimtegroepen[#All],4,1),2)</f>
        <v>Le</v>
      </c>
      <c r="Q674" s="93"/>
      <c r="R674" s="84">
        <v>40</v>
      </c>
      <c r="S674" s="84" t="s">
        <v>318</v>
      </c>
      <c r="T674" s="85">
        <f>IF(R674&gt;0,IF(RIGHT(Ruimtestaat[[#This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4" s="85">
        <f>IF(T674&gt;0,VLOOKUP($J674,Ruimtegroepen[],3,FALSE)*VLOOKUP($L674,Vloersoorten[],3,FALSE)*VLOOKUP($S674,Frequenties[],3,FALSE)*VLOOKUP($A674,Locaties[],3,FALSE),0)</f>
        <v>0</v>
      </c>
      <c r="V674" s="86">
        <f>Ruimtestaat[[#This Row],[Uitvoeringen werkdagen]]*Ruimtestaat[[#This Row],[Oppervlak (netto)]]</f>
        <v>19018</v>
      </c>
      <c r="W674" s="87">
        <f>IF(U674&gt;0,Ruimtestaat[[#This Row],[Prest. (m2 /jaar) werkdagen]]/Ruimtestaat[[#This Row],[Norm (m2/uur) werkdagen]],0)</f>
        <v>0</v>
      </c>
      <c r="X674" s="88">
        <f>Ruimtestaat[[#This Row],[uren / jaar werkdagen]]*Tariefsopbouw!$E$35</f>
        <v>0</v>
      </c>
      <c r="Y674" s="85"/>
      <c r="Z674" s="89">
        <f>IF(Ruimtestaat[[#This Row],[Frequentie weekend]]&gt;0,VALUE(LEFT(Y674,1))*R674,0)</f>
        <v>0</v>
      </c>
      <c r="AA674" s="85">
        <f>IF($Z674&gt;0,VLOOKUP($J674,Ruimtegroepen[],3,FALSE)*VLOOKUP($L674,Vloersoorten[],3,FALSE)*VLOOKUP($Y674,Frequenties[],3,FALSE)*VLOOKUP(#REF!,Locaties[],3,FALSE),0)</f>
        <v>0</v>
      </c>
      <c r="AB674" s="87">
        <f>Ruimtestaat[[#This Row],[Uitvoeringen weekend]]*Ruimtestaat[[#This Row],[Oppervlak (netto)]]</f>
        <v>0</v>
      </c>
      <c r="AC674" s="90">
        <f>IF(AB674&gt;0,Ruimtestaat[[#This Row],[Prest. (m2 /jaar) weekend]]/Ruimtestaat[[#This Row],[Norm (m2/uur) weekend]],0)</f>
        <v>0</v>
      </c>
      <c r="AD674" s="91">
        <f>Ruimtestaat[[#This Row],[uren / jaar weekend]]*Tariefsopbouw!$D$40</f>
        <v>0</v>
      </c>
      <c r="AE674" s="60">
        <f>Ruimtestaat[[#This Row],[Prest. (m2 /jaar) weekend]]+Ruimtestaat[[#This Row],[Prest. (m2 /jaar) werkdagen]]</f>
        <v>19018</v>
      </c>
      <c r="AF674" s="60">
        <f>Ruimtestaat[[#This Row],[uren / jaar weekend]]+Ruimtestaat[[#This Row],[uren / jaar werkdagen]]</f>
        <v>0</v>
      </c>
      <c r="AG674" s="61">
        <f>Ruimtestaat[[#This Row],[kosten / jaar weekend]]+Ruimtestaat[[#This Row],[kosten / jaar werkdagen]]</f>
        <v>0</v>
      </c>
      <c r="AH674" s="92"/>
      <c r="HL674" s="59"/>
    </row>
    <row r="675" spans="1:220">
      <c r="A675" s="24">
        <v>5</v>
      </c>
      <c r="B675" s="24" t="str">
        <f>VLOOKUP(Ruimtestaat[[#This Row],[Code]],Locaties[#All],2,FALSE)</f>
        <v>Marke Zuid</v>
      </c>
      <c r="C675" s="24" t="str">
        <f>VLOOKUP(Ruimtestaat[[#This Row],[Code]],Locaties[#All],4,FALSE)</f>
        <v>Ludgerstraat 1</v>
      </c>
      <c r="D675" s="24" t="str">
        <f>VLOOKUP(Ruimtestaat[[#This Row],[Code]],Locaties[#All],5,FALSE)</f>
        <v>7415 DV</v>
      </c>
      <c r="E675" s="24" t="str">
        <f>VLOOKUP(Ruimtestaat[[#This Row],[Code]],Locaties[#All],6,FALSE)</f>
        <v>Deventer</v>
      </c>
      <c r="F675" s="54"/>
      <c r="G675" s="24" t="s">
        <v>367</v>
      </c>
      <c r="H675" s="24" t="s">
        <v>1141</v>
      </c>
      <c r="I675" s="4" t="s">
        <v>589</v>
      </c>
      <c r="J675" s="24">
        <v>22</v>
      </c>
      <c r="K675" s="54" t="str">
        <f>VLOOKUP(J675,Ruimtegroepen[],2,FALSE)</f>
        <v>Niet in onderhoud</v>
      </c>
      <c r="L675" s="24" t="s">
        <v>308</v>
      </c>
      <c r="M675" s="24" t="s">
        <v>590</v>
      </c>
      <c r="N675" s="83"/>
      <c r="O675" s="83">
        <v>7.26</v>
      </c>
      <c r="P675" s="93" t="str">
        <f>LEFT(VLOOKUP(Ruimtestaat[[#This Row],[Ruimte code]],Ruimtegroepen[#All],4,1),2)</f>
        <v/>
      </c>
      <c r="Q675" s="93"/>
      <c r="R675" s="84"/>
      <c r="S675" s="84"/>
      <c r="T675" s="85">
        <f>IF(R675&gt;0,IF(RIGHT(Ruimtestaat[[#This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75" s="85">
        <f>IF(T675&gt;0,VLOOKUP($J675,Ruimtegroepen[],3,FALSE)*VLOOKUP($L675,Vloersoorten[],3,FALSE)*VLOOKUP($S675,Frequenties[],3,FALSE)*VLOOKUP($A675,Locaties[],3,FALSE),0)</f>
        <v>0</v>
      </c>
      <c r="V675" s="86">
        <f>Ruimtestaat[[#This Row],[Uitvoeringen werkdagen]]*Ruimtestaat[[#This Row],[Oppervlak (netto)]]</f>
        <v>0</v>
      </c>
      <c r="W675" s="87">
        <f>IF(U675&gt;0,Ruimtestaat[[#This Row],[Prest. (m2 /jaar) werkdagen]]/Ruimtestaat[[#This Row],[Norm (m2/uur) werkdagen]],0)</f>
        <v>0</v>
      </c>
      <c r="X675" s="88">
        <f>Ruimtestaat[[#This Row],[uren / jaar werkdagen]]*Tariefsopbouw!$E$35</f>
        <v>0</v>
      </c>
      <c r="Y675" s="85"/>
      <c r="Z675" s="89">
        <f>IF(Ruimtestaat[[#This Row],[Frequentie weekend]]&gt;0,VALUE(LEFT(Y675,1))*R675,0)</f>
        <v>0</v>
      </c>
      <c r="AA675" s="85">
        <f>IF($Z675&gt;0,VLOOKUP($J675,Ruimtegroepen[],3,FALSE)*VLOOKUP($L675,Vloersoorten[],3,FALSE)*VLOOKUP($Y675,Frequenties[],3,FALSE)*VLOOKUP(#REF!,Locaties[],3,FALSE),0)</f>
        <v>0</v>
      </c>
      <c r="AB675" s="87">
        <f>Ruimtestaat[[#This Row],[Uitvoeringen weekend]]*Ruimtestaat[[#This Row],[Oppervlak (netto)]]</f>
        <v>0</v>
      </c>
      <c r="AC675" s="90">
        <f>IF(AB675&gt;0,Ruimtestaat[[#This Row],[Prest. (m2 /jaar) weekend]]/Ruimtestaat[[#This Row],[Norm (m2/uur) weekend]],0)</f>
        <v>0</v>
      </c>
      <c r="AD675" s="91">
        <f>Ruimtestaat[[#This Row],[uren / jaar weekend]]*Tariefsopbouw!$D$40</f>
        <v>0</v>
      </c>
      <c r="AE675" s="60">
        <f>Ruimtestaat[[#This Row],[Prest. (m2 /jaar) weekend]]+Ruimtestaat[[#This Row],[Prest. (m2 /jaar) werkdagen]]</f>
        <v>0</v>
      </c>
      <c r="AF675" s="60">
        <f>Ruimtestaat[[#This Row],[uren / jaar weekend]]+Ruimtestaat[[#This Row],[uren / jaar werkdagen]]</f>
        <v>0</v>
      </c>
      <c r="AG675" s="61">
        <f>Ruimtestaat[[#This Row],[kosten / jaar weekend]]+Ruimtestaat[[#This Row],[kosten / jaar werkdagen]]</f>
        <v>0</v>
      </c>
      <c r="AH675" s="92"/>
      <c r="HL675" s="59"/>
    </row>
    <row r="676" spans="1:220">
      <c r="A676" s="24">
        <v>5</v>
      </c>
      <c r="B676" s="24" t="str">
        <f>VLOOKUP(Ruimtestaat[[#This Row],[Code]],Locaties[#All],2,FALSE)</f>
        <v>Marke Zuid</v>
      </c>
      <c r="C676" s="24" t="str">
        <f>VLOOKUP(Ruimtestaat[[#This Row],[Code]],Locaties[#All],4,FALSE)</f>
        <v>Ludgerstraat 1</v>
      </c>
      <c r="D676" s="24" t="str">
        <f>VLOOKUP(Ruimtestaat[[#This Row],[Code]],Locaties[#All],5,FALSE)</f>
        <v>7415 DV</v>
      </c>
      <c r="E676" s="24" t="str">
        <f>VLOOKUP(Ruimtestaat[[#This Row],[Code]],Locaties[#All],6,FALSE)</f>
        <v>Deventer</v>
      </c>
      <c r="F676" s="54"/>
      <c r="G676" s="24" t="s">
        <v>367</v>
      </c>
      <c r="H676" s="24" t="s">
        <v>1142</v>
      </c>
      <c r="I676" s="4" t="s">
        <v>1097</v>
      </c>
      <c r="J676" s="24">
        <v>2</v>
      </c>
      <c r="K676" s="54" t="str">
        <f>VLOOKUP(J676,Ruimtegroepen[],2,FALSE)</f>
        <v>Kantoren</v>
      </c>
      <c r="L676" s="24" t="s">
        <v>300</v>
      </c>
      <c r="M676" s="24" t="s">
        <v>997</v>
      </c>
      <c r="N676" s="83">
        <v>14.89</v>
      </c>
      <c r="O676" s="83"/>
      <c r="P676" s="93" t="str">
        <f>LEFT(VLOOKUP(Ruimtestaat[[#This Row],[Ruimte code]],Ruimtegroepen[#All],4,1),2)</f>
        <v>Bu</v>
      </c>
      <c r="Q676" s="93"/>
      <c r="R676" s="84">
        <v>42</v>
      </c>
      <c r="S676" s="84" t="s">
        <v>322</v>
      </c>
      <c r="T676" s="85">
        <f>IF(R676&gt;0,IF(RIGHT(Ruimtestaat[[#This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76" s="85">
        <f>IF(T676&gt;0,VLOOKUP($J676,Ruimtegroepen[],3,FALSE)*VLOOKUP($L676,Vloersoorten[],3,FALSE)*VLOOKUP($S676,Frequenties[],3,FALSE)*VLOOKUP($A676,Locaties[],3,FALSE),0)</f>
        <v>0</v>
      </c>
      <c r="V676" s="86">
        <f>Ruimtestaat[[#This Row],[Uitvoeringen werkdagen]]*Ruimtestaat[[#This Row],[Oppervlak (netto)]]</f>
        <v>1876.14</v>
      </c>
      <c r="W676" s="87">
        <f>IF(U676&gt;0,Ruimtestaat[[#This Row],[Prest. (m2 /jaar) werkdagen]]/Ruimtestaat[[#This Row],[Norm (m2/uur) werkdagen]],0)</f>
        <v>0</v>
      </c>
      <c r="X676" s="88">
        <f>Ruimtestaat[[#This Row],[uren / jaar werkdagen]]*Tariefsopbouw!$E$35</f>
        <v>0</v>
      </c>
      <c r="Y676" s="85"/>
      <c r="Z676" s="89">
        <f>IF(Ruimtestaat[[#This Row],[Frequentie weekend]]&gt;0,VALUE(LEFT(Y676,1))*R676,0)</f>
        <v>0</v>
      </c>
      <c r="AA676" s="85">
        <f>IF($Z676&gt;0,VLOOKUP($J676,Ruimtegroepen[],3,FALSE)*VLOOKUP($L676,Vloersoorten[],3,FALSE)*VLOOKUP($Y676,Frequenties[],3,FALSE)*VLOOKUP(#REF!,Locaties[],3,FALSE),0)</f>
        <v>0</v>
      </c>
      <c r="AB676" s="87">
        <f>Ruimtestaat[[#This Row],[Uitvoeringen weekend]]*Ruimtestaat[[#This Row],[Oppervlak (netto)]]</f>
        <v>0</v>
      </c>
      <c r="AC676" s="90">
        <f>IF(AB676&gt;0,Ruimtestaat[[#This Row],[Prest. (m2 /jaar) weekend]]/Ruimtestaat[[#This Row],[Norm (m2/uur) weekend]],0)</f>
        <v>0</v>
      </c>
      <c r="AD676" s="91">
        <f>Ruimtestaat[[#This Row],[uren / jaar weekend]]*Tariefsopbouw!$D$40</f>
        <v>0</v>
      </c>
      <c r="AE676" s="60">
        <f>Ruimtestaat[[#This Row],[Prest. (m2 /jaar) weekend]]+Ruimtestaat[[#This Row],[Prest. (m2 /jaar) werkdagen]]</f>
        <v>1876.14</v>
      </c>
      <c r="AF676" s="60">
        <f>Ruimtestaat[[#This Row],[uren / jaar weekend]]+Ruimtestaat[[#This Row],[uren / jaar werkdagen]]</f>
        <v>0</v>
      </c>
      <c r="AG676" s="61">
        <f>Ruimtestaat[[#This Row],[kosten / jaar weekend]]+Ruimtestaat[[#This Row],[kosten / jaar werkdagen]]</f>
        <v>0</v>
      </c>
      <c r="AH676" s="92"/>
      <c r="HL676" s="59"/>
    </row>
    <row r="677" spans="1:220">
      <c r="A677" s="24">
        <v>5</v>
      </c>
      <c r="B677" s="24" t="str">
        <f>VLOOKUP(Ruimtestaat[[#This Row],[Code]],Locaties[#All],2,FALSE)</f>
        <v>Marke Zuid</v>
      </c>
      <c r="C677" s="24" t="str">
        <f>VLOOKUP(Ruimtestaat[[#This Row],[Code]],Locaties[#All],4,FALSE)</f>
        <v>Ludgerstraat 1</v>
      </c>
      <c r="D677" s="24" t="str">
        <f>VLOOKUP(Ruimtestaat[[#This Row],[Code]],Locaties[#All],5,FALSE)</f>
        <v>7415 DV</v>
      </c>
      <c r="E677" s="24" t="str">
        <f>VLOOKUP(Ruimtestaat[[#This Row],[Code]],Locaties[#All],6,FALSE)</f>
        <v>Deventer</v>
      </c>
      <c r="F677" s="54"/>
      <c r="G677" s="24" t="s">
        <v>367</v>
      </c>
      <c r="H677" s="24" t="s">
        <v>1143</v>
      </c>
      <c r="I677" s="4" t="s">
        <v>1097</v>
      </c>
      <c r="J677" s="24">
        <v>2</v>
      </c>
      <c r="K677" s="54" t="str">
        <f>VLOOKUP(J677,Ruimtegroepen[],2,FALSE)</f>
        <v>Kantoren</v>
      </c>
      <c r="L677" s="24" t="s">
        <v>300</v>
      </c>
      <c r="M677" s="24" t="s">
        <v>997</v>
      </c>
      <c r="N677" s="83">
        <v>17.48</v>
      </c>
      <c r="O677" s="83"/>
      <c r="P677" s="93" t="str">
        <f>LEFT(VLOOKUP(Ruimtestaat[[#This Row],[Ruimte code]],Ruimtegroepen[#All],4,1),2)</f>
        <v>Bu</v>
      </c>
      <c r="Q677" s="93"/>
      <c r="R677" s="84">
        <v>42</v>
      </c>
      <c r="S677" s="84" t="s">
        <v>322</v>
      </c>
      <c r="T677" s="85">
        <f>IF(R677&gt;0,IF(RIGHT(Ruimtestaat[[#This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77" s="85">
        <f>IF(T677&gt;0,VLOOKUP($J677,Ruimtegroepen[],3,FALSE)*VLOOKUP($L677,Vloersoorten[],3,FALSE)*VLOOKUP($S677,Frequenties[],3,FALSE)*VLOOKUP($A677,Locaties[],3,FALSE),0)</f>
        <v>0</v>
      </c>
      <c r="V677" s="86">
        <f>Ruimtestaat[[#This Row],[Uitvoeringen werkdagen]]*Ruimtestaat[[#This Row],[Oppervlak (netto)]]</f>
        <v>2202.48</v>
      </c>
      <c r="W677" s="87">
        <f>IF(U677&gt;0,Ruimtestaat[[#This Row],[Prest. (m2 /jaar) werkdagen]]/Ruimtestaat[[#This Row],[Norm (m2/uur) werkdagen]],0)</f>
        <v>0</v>
      </c>
      <c r="X677" s="88">
        <f>Ruimtestaat[[#This Row],[uren / jaar werkdagen]]*Tariefsopbouw!$E$35</f>
        <v>0</v>
      </c>
      <c r="Y677" s="85"/>
      <c r="Z677" s="89">
        <f>IF(Ruimtestaat[[#This Row],[Frequentie weekend]]&gt;0,VALUE(LEFT(Y677,1))*R677,0)</f>
        <v>0</v>
      </c>
      <c r="AA677" s="85">
        <f>IF($Z677&gt;0,VLOOKUP($J677,Ruimtegroepen[],3,FALSE)*VLOOKUP($L677,Vloersoorten[],3,FALSE)*VLOOKUP($Y677,Frequenties[],3,FALSE)*VLOOKUP(#REF!,Locaties[],3,FALSE),0)</f>
        <v>0</v>
      </c>
      <c r="AB677" s="87">
        <f>Ruimtestaat[[#This Row],[Uitvoeringen weekend]]*Ruimtestaat[[#This Row],[Oppervlak (netto)]]</f>
        <v>0</v>
      </c>
      <c r="AC677" s="90">
        <f>IF(AB677&gt;0,Ruimtestaat[[#This Row],[Prest. (m2 /jaar) weekend]]/Ruimtestaat[[#This Row],[Norm (m2/uur) weekend]],0)</f>
        <v>0</v>
      </c>
      <c r="AD677" s="91">
        <f>Ruimtestaat[[#This Row],[uren / jaar weekend]]*Tariefsopbouw!$D$40</f>
        <v>0</v>
      </c>
      <c r="AE677" s="60">
        <f>Ruimtestaat[[#This Row],[Prest. (m2 /jaar) weekend]]+Ruimtestaat[[#This Row],[Prest. (m2 /jaar) werkdagen]]</f>
        <v>2202.48</v>
      </c>
      <c r="AF677" s="60">
        <f>Ruimtestaat[[#This Row],[uren / jaar weekend]]+Ruimtestaat[[#This Row],[uren / jaar werkdagen]]</f>
        <v>0</v>
      </c>
      <c r="AG677" s="61">
        <f>Ruimtestaat[[#This Row],[kosten / jaar weekend]]+Ruimtestaat[[#This Row],[kosten / jaar werkdagen]]</f>
        <v>0</v>
      </c>
      <c r="AH677" s="92"/>
      <c r="HL677" s="59"/>
    </row>
    <row r="678" spans="1:220">
      <c r="A678" s="24">
        <v>5</v>
      </c>
      <c r="B678" s="24" t="str">
        <f>VLOOKUP(Ruimtestaat[[#This Row],[Code]],Locaties[#All],2,FALSE)</f>
        <v>Marke Zuid</v>
      </c>
      <c r="C678" s="24" t="str">
        <f>VLOOKUP(Ruimtestaat[[#This Row],[Code]],Locaties[#All],4,FALSE)</f>
        <v>Ludgerstraat 1</v>
      </c>
      <c r="D678" s="24" t="str">
        <f>VLOOKUP(Ruimtestaat[[#This Row],[Code]],Locaties[#All],5,FALSE)</f>
        <v>7415 DV</v>
      </c>
      <c r="E678" s="24" t="str">
        <f>VLOOKUP(Ruimtestaat[[#This Row],[Code]],Locaties[#All],6,FALSE)</f>
        <v>Deventer</v>
      </c>
      <c r="F678" s="54"/>
      <c r="G678" s="24" t="s">
        <v>367</v>
      </c>
      <c r="H678" s="24" t="s">
        <v>1144</v>
      </c>
      <c r="I678" s="253" t="s">
        <v>2022</v>
      </c>
      <c r="J678" s="24">
        <v>11</v>
      </c>
      <c r="K678" s="54" t="str">
        <f>VLOOKUP(J678,Ruimtegroepen[],2,FALSE)</f>
        <v>Kooklokaal/leskeuken</v>
      </c>
      <c r="L678" s="24" t="s">
        <v>300</v>
      </c>
      <c r="M678" s="24" t="s">
        <v>1145</v>
      </c>
      <c r="N678" s="83">
        <v>201.62</v>
      </c>
      <c r="O678" s="83"/>
      <c r="P678" s="93" t="str">
        <f>LEFT(VLOOKUP(Ruimtestaat[[#This Row],[Ruimte code]],Ruimtegroepen[#All],4,1),2)</f>
        <v>Le</v>
      </c>
      <c r="Q678" s="93"/>
      <c r="R678" s="84">
        <v>40</v>
      </c>
      <c r="S678" s="84" t="s">
        <v>318</v>
      </c>
      <c r="T678" s="85">
        <f>IF(R678&gt;0,IF(RIGHT(Ruimtestaat[[#This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8" s="85">
        <f>IF(T678&gt;0,VLOOKUP($J678,Ruimtegroepen[],3,FALSE)*VLOOKUP($L678,Vloersoorten[],3,FALSE)*VLOOKUP($S678,Frequenties[],3,FALSE)*VLOOKUP($A678,Locaties[],3,FALSE),0)</f>
        <v>0</v>
      </c>
      <c r="V678" s="86">
        <f>Ruimtestaat[[#This Row],[Uitvoeringen werkdagen]]*Ruimtestaat[[#This Row],[Oppervlak (netto)]]</f>
        <v>40324</v>
      </c>
      <c r="W678" s="87">
        <f>IF(U678&gt;0,Ruimtestaat[[#This Row],[Prest. (m2 /jaar) werkdagen]]/Ruimtestaat[[#This Row],[Norm (m2/uur) werkdagen]],0)</f>
        <v>0</v>
      </c>
      <c r="X678" s="88">
        <f>Ruimtestaat[[#This Row],[uren / jaar werkdagen]]*Tariefsopbouw!$E$35</f>
        <v>0</v>
      </c>
      <c r="Y678" s="85"/>
      <c r="Z678" s="89">
        <f>IF(Ruimtestaat[[#This Row],[Frequentie weekend]]&gt;0,VALUE(LEFT(Y678,1))*R678,0)</f>
        <v>0</v>
      </c>
      <c r="AA678" s="85">
        <f>IF($Z678&gt;0,VLOOKUP($J678,Ruimtegroepen[],3,FALSE)*VLOOKUP($L678,Vloersoorten[],3,FALSE)*VLOOKUP($Y678,Frequenties[],3,FALSE)*VLOOKUP(#REF!,Locaties[],3,FALSE),0)</f>
        <v>0</v>
      </c>
      <c r="AB678" s="87">
        <f>Ruimtestaat[[#This Row],[Uitvoeringen weekend]]*Ruimtestaat[[#This Row],[Oppervlak (netto)]]</f>
        <v>0</v>
      </c>
      <c r="AC678" s="90">
        <f>IF(AB678&gt;0,Ruimtestaat[[#This Row],[Prest. (m2 /jaar) weekend]]/Ruimtestaat[[#This Row],[Norm (m2/uur) weekend]],0)</f>
        <v>0</v>
      </c>
      <c r="AD678" s="91">
        <f>Ruimtestaat[[#This Row],[uren / jaar weekend]]*Tariefsopbouw!$D$40</f>
        <v>0</v>
      </c>
      <c r="AE678" s="60">
        <f>Ruimtestaat[[#This Row],[Prest. (m2 /jaar) weekend]]+Ruimtestaat[[#This Row],[Prest. (m2 /jaar) werkdagen]]</f>
        <v>40324</v>
      </c>
      <c r="AF678" s="60">
        <f>Ruimtestaat[[#This Row],[uren / jaar weekend]]+Ruimtestaat[[#This Row],[uren / jaar werkdagen]]</f>
        <v>0</v>
      </c>
      <c r="AG678" s="61">
        <f>Ruimtestaat[[#This Row],[kosten / jaar weekend]]+Ruimtestaat[[#This Row],[kosten / jaar werkdagen]]</f>
        <v>0</v>
      </c>
      <c r="AH678" s="92"/>
      <c r="HL678" s="59"/>
    </row>
    <row r="679" spans="1:220">
      <c r="A679" s="24">
        <v>5</v>
      </c>
      <c r="B679" s="24" t="str">
        <f>VLOOKUP(Ruimtestaat[[#This Row],[Code]],Locaties[#All],2,FALSE)</f>
        <v>Marke Zuid</v>
      </c>
      <c r="C679" s="24" t="str">
        <f>VLOOKUP(Ruimtestaat[[#This Row],[Code]],Locaties[#All],4,FALSE)</f>
        <v>Ludgerstraat 1</v>
      </c>
      <c r="D679" s="24" t="str">
        <f>VLOOKUP(Ruimtestaat[[#This Row],[Code]],Locaties[#All],5,FALSE)</f>
        <v>7415 DV</v>
      </c>
      <c r="E679" s="24" t="str">
        <f>VLOOKUP(Ruimtestaat[[#This Row],[Code]],Locaties[#All],6,FALSE)</f>
        <v>Deventer</v>
      </c>
      <c r="F679" s="54"/>
      <c r="G679" s="24" t="s">
        <v>367</v>
      </c>
      <c r="H679" s="24" t="s">
        <v>1146</v>
      </c>
      <c r="I679" s="4" t="s">
        <v>1147</v>
      </c>
      <c r="J679" s="24">
        <v>16</v>
      </c>
      <c r="K679" s="54" t="str">
        <f>VLOOKUP(J679,Ruimtegroepen[],2,FALSE)</f>
        <v>Leslokalen theorie</v>
      </c>
      <c r="L679" s="24" t="s">
        <v>300</v>
      </c>
      <c r="M679" s="24" t="s">
        <v>997</v>
      </c>
      <c r="N679" s="83">
        <v>66.64</v>
      </c>
      <c r="O679" s="83"/>
      <c r="P679" s="93" t="str">
        <f>LEFT(VLOOKUP(Ruimtestaat[[#This Row],[Ruimte code]],Ruimtegroepen[#All],4,1),2)</f>
        <v>Le</v>
      </c>
      <c r="Q679" s="93"/>
      <c r="R679" s="84">
        <v>40</v>
      </c>
      <c r="S679" s="84" t="s">
        <v>318</v>
      </c>
      <c r="T679" s="85">
        <f>IF(R679&gt;0,IF(RIGHT(Ruimtestaat[[#This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9" s="85">
        <f>IF(T679&gt;0,VLOOKUP($J679,Ruimtegroepen[],3,FALSE)*VLOOKUP($L679,Vloersoorten[],3,FALSE)*VLOOKUP($S679,Frequenties[],3,FALSE)*VLOOKUP($A679,Locaties[],3,FALSE),0)</f>
        <v>0</v>
      </c>
      <c r="V679" s="86">
        <f>Ruimtestaat[[#This Row],[Uitvoeringen werkdagen]]*Ruimtestaat[[#This Row],[Oppervlak (netto)]]</f>
        <v>13328</v>
      </c>
      <c r="W679" s="87">
        <f>IF(U679&gt;0,Ruimtestaat[[#This Row],[Prest. (m2 /jaar) werkdagen]]/Ruimtestaat[[#This Row],[Norm (m2/uur) werkdagen]],0)</f>
        <v>0</v>
      </c>
      <c r="X679" s="88">
        <f>Ruimtestaat[[#This Row],[uren / jaar werkdagen]]*Tariefsopbouw!$E$35</f>
        <v>0</v>
      </c>
      <c r="Y679" s="85"/>
      <c r="Z679" s="89">
        <f>IF(Ruimtestaat[[#This Row],[Frequentie weekend]]&gt;0,VALUE(LEFT(Y679,1))*R679,0)</f>
        <v>0</v>
      </c>
      <c r="AA679" s="85">
        <f>IF($Z679&gt;0,VLOOKUP($J679,Ruimtegroepen[],3,FALSE)*VLOOKUP($L679,Vloersoorten[],3,FALSE)*VLOOKUP($Y679,Frequenties[],3,FALSE)*VLOOKUP(#REF!,Locaties[],3,FALSE),0)</f>
        <v>0</v>
      </c>
      <c r="AB679" s="87">
        <f>Ruimtestaat[[#This Row],[Uitvoeringen weekend]]*Ruimtestaat[[#This Row],[Oppervlak (netto)]]</f>
        <v>0</v>
      </c>
      <c r="AC679" s="90">
        <f>IF(AB679&gt;0,Ruimtestaat[[#This Row],[Prest. (m2 /jaar) weekend]]/Ruimtestaat[[#This Row],[Norm (m2/uur) weekend]],0)</f>
        <v>0</v>
      </c>
      <c r="AD679" s="91">
        <f>Ruimtestaat[[#This Row],[uren / jaar weekend]]*Tariefsopbouw!$D$40</f>
        <v>0</v>
      </c>
      <c r="AE679" s="60">
        <f>Ruimtestaat[[#This Row],[Prest. (m2 /jaar) weekend]]+Ruimtestaat[[#This Row],[Prest. (m2 /jaar) werkdagen]]</f>
        <v>13328</v>
      </c>
      <c r="AF679" s="60">
        <f>Ruimtestaat[[#This Row],[uren / jaar weekend]]+Ruimtestaat[[#This Row],[uren / jaar werkdagen]]</f>
        <v>0</v>
      </c>
      <c r="AG679" s="61">
        <f>Ruimtestaat[[#This Row],[kosten / jaar weekend]]+Ruimtestaat[[#This Row],[kosten / jaar werkdagen]]</f>
        <v>0</v>
      </c>
      <c r="AH679" s="92"/>
      <c r="HL679" s="59"/>
    </row>
    <row r="680" spans="1:220">
      <c r="A680" s="24">
        <v>5</v>
      </c>
      <c r="B680" s="24" t="str">
        <f>VLOOKUP(Ruimtestaat[[#This Row],[Code]],Locaties[#All],2,FALSE)</f>
        <v>Marke Zuid</v>
      </c>
      <c r="C680" s="24" t="str">
        <f>VLOOKUP(Ruimtestaat[[#This Row],[Code]],Locaties[#All],4,FALSE)</f>
        <v>Ludgerstraat 1</v>
      </c>
      <c r="D680" s="24" t="str">
        <f>VLOOKUP(Ruimtestaat[[#This Row],[Code]],Locaties[#All],5,FALSE)</f>
        <v>7415 DV</v>
      </c>
      <c r="E680" s="24" t="str">
        <f>VLOOKUP(Ruimtestaat[[#This Row],[Code]],Locaties[#All],6,FALSE)</f>
        <v>Deventer</v>
      </c>
      <c r="F680" s="54"/>
      <c r="G680" s="24" t="s">
        <v>367</v>
      </c>
      <c r="H680" s="24" t="s">
        <v>1148</v>
      </c>
      <c r="I680" s="4" t="s">
        <v>424</v>
      </c>
      <c r="J680" s="24">
        <v>13</v>
      </c>
      <c r="K680" s="54" t="str">
        <f>VLOOKUP(J680,Ruimtegroepen[],2,FALSE)</f>
        <v>HV/Technieklokaal</v>
      </c>
      <c r="L680" s="24" t="s">
        <v>305</v>
      </c>
      <c r="M680" s="24" t="s">
        <v>1018</v>
      </c>
      <c r="N680" s="83">
        <v>100.11</v>
      </c>
      <c r="O680" s="83"/>
      <c r="P680" s="93" t="str">
        <f>LEFT(VLOOKUP(Ruimtestaat[[#This Row],[Ruimte code]],Ruimtegroepen[#All],4,1),2)</f>
        <v>Le</v>
      </c>
      <c r="Q680" s="93"/>
      <c r="R680" s="84">
        <v>40</v>
      </c>
      <c r="S680" s="84" t="s">
        <v>318</v>
      </c>
      <c r="T680" s="85">
        <f>IF(R680&gt;0,IF(RIGHT(Ruimtestaat[[#This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0" s="85">
        <f>IF(T680&gt;0,VLOOKUP($J680,Ruimtegroepen[],3,FALSE)*VLOOKUP($L680,Vloersoorten[],3,FALSE)*VLOOKUP($S680,Frequenties[],3,FALSE)*VLOOKUP($A680,Locaties[],3,FALSE),0)</f>
        <v>0</v>
      </c>
      <c r="V680" s="86">
        <f>Ruimtestaat[[#This Row],[Uitvoeringen werkdagen]]*Ruimtestaat[[#This Row],[Oppervlak (netto)]]</f>
        <v>20022</v>
      </c>
      <c r="W680" s="87">
        <f>IF(U680&gt;0,Ruimtestaat[[#This Row],[Prest. (m2 /jaar) werkdagen]]/Ruimtestaat[[#This Row],[Norm (m2/uur) werkdagen]],0)</f>
        <v>0</v>
      </c>
      <c r="X680" s="88">
        <f>Ruimtestaat[[#This Row],[uren / jaar werkdagen]]*Tariefsopbouw!$E$35</f>
        <v>0</v>
      </c>
      <c r="Y680" s="85"/>
      <c r="Z680" s="89">
        <f>IF(Ruimtestaat[[#This Row],[Frequentie weekend]]&gt;0,VALUE(LEFT(Y680,1))*R680,0)</f>
        <v>0</v>
      </c>
      <c r="AA680" s="85">
        <f>IF($Z680&gt;0,VLOOKUP($J680,Ruimtegroepen[],3,FALSE)*VLOOKUP($L680,Vloersoorten[],3,FALSE)*VLOOKUP($Y680,Frequenties[],3,FALSE)*VLOOKUP(#REF!,Locaties[],3,FALSE),0)</f>
        <v>0</v>
      </c>
      <c r="AB680" s="87">
        <f>Ruimtestaat[[#This Row],[Uitvoeringen weekend]]*Ruimtestaat[[#This Row],[Oppervlak (netto)]]</f>
        <v>0</v>
      </c>
      <c r="AC680" s="90">
        <f>IF(AB680&gt;0,Ruimtestaat[[#This Row],[Prest. (m2 /jaar) weekend]]/Ruimtestaat[[#This Row],[Norm (m2/uur) weekend]],0)</f>
        <v>0</v>
      </c>
      <c r="AD680" s="91">
        <f>Ruimtestaat[[#This Row],[uren / jaar weekend]]*Tariefsopbouw!$D$40</f>
        <v>0</v>
      </c>
      <c r="AE680" s="60">
        <f>Ruimtestaat[[#This Row],[Prest. (m2 /jaar) weekend]]+Ruimtestaat[[#This Row],[Prest. (m2 /jaar) werkdagen]]</f>
        <v>20022</v>
      </c>
      <c r="AF680" s="60">
        <f>Ruimtestaat[[#This Row],[uren / jaar weekend]]+Ruimtestaat[[#This Row],[uren / jaar werkdagen]]</f>
        <v>0</v>
      </c>
      <c r="AG680" s="61">
        <f>Ruimtestaat[[#This Row],[kosten / jaar weekend]]+Ruimtestaat[[#This Row],[kosten / jaar werkdagen]]</f>
        <v>0</v>
      </c>
      <c r="AH680" s="92"/>
      <c r="HL680" s="59"/>
    </row>
    <row r="681" spans="1:220">
      <c r="A681" s="24">
        <v>5</v>
      </c>
      <c r="B681" s="24" t="str">
        <f>VLOOKUP(Ruimtestaat[[#This Row],[Code]],Locaties[#All],2,FALSE)</f>
        <v>Marke Zuid</v>
      </c>
      <c r="C681" s="24" t="str">
        <f>VLOOKUP(Ruimtestaat[[#This Row],[Code]],Locaties[#All],4,FALSE)</f>
        <v>Ludgerstraat 1</v>
      </c>
      <c r="D681" s="24" t="str">
        <f>VLOOKUP(Ruimtestaat[[#This Row],[Code]],Locaties[#All],5,FALSE)</f>
        <v>7415 DV</v>
      </c>
      <c r="E681" s="24" t="str">
        <f>VLOOKUP(Ruimtestaat[[#This Row],[Code]],Locaties[#All],6,FALSE)</f>
        <v>Deventer</v>
      </c>
      <c r="F681" s="54"/>
      <c r="G681" s="24" t="s">
        <v>367</v>
      </c>
      <c r="H681" s="24" t="s">
        <v>1149</v>
      </c>
      <c r="I681" s="4" t="s">
        <v>394</v>
      </c>
      <c r="J681" s="24">
        <v>22</v>
      </c>
      <c r="K681" s="54" t="str">
        <f>VLOOKUP(J681,Ruimtegroepen[],2,FALSE)</f>
        <v>Niet in onderhoud</v>
      </c>
      <c r="L681" s="24" t="s">
        <v>305</v>
      </c>
      <c r="M681" s="24" t="s">
        <v>1018</v>
      </c>
      <c r="N681" s="83"/>
      <c r="O681" s="83">
        <v>23.18</v>
      </c>
      <c r="P681" s="93" t="str">
        <f>LEFT(VLOOKUP(Ruimtestaat[[#This Row],[Ruimte code]],Ruimtegroepen[#All],4,1),2)</f>
        <v/>
      </c>
      <c r="Q681" s="93"/>
      <c r="R681" s="84"/>
      <c r="S681" s="84"/>
      <c r="T681" s="85">
        <f>IF(R681&gt;0,IF(RIGHT(Ruimtestaat[[#This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81" s="85">
        <f>IF(T681&gt;0,VLOOKUP($J681,Ruimtegroepen[],3,FALSE)*VLOOKUP($L681,Vloersoorten[],3,FALSE)*VLOOKUP($S681,Frequenties[],3,FALSE)*VLOOKUP($A681,Locaties[],3,FALSE),0)</f>
        <v>0</v>
      </c>
      <c r="V681" s="86">
        <f>Ruimtestaat[[#This Row],[Uitvoeringen werkdagen]]*Ruimtestaat[[#This Row],[Oppervlak (netto)]]</f>
        <v>0</v>
      </c>
      <c r="W681" s="87">
        <f>IF(U681&gt;0,Ruimtestaat[[#This Row],[Prest. (m2 /jaar) werkdagen]]/Ruimtestaat[[#This Row],[Norm (m2/uur) werkdagen]],0)</f>
        <v>0</v>
      </c>
      <c r="X681" s="88">
        <f>Ruimtestaat[[#This Row],[uren / jaar werkdagen]]*Tariefsopbouw!$E$35</f>
        <v>0</v>
      </c>
      <c r="Y681" s="85"/>
      <c r="Z681" s="89">
        <f>IF(Ruimtestaat[[#This Row],[Frequentie weekend]]&gt;0,VALUE(LEFT(Y681,1))*R681,0)</f>
        <v>0</v>
      </c>
      <c r="AA681" s="85">
        <f>IF($Z681&gt;0,VLOOKUP($J681,Ruimtegroepen[],3,FALSE)*VLOOKUP($L681,Vloersoorten[],3,FALSE)*VLOOKUP($Y681,Frequenties[],3,FALSE)*VLOOKUP(#REF!,Locaties[],3,FALSE),0)</f>
        <v>0</v>
      </c>
      <c r="AB681" s="87">
        <f>Ruimtestaat[[#This Row],[Uitvoeringen weekend]]*Ruimtestaat[[#This Row],[Oppervlak (netto)]]</f>
        <v>0</v>
      </c>
      <c r="AC681" s="90">
        <f>IF(AB681&gt;0,Ruimtestaat[[#This Row],[Prest. (m2 /jaar) weekend]]/Ruimtestaat[[#This Row],[Norm (m2/uur) weekend]],0)</f>
        <v>0</v>
      </c>
      <c r="AD681" s="91">
        <f>Ruimtestaat[[#This Row],[uren / jaar weekend]]*Tariefsopbouw!$D$40</f>
        <v>0</v>
      </c>
      <c r="AE681" s="60">
        <f>Ruimtestaat[[#This Row],[Prest. (m2 /jaar) weekend]]+Ruimtestaat[[#This Row],[Prest. (m2 /jaar) werkdagen]]</f>
        <v>0</v>
      </c>
      <c r="AF681" s="60">
        <f>Ruimtestaat[[#This Row],[uren / jaar weekend]]+Ruimtestaat[[#This Row],[uren / jaar werkdagen]]</f>
        <v>0</v>
      </c>
      <c r="AG681" s="61">
        <f>Ruimtestaat[[#This Row],[kosten / jaar weekend]]+Ruimtestaat[[#This Row],[kosten / jaar werkdagen]]</f>
        <v>0</v>
      </c>
      <c r="AH681" s="92"/>
      <c r="HL681" s="59"/>
    </row>
    <row r="682" spans="1:220">
      <c r="A682" s="24">
        <v>5</v>
      </c>
      <c r="B682" s="24" t="str">
        <f>VLOOKUP(Ruimtestaat[[#This Row],[Code]],Locaties[#All],2,FALSE)</f>
        <v>Marke Zuid</v>
      </c>
      <c r="C682" s="24" t="str">
        <f>VLOOKUP(Ruimtestaat[[#This Row],[Code]],Locaties[#All],4,FALSE)</f>
        <v>Ludgerstraat 1</v>
      </c>
      <c r="D682" s="24" t="str">
        <f>VLOOKUP(Ruimtestaat[[#This Row],[Code]],Locaties[#All],5,FALSE)</f>
        <v>7415 DV</v>
      </c>
      <c r="E682" s="24" t="str">
        <f>VLOOKUP(Ruimtestaat[[#This Row],[Code]],Locaties[#All],6,FALSE)</f>
        <v>Deventer</v>
      </c>
      <c r="F682" s="54"/>
      <c r="G682" s="24" t="s">
        <v>367</v>
      </c>
      <c r="H682" s="24" t="s">
        <v>1150</v>
      </c>
      <c r="I682" s="4" t="s">
        <v>394</v>
      </c>
      <c r="J682" s="24">
        <v>22</v>
      </c>
      <c r="K682" s="54" t="str">
        <f>VLOOKUP(J682,Ruimtegroepen[],2,FALSE)</f>
        <v>Niet in onderhoud</v>
      </c>
      <c r="L682" s="24" t="s">
        <v>305</v>
      </c>
      <c r="M682" s="24" t="s">
        <v>1018</v>
      </c>
      <c r="N682" s="83"/>
      <c r="O682" s="83">
        <v>15.62</v>
      </c>
      <c r="P682" s="93" t="str">
        <f>LEFT(VLOOKUP(Ruimtestaat[[#This Row],[Ruimte code]],Ruimtegroepen[#All],4,1),2)</f>
        <v/>
      </c>
      <c r="Q682" s="93"/>
      <c r="R682" s="84"/>
      <c r="S682" s="84"/>
      <c r="T682" s="85">
        <f>IF(R682&gt;0,IF(RIGHT(Ruimtestaat[[#This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82" s="85">
        <f>IF(T682&gt;0,VLOOKUP($J682,Ruimtegroepen[],3,FALSE)*VLOOKUP($L682,Vloersoorten[],3,FALSE)*VLOOKUP($S682,Frequenties[],3,FALSE)*VLOOKUP($A682,Locaties[],3,FALSE),0)</f>
        <v>0</v>
      </c>
      <c r="V682" s="86">
        <f>Ruimtestaat[[#This Row],[Uitvoeringen werkdagen]]*Ruimtestaat[[#This Row],[Oppervlak (netto)]]</f>
        <v>0</v>
      </c>
      <c r="W682" s="87">
        <f>IF(U682&gt;0,Ruimtestaat[[#This Row],[Prest. (m2 /jaar) werkdagen]]/Ruimtestaat[[#This Row],[Norm (m2/uur) werkdagen]],0)</f>
        <v>0</v>
      </c>
      <c r="X682" s="88">
        <f>Ruimtestaat[[#This Row],[uren / jaar werkdagen]]*Tariefsopbouw!$E$35</f>
        <v>0</v>
      </c>
      <c r="Y682" s="85"/>
      <c r="Z682" s="89">
        <f>IF(Ruimtestaat[[#This Row],[Frequentie weekend]]&gt;0,VALUE(LEFT(Y682,1))*R682,0)</f>
        <v>0</v>
      </c>
      <c r="AA682" s="85">
        <f>IF($Z682&gt;0,VLOOKUP($J682,Ruimtegroepen[],3,FALSE)*VLOOKUP($L682,Vloersoorten[],3,FALSE)*VLOOKUP($Y682,Frequenties[],3,FALSE)*VLOOKUP(#REF!,Locaties[],3,FALSE),0)</f>
        <v>0</v>
      </c>
      <c r="AB682" s="87">
        <f>Ruimtestaat[[#This Row],[Uitvoeringen weekend]]*Ruimtestaat[[#This Row],[Oppervlak (netto)]]</f>
        <v>0</v>
      </c>
      <c r="AC682" s="90">
        <f>IF(AB682&gt;0,Ruimtestaat[[#This Row],[Prest. (m2 /jaar) weekend]]/Ruimtestaat[[#This Row],[Norm (m2/uur) weekend]],0)</f>
        <v>0</v>
      </c>
      <c r="AD682" s="91">
        <f>Ruimtestaat[[#This Row],[uren / jaar weekend]]*Tariefsopbouw!$D$40</f>
        <v>0</v>
      </c>
      <c r="AE682" s="60">
        <f>Ruimtestaat[[#This Row],[Prest. (m2 /jaar) weekend]]+Ruimtestaat[[#This Row],[Prest. (m2 /jaar) werkdagen]]</f>
        <v>0</v>
      </c>
      <c r="AF682" s="60">
        <f>Ruimtestaat[[#This Row],[uren / jaar weekend]]+Ruimtestaat[[#This Row],[uren / jaar werkdagen]]</f>
        <v>0</v>
      </c>
      <c r="AG682" s="61">
        <f>Ruimtestaat[[#This Row],[kosten / jaar weekend]]+Ruimtestaat[[#This Row],[kosten / jaar werkdagen]]</f>
        <v>0</v>
      </c>
      <c r="AH682" s="92"/>
      <c r="HL682" s="59"/>
    </row>
    <row r="683" spans="1:220">
      <c r="A683" s="24">
        <v>5</v>
      </c>
      <c r="B683" s="24" t="str">
        <f>VLOOKUP(Ruimtestaat[[#This Row],[Code]],Locaties[#All],2,FALSE)</f>
        <v>Marke Zuid</v>
      </c>
      <c r="C683" s="24" t="str">
        <f>VLOOKUP(Ruimtestaat[[#This Row],[Code]],Locaties[#All],4,FALSE)</f>
        <v>Ludgerstraat 1</v>
      </c>
      <c r="D683" s="24" t="str">
        <f>VLOOKUP(Ruimtestaat[[#This Row],[Code]],Locaties[#All],5,FALSE)</f>
        <v>7415 DV</v>
      </c>
      <c r="E683" s="24" t="str">
        <f>VLOOKUP(Ruimtestaat[[#This Row],[Code]],Locaties[#All],6,FALSE)</f>
        <v>Deventer</v>
      </c>
      <c r="F683" s="54"/>
      <c r="G683" s="24" t="s">
        <v>367</v>
      </c>
      <c r="H683" s="24" t="s">
        <v>694</v>
      </c>
      <c r="I683" s="4" t="s">
        <v>1151</v>
      </c>
      <c r="J683" s="24">
        <v>5</v>
      </c>
      <c r="K683" s="54" t="str">
        <f>VLOOKUP(J683,Ruimtegroepen[],2,FALSE)</f>
        <v>Sanitair</v>
      </c>
      <c r="L683" s="24" t="s">
        <v>305</v>
      </c>
      <c r="M683" s="24" t="s">
        <v>1008</v>
      </c>
      <c r="N683" s="83">
        <v>7.61</v>
      </c>
      <c r="O683" s="83"/>
      <c r="P683" s="93" t="str">
        <f>LEFT(VLOOKUP(Ruimtestaat[[#This Row],[Ruimte code]],Ruimtegroepen[#All],4,1),2)</f>
        <v>Sa</v>
      </c>
      <c r="Q683" s="93"/>
      <c r="R683" s="84">
        <v>42</v>
      </c>
      <c r="S683" s="84" t="s">
        <v>316</v>
      </c>
      <c r="T683" s="85">
        <f>IF(R683&gt;0,IF(RIGHT(Ruimtestaat[[#This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83" s="85">
        <f>IF(T683&gt;0,VLOOKUP($J683,Ruimtegroepen[],3,FALSE)*VLOOKUP($L683,Vloersoorten[],3,FALSE)*VLOOKUP($S683,Frequenties[],3,FALSE)*VLOOKUP($A683,Locaties[],3,FALSE),0)</f>
        <v>0</v>
      </c>
      <c r="V683" s="86">
        <f>Ruimtestaat[[#This Row],[Uitvoeringen werkdagen]]*Ruimtestaat[[#This Row],[Oppervlak (netto)]]</f>
        <v>3196.2000000000003</v>
      </c>
      <c r="W683" s="87">
        <f>IF(U683&gt;0,Ruimtestaat[[#This Row],[Prest. (m2 /jaar) werkdagen]]/Ruimtestaat[[#This Row],[Norm (m2/uur) werkdagen]],0)</f>
        <v>0</v>
      </c>
      <c r="X683" s="88">
        <f>Ruimtestaat[[#This Row],[uren / jaar werkdagen]]*Tariefsopbouw!$E$35</f>
        <v>0</v>
      </c>
      <c r="Y683" s="85"/>
      <c r="Z683" s="89">
        <f>IF(Ruimtestaat[[#This Row],[Frequentie weekend]]&gt;0,VALUE(LEFT(Y683,1))*R683,0)</f>
        <v>0</v>
      </c>
      <c r="AA683" s="85">
        <f>IF($Z683&gt;0,VLOOKUP($J683,Ruimtegroepen[],3,FALSE)*VLOOKUP($L683,Vloersoorten[],3,FALSE)*VLOOKUP($Y683,Frequenties[],3,FALSE)*VLOOKUP(#REF!,Locaties[],3,FALSE),0)</f>
        <v>0</v>
      </c>
      <c r="AB683" s="87">
        <f>Ruimtestaat[[#This Row],[Uitvoeringen weekend]]*Ruimtestaat[[#This Row],[Oppervlak (netto)]]</f>
        <v>0</v>
      </c>
      <c r="AC683" s="90">
        <f>IF(AB683&gt;0,Ruimtestaat[[#This Row],[Prest. (m2 /jaar) weekend]]/Ruimtestaat[[#This Row],[Norm (m2/uur) weekend]],0)</f>
        <v>0</v>
      </c>
      <c r="AD683" s="91">
        <f>Ruimtestaat[[#This Row],[uren / jaar weekend]]*Tariefsopbouw!$D$40</f>
        <v>0</v>
      </c>
      <c r="AE683" s="60">
        <f>Ruimtestaat[[#This Row],[Prest. (m2 /jaar) weekend]]+Ruimtestaat[[#This Row],[Prest. (m2 /jaar) werkdagen]]</f>
        <v>3196.2000000000003</v>
      </c>
      <c r="AF683" s="60">
        <f>Ruimtestaat[[#This Row],[uren / jaar weekend]]+Ruimtestaat[[#This Row],[uren / jaar werkdagen]]</f>
        <v>0</v>
      </c>
      <c r="AG683" s="61">
        <f>Ruimtestaat[[#This Row],[kosten / jaar weekend]]+Ruimtestaat[[#This Row],[kosten / jaar werkdagen]]</f>
        <v>0</v>
      </c>
      <c r="AH683" s="92"/>
      <c r="HL683" s="59"/>
    </row>
    <row r="684" spans="1:220">
      <c r="A684" s="24">
        <v>5</v>
      </c>
      <c r="B684" s="24" t="str">
        <f>VLOOKUP(Ruimtestaat[[#This Row],[Code]],Locaties[#All],2,FALSE)</f>
        <v>Marke Zuid</v>
      </c>
      <c r="C684" s="24" t="str">
        <f>VLOOKUP(Ruimtestaat[[#This Row],[Code]],Locaties[#All],4,FALSE)</f>
        <v>Ludgerstraat 1</v>
      </c>
      <c r="D684" s="24" t="str">
        <f>VLOOKUP(Ruimtestaat[[#This Row],[Code]],Locaties[#All],5,FALSE)</f>
        <v>7415 DV</v>
      </c>
      <c r="E684" s="24" t="str">
        <f>VLOOKUP(Ruimtestaat[[#This Row],[Code]],Locaties[#All],6,FALSE)</f>
        <v>Deventer</v>
      </c>
      <c r="F684" s="54"/>
      <c r="G684" s="24" t="s">
        <v>367</v>
      </c>
      <c r="H684" s="24" t="s">
        <v>1152</v>
      </c>
      <c r="I684" s="4" t="s">
        <v>1010</v>
      </c>
      <c r="J684" s="24">
        <v>5</v>
      </c>
      <c r="K684" s="54" t="str">
        <f>VLOOKUP(J684,Ruimtegroepen[],2,FALSE)</f>
        <v>Sanitair</v>
      </c>
      <c r="L684" s="24" t="s">
        <v>305</v>
      </c>
      <c r="M684" s="24" t="s">
        <v>1008</v>
      </c>
      <c r="N684" s="83">
        <v>1.17</v>
      </c>
      <c r="O684" s="83"/>
      <c r="P684" s="93" t="str">
        <f>LEFT(VLOOKUP(Ruimtestaat[[#This Row],[Ruimte code]],Ruimtegroepen[#All],4,1),2)</f>
        <v>Sa</v>
      </c>
      <c r="Q684" s="93"/>
      <c r="R684" s="84">
        <v>42</v>
      </c>
      <c r="S684" s="84" t="s">
        <v>316</v>
      </c>
      <c r="T684" s="85">
        <f>IF(R684&gt;0,IF(RIGHT(Ruimtestaat[[#This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84" s="85">
        <f>IF(T684&gt;0,VLOOKUP($J684,Ruimtegroepen[],3,FALSE)*VLOOKUP($L684,Vloersoorten[],3,FALSE)*VLOOKUP($S684,Frequenties[],3,FALSE)*VLOOKUP($A684,Locaties[],3,FALSE),0)</f>
        <v>0</v>
      </c>
      <c r="V684" s="86">
        <f>Ruimtestaat[[#This Row],[Uitvoeringen werkdagen]]*Ruimtestaat[[#This Row],[Oppervlak (netto)]]</f>
        <v>491.4</v>
      </c>
      <c r="W684" s="87">
        <f>IF(U684&gt;0,Ruimtestaat[[#This Row],[Prest. (m2 /jaar) werkdagen]]/Ruimtestaat[[#This Row],[Norm (m2/uur) werkdagen]],0)</f>
        <v>0</v>
      </c>
      <c r="X684" s="88">
        <f>Ruimtestaat[[#This Row],[uren / jaar werkdagen]]*Tariefsopbouw!$E$35</f>
        <v>0</v>
      </c>
      <c r="Y684" s="85"/>
      <c r="Z684" s="89">
        <f>IF(Ruimtestaat[[#This Row],[Frequentie weekend]]&gt;0,VALUE(LEFT(Y684,1))*R684,0)</f>
        <v>0</v>
      </c>
      <c r="AA684" s="85">
        <f>IF($Z684&gt;0,VLOOKUP($J684,Ruimtegroepen[],3,FALSE)*VLOOKUP($L684,Vloersoorten[],3,FALSE)*VLOOKUP($Y684,Frequenties[],3,FALSE)*VLOOKUP(#REF!,Locaties[],3,FALSE),0)</f>
        <v>0</v>
      </c>
      <c r="AB684" s="87">
        <f>Ruimtestaat[[#This Row],[Uitvoeringen weekend]]*Ruimtestaat[[#This Row],[Oppervlak (netto)]]</f>
        <v>0</v>
      </c>
      <c r="AC684" s="90">
        <f>IF(AB684&gt;0,Ruimtestaat[[#This Row],[Prest. (m2 /jaar) weekend]]/Ruimtestaat[[#This Row],[Norm (m2/uur) weekend]],0)</f>
        <v>0</v>
      </c>
      <c r="AD684" s="91">
        <f>Ruimtestaat[[#This Row],[uren / jaar weekend]]*Tariefsopbouw!$D$40</f>
        <v>0</v>
      </c>
      <c r="AE684" s="60">
        <f>Ruimtestaat[[#This Row],[Prest. (m2 /jaar) weekend]]+Ruimtestaat[[#This Row],[Prest. (m2 /jaar) werkdagen]]</f>
        <v>491.4</v>
      </c>
      <c r="AF684" s="60">
        <f>Ruimtestaat[[#This Row],[uren / jaar weekend]]+Ruimtestaat[[#This Row],[uren / jaar werkdagen]]</f>
        <v>0</v>
      </c>
      <c r="AG684" s="61">
        <f>Ruimtestaat[[#This Row],[kosten / jaar weekend]]+Ruimtestaat[[#This Row],[kosten / jaar werkdagen]]</f>
        <v>0</v>
      </c>
      <c r="AH684" s="92"/>
      <c r="HL684" s="59"/>
    </row>
    <row r="685" spans="1:220">
      <c r="A685" s="24">
        <v>5</v>
      </c>
      <c r="B685" s="24" t="str">
        <f>VLOOKUP(Ruimtestaat[[#This Row],[Code]],Locaties[#All],2,FALSE)</f>
        <v>Marke Zuid</v>
      </c>
      <c r="C685" s="24" t="str">
        <f>VLOOKUP(Ruimtestaat[[#This Row],[Code]],Locaties[#All],4,FALSE)</f>
        <v>Ludgerstraat 1</v>
      </c>
      <c r="D685" s="24" t="str">
        <f>VLOOKUP(Ruimtestaat[[#This Row],[Code]],Locaties[#All],5,FALSE)</f>
        <v>7415 DV</v>
      </c>
      <c r="E685" s="24" t="str">
        <f>VLOOKUP(Ruimtestaat[[#This Row],[Code]],Locaties[#All],6,FALSE)</f>
        <v>Deventer</v>
      </c>
      <c r="F685" s="54"/>
      <c r="G685" s="24" t="s">
        <v>367</v>
      </c>
      <c r="H685" s="24" t="s">
        <v>1153</v>
      </c>
      <c r="I685" s="4" t="s">
        <v>691</v>
      </c>
      <c r="J685" s="24">
        <v>22</v>
      </c>
      <c r="K685" s="54" t="str">
        <f>VLOOKUP(J685,Ruimtegroepen[],2,FALSE)</f>
        <v>Niet in onderhoud</v>
      </c>
      <c r="L685" s="24" t="s">
        <v>305</v>
      </c>
      <c r="M685" s="24" t="s">
        <v>1008</v>
      </c>
      <c r="N685" s="83"/>
      <c r="O685" s="83">
        <v>0.89</v>
      </c>
      <c r="P685" s="93" t="str">
        <f>LEFT(VLOOKUP(Ruimtestaat[[#This Row],[Ruimte code]],Ruimtegroepen[#All],4,1),2)</f>
        <v/>
      </c>
      <c r="Q685" s="93"/>
      <c r="R685" s="84"/>
      <c r="S685" s="84"/>
      <c r="T685" s="85">
        <f>IF(R685&gt;0,IF(RIGHT(Ruimtestaat[[#This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85" s="85">
        <f>IF(T685&gt;0,VLOOKUP($J685,Ruimtegroepen[],3,FALSE)*VLOOKUP($L685,Vloersoorten[],3,FALSE)*VLOOKUP($S685,Frequenties[],3,FALSE)*VLOOKUP($A685,Locaties[],3,FALSE),0)</f>
        <v>0</v>
      </c>
      <c r="V685" s="86">
        <f>Ruimtestaat[[#This Row],[Uitvoeringen werkdagen]]*Ruimtestaat[[#This Row],[Oppervlak (netto)]]</f>
        <v>0</v>
      </c>
      <c r="W685" s="87">
        <f>IF(U685&gt;0,Ruimtestaat[[#This Row],[Prest. (m2 /jaar) werkdagen]]/Ruimtestaat[[#This Row],[Norm (m2/uur) werkdagen]],0)</f>
        <v>0</v>
      </c>
      <c r="X685" s="88">
        <f>Ruimtestaat[[#This Row],[uren / jaar werkdagen]]*Tariefsopbouw!$E$35</f>
        <v>0</v>
      </c>
      <c r="Y685" s="85"/>
      <c r="Z685" s="89">
        <f>IF(Ruimtestaat[[#This Row],[Frequentie weekend]]&gt;0,VALUE(LEFT(Y685,1))*R685,0)</f>
        <v>0</v>
      </c>
      <c r="AA685" s="85">
        <f>IF($Z685&gt;0,VLOOKUP($J685,Ruimtegroepen[],3,FALSE)*VLOOKUP($L685,Vloersoorten[],3,FALSE)*VLOOKUP($Y685,Frequenties[],3,FALSE)*VLOOKUP(#REF!,Locaties[],3,FALSE),0)</f>
        <v>0</v>
      </c>
      <c r="AB685" s="87">
        <f>Ruimtestaat[[#This Row],[Uitvoeringen weekend]]*Ruimtestaat[[#This Row],[Oppervlak (netto)]]</f>
        <v>0</v>
      </c>
      <c r="AC685" s="90">
        <f>IF(AB685&gt;0,Ruimtestaat[[#This Row],[Prest. (m2 /jaar) weekend]]/Ruimtestaat[[#This Row],[Norm (m2/uur) weekend]],0)</f>
        <v>0</v>
      </c>
      <c r="AD685" s="91">
        <f>Ruimtestaat[[#This Row],[uren / jaar weekend]]*Tariefsopbouw!$D$40</f>
        <v>0</v>
      </c>
      <c r="AE685" s="60">
        <f>Ruimtestaat[[#This Row],[Prest. (m2 /jaar) weekend]]+Ruimtestaat[[#This Row],[Prest. (m2 /jaar) werkdagen]]</f>
        <v>0</v>
      </c>
      <c r="AF685" s="60">
        <f>Ruimtestaat[[#This Row],[uren / jaar weekend]]+Ruimtestaat[[#This Row],[uren / jaar werkdagen]]</f>
        <v>0</v>
      </c>
      <c r="AG685" s="61">
        <f>Ruimtestaat[[#This Row],[kosten / jaar weekend]]+Ruimtestaat[[#This Row],[kosten / jaar werkdagen]]</f>
        <v>0</v>
      </c>
      <c r="AH685" s="92"/>
      <c r="HL685" s="59"/>
    </row>
    <row r="686" spans="1:220">
      <c r="A686" s="24">
        <v>5</v>
      </c>
      <c r="B686" s="24" t="str">
        <f>VLOOKUP(Ruimtestaat[[#This Row],[Code]],Locaties[#All],2,FALSE)</f>
        <v>Marke Zuid</v>
      </c>
      <c r="C686" s="24" t="str">
        <f>VLOOKUP(Ruimtestaat[[#This Row],[Code]],Locaties[#All],4,FALSE)</f>
        <v>Ludgerstraat 1</v>
      </c>
      <c r="D686" s="24" t="str">
        <f>VLOOKUP(Ruimtestaat[[#This Row],[Code]],Locaties[#All],5,FALSE)</f>
        <v>7415 DV</v>
      </c>
      <c r="E686" s="24" t="str">
        <f>VLOOKUP(Ruimtestaat[[#This Row],[Code]],Locaties[#All],6,FALSE)</f>
        <v>Deventer</v>
      </c>
      <c r="F686" s="54"/>
      <c r="G686" s="24" t="s">
        <v>367</v>
      </c>
      <c r="H686" s="24" t="s">
        <v>1154</v>
      </c>
      <c r="I686" s="4" t="s">
        <v>289</v>
      </c>
      <c r="J686" s="24">
        <v>18</v>
      </c>
      <c r="K686" s="54" t="str">
        <f>VLOOKUP(J686,Ruimtegroepen[],2,FALSE)</f>
        <v>Gymzaal</v>
      </c>
      <c r="L686" s="24" t="s">
        <v>311</v>
      </c>
      <c r="M686" s="24" t="s">
        <v>452</v>
      </c>
      <c r="N686" s="83">
        <v>291</v>
      </c>
      <c r="O686" s="83"/>
      <c r="P686" s="93" t="str">
        <f>LEFT(VLOOKUP(Ruimtestaat[[#This Row],[Ruimte code]],Ruimtegroepen[#All],4,1),2)</f>
        <v>Sp</v>
      </c>
      <c r="Q686" s="93"/>
      <c r="R686" s="84">
        <v>40</v>
      </c>
      <c r="S686" s="84" t="s">
        <v>318</v>
      </c>
      <c r="T686" s="85">
        <f>IF(R686&gt;0,IF(RIGHT(Ruimtestaat[[#This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6" s="85">
        <f>IF(T686&gt;0,VLOOKUP($J686,Ruimtegroepen[],3,FALSE)*VLOOKUP($L686,Vloersoorten[],3,FALSE)*VLOOKUP($S686,Frequenties[],3,FALSE)*VLOOKUP($A686,Locaties[],3,FALSE),0)</f>
        <v>0</v>
      </c>
      <c r="V686" s="86">
        <f>Ruimtestaat[[#This Row],[Uitvoeringen werkdagen]]*Ruimtestaat[[#This Row],[Oppervlak (netto)]]</f>
        <v>58200</v>
      </c>
      <c r="W686" s="87">
        <f>IF(U686&gt;0,Ruimtestaat[[#This Row],[Prest. (m2 /jaar) werkdagen]]/Ruimtestaat[[#This Row],[Norm (m2/uur) werkdagen]],0)</f>
        <v>0</v>
      </c>
      <c r="X686" s="88">
        <f>Ruimtestaat[[#This Row],[uren / jaar werkdagen]]*Tariefsopbouw!$E$35</f>
        <v>0</v>
      </c>
      <c r="Y686" s="85"/>
      <c r="Z686" s="89">
        <f>IF(Ruimtestaat[[#This Row],[Frequentie weekend]]&gt;0,VALUE(LEFT(Y686,1))*R686,0)</f>
        <v>0</v>
      </c>
      <c r="AA686" s="85">
        <f>IF($Z686&gt;0,VLOOKUP($J686,Ruimtegroepen[],3,FALSE)*VLOOKUP($L686,Vloersoorten[],3,FALSE)*VLOOKUP($Y686,Frequenties[],3,FALSE)*VLOOKUP(#REF!,Locaties[],3,FALSE),0)</f>
        <v>0</v>
      </c>
      <c r="AB686" s="87">
        <f>Ruimtestaat[[#This Row],[Uitvoeringen weekend]]*Ruimtestaat[[#This Row],[Oppervlak (netto)]]</f>
        <v>0</v>
      </c>
      <c r="AC686" s="90">
        <f>IF(AB686&gt;0,Ruimtestaat[[#This Row],[Prest. (m2 /jaar) weekend]]/Ruimtestaat[[#This Row],[Norm (m2/uur) weekend]],0)</f>
        <v>0</v>
      </c>
      <c r="AD686" s="91">
        <f>Ruimtestaat[[#This Row],[uren / jaar weekend]]*Tariefsopbouw!$D$40</f>
        <v>0</v>
      </c>
      <c r="AE686" s="60">
        <f>Ruimtestaat[[#This Row],[Prest. (m2 /jaar) weekend]]+Ruimtestaat[[#This Row],[Prest. (m2 /jaar) werkdagen]]</f>
        <v>58200</v>
      </c>
      <c r="AF686" s="60">
        <f>Ruimtestaat[[#This Row],[uren / jaar weekend]]+Ruimtestaat[[#This Row],[uren / jaar werkdagen]]</f>
        <v>0</v>
      </c>
      <c r="AG686" s="61">
        <f>Ruimtestaat[[#This Row],[kosten / jaar weekend]]+Ruimtestaat[[#This Row],[kosten / jaar werkdagen]]</f>
        <v>0</v>
      </c>
      <c r="AH686" s="92"/>
      <c r="HL686" s="59"/>
    </row>
    <row r="687" spans="1:220">
      <c r="A687" s="24">
        <v>5</v>
      </c>
      <c r="B687" s="24" t="str">
        <f>VLOOKUP(Ruimtestaat[[#This Row],[Code]],Locaties[#All],2,FALSE)</f>
        <v>Marke Zuid</v>
      </c>
      <c r="C687" s="24" t="str">
        <f>VLOOKUP(Ruimtestaat[[#This Row],[Code]],Locaties[#All],4,FALSE)</f>
        <v>Ludgerstraat 1</v>
      </c>
      <c r="D687" s="24" t="str">
        <f>VLOOKUP(Ruimtestaat[[#This Row],[Code]],Locaties[#All],5,FALSE)</f>
        <v>7415 DV</v>
      </c>
      <c r="E687" s="24" t="str">
        <f>VLOOKUP(Ruimtestaat[[#This Row],[Code]],Locaties[#All],6,FALSE)</f>
        <v>Deventer</v>
      </c>
      <c r="F687" s="54"/>
      <c r="G687" s="24" t="s">
        <v>367</v>
      </c>
      <c r="H687" s="24" t="s">
        <v>1155</v>
      </c>
      <c r="I687" s="4" t="s">
        <v>1156</v>
      </c>
      <c r="J687" s="24">
        <v>5</v>
      </c>
      <c r="K687" s="54" t="str">
        <f>VLOOKUP(J687,Ruimtegroepen[],2,FALSE)</f>
        <v>Sanitair</v>
      </c>
      <c r="L687" s="24" t="s">
        <v>305</v>
      </c>
      <c r="M687" s="24" t="s">
        <v>373</v>
      </c>
      <c r="N687" s="83">
        <v>13.15</v>
      </c>
      <c r="O687" s="83"/>
      <c r="P687" s="93" t="str">
        <f>LEFT(VLOOKUP(Ruimtestaat[[#This Row],[Ruimte code]],Ruimtegroepen[#All],4,1),2)</f>
        <v>Sa</v>
      </c>
      <c r="Q687" s="93"/>
      <c r="R687" s="84">
        <v>40</v>
      </c>
      <c r="S687" s="84" t="s">
        <v>316</v>
      </c>
      <c r="T687" s="85">
        <f>IF(R687&gt;0,IF(RIGHT(Ruimtestaat[[#This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687" s="85">
        <f>IF(T687&gt;0,VLOOKUP($J687,Ruimtegroepen[],3,FALSE)*VLOOKUP($L687,Vloersoorten[],3,FALSE)*VLOOKUP($S687,Frequenties[],3,FALSE)*VLOOKUP($A687,Locaties[],3,FALSE),0)</f>
        <v>0</v>
      </c>
      <c r="V687" s="86">
        <f>Ruimtestaat[[#This Row],[Uitvoeringen werkdagen]]*Ruimtestaat[[#This Row],[Oppervlak (netto)]]</f>
        <v>5260</v>
      </c>
      <c r="W687" s="87">
        <f>IF(U687&gt;0,Ruimtestaat[[#This Row],[Prest. (m2 /jaar) werkdagen]]/Ruimtestaat[[#This Row],[Norm (m2/uur) werkdagen]],0)</f>
        <v>0</v>
      </c>
      <c r="X687" s="88">
        <f>Ruimtestaat[[#This Row],[uren / jaar werkdagen]]*Tariefsopbouw!$E$35</f>
        <v>0</v>
      </c>
      <c r="Y687" s="85"/>
      <c r="Z687" s="89">
        <f>IF(Ruimtestaat[[#This Row],[Frequentie weekend]]&gt;0,VALUE(LEFT(Y687,1))*R687,0)</f>
        <v>0</v>
      </c>
      <c r="AA687" s="85">
        <f>IF($Z687&gt;0,VLOOKUP($J687,Ruimtegroepen[],3,FALSE)*VLOOKUP($L687,Vloersoorten[],3,FALSE)*VLOOKUP($Y687,Frequenties[],3,FALSE)*VLOOKUP(#REF!,Locaties[],3,FALSE),0)</f>
        <v>0</v>
      </c>
      <c r="AB687" s="87">
        <f>Ruimtestaat[[#This Row],[Uitvoeringen weekend]]*Ruimtestaat[[#This Row],[Oppervlak (netto)]]</f>
        <v>0</v>
      </c>
      <c r="AC687" s="90">
        <f>IF(AB687&gt;0,Ruimtestaat[[#This Row],[Prest. (m2 /jaar) weekend]]/Ruimtestaat[[#This Row],[Norm (m2/uur) weekend]],0)</f>
        <v>0</v>
      </c>
      <c r="AD687" s="91">
        <f>Ruimtestaat[[#This Row],[uren / jaar weekend]]*Tariefsopbouw!$D$40</f>
        <v>0</v>
      </c>
      <c r="AE687" s="60">
        <f>Ruimtestaat[[#This Row],[Prest. (m2 /jaar) weekend]]+Ruimtestaat[[#This Row],[Prest. (m2 /jaar) werkdagen]]</f>
        <v>5260</v>
      </c>
      <c r="AF687" s="60">
        <f>Ruimtestaat[[#This Row],[uren / jaar weekend]]+Ruimtestaat[[#This Row],[uren / jaar werkdagen]]</f>
        <v>0</v>
      </c>
      <c r="AG687" s="61">
        <f>Ruimtestaat[[#This Row],[kosten / jaar weekend]]+Ruimtestaat[[#This Row],[kosten / jaar werkdagen]]</f>
        <v>0</v>
      </c>
      <c r="AH687" s="92"/>
      <c r="HL687" s="59"/>
    </row>
    <row r="688" spans="1:220">
      <c r="A688" s="24">
        <v>5</v>
      </c>
      <c r="B688" s="24" t="str">
        <f>VLOOKUP(Ruimtestaat[[#This Row],[Code]],Locaties[#All],2,FALSE)</f>
        <v>Marke Zuid</v>
      </c>
      <c r="C688" s="24" t="str">
        <f>VLOOKUP(Ruimtestaat[[#This Row],[Code]],Locaties[#All],4,FALSE)</f>
        <v>Ludgerstraat 1</v>
      </c>
      <c r="D688" s="24" t="str">
        <f>VLOOKUP(Ruimtestaat[[#This Row],[Code]],Locaties[#All],5,FALSE)</f>
        <v>7415 DV</v>
      </c>
      <c r="E688" s="24" t="str">
        <f>VLOOKUP(Ruimtestaat[[#This Row],[Code]],Locaties[#All],6,FALSE)</f>
        <v>Deventer</v>
      </c>
      <c r="F688" s="54"/>
      <c r="G688" s="24" t="s">
        <v>367</v>
      </c>
      <c r="H688" s="24" t="s">
        <v>1157</v>
      </c>
      <c r="I688" s="4" t="s">
        <v>1158</v>
      </c>
      <c r="J688" s="24">
        <v>5</v>
      </c>
      <c r="K688" s="54" t="str">
        <f>VLOOKUP(J688,Ruimtegroepen[],2,FALSE)</f>
        <v>Sanitair</v>
      </c>
      <c r="L688" s="24" t="s">
        <v>305</v>
      </c>
      <c r="M688" s="24" t="s">
        <v>373</v>
      </c>
      <c r="N688" s="83">
        <v>15.31</v>
      </c>
      <c r="O688" s="83"/>
      <c r="P688" s="93" t="str">
        <f>LEFT(VLOOKUP(Ruimtestaat[[#This Row],[Ruimte code]],Ruimtegroepen[#All],4,1),2)</f>
        <v>Sa</v>
      </c>
      <c r="Q688" s="93"/>
      <c r="R688" s="84">
        <v>40</v>
      </c>
      <c r="S688" s="84" t="s">
        <v>316</v>
      </c>
      <c r="T688" s="85">
        <f>IF(R688&gt;0,IF(RIGHT(Ruimtestaat[[#This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688" s="85">
        <f>IF(T688&gt;0,VLOOKUP($J688,Ruimtegroepen[],3,FALSE)*VLOOKUP($L688,Vloersoorten[],3,FALSE)*VLOOKUP($S688,Frequenties[],3,FALSE)*VLOOKUP($A688,Locaties[],3,FALSE),0)</f>
        <v>0</v>
      </c>
      <c r="V688" s="86">
        <f>Ruimtestaat[[#This Row],[Uitvoeringen werkdagen]]*Ruimtestaat[[#This Row],[Oppervlak (netto)]]</f>
        <v>6124</v>
      </c>
      <c r="W688" s="87">
        <f>IF(U688&gt;0,Ruimtestaat[[#This Row],[Prest. (m2 /jaar) werkdagen]]/Ruimtestaat[[#This Row],[Norm (m2/uur) werkdagen]],0)</f>
        <v>0</v>
      </c>
      <c r="X688" s="88">
        <f>Ruimtestaat[[#This Row],[uren / jaar werkdagen]]*Tariefsopbouw!$E$35</f>
        <v>0</v>
      </c>
      <c r="Y688" s="85"/>
      <c r="Z688" s="89">
        <f>IF(Ruimtestaat[[#This Row],[Frequentie weekend]]&gt;0,VALUE(LEFT(Y688,1))*R688,0)</f>
        <v>0</v>
      </c>
      <c r="AA688" s="85">
        <f>IF($Z688&gt;0,VLOOKUP($J688,Ruimtegroepen[],3,FALSE)*VLOOKUP($L688,Vloersoorten[],3,FALSE)*VLOOKUP($Y688,Frequenties[],3,FALSE)*VLOOKUP(#REF!,Locaties[],3,FALSE),0)</f>
        <v>0</v>
      </c>
      <c r="AB688" s="87">
        <f>Ruimtestaat[[#This Row],[Uitvoeringen weekend]]*Ruimtestaat[[#This Row],[Oppervlak (netto)]]</f>
        <v>0</v>
      </c>
      <c r="AC688" s="90">
        <f>IF(AB688&gt;0,Ruimtestaat[[#This Row],[Prest. (m2 /jaar) weekend]]/Ruimtestaat[[#This Row],[Norm (m2/uur) weekend]],0)</f>
        <v>0</v>
      </c>
      <c r="AD688" s="91">
        <f>Ruimtestaat[[#This Row],[uren / jaar weekend]]*Tariefsopbouw!$D$40</f>
        <v>0</v>
      </c>
      <c r="AE688" s="60">
        <f>Ruimtestaat[[#This Row],[Prest. (m2 /jaar) weekend]]+Ruimtestaat[[#This Row],[Prest. (m2 /jaar) werkdagen]]</f>
        <v>6124</v>
      </c>
      <c r="AF688" s="60">
        <f>Ruimtestaat[[#This Row],[uren / jaar weekend]]+Ruimtestaat[[#This Row],[uren / jaar werkdagen]]</f>
        <v>0</v>
      </c>
      <c r="AG688" s="61">
        <f>Ruimtestaat[[#This Row],[kosten / jaar weekend]]+Ruimtestaat[[#This Row],[kosten / jaar werkdagen]]</f>
        <v>0</v>
      </c>
      <c r="AH688" s="92"/>
      <c r="HL688" s="59"/>
    </row>
    <row r="689" spans="1:220">
      <c r="A689" s="24">
        <v>5</v>
      </c>
      <c r="B689" s="24" t="str">
        <f>VLOOKUP(Ruimtestaat[[#This Row],[Code]],Locaties[#All],2,FALSE)</f>
        <v>Marke Zuid</v>
      </c>
      <c r="C689" s="24" t="str">
        <f>VLOOKUP(Ruimtestaat[[#This Row],[Code]],Locaties[#All],4,FALSE)</f>
        <v>Ludgerstraat 1</v>
      </c>
      <c r="D689" s="24" t="str">
        <f>VLOOKUP(Ruimtestaat[[#This Row],[Code]],Locaties[#All],5,FALSE)</f>
        <v>7415 DV</v>
      </c>
      <c r="E689" s="24" t="str">
        <f>VLOOKUP(Ruimtestaat[[#This Row],[Code]],Locaties[#All],6,FALSE)</f>
        <v>Deventer</v>
      </c>
      <c r="F689" s="54"/>
      <c r="G689" s="24" t="s">
        <v>367</v>
      </c>
      <c r="H689" s="24" t="s">
        <v>1159</v>
      </c>
      <c r="I689" s="4" t="s">
        <v>1160</v>
      </c>
      <c r="J689" s="24">
        <v>19</v>
      </c>
      <c r="K689" s="54" t="str">
        <f>VLOOKUP(J689,Ruimtegroepen[],2,FALSE)</f>
        <v>Kleedruimten</v>
      </c>
      <c r="L689" s="24" t="s">
        <v>305</v>
      </c>
      <c r="M689" s="24" t="s">
        <v>373</v>
      </c>
      <c r="N689" s="83">
        <v>19.37</v>
      </c>
      <c r="O689" s="83"/>
      <c r="P689" s="93" t="str">
        <f>LEFT(VLOOKUP(Ruimtestaat[[#This Row],[Ruimte code]],Ruimtegroepen[#All],4,1),2)</f>
        <v>Ve</v>
      </c>
      <c r="Q689" s="93"/>
      <c r="R689" s="84">
        <v>40</v>
      </c>
      <c r="S689" s="84" t="s">
        <v>318</v>
      </c>
      <c r="T689" s="85">
        <f>IF(R689&gt;0,IF(RIGHT(Ruimtestaat[[#This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9" s="85">
        <f>IF(T689&gt;0,VLOOKUP($J689,Ruimtegroepen[],3,FALSE)*VLOOKUP($L689,Vloersoorten[],3,FALSE)*VLOOKUP($S689,Frequenties[],3,FALSE)*VLOOKUP($A689,Locaties[],3,FALSE),0)</f>
        <v>0</v>
      </c>
      <c r="V689" s="86">
        <f>Ruimtestaat[[#This Row],[Uitvoeringen werkdagen]]*Ruimtestaat[[#This Row],[Oppervlak (netto)]]</f>
        <v>3874</v>
      </c>
      <c r="W689" s="87">
        <f>IF(U689&gt;0,Ruimtestaat[[#This Row],[Prest. (m2 /jaar) werkdagen]]/Ruimtestaat[[#This Row],[Norm (m2/uur) werkdagen]],0)</f>
        <v>0</v>
      </c>
      <c r="X689" s="88">
        <f>Ruimtestaat[[#This Row],[uren / jaar werkdagen]]*Tariefsopbouw!$E$35</f>
        <v>0</v>
      </c>
      <c r="Y689" s="85"/>
      <c r="Z689" s="89">
        <f>IF(Ruimtestaat[[#This Row],[Frequentie weekend]]&gt;0,VALUE(LEFT(Y689,1))*R689,0)</f>
        <v>0</v>
      </c>
      <c r="AA689" s="85">
        <f>IF($Z689&gt;0,VLOOKUP($J689,Ruimtegroepen[],3,FALSE)*VLOOKUP($L689,Vloersoorten[],3,FALSE)*VLOOKUP($Y689,Frequenties[],3,FALSE)*VLOOKUP(#REF!,Locaties[],3,FALSE),0)</f>
        <v>0</v>
      </c>
      <c r="AB689" s="87">
        <f>Ruimtestaat[[#This Row],[Uitvoeringen weekend]]*Ruimtestaat[[#This Row],[Oppervlak (netto)]]</f>
        <v>0</v>
      </c>
      <c r="AC689" s="90">
        <f>IF(AB689&gt;0,Ruimtestaat[[#This Row],[Prest. (m2 /jaar) weekend]]/Ruimtestaat[[#This Row],[Norm (m2/uur) weekend]],0)</f>
        <v>0</v>
      </c>
      <c r="AD689" s="91">
        <f>Ruimtestaat[[#This Row],[uren / jaar weekend]]*Tariefsopbouw!$D$40</f>
        <v>0</v>
      </c>
      <c r="AE689" s="60">
        <f>Ruimtestaat[[#This Row],[Prest. (m2 /jaar) weekend]]+Ruimtestaat[[#This Row],[Prest. (m2 /jaar) werkdagen]]</f>
        <v>3874</v>
      </c>
      <c r="AF689" s="60">
        <f>Ruimtestaat[[#This Row],[uren / jaar weekend]]+Ruimtestaat[[#This Row],[uren / jaar werkdagen]]</f>
        <v>0</v>
      </c>
      <c r="AG689" s="61">
        <f>Ruimtestaat[[#This Row],[kosten / jaar weekend]]+Ruimtestaat[[#This Row],[kosten / jaar werkdagen]]</f>
        <v>0</v>
      </c>
      <c r="AH689" s="92"/>
      <c r="HL689" s="59"/>
    </row>
    <row r="690" spans="1:220">
      <c r="A690" s="24">
        <v>5</v>
      </c>
      <c r="B690" s="24" t="str">
        <f>VLOOKUP(Ruimtestaat[[#This Row],[Code]],Locaties[#All],2,FALSE)</f>
        <v>Marke Zuid</v>
      </c>
      <c r="C690" s="24" t="str">
        <f>VLOOKUP(Ruimtestaat[[#This Row],[Code]],Locaties[#All],4,FALSE)</f>
        <v>Ludgerstraat 1</v>
      </c>
      <c r="D690" s="24" t="str">
        <f>VLOOKUP(Ruimtestaat[[#This Row],[Code]],Locaties[#All],5,FALSE)</f>
        <v>7415 DV</v>
      </c>
      <c r="E690" s="24" t="str">
        <f>VLOOKUP(Ruimtestaat[[#This Row],[Code]],Locaties[#All],6,FALSE)</f>
        <v>Deventer</v>
      </c>
      <c r="F690" s="54"/>
      <c r="G690" s="24" t="s">
        <v>367</v>
      </c>
      <c r="H690" s="24" t="s">
        <v>1161</v>
      </c>
      <c r="I690" s="4" t="s">
        <v>1042</v>
      </c>
      <c r="J690" s="24">
        <v>19</v>
      </c>
      <c r="K690" s="54" t="str">
        <f>VLOOKUP(J690,Ruimtegroepen[],2,FALSE)</f>
        <v>Kleedruimten</v>
      </c>
      <c r="L690" s="24" t="s">
        <v>305</v>
      </c>
      <c r="M690" s="24" t="s">
        <v>373</v>
      </c>
      <c r="N690" s="83">
        <v>20.7</v>
      </c>
      <c r="O690" s="83"/>
      <c r="P690" s="93" t="str">
        <f>LEFT(VLOOKUP(Ruimtestaat[[#This Row],[Ruimte code]],Ruimtegroepen[#All],4,1),2)</f>
        <v>Ve</v>
      </c>
      <c r="Q690" s="93"/>
      <c r="R690" s="84">
        <v>40</v>
      </c>
      <c r="S690" s="84" t="s">
        <v>318</v>
      </c>
      <c r="T690" s="85">
        <f>IF(R690&gt;0,IF(RIGHT(Ruimtestaat[[#This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0" s="85">
        <f>IF(T690&gt;0,VLOOKUP($J690,Ruimtegroepen[],3,FALSE)*VLOOKUP($L690,Vloersoorten[],3,FALSE)*VLOOKUP($S690,Frequenties[],3,FALSE)*VLOOKUP($A690,Locaties[],3,FALSE),0)</f>
        <v>0</v>
      </c>
      <c r="V690" s="86">
        <f>Ruimtestaat[[#This Row],[Uitvoeringen werkdagen]]*Ruimtestaat[[#This Row],[Oppervlak (netto)]]</f>
        <v>4140</v>
      </c>
      <c r="W690" s="87">
        <f>IF(U690&gt;0,Ruimtestaat[[#This Row],[Prest. (m2 /jaar) werkdagen]]/Ruimtestaat[[#This Row],[Norm (m2/uur) werkdagen]],0)</f>
        <v>0</v>
      </c>
      <c r="X690" s="88">
        <f>Ruimtestaat[[#This Row],[uren / jaar werkdagen]]*Tariefsopbouw!$E$35</f>
        <v>0</v>
      </c>
      <c r="Y690" s="85"/>
      <c r="Z690" s="89">
        <f>IF(Ruimtestaat[[#This Row],[Frequentie weekend]]&gt;0,VALUE(LEFT(Y690,1))*R690,0)</f>
        <v>0</v>
      </c>
      <c r="AA690" s="85">
        <f>IF($Z690&gt;0,VLOOKUP($J690,Ruimtegroepen[],3,FALSE)*VLOOKUP($L690,Vloersoorten[],3,FALSE)*VLOOKUP($Y690,Frequenties[],3,FALSE)*VLOOKUP(#REF!,Locaties[],3,FALSE),0)</f>
        <v>0</v>
      </c>
      <c r="AB690" s="87">
        <f>Ruimtestaat[[#This Row],[Uitvoeringen weekend]]*Ruimtestaat[[#This Row],[Oppervlak (netto)]]</f>
        <v>0</v>
      </c>
      <c r="AC690" s="90">
        <f>IF(AB690&gt;0,Ruimtestaat[[#This Row],[Prest. (m2 /jaar) weekend]]/Ruimtestaat[[#This Row],[Norm (m2/uur) weekend]],0)</f>
        <v>0</v>
      </c>
      <c r="AD690" s="91">
        <f>Ruimtestaat[[#This Row],[uren / jaar weekend]]*Tariefsopbouw!$D$40</f>
        <v>0</v>
      </c>
      <c r="AE690" s="60">
        <f>Ruimtestaat[[#This Row],[Prest. (m2 /jaar) weekend]]+Ruimtestaat[[#This Row],[Prest. (m2 /jaar) werkdagen]]</f>
        <v>4140</v>
      </c>
      <c r="AF690" s="60">
        <f>Ruimtestaat[[#This Row],[uren / jaar weekend]]+Ruimtestaat[[#This Row],[uren / jaar werkdagen]]</f>
        <v>0</v>
      </c>
      <c r="AG690" s="61">
        <f>Ruimtestaat[[#This Row],[kosten / jaar weekend]]+Ruimtestaat[[#This Row],[kosten / jaar werkdagen]]</f>
        <v>0</v>
      </c>
      <c r="AH690" s="92"/>
      <c r="HL690" s="59"/>
    </row>
    <row r="691" spans="1:220">
      <c r="A691" s="24">
        <v>5</v>
      </c>
      <c r="B691" s="24" t="str">
        <f>VLOOKUP(Ruimtestaat[[#This Row],[Code]],Locaties[#All],2,FALSE)</f>
        <v>Marke Zuid</v>
      </c>
      <c r="C691" s="24" t="str">
        <f>VLOOKUP(Ruimtestaat[[#This Row],[Code]],Locaties[#All],4,FALSE)</f>
        <v>Ludgerstraat 1</v>
      </c>
      <c r="D691" s="24" t="str">
        <f>VLOOKUP(Ruimtestaat[[#This Row],[Code]],Locaties[#All],5,FALSE)</f>
        <v>7415 DV</v>
      </c>
      <c r="E691" s="24" t="str">
        <f>VLOOKUP(Ruimtestaat[[#This Row],[Code]],Locaties[#All],6,FALSE)</f>
        <v>Deventer</v>
      </c>
      <c r="F691" s="54"/>
      <c r="G691" s="24" t="s">
        <v>367</v>
      </c>
      <c r="H691" s="24" t="s">
        <v>1162</v>
      </c>
      <c r="I691" s="4" t="s">
        <v>1163</v>
      </c>
      <c r="J691" s="24">
        <v>6</v>
      </c>
      <c r="K691" s="54" t="str">
        <f>VLOOKUP(J691,Ruimtegroepen[],2,FALSE)</f>
        <v>Gangen/hallen</v>
      </c>
      <c r="L691" s="24" t="s">
        <v>305</v>
      </c>
      <c r="M691" s="24" t="s">
        <v>373</v>
      </c>
      <c r="N691" s="83">
        <v>26.05</v>
      </c>
      <c r="O691" s="83"/>
      <c r="P691" s="93" t="str">
        <f>LEFT(VLOOKUP(Ruimtestaat[[#This Row],[Ruimte code]],Ruimtegroepen[#All],4,1),2)</f>
        <v>Ve</v>
      </c>
      <c r="Q691" s="93"/>
      <c r="R691" s="84">
        <v>40</v>
      </c>
      <c r="S691" s="84" t="s">
        <v>318</v>
      </c>
      <c r="T691" s="85">
        <f>IF(R691&gt;0,IF(RIGHT(Ruimtestaat[[#This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1" s="85">
        <f>IF(T691&gt;0,VLOOKUP($J691,Ruimtegroepen[],3,FALSE)*VLOOKUP($L691,Vloersoorten[],3,FALSE)*VLOOKUP($S691,Frequenties[],3,FALSE)*VLOOKUP($A691,Locaties[],3,FALSE),0)</f>
        <v>0</v>
      </c>
      <c r="V691" s="86">
        <f>Ruimtestaat[[#This Row],[Uitvoeringen werkdagen]]*Ruimtestaat[[#This Row],[Oppervlak (netto)]]</f>
        <v>5210</v>
      </c>
      <c r="W691" s="87">
        <f>IF(U691&gt;0,Ruimtestaat[[#This Row],[Prest. (m2 /jaar) werkdagen]]/Ruimtestaat[[#This Row],[Norm (m2/uur) werkdagen]],0)</f>
        <v>0</v>
      </c>
      <c r="X691" s="88">
        <f>Ruimtestaat[[#This Row],[uren / jaar werkdagen]]*Tariefsopbouw!$E$35</f>
        <v>0</v>
      </c>
      <c r="Y691" s="85"/>
      <c r="Z691" s="89">
        <f>IF(Ruimtestaat[[#This Row],[Frequentie weekend]]&gt;0,VALUE(LEFT(Y691,1))*R691,0)</f>
        <v>0</v>
      </c>
      <c r="AA691" s="85">
        <f>IF($Z691&gt;0,VLOOKUP($J691,Ruimtegroepen[],3,FALSE)*VLOOKUP($L691,Vloersoorten[],3,FALSE)*VLOOKUP($Y691,Frequenties[],3,FALSE)*VLOOKUP(#REF!,Locaties[],3,FALSE),0)</f>
        <v>0</v>
      </c>
      <c r="AB691" s="87">
        <f>Ruimtestaat[[#This Row],[Uitvoeringen weekend]]*Ruimtestaat[[#This Row],[Oppervlak (netto)]]</f>
        <v>0</v>
      </c>
      <c r="AC691" s="90">
        <f>IF(AB691&gt;0,Ruimtestaat[[#This Row],[Prest. (m2 /jaar) weekend]]/Ruimtestaat[[#This Row],[Norm (m2/uur) weekend]],0)</f>
        <v>0</v>
      </c>
      <c r="AD691" s="91">
        <f>Ruimtestaat[[#This Row],[uren / jaar weekend]]*Tariefsopbouw!$D$40</f>
        <v>0</v>
      </c>
      <c r="AE691" s="60">
        <f>Ruimtestaat[[#This Row],[Prest. (m2 /jaar) weekend]]+Ruimtestaat[[#This Row],[Prest. (m2 /jaar) werkdagen]]</f>
        <v>5210</v>
      </c>
      <c r="AF691" s="60">
        <f>Ruimtestaat[[#This Row],[uren / jaar weekend]]+Ruimtestaat[[#This Row],[uren / jaar werkdagen]]</f>
        <v>0</v>
      </c>
      <c r="AG691" s="61">
        <f>Ruimtestaat[[#This Row],[kosten / jaar weekend]]+Ruimtestaat[[#This Row],[kosten / jaar werkdagen]]</f>
        <v>0</v>
      </c>
      <c r="AH691" s="92"/>
      <c r="HL691" s="59"/>
    </row>
    <row r="692" spans="1:220">
      <c r="A692" s="24">
        <v>5</v>
      </c>
      <c r="B692" s="24" t="str">
        <f>VLOOKUP(Ruimtestaat[[#This Row],[Code]],Locaties[#All],2,FALSE)</f>
        <v>Marke Zuid</v>
      </c>
      <c r="C692" s="24" t="str">
        <f>VLOOKUP(Ruimtestaat[[#This Row],[Code]],Locaties[#All],4,FALSE)</f>
        <v>Ludgerstraat 1</v>
      </c>
      <c r="D692" s="24" t="str">
        <f>VLOOKUP(Ruimtestaat[[#This Row],[Code]],Locaties[#All],5,FALSE)</f>
        <v>7415 DV</v>
      </c>
      <c r="E692" s="24" t="str">
        <f>VLOOKUP(Ruimtestaat[[#This Row],[Code]],Locaties[#All],6,FALSE)</f>
        <v>Deventer</v>
      </c>
      <c r="F692" s="54"/>
      <c r="G692" s="24" t="s">
        <v>367</v>
      </c>
      <c r="H692" s="24" t="s">
        <v>1164</v>
      </c>
      <c r="I692" s="4" t="s">
        <v>691</v>
      </c>
      <c r="J692" s="24">
        <v>22</v>
      </c>
      <c r="K692" s="54" t="str">
        <f>VLOOKUP(J692,Ruimtegroepen[],2,FALSE)</f>
        <v>Niet in onderhoud</v>
      </c>
      <c r="L692" s="24" t="s">
        <v>305</v>
      </c>
      <c r="M692" s="24" t="s">
        <v>373</v>
      </c>
      <c r="N692" s="83"/>
      <c r="O692" s="83">
        <v>1.6</v>
      </c>
      <c r="P692" s="93" t="str">
        <f>LEFT(VLOOKUP(Ruimtestaat[[#This Row],[Ruimte code]],Ruimtegroepen[#All],4,1),2)</f>
        <v/>
      </c>
      <c r="Q692" s="93"/>
      <c r="R692" s="84"/>
      <c r="S692" s="84"/>
      <c r="T692" s="85">
        <f>IF(R692&gt;0,IF(RIGHT(Ruimtestaat[[#This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2" s="85">
        <f>IF(T692&gt;0,VLOOKUP($J692,Ruimtegroepen[],3,FALSE)*VLOOKUP($L692,Vloersoorten[],3,FALSE)*VLOOKUP($S692,Frequenties[],3,FALSE)*VLOOKUP($A692,Locaties[],3,FALSE),0)</f>
        <v>0</v>
      </c>
      <c r="V692" s="86">
        <f>Ruimtestaat[[#This Row],[Uitvoeringen werkdagen]]*Ruimtestaat[[#This Row],[Oppervlak (netto)]]</f>
        <v>0</v>
      </c>
      <c r="W692" s="87">
        <f>IF(U692&gt;0,Ruimtestaat[[#This Row],[Prest. (m2 /jaar) werkdagen]]/Ruimtestaat[[#This Row],[Norm (m2/uur) werkdagen]],0)</f>
        <v>0</v>
      </c>
      <c r="X692" s="88">
        <f>Ruimtestaat[[#This Row],[uren / jaar werkdagen]]*Tariefsopbouw!$E$35</f>
        <v>0</v>
      </c>
      <c r="Y692" s="85"/>
      <c r="Z692" s="89">
        <f>IF(Ruimtestaat[[#This Row],[Frequentie weekend]]&gt;0,VALUE(LEFT(Y692,1))*R692,0)</f>
        <v>0</v>
      </c>
      <c r="AA692" s="85">
        <f>IF($Z692&gt;0,VLOOKUP($J692,Ruimtegroepen[],3,FALSE)*VLOOKUP($L692,Vloersoorten[],3,FALSE)*VLOOKUP($Y692,Frequenties[],3,FALSE)*VLOOKUP(#REF!,Locaties[],3,FALSE),0)</f>
        <v>0</v>
      </c>
      <c r="AB692" s="87">
        <f>Ruimtestaat[[#This Row],[Uitvoeringen weekend]]*Ruimtestaat[[#This Row],[Oppervlak (netto)]]</f>
        <v>0</v>
      </c>
      <c r="AC692" s="90">
        <f>IF(AB692&gt;0,Ruimtestaat[[#This Row],[Prest. (m2 /jaar) weekend]]/Ruimtestaat[[#This Row],[Norm (m2/uur) weekend]],0)</f>
        <v>0</v>
      </c>
      <c r="AD692" s="91">
        <f>Ruimtestaat[[#This Row],[uren / jaar weekend]]*Tariefsopbouw!$D$40</f>
        <v>0</v>
      </c>
      <c r="AE692" s="60">
        <f>Ruimtestaat[[#This Row],[Prest. (m2 /jaar) weekend]]+Ruimtestaat[[#This Row],[Prest. (m2 /jaar) werkdagen]]</f>
        <v>0</v>
      </c>
      <c r="AF692" s="60">
        <f>Ruimtestaat[[#This Row],[uren / jaar weekend]]+Ruimtestaat[[#This Row],[uren / jaar werkdagen]]</f>
        <v>0</v>
      </c>
      <c r="AG692" s="61">
        <f>Ruimtestaat[[#This Row],[kosten / jaar weekend]]+Ruimtestaat[[#This Row],[kosten / jaar werkdagen]]</f>
        <v>0</v>
      </c>
      <c r="AH692" s="92"/>
      <c r="HL692" s="59"/>
    </row>
    <row r="693" spans="1:220">
      <c r="A693" s="24">
        <v>5</v>
      </c>
      <c r="B693" s="24" t="str">
        <f>VLOOKUP(Ruimtestaat[[#This Row],[Code]],Locaties[#All],2,FALSE)</f>
        <v>Marke Zuid</v>
      </c>
      <c r="C693" s="24" t="str">
        <f>VLOOKUP(Ruimtestaat[[#This Row],[Code]],Locaties[#All],4,FALSE)</f>
        <v>Ludgerstraat 1</v>
      </c>
      <c r="D693" s="24" t="str">
        <f>VLOOKUP(Ruimtestaat[[#This Row],[Code]],Locaties[#All],5,FALSE)</f>
        <v>7415 DV</v>
      </c>
      <c r="E693" s="24" t="str">
        <f>VLOOKUP(Ruimtestaat[[#This Row],[Code]],Locaties[#All],6,FALSE)</f>
        <v>Deventer</v>
      </c>
      <c r="F693" s="54"/>
      <c r="G693" s="24" t="s">
        <v>367</v>
      </c>
      <c r="H693" s="24" t="s">
        <v>1165</v>
      </c>
      <c r="I693" s="4" t="s">
        <v>1166</v>
      </c>
      <c r="J693" s="24">
        <v>2</v>
      </c>
      <c r="K693" s="54" t="str">
        <f>VLOOKUP(J693,Ruimtegroepen[],2,FALSE)</f>
        <v>Kantoren</v>
      </c>
      <c r="L693" s="24" t="s">
        <v>305</v>
      </c>
      <c r="M693" s="24" t="s">
        <v>373</v>
      </c>
      <c r="N693" s="83">
        <v>4.8899999999999997</v>
      </c>
      <c r="O693" s="83"/>
      <c r="P693" s="93" t="str">
        <f>LEFT(VLOOKUP(Ruimtestaat[[#This Row],[Ruimte code]],Ruimtegroepen[#All],4,1),2)</f>
        <v>Bu</v>
      </c>
      <c r="Q693" s="93"/>
      <c r="R693" s="84">
        <v>42</v>
      </c>
      <c r="S693" s="84" t="s">
        <v>322</v>
      </c>
      <c r="T693" s="85">
        <f>IF(R693&gt;0,IF(RIGHT(Ruimtestaat[[#This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93" s="85">
        <f>IF(T693&gt;0,VLOOKUP($J693,Ruimtegroepen[],3,FALSE)*VLOOKUP($L693,Vloersoorten[],3,FALSE)*VLOOKUP($S693,Frequenties[],3,FALSE)*VLOOKUP($A693,Locaties[],3,FALSE),0)</f>
        <v>0</v>
      </c>
      <c r="V693" s="86">
        <f>Ruimtestaat[[#This Row],[Uitvoeringen werkdagen]]*Ruimtestaat[[#This Row],[Oppervlak (netto)]]</f>
        <v>616.14</v>
      </c>
      <c r="W693" s="87">
        <f>IF(U693&gt;0,Ruimtestaat[[#This Row],[Prest. (m2 /jaar) werkdagen]]/Ruimtestaat[[#This Row],[Norm (m2/uur) werkdagen]],0)</f>
        <v>0</v>
      </c>
      <c r="X693" s="88">
        <f>Ruimtestaat[[#This Row],[uren / jaar werkdagen]]*Tariefsopbouw!$E$35</f>
        <v>0</v>
      </c>
      <c r="Y693" s="85"/>
      <c r="Z693" s="89">
        <f>IF(Ruimtestaat[[#This Row],[Frequentie weekend]]&gt;0,VALUE(LEFT(Y693,1))*R693,0)</f>
        <v>0</v>
      </c>
      <c r="AA693" s="85">
        <f>IF($Z693&gt;0,VLOOKUP($J693,Ruimtegroepen[],3,FALSE)*VLOOKUP($L693,Vloersoorten[],3,FALSE)*VLOOKUP($Y693,Frequenties[],3,FALSE)*VLOOKUP(#REF!,Locaties[],3,FALSE),0)</f>
        <v>0</v>
      </c>
      <c r="AB693" s="87">
        <f>Ruimtestaat[[#This Row],[Uitvoeringen weekend]]*Ruimtestaat[[#This Row],[Oppervlak (netto)]]</f>
        <v>0</v>
      </c>
      <c r="AC693" s="90">
        <f>IF(AB693&gt;0,Ruimtestaat[[#This Row],[Prest. (m2 /jaar) weekend]]/Ruimtestaat[[#This Row],[Norm (m2/uur) weekend]],0)</f>
        <v>0</v>
      </c>
      <c r="AD693" s="91">
        <f>Ruimtestaat[[#This Row],[uren / jaar weekend]]*Tariefsopbouw!$D$40</f>
        <v>0</v>
      </c>
      <c r="AE693" s="60">
        <f>Ruimtestaat[[#This Row],[Prest. (m2 /jaar) weekend]]+Ruimtestaat[[#This Row],[Prest. (m2 /jaar) werkdagen]]</f>
        <v>616.14</v>
      </c>
      <c r="AF693" s="60">
        <f>Ruimtestaat[[#This Row],[uren / jaar weekend]]+Ruimtestaat[[#This Row],[uren / jaar werkdagen]]</f>
        <v>0</v>
      </c>
      <c r="AG693" s="61">
        <f>Ruimtestaat[[#This Row],[kosten / jaar weekend]]+Ruimtestaat[[#This Row],[kosten / jaar werkdagen]]</f>
        <v>0</v>
      </c>
      <c r="AH693" s="92"/>
      <c r="HL693" s="59"/>
    </row>
    <row r="694" spans="1:220">
      <c r="A694" s="24">
        <v>5</v>
      </c>
      <c r="B694" s="24" t="str">
        <f>VLOOKUP(Ruimtestaat[[#This Row],[Code]],Locaties[#All],2,FALSE)</f>
        <v>Marke Zuid</v>
      </c>
      <c r="C694" s="24" t="str">
        <f>VLOOKUP(Ruimtestaat[[#This Row],[Code]],Locaties[#All],4,FALSE)</f>
        <v>Ludgerstraat 1</v>
      </c>
      <c r="D694" s="24" t="str">
        <f>VLOOKUP(Ruimtestaat[[#This Row],[Code]],Locaties[#All],5,FALSE)</f>
        <v>7415 DV</v>
      </c>
      <c r="E694" s="24" t="str">
        <f>VLOOKUP(Ruimtestaat[[#This Row],[Code]],Locaties[#All],6,FALSE)</f>
        <v>Deventer</v>
      </c>
      <c r="F694" s="54"/>
      <c r="G694" s="24" t="s">
        <v>367</v>
      </c>
      <c r="H694" s="24" t="s">
        <v>1167</v>
      </c>
      <c r="I694" s="4" t="s">
        <v>1010</v>
      </c>
      <c r="J694" s="24">
        <v>5</v>
      </c>
      <c r="K694" s="54" t="str">
        <f>VLOOKUP(J694,Ruimtegroepen[],2,FALSE)</f>
        <v>Sanitair</v>
      </c>
      <c r="L694" s="24" t="s">
        <v>305</v>
      </c>
      <c r="M694" s="24" t="s">
        <v>373</v>
      </c>
      <c r="N694" s="83">
        <v>1.74</v>
      </c>
      <c r="O694" s="83"/>
      <c r="P694" s="93" t="str">
        <f>LEFT(VLOOKUP(Ruimtestaat[[#This Row],[Ruimte code]],Ruimtegroepen[#All],4,1),2)</f>
        <v>Sa</v>
      </c>
      <c r="Q694" s="93"/>
      <c r="R694" s="84">
        <v>42</v>
      </c>
      <c r="S694" s="84" t="s">
        <v>316</v>
      </c>
      <c r="T694" s="85">
        <f>IF(R694&gt;0,IF(RIGHT(Ruimtestaat[[#This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94" s="85">
        <f>IF(T694&gt;0,VLOOKUP($J694,Ruimtegroepen[],3,FALSE)*VLOOKUP($L694,Vloersoorten[],3,FALSE)*VLOOKUP($S694,Frequenties[],3,FALSE)*VLOOKUP($A694,Locaties[],3,FALSE),0)</f>
        <v>0</v>
      </c>
      <c r="V694" s="86">
        <f>Ruimtestaat[[#This Row],[Uitvoeringen werkdagen]]*Ruimtestaat[[#This Row],[Oppervlak (netto)]]</f>
        <v>730.8</v>
      </c>
      <c r="W694" s="87">
        <f>IF(U694&gt;0,Ruimtestaat[[#This Row],[Prest. (m2 /jaar) werkdagen]]/Ruimtestaat[[#This Row],[Norm (m2/uur) werkdagen]],0)</f>
        <v>0</v>
      </c>
      <c r="X694" s="88">
        <f>Ruimtestaat[[#This Row],[uren / jaar werkdagen]]*Tariefsopbouw!$E$35</f>
        <v>0</v>
      </c>
      <c r="Y694" s="85"/>
      <c r="Z694" s="89">
        <f>IF(Ruimtestaat[[#This Row],[Frequentie weekend]]&gt;0,VALUE(LEFT(Y694,1))*R694,0)</f>
        <v>0</v>
      </c>
      <c r="AA694" s="85">
        <f>IF($Z694&gt;0,VLOOKUP($J694,Ruimtegroepen[],3,FALSE)*VLOOKUP($L694,Vloersoorten[],3,FALSE)*VLOOKUP($Y694,Frequenties[],3,FALSE)*VLOOKUP(#REF!,Locaties[],3,FALSE),0)</f>
        <v>0</v>
      </c>
      <c r="AB694" s="87">
        <f>Ruimtestaat[[#This Row],[Uitvoeringen weekend]]*Ruimtestaat[[#This Row],[Oppervlak (netto)]]</f>
        <v>0</v>
      </c>
      <c r="AC694" s="90">
        <f>IF(AB694&gt;0,Ruimtestaat[[#This Row],[Prest. (m2 /jaar) weekend]]/Ruimtestaat[[#This Row],[Norm (m2/uur) weekend]],0)</f>
        <v>0</v>
      </c>
      <c r="AD694" s="91">
        <f>Ruimtestaat[[#This Row],[uren / jaar weekend]]*Tariefsopbouw!$D$40</f>
        <v>0</v>
      </c>
      <c r="AE694" s="60">
        <f>Ruimtestaat[[#This Row],[Prest. (m2 /jaar) weekend]]+Ruimtestaat[[#This Row],[Prest. (m2 /jaar) werkdagen]]</f>
        <v>730.8</v>
      </c>
      <c r="AF694" s="60">
        <f>Ruimtestaat[[#This Row],[uren / jaar weekend]]+Ruimtestaat[[#This Row],[uren / jaar werkdagen]]</f>
        <v>0</v>
      </c>
      <c r="AG694" s="61">
        <f>Ruimtestaat[[#This Row],[kosten / jaar weekend]]+Ruimtestaat[[#This Row],[kosten / jaar werkdagen]]</f>
        <v>0</v>
      </c>
      <c r="AH694" s="92"/>
      <c r="HL694" s="59"/>
    </row>
    <row r="695" spans="1:220">
      <c r="A695" s="24">
        <v>5</v>
      </c>
      <c r="B695" s="24" t="str">
        <f>VLOOKUP(Ruimtestaat[[#This Row],[Code]],Locaties[#All],2,FALSE)</f>
        <v>Marke Zuid</v>
      </c>
      <c r="C695" s="24" t="str">
        <f>VLOOKUP(Ruimtestaat[[#This Row],[Code]],Locaties[#All],4,FALSE)</f>
        <v>Ludgerstraat 1</v>
      </c>
      <c r="D695" s="24" t="str">
        <f>VLOOKUP(Ruimtestaat[[#This Row],[Code]],Locaties[#All],5,FALSE)</f>
        <v>7415 DV</v>
      </c>
      <c r="E695" s="24" t="str">
        <f>VLOOKUP(Ruimtestaat[[#This Row],[Code]],Locaties[#All],6,FALSE)</f>
        <v>Deventer</v>
      </c>
      <c r="F695" s="54"/>
      <c r="G695" s="24" t="s">
        <v>367</v>
      </c>
      <c r="H695" s="24" t="s">
        <v>1168</v>
      </c>
      <c r="I695" s="4" t="s">
        <v>394</v>
      </c>
      <c r="J695" s="24">
        <v>22</v>
      </c>
      <c r="K695" s="54" t="str">
        <f>VLOOKUP(J695,Ruimtegroepen[],2,FALSE)</f>
        <v>Niet in onderhoud</v>
      </c>
      <c r="L695" s="24" t="s">
        <v>311</v>
      </c>
      <c r="M695" s="24" t="s">
        <v>452</v>
      </c>
      <c r="N695" s="83"/>
      <c r="O695" s="83">
        <v>32.200000000000003</v>
      </c>
      <c r="P695" s="93" t="str">
        <f>LEFT(VLOOKUP(Ruimtestaat[[#This Row],[Ruimte code]],Ruimtegroepen[#All],4,1),2)</f>
        <v/>
      </c>
      <c r="Q695" s="93"/>
      <c r="R695" s="84"/>
      <c r="S695" s="84"/>
      <c r="T695" s="85">
        <f>IF(R695&gt;0,IF(RIGHT(Ruimtestaat[[#This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5" s="85">
        <f>IF(T695&gt;0,VLOOKUP($J695,Ruimtegroepen[],3,FALSE)*VLOOKUP($L695,Vloersoorten[],3,FALSE)*VLOOKUP($S695,Frequenties[],3,FALSE)*VLOOKUP($A695,Locaties[],3,FALSE),0)</f>
        <v>0</v>
      </c>
      <c r="V695" s="86">
        <f>Ruimtestaat[[#This Row],[Uitvoeringen werkdagen]]*Ruimtestaat[[#This Row],[Oppervlak (netto)]]</f>
        <v>0</v>
      </c>
      <c r="W695" s="87">
        <f>IF(U695&gt;0,Ruimtestaat[[#This Row],[Prest. (m2 /jaar) werkdagen]]/Ruimtestaat[[#This Row],[Norm (m2/uur) werkdagen]],0)</f>
        <v>0</v>
      </c>
      <c r="X695" s="88">
        <f>Ruimtestaat[[#This Row],[uren / jaar werkdagen]]*Tariefsopbouw!$E$35</f>
        <v>0</v>
      </c>
      <c r="Y695" s="85"/>
      <c r="Z695" s="89">
        <f>IF(Ruimtestaat[[#This Row],[Frequentie weekend]]&gt;0,VALUE(LEFT(Y695,1))*R695,0)</f>
        <v>0</v>
      </c>
      <c r="AA695" s="85">
        <f>IF($Z695&gt;0,VLOOKUP($J695,Ruimtegroepen[],3,FALSE)*VLOOKUP($L695,Vloersoorten[],3,FALSE)*VLOOKUP($Y695,Frequenties[],3,FALSE)*VLOOKUP(#REF!,Locaties[],3,FALSE),0)</f>
        <v>0</v>
      </c>
      <c r="AB695" s="87">
        <f>Ruimtestaat[[#This Row],[Uitvoeringen weekend]]*Ruimtestaat[[#This Row],[Oppervlak (netto)]]</f>
        <v>0</v>
      </c>
      <c r="AC695" s="90">
        <f>IF(AB695&gt;0,Ruimtestaat[[#This Row],[Prest. (m2 /jaar) weekend]]/Ruimtestaat[[#This Row],[Norm (m2/uur) weekend]],0)</f>
        <v>0</v>
      </c>
      <c r="AD695" s="91">
        <f>Ruimtestaat[[#This Row],[uren / jaar weekend]]*Tariefsopbouw!$D$40</f>
        <v>0</v>
      </c>
      <c r="AE695" s="60">
        <f>Ruimtestaat[[#This Row],[Prest. (m2 /jaar) weekend]]+Ruimtestaat[[#This Row],[Prest. (m2 /jaar) werkdagen]]</f>
        <v>0</v>
      </c>
      <c r="AF695" s="60">
        <f>Ruimtestaat[[#This Row],[uren / jaar weekend]]+Ruimtestaat[[#This Row],[uren / jaar werkdagen]]</f>
        <v>0</v>
      </c>
      <c r="AG695" s="61">
        <f>Ruimtestaat[[#This Row],[kosten / jaar weekend]]+Ruimtestaat[[#This Row],[kosten / jaar werkdagen]]</f>
        <v>0</v>
      </c>
      <c r="AH695" s="92"/>
      <c r="HL695" s="59"/>
    </row>
    <row r="696" spans="1:220">
      <c r="A696" s="24">
        <v>5</v>
      </c>
      <c r="B696" s="24" t="str">
        <f>VLOOKUP(Ruimtestaat[[#This Row],[Code]],Locaties[#All],2,FALSE)</f>
        <v>Marke Zuid</v>
      </c>
      <c r="C696" s="24" t="str">
        <f>VLOOKUP(Ruimtestaat[[#This Row],[Code]],Locaties[#All],4,FALSE)</f>
        <v>Ludgerstraat 1</v>
      </c>
      <c r="D696" s="24" t="str">
        <f>VLOOKUP(Ruimtestaat[[#This Row],[Code]],Locaties[#All],5,FALSE)</f>
        <v>7415 DV</v>
      </c>
      <c r="E696" s="24" t="str">
        <f>VLOOKUP(Ruimtestaat[[#This Row],[Code]],Locaties[#All],6,FALSE)</f>
        <v>Deventer</v>
      </c>
      <c r="F696" s="54"/>
      <c r="G696" s="24" t="s">
        <v>367</v>
      </c>
      <c r="H696" s="24" t="s">
        <v>1169</v>
      </c>
      <c r="I696" s="4" t="s">
        <v>535</v>
      </c>
      <c r="J696" s="24">
        <v>22</v>
      </c>
      <c r="K696" s="54" t="str">
        <f>VLOOKUP(J696,Ruimtegroepen[],2,FALSE)</f>
        <v>Niet in onderhoud</v>
      </c>
      <c r="L696" s="24" t="s">
        <v>305</v>
      </c>
      <c r="M696" s="24" t="s">
        <v>373</v>
      </c>
      <c r="N696" s="83"/>
      <c r="O696" s="83">
        <v>0.63</v>
      </c>
      <c r="P696" s="93" t="str">
        <f>LEFT(VLOOKUP(Ruimtestaat[[#This Row],[Ruimte code]],Ruimtegroepen[#All],4,1),2)</f>
        <v/>
      </c>
      <c r="Q696" s="93"/>
      <c r="R696" s="84"/>
      <c r="S696" s="84"/>
      <c r="T696" s="85">
        <f>IF(R696&gt;0,IF(RIGHT(Ruimtestaat[[#This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6" s="85">
        <f>IF(T696&gt;0,VLOOKUP($J696,Ruimtegroepen[],3,FALSE)*VLOOKUP($L696,Vloersoorten[],3,FALSE)*VLOOKUP($S696,Frequenties[],3,FALSE)*VLOOKUP($A696,Locaties[],3,FALSE),0)</f>
        <v>0</v>
      </c>
      <c r="V696" s="86">
        <f>Ruimtestaat[[#This Row],[Uitvoeringen werkdagen]]*Ruimtestaat[[#This Row],[Oppervlak (netto)]]</f>
        <v>0</v>
      </c>
      <c r="W696" s="87">
        <f>IF(U696&gt;0,Ruimtestaat[[#This Row],[Prest. (m2 /jaar) werkdagen]]/Ruimtestaat[[#This Row],[Norm (m2/uur) werkdagen]],0)</f>
        <v>0</v>
      </c>
      <c r="X696" s="88">
        <f>Ruimtestaat[[#This Row],[uren / jaar werkdagen]]*Tariefsopbouw!$E$35</f>
        <v>0</v>
      </c>
      <c r="Y696" s="85"/>
      <c r="Z696" s="89">
        <f>IF(Ruimtestaat[[#This Row],[Frequentie weekend]]&gt;0,VALUE(LEFT(Y696,1))*R696,0)</f>
        <v>0</v>
      </c>
      <c r="AA696" s="85">
        <f>IF($Z696&gt;0,VLOOKUP($J696,Ruimtegroepen[],3,FALSE)*VLOOKUP($L696,Vloersoorten[],3,FALSE)*VLOOKUP($Y696,Frequenties[],3,FALSE)*VLOOKUP(#REF!,Locaties[],3,FALSE),0)</f>
        <v>0</v>
      </c>
      <c r="AB696" s="87">
        <f>Ruimtestaat[[#This Row],[Uitvoeringen weekend]]*Ruimtestaat[[#This Row],[Oppervlak (netto)]]</f>
        <v>0</v>
      </c>
      <c r="AC696" s="90">
        <f>IF(AB696&gt;0,Ruimtestaat[[#This Row],[Prest. (m2 /jaar) weekend]]/Ruimtestaat[[#This Row],[Norm (m2/uur) weekend]],0)</f>
        <v>0</v>
      </c>
      <c r="AD696" s="91">
        <f>Ruimtestaat[[#This Row],[uren / jaar weekend]]*Tariefsopbouw!$D$40</f>
        <v>0</v>
      </c>
      <c r="AE696" s="60">
        <f>Ruimtestaat[[#This Row],[Prest. (m2 /jaar) weekend]]+Ruimtestaat[[#This Row],[Prest. (m2 /jaar) werkdagen]]</f>
        <v>0</v>
      </c>
      <c r="AF696" s="60">
        <f>Ruimtestaat[[#This Row],[uren / jaar weekend]]+Ruimtestaat[[#This Row],[uren / jaar werkdagen]]</f>
        <v>0</v>
      </c>
      <c r="AG696" s="61">
        <f>Ruimtestaat[[#This Row],[kosten / jaar weekend]]+Ruimtestaat[[#This Row],[kosten / jaar werkdagen]]</f>
        <v>0</v>
      </c>
      <c r="AH696" s="92"/>
      <c r="HL696" s="59"/>
    </row>
    <row r="697" spans="1:220">
      <c r="A697" s="24">
        <v>5</v>
      </c>
      <c r="B697" s="24" t="str">
        <f>VLOOKUP(Ruimtestaat[[#This Row],[Code]],Locaties[#All],2,FALSE)</f>
        <v>Marke Zuid</v>
      </c>
      <c r="C697" s="24" t="str">
        <f>VLOOKUP(Ruimtestaat[[#This Row],[Code]],Locaties[#All],4,FALSE)</f>
        <v>Ludgerstraat 1</v>
      </c>
      <c r="D697" s="24" t="str">
        <f>VLOOKUP(Ruimtestaat[[#This Row],[Code]],Locaties[#All],5,FALSE)</f>
        <v>7415 DV</v>
      </c>
      <c r="E697" s="24" t="str">
        <f>VLOOKUP(Ruimtestaat[[#This Row],[Code]],Locaties[#All],6,FALSE)</f>
        <v>Deventer</v>
      </c>
      <c r="F697" s="54"/>
      <c r="G697" s="24" t="s">
        <v>367</v>
      </c>
      <c r="H697" s="24" t="s">
        <v>1170</v>
      </c>
      <c r="I697" s="4" t="s">
        <v>639</v>
      </c>
      <c r="J697" s="24">
        <v>22</v>
      </c>
      <c r="K697" s="54" t="str">
        <f>VLOOKUP(J697,Ruimtegroepen[],2,FALSE)</f>
        <v>Niet in onderhoud</v>
      </c>
      <c r="L697" s="24" t="s">
        <v>305</v>
      </c>
      <c r="M697" s="24" t="s">
        <v>373</v>
      </c>
      <c r="N697" s="83"/>
      <c r="O697" s="83">
        <v>57.6</v>
      </c>
      <c r="P697" s="93" t="str">
        <f>LEFT(VLOOKUP(Ruimtestaat[[#This Row],[Ruimte code]],Ruimtegroepen[#All],4,1),2)</f>
        <v/>
      </c>
      <c r="Q697" s="93"/>
      <c r="R697" s="84"/>
      <c r="S697" s="84"/>
      <c r="T697" s="85">
        <f>IF(R697&gt;0,IF(RIGHT(Ruimtestaat[[#This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7" s="85">
        <f>IF(T697&gt;0,VLOOKUP($J697,Ruimtegroepen[],3,FALSE)*VLOOKUP($L697,Vloersoorten[],3,FALSE)*VLOOKUP($S697,Frequenties[],3,FALSE)*VLOOKUP($A697,Locaties[],3,FALSE),0)</f>
        <v>0</v>
      </c>
      <c r="V697" s="86">
        <f>Ruimtestaat[[#This Row],[Uitvoeringen werkdagen]]*Ruimtestaat[[#This Row],[Oppervlak (netto)]]</f>
        <v>0</v>
      </c>
      <c r="W697" s="87">
        <f>IF(U697&gt;0,Ruimtestaat[[#This Row],[Prest. (m2 /jaar) werkdagen]]/Ruimtestaat[[#This Row],[Norm (m2/uur) werkdagen]],0)</f>
        <v>0</v>
      </c>
      <c r="X697" s="88">
        <f>Ruimtestaat[[#This Row],[uren / jaar werkdagen]]*Tariefsopbouw!$E$35</f>
        <v>0</v>
      </c>
      <c r="Y697" s="85"/>
      <c r="Z697" s="89">
        <f>IF(Ruimtestaat[[#This Row],[Frequentie weekend]]&gt;0,VALUE(LEFT(Y697,1))*R697,0)</f>
        <v>0</v>
      </c>
      <c r="AA697" s="85">
        <f>IF($Z697&gt;0,VLOOKUP($J697,Ruimtegroepen[],3,FALSE)*VLOOKUP($L697,Vloersoorten[],3,FALSE)*VLOOKUP($Y697,Frequenties[],3,FALSE)*VLOOKUP(#REF!,Locaties[],3,FALSE),0)</f>
        <v>0</v>
      </c>
      <c r="AB697" s="87">
        <f>Ruimtestaat[[#This Row],[Uitvoeringen weekend]]*Ruimtestaat[[#This Row],[Oppervlak (netto)]]</f>
        <v>0</v>
      </c>
      <c r="AC697" s="90">
        <f>IF(AB697&gt;0,Ruimtestaat[[#This Row],[Prest. (m2 /jaar) weekend]]/Ruimtestaat[[#This Row],[Norm (m2/uur) weekend]],0)</f>
        <v>0</v>
      </c>
      <c r="AD697" s="91">
        <f>Ruimtestaat[[#This Row],[uren / jaar weekend]]*Tariefsopbouw!$D$40</f>
        <v>0</v>
      </c>
      <c r="AE697" s="60">
        <f>Ruimtestaat[[#This Row],[Prest. (m2 /jaar) weekend]]+Ruimtestaat[[#This Row],[Prest. (m2 /jaar) werkdagen]]</f>
        <v>0</v>
      </c>
      <c r="AF697" s="60">
        <f>Ruimtestaat[[#This Row],[uren / jaar weekend]]+Ruimtestaat[[#This Row],[uren / jaar werkdagen]]</f>
        <v>0</v>
      </c>
      <c r="AG697" s="61">
        <f>Ruimtestaat[[#This Row],[kosten / jaar weekend]]+Ruimtestaat[[#This Row],[kosten / jaar werkdagen]]</f>
        <v>0</v>
      </c>
      <c r="AH697" s="92"/>
      <c r="HL697" s="59"/>
    </row>
    <row r="698" spans="1:220">
      <c r="A698" s="24">
        <v>5</v>
      </c>
      <c r="B698" s="24" t="str">
        <f>VLOOKUP(Ruimtestaat[[#This Row],[Code]],Locaties[#All],2,FALSE)</f>
        <v>Marke Zuid</v>
      </c>
      <c r="C698" s="24" t="str">
        <f>VLOOKUP(Ruimtestaat[[#This Row],[Code]],Locaties[#All],4,FALSE)</f>
        <v>Ludgerstraat 1</v>
      </c>
      <c r="D698" s="24" t="str">
        <f>VLOOKUP(Ruimtestaat[[#This Row],[Code]],Locaties[#All],5,FALSE)</f>
        <v>7415 DV</v>
      </c>
      <c r="E698" s="24" t="str">
        <f>VLOOKUP(Ruimtestaat[[#This Row],[Code]],Locaties[#All],6,FALSE)</f>
        <v>Deventer</v>
      </c>
      <c r="F698" s="54"/>
      <c r="G698" s="24" t="s">
        <v>367</v>
      </c>
      <c r="H698" s="24" t="s">
        <v>1171</v>
      </c>
      <c r="I698" s="4" t="s">
        <v>394</v>
      </c>
      <c r="J698" s="24">
        <v>22</v>
      </c>
      <c r="K698" s="54" t="str">
        <f>VLOOKUP(J698,Ruimtegroepen[],2,FALSE)</f>
        <v>Niet in onderhoud</v>
      </c>
      <c r="L698" s="24" t="s">
        <v>305</v>
      </c>
      <c r="M698" s="24" t="s">
        <v>373</v>
      </c>
      <c r="N698" s="83"/>
      <c r="O698" s="83">
        <v>12.29</v>
      </c>
      <c r="P698" s="93" t="str">
        <f>LEFT(VLOOKUP(Ruimtestaat[[#This Row],[Ruimte code]],Ruimtegroepen[#All],4,1),2)</f>
        <v/>
      </c>
      <c r="Q698" s="93"/>
      <c r="R698" s="84"/>
      <c r="S698" s="84"/>
      <c r="T698" s="85">
        <f>IF(R698&gt;0,IF(RIGHT(Ruimtestaat[[#This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8" s="85">
        <f>IF(T698&gt;0,VLOOKUP($J698,Ruimtegroepen[],3,FALSE)*VLOOKUP($L698,Vloersoorten[],3,FALSE)*VLOOKUP($S698,Frequenties[],3,FALSE)*VLOOKUP($A698,Locaties[],3,FALSE),0)</f>
        <v>0</v>
      </c>
      <c r="V698" s="86">
        <f>Ruimtestaat[[#This Row],[Uitvoeringen werkdagen]]*Ruimtestaat[[#This Row],[Oppervlak (netto)]]</f>
        <v>0</v>
      </c>
      <c r="W698" s="87">
        <f>IF(U698&gt;0,Ruimtestaat[[#This Row],[Prest. (m2 /jaar) werkdagen]]/Ruimtestaat[[#This Row],[Norm (m2/uur) werkdagen]],0)</f>
        <v>0</v>
      </c>
      <c r="X698" s="88">
        <f>Ruimtestaat[[#This Row],[uren / jaar werkdagen]]*Tariefsopbouw!$E$35</f>
        <v>0</v>
      </c>
      <c r="Y698" s="85"/>
      <c r="Z698" s="89">
        <f>IF(Ruimtestaat[[#This Row],[Frequentie weekend]]&gt;0,VALUE(LEFT(Y698,1))*R698,0)</f>
        <v>0</v>
      </c>
      <c r="AA698" s="85">
        <f>IF($Z698&gt;0,VLOOKUP($J698,Ruimtegroepen[],3,FALSE)*VLOOKUP($L698,Vloersoorten[],3,FALSE)*VLOOKUP($Y698,Frequenties[],3,FALSE)*VLOOKUP(#REF!,Locaties[],3,FALSE),0)</f>
        <v>0</v>
      </c>
      <c r="AB698" s="87">
        <f>Ruimtestaat[[#This Row],[Uitvoeringen weekend]]*Ruimtestaat[[#This Row],[Oppervlak (netto)]]</f>
        <v>0</v>
      </c>
      <c r="AC698" s="90">
        <f>IF(AB698&gt;0,Ruimtestaat[[#This Row],[Prest. (m2 /jaar) weekend]]/Ruimtestaat[[#This Row],[Norm (m2/uur) weekend]],0)</f>
        <v>0</v>
      </c>
      <c r="AD698" s="91">
        <f>Ruimtestaat[[#This Row],[uren / jaar weekend]]*Tariefsopbouw!$D$40</f>
        <v>0</v>
      </c>
      <c r="AE698" s="60">
        <f>Ruimtestaat[[#This Row],[Prest. (m2 /jaar) weekend]]+Ruimtestaat[[#This Row],[Prest. (m2 /jaar) werkdagen]]</f>
        <v>0</v>
      </c>
      <c r="AF698" s="60">
        <f>Ruimtestaat[[#This Row],[uren / jaar weekend]]+Ruimtestaat[[#This Row],[uren / jaar werkdagen]]</f>
        <v>0</v>
      </c>
      <c r="AG698" s="61">
        <f>Ruimtestaat[[#This Row],[kosten / jaar weekend]]+Ruimtestaat[[#This Row],[kosten / jaar werkdagen]]</f>
        <v>0</v>
      </c>
      <c r="AH698" s="92"/>
      <c r="HL698" s="59"/>
    </row>
    <row r="699" spans="1:220">
      <c r="A699" s="24">
        <v>5</v>
      </c>
      <c r="B699" s="24" t="str">
        <f>VLOOKUP(Ruimtestaat[[#This Row],[Code]],Locaties[#All],2,FALSE)</f>
        <v>Marke Zuid</v>
      </c>
      <c r="C699" s="24" t="str">
        <f>VLOOKUP(Ruimtestaat[[#This Row],[Code]],Locaties[#All],4,FALSE)</f>
        <v>Ludgerstraat 1</v>
      </c>
      <c r="D699" s="24" t="str">
        <f>VLOOKUP(Ruimtestaat[[#This Row],[Code]],Locaties[#All],5,FALSE)</f>
        <v>7415 DV</v>
      </c>
      <c r="E699" s="24" t="str">
        <f>VLOOKUP(Ruimtestaat[[#This Row],[Code]],Locaties[#All],6,FALSE)</f>
        <v>Deventer</v>
      </c>
      <c r="F699" s="54"/>
      <c r="G699" s="24" t="s">
        <v>367</v>
      </c>
      <c r="H699" s="24" t="s">
        <v>1172</v>
      </c>
      <c r="I699" s="4" t="s">
        <v>535</v>
      </c>
      <c r="J699" s="24">
        <v>22</v>
      </c>
      <c r="K699" s="54" t="str">
        <f>VLOOKUP(J699,Ruimtegroepen[],2,FALSE)</f>
        <v>Niet in onderhoud</v>
      </c>
      <c r="L699" s="24" t="s">
        <v>305</v>
      </c>
      <c r="M699" s="24" t="s">
        <v>373</v>
      </c>
      <c r="N699" s="83"/>
      <c r="O699" s="83">
        <v>1.51</v>
      </c>
      <c r="P699" s="93" t="str">
        <f>LEFT(VLOOKUP(Ruimtestaat[[#This Row],[Ruimte code]],Ruimtegroepen[#All],4,1),2)</f>
        <v/>
      </c>
      <c r="Q699" s="93"/>
      <c r="R699" s="84"/>
      <c r="S699" s="84"/>
      <c r="T699" s="85">
        <f>IF(R699&gt;0,IF(RIGHT(Ruimtestaat[[#This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9" s="85">
        <f>IF(T699&gt;0,VLOOKUP($J699,Ruimtegroepen[],3,FALSE)*VLOOKUP($L699,Vloersoorten[],3,FALSE)*VLOOKUP($S699,Frequenties[],3,FALSE)*VLOOKUP($A699,Locaties[],3,FALSE),0)</f>
        <v>0</v>
      </c>
      <c r="V699" s="86">
        <f>Ruimtestaat[[#This Row],[Uitvoeringen werkdagen]]*Ruimtestaat[[#This Row],[Oppervlak (netto)]]</f>
        <v>0</v>
      </c>
      <c r="W699" s="87">
        <f>IF(U699&gt;0,Ruimtestaat[[#This Row],[Prest. (m2 /jaar) werkdagen]]/Ruimtestaat[[#This Row],[Norm (m2/uur) werkdagen]],0)</f>
        <v>0</v>
      </c>
      <c r="X699" s="88">
        <f>Ruimtestaat[[#This Row],[uren / jaar werkdagen]]*Tariefsopbouw!$E$35</f>
        <v>0</v>
      </c>
      <c r="Y699" s="85"/>
      <c r="Z699" s="89">
        <f>IF(Ruimtestaat[[#This Row],[Frequentie weekend]]&gt;0,VALUE(LEFT(Y699,1))*R699,0)</f>
        <v>0</v>
      </c>
      <c r="AA699" s="85">
        <f>IF($Z699&gt;0,VLOOKUP($J699,Ruimtegroepen[],3,FALSE)*VLOOKUP($L699,Vloersoorten[],3,FALSE)*VLOOKUP($Y699,Frequenties[],3,FALSE)*VLOOKUP(#REF!,Locaties[],3,FALSE),0)</f>
        <v>0</v>
      </c>
      <c r="AB699" s="87">
        <f>Ruimtestaat[[#This Row],[Uitvoeringen weekend]]*Ruimtestaat[[#This Row],[Oppervlak (netto)]]</f>
        <v>0</v>
      </c>
      <c r="AC699" s="90">
        <f>IF(AB699&gt;0,Ruimtestaat[[#This Row],[Prest. (m2 /jaar) weekend]]/Ruimtestaat[[#This Row],[Norm (m2/uur) weekend]],0)</f>
        <v>0</v>
      </c>
      <c r="AD699" s="91">
        <f>Ruimtestaat[[#This Row],[uren / jaar weekend]]*Tariefsopbouw!$D$40</f>
        <v>0</v>
      </c>
      <c r="AE699" s="60">
        <f>Ruimtestaat[[#This Row],[Prest. (m2 /jaar) weekend]]+Ruimtestaat[[#This Row],[Prest. (m2 /jaar) werkdagen]]</f>
        <v>0</v>
      </c>
      <c r="AF699" s="60">
        <f>Ruimtestaat[[#This Row],[uren / jaar weekend]]+Ruimtestaat[[#This Row],[uren / jaar werkdagen]]</f>
        <v>0</v>
      </c>
      <c r="AG699" s="61">
        <f>Ruimtestaat[[#This Row],[kosten / jaar weekend]]+Ruimtestaat[[#This Row],[kosten / jaar werkdagen]]</f>
        <v>0</v>
      </c>
      <c r="AH699" s="92"/>
      <c r="HL699" s="59"/>
    </row>
    <row r="700" spans="1:220">
      <c r="A700" s="24">
        <v>5</v>
      </c>
      <c r="B700" s="24" t="str">
        <f>VLOOKUP(Ruimtestaat[[#This Row],[Code]],Locaties[#All],2,FALSE)</f>
        <v>Marke Zuid</v>
      </c>
      <c r="C700" s="24" t="str">
        <f>VLOOKUP(Ruimtestaat[[#This Row],[Code]],Locaties[#All],4,FALSE)</f>
        <v>Ludgerstraat 1</v>
      </c>
      <c r="D700" s="24" t="str">
        <f>VLOOKUP(Ruimtestaat[[#This Row],[Code]],Locaties[#All],5,FALSE)</f>
        <v>7415 DV</v>
      </c>
      <c r="E700" s="24" t="str">
        <f>VLOOKUP(Ruimtestaat[[#This Row],[Code]],Locaties[#All],6,FALSE)</f>
        <v>Deventer</v>
      </c>
      <c r="F700" s="54"/>
      <c r="G700" s="24" t="s">
        <v>367</v>
      </c>
      <c r="H700" s="24" t="s">
        <v>1173</v>
      </c>
      <c r="I700" s="4" t="s">
        <v>594</v>
      </c>
      <c r="J700" s="24">
        <v>13</v>
      </c>
      <c r="K700" s="54" t="str">
        <f>VLOOKUP(J700,Ruimtegroepen[],2,FALSE)</f>
        <v>HV/Technieklokaal</v>
      </c>
      <c r="L700" s="24" t="s">
        <v>300</v>
      </c>
      <c r="M700" s="24" t="s">
        <v>997</v>
      </c>
      <c r="N700" s="83">
        <v>255.03</v>
      </c>
      <c r="O700" s="83"/>
      <c r="P700" s="93" t="str">
        <f>LEFT(VLOOKUP(Ruimtestaat[[#This Row],[Ruimte code]],Ruimtegroepen[#All],4,1),2)</f>
        <v>Le</v>
      </c>
      <c r="Q700" s="93"/>
      <c r="R700" s="84">
        <v>40</v>
      </c>
      <c r="S700" s="84" t="s">
        <v>318</v>
      </c>
      <c r="T700" s="85">
        <f>IF(R700&gt;0,IF(RIGHT(Ruimtestaat[[#This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0" s="85">
        <f>IF(T700&gt;0,VLOOKUP($J700,Ruimtegroepen[],3,FALSE)*VLOOKUP($L700,Vloersoorten[],3,FALSE)*VLOOKUP($S700,Frequenties[],3,FALSE)*VLOOKUP($A700,Locaties[],3,FALSE),0)</f>
        <v>0</v>
      </c>
      <c r="V700" s="86">
        <f>Ruimtestaat[[#This Row],[Uitvoeringen werkdagen]]*Ruimtestaat[[#This Row],[Oppervlak (netto)]]</f>
        <v>51006</v>
      </c>
      <c r="W700" s="87">
        <f>IF(U700&gt;0,Ruimtestaat[[#This Row],[Prest. (m2 /jaar) werkdagen]]/Ruimtestaat[[#This Row],[Norm (m2/uur) werkdagen]],0)</f>
        <v>0</v>
      </c>
      <c r="X700" s="88">
        <f>Ruimtestaat[[#This Row],[uren / jaar werkdagen]]*Tariefsopbouw!$E$35</f>
        <v>0</v>
      </c>
      <c r="Y700" s="85"/>
      <c r="Z700" s="89">
        <f>IF(Ruimtestaat[[#This Row],[Frequentie weekend]]&gt;0,VALUE(LEFT(Y700,1))*R700,0)</f>
        <v>0</v>
      </c>
      <c r="AA700" s="85">
        <f>IF($Z700&gt;0,VLOOKUP($J700,Ruimtegroepen[],3,FALSE)*VLOOKUP($L700,Vloersoorten[],3,FALSE)*VLOOKUP($Y700,Frequenties[],3,FALSE)*VLOOKUP(#REF!,Locaties[],3,FALSE),0)</f>
        <v>0</v>
      </c>
      <c r="AB700" s="87">
        <f>Ruimtestaat[[#This Row],[Uitvoeringen weekend]]*Ruimtestaat[[#This Row],[Oppervlak (netto)]]</f>
        <v>0</v>
      </c>
      <c r="AC700" s="90">
        <f>IF(AB700&gt;0,Ruimtestaat[[#This Row],[Prest. (m2 /jaar) weekend]]/Ruimtestaat[[#This Row],[Norm (m2/uur) weekend]],0)</f>
        <v>0</v>
      </c>
      <c r="AD700" s="91">
        <f>Ruimtestaat[[#This Row],[uren / jaar weekend]]*Tariefsopbouw!$D$40</f>
        <v>0</v>
      </c>
      <c r="AE700" s="60">
        <f>Ruimtestaat[[#This Row],[Prest. (m2 /jaar) weekend]]+Ruimtestaat[[#This Row],[Prest. (m2 /jaar) werkdagen]]</f>
        <v>51006</v>
      </c>
      <c r="AF700" s="60">
        <f>Ruimtestaat[[#This Row],[uren / jaar weekend]]+Ruimtestaat[[#This Row],[uren / jaar werkdagen]]</f>
        <v>0</v>
      </c>
      <c r="AG700" s="61">
        <f>Ruimtestaat[[#This Row],[kosten / jaar weekend]]+Ruimtestaat[[#This Row],[kosten / jaar werkdagen]]</f>
        <v>0</v>
      </c>
      <c r="AH700" s="92"/>
      <c r="HL700" s="59"/>
    </row>
    <row r="701" spans="1:220">
      <c r="A701" s="24">
        <v>5</v>
      </c>
      <c r="B701" s="24" t="str">
        <f>VLOOKUP(Ruimtestaat[[#This Row],[Code]],Locaties[#All],2,FALSE)</f>
        <v>Marke Zuid</v>
      </c>
      <c r="C701" s="24" t="str">
        <f>VLOOKUP(Ruimtestaat[[#This Row],[Code]],Locaties[#All],4,FALSE)</f>
        <v>Ludgerstraat 1</v>
      </c>
      <c r="D701" s="24" t="str">
        <f>VLOOKUP(Ruimtestaat[[#This Row],[Code]],Locaties[#All],5,FALSE)</f>
        <v>7415 DV</v>
      </c>
      <c r="E701" s="24" t="str">
        <f>VLOOKUP(Ruimtestaat[[#This Row],[Code]],Locaties[#All],6,FALSE)</f>
        <v>Deventer</v>
      </c>
      <c r="F701" s="54"/>
      <c r="G701" s="24" t="s">
        <v>367</v>
      </c>
      <c r="H701" s="24" t="s">
        <v>1174</v>
      </c>
      <c r="I701" s="4" t="s">
        <v>667</v>
      </c>
      <c r="J701" s="24">
        <v>22</v>
      </c>
      <c r="K701" s="54" t="str">
        <f>VLOOKUP(J701,Ruimtegroepen[],2,FALSE)</f>
        <v>Niet in onderhoud</v>
      </c>
      <c r="L701" s="24" t="s">
        <v>300</v>
      </c>
      <c r="M701" s="24" t="s">
        <v>997</v>
      </c>
      <c r="N701" s="83"/>
      <c r="O701" s="83">
        <v>27.07</v>
      </c>
      <c r="P701" s="93" t="str">
        <f>LEFT(VLOOKUP(Ruimtestaat[[#This Row],[Ruimte code]],Ruimtegroepen[#All],4,1),2)</f>
        <v/>
      </c>
      <c r="Q701" s="93"/>
      <c r="R701" s="84"/>
      <c r="S701" s="84"/>
      <c r="T701" s="85">
        <f>IF(R701&gt;0,IF(RIGHT(Ruimtestaat[[#This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01" s="85">
        <f>IF(T701&gt;0,VLOOKUP($J701,Ruimtegroepen[],3,FALSE)*VLOOKUP($L701,Vloersoorten[],3,FALSE)*VLOOKUP($S701,Frequenties[],3,FALSE)*VLOOKUP($A701,Locaties[],3,FALSE),0)</f>
        <v>0</v>
      </c>
      <c r="V701" s="86">
        <f>Ruimtestaat[[#This Row],[Uitvoeringen werkdagen]]*Ruimtestaat[[#This Row],[Oppervlak (netto)]]</f>
        <v>0</v>
      </c>
      <c r="W701" s="87">
        <f>IF(U701&gt;0,Ruimtestaat[[#This Row],[Prest. (m2 /jaar) werkdagen]]/Ruimtestaat[[#This Row],[Norm (m2/uur) werkdagen]],0)</f>
        <v>0</v>
      </c>
      <c r="X701" s="88">
        <f>Ruimtestaat[[#This Row],[uren / jaar werkdagen]]*Tariefsopbouw!$E$35</f>
        <v>0</v>
      </c>
      <c r="Y701" s="85"/>
      <c r="Z701" s="89">
        <f>IF(Ruimtestaat[[#This Row],[Frequentie weekend]]&gt;0,VALUE(LEFT(Y701,1))*R701,0)</f>
        <v>0</v>
      </c>
      <c r="AA701" s="85">
        <f>IF($Z701&gt;0,VLOOKUP($J701,Ruimtegroepen[],3,FALSE)*VLOOKUP($L701,Vloersoorten[],3,FALSE)*VLOOKUP($Y701,Frequenties[],3,FALSE)*VLOOKUP(#REF!,Locaties[],3,FALSE),0)</f>
        <v>0</v>
      </c>
      <c r="AB701" s="87">
        <f>Ruimtestaat[[#This Row],[Uitvoeringen weekend]]*Ruimtestaat[[#This Row],[Oppervlak (netto)]]</f>
        <v>0</v>
      </c>
      <c r="AC701" s="90">
        <f>IF(AB701&gt;0,Ruimtestaat[[#This Row],[Prest. (m2 /jaar) weekend]]/Ruimtestaat[[#This Row],[Norm (m2/uur) weekend]],0)</f>
        <v>0</v>
      </c>
      <c r="AD701" s="91">
        <f>Ruimtestaat[[#This Row],[uren / jaar weekend]]*Tariefsopbouw!$D$40</f>
        <v>0</v>
      </c>
      <c r="AE701" s="60">
        <f>Ruimtestaat[[#This Row],[Prest. (m2 /jaar) weekend]]+Ruimtestaat[[#This Row],[Prest. (m2 /jaar) werkdagen]]</f>
        <v>0</v>
      </c>
      <c r="AF701" s="60">
        <f>Ruimtestaat[[#This Row],[uren / jaar weekend]]+Ruimtestaat[[#This Row],[uren / jaar werkdagen]]</f>
        <v>0</v>
      </c>
      <c r="AG701" s="61">
        <f>Ruimtestaat[[#This Row],[kosten / jaar weekend]]+Ruimtestaat[[#This Row],[kosten / jaar werkdagen]]</f>
        <v>0</v>
      </c>
      <c r="AH701" s="92"/>
      <c r="HL701" s="59"/>
    </row>
    <row r="702" spans="1:220">
      <c r="A702" s="24">
        <v>5</v>
      </c>
      <c r="B702" s="24" t="str">
        <f>VLOOKUP(Ruimtestaat[[#This Row],[Code]],Locaties[#All],2,FALSE)</f>
        <v>Marke Zuid</v>
      </c>
      <c r="C702" s="24" t="str">
        <f>VLOOKUP(Ruimtestaat[[#This Row],[Code]],Locaties[#All],4,FALSE)</f>
        <v>Ludgerstraat 1</v>
      </c>
      <c r="D702" s="24" t="str">
        <f>VLOOKUP(Ruimtestaat[[#This Row],[Code]],Locaties[#All],5,FALSE)</f>
        <v>7415 DV</v>
      </c>
      <c r="E702" s="24" t="str">
        <f>VLOOKUP(Ruimtestaat[[#This Row],[Code]],Locaties[#All],6,FALSE)</f>
        <v>Deventer</v>
      </c>
      <c r="F702" s="54"/>
      <c r="G702" s="24" t="s">
        <v>367</v>
      </c>
      <c r="H702" s="24" t="s">
        <v>1175</v>
      </c>
      <c r="I702" s="4" t="s">
        <v>530</v>
      </c>
      <c r="J702" s="24">
        <v>16</v>
      </c>
      <c r="K702" s="54" t="str">
        <f>VLOOKUP(J702,Ruimtegroepen[],2,FALSE)</f>
        <v>Leslokalen theorie</v>
      </c>
      <c r="L702" s="24" t="s">
        <v>300</v>
      </c>
      <c r="M702" s="24" t="s">
        <v>997</v>
      </c>
      <c r="N702" s="83">
        <v>55.56</v>
      </c>
      <c r="O702" s="83"/>
      <c r="P702" s="93" t="str">
        <f>LEFT(VLOOKUP(Ruimtestaat[[#This Row],[Ruimte code]],Ruimtegroepen[#All],4,1),2)</f>
        <v>Le</v>
      </c>
      <c r="Q702" s="93"/>
      <c r="R702" s="84">
        <v>40</v>
      </c>
      <c r="S702" s="84" t="s">
        <v>318</v>
      </c>
      <c r="T702" s="85">
        <f>IF(R702&gt;0,IF(RIGHT(Ruimtestaat[[#This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2" s="85">
        <f>IF(T702&gt;0,VLOOKUP($J702,Ruimtegroepen[],3,FALSE)*VLOOKUP($L702,Vloersoorten[],3,FALSE)*VLOOKUP($S702,Frequenties[],3,FALSE)*VLOOKUP($A702,Locaties[],3,FALSE),0)</f>
        <v>0</v>
      </c>
      <c r="V702" s="86">
        <f>Ruimtestaat[[#This Row],[Uitvoeringen werkdagen]]*Ruimtestaat[[#This Row],[Oppervlak (netto)]]</f>
        <v>11112</v>
      </c>
      <c r="W702" s="87">
        <f>IF(U702&gt;0,Ruimtestaat[[#This Row],[Prest. (m2 /jaar) werkdagen]]/Ruimtestaat[[#This Row],[Norm (m2/uur) werkdagen]],0)</f>
        <v>0</v>
      </c>
      <c r="X702" s="88">
        <f>Ruimtestaat[[#This Row],[uren / jaar werkdagen]]*Tariefsopbouw!$E$35</f>
        <v>0</v>
      </c>
      <c r="Y702" s="85"/>
      <c r="Z702" s="89">
        <f>IF(Ruimtestaat[[#This Row],[Frequentie weekend]]&gt;0,VALUE(LEFT(Y702,1))*R702,0)</f>
        <v>0</v>
      </c>
      <c r="AA702" s="85">
        <f>IF($Z702&gt;0,VLOOKUP($J702,Ruimtegroepen[],3,FALSE)*VLOOKUP($L702,Vloersoorten[],3,FALSE)*VLOOKUP($Y702,Frequenties[],3,FALSE)*VLOOKUP(#REF!,Locaties[],3,FALSE),0)</f>
        <v>0</v>
      </c>
      <c r="AB702" s="87">
        <f>Ruimtestaat[[#This Row],[Uitvoeringen weekend]]*Ruimtestaat[[#This Row],[Oppervlak (netto)]]</f>
        <v>0</v>
      </c>
      <c r="AC702" s="90">
        <f>IF(AB702&gt;0,Ruimtestaat[[#This Row],[Prest. (m2 /jaar) weekend]]/Ruimtestaat[[#This Row],[Norm (m2/uur) weekend]],0)</f>
        <v>0</v>
      </c>
      <c r="AD702" s="91">
        <f>Ruimtestaat[[#This Row],[uren / jaar weekend]]*Tariefsopbouw!$D$40</f>
        <v>0</v>
      </c>
      <c r="AE702" s="60">
        <f>Ruimtestaat[[#This Row],[Prest. (m2 /jaar) weekend]]+Ruimtestaat[[#This Row],[Prest. (m2 /jaar) werkdagen]]</f>
        <v>11112</v>
      </c>
      <c r="AF702" s="60">
        <f>Ruimtestaat[[#This Row],[uren / jaar weekend]]+Ruimtestaat[[#This Row],[uren / jaar werkdagen]]</f>
        <v>0</v>
      </c>
      <c r="AG702" s="61">
        <f>Ruimtestaat[[#This Row],[kosten / jaar weekend]]+Ruimtestaat[[#This Row],[kosten / jaar werkdagen]]</f>
        <v>0</v>
      </c>
      <c r="AH702" s="92"/>
      <c r="HL702" s="59"/>
    </row>
    <row r="703" spans="1:220">
      <c r="A703" s="24">
        <v>5</v>
      </c>
      <c r="B703" s="24" t="str">
        <f>VLOOKUP(Ruimtestaat[[#This Row],[Code]],Locaties[#All],2,FALSE)</f>
        <v>Marke Zuid</v>
      </c>
      <c r="C703" s="24" t="str">
        <f>VLOOKUP(Ruimtestaat[[#This Row],[Code]],Locaties[#All],4,FALSE)</f>
        <v>Ludgerstraat 1</v>
      </c>
      <c r="D703" s="24" t="str">
        <f>VLOOKUP(Ruimtestaat[[#This Row],[Code]],Locaties[#All],5,FALSE)</f>
        <v>7415 DV</v>
      </c>
      <c r="E703" s="24" t="str">
        <f>VLOOKUP(Ruimtestaat[[#This Row],[Code]],Locaties[#All],6,FALSE)</f>
        <v>Deventer</v>
      </c>
      <c r="F703" s="54"/>
      <c r="G703" s="24" t="s">
        <v>367</v>
      </c>
      <c r="H703" s="24" t="s">
        <v>1176</v>
      </c>
      <c r="I703" s="4" t="s">
        <v>1010</v>
      </c>
      <c r="J703" s="24">
        <v>5</v>
      </c>
      <c r="K703" s="54" t="str">
        <f>VLOOKUP(J703,Ruimtegroepen[],2,FALSE)</f>
        <v>Sanitair</v>
      </c>
      <c r="L703" s="24" t="s">
        <v>305</v>
      </c>
      <c r="M703" s="24" t="s">
        <v>1008</v>
      </c>
      <c r="N703" s="83">
        <v>1.64</v>
      </c>
      <c r="O703" s="83"/>
      <c r="P703" s="93" t="str">
        <f>LEFT(VLOOKUP(Ruimtestaat[[#This Row],[Ruimte code]],Ruimtegroepen[#All],4,1),2)</f>
        <v>Sa</v>
      </c>
      <c r="Q703" s="93"/>
      <c r="R703" s="84">
        <v>42</v>
      </c>
      <c r="S703" s="84" t="s">
        <v>316</v>
      </c>
      <c r="T703" s="85">
        <f>IF(R703&gt;0,IF(RIGHT(Ruimtestaat[[#This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03" s="85">
        <f>IF(T703&gt;0,VLOOKUP($J703,Ruimtegroepen[],3,FALSE)*VLOOKUP($L703,Vloersoorten[],3,FALSE)*VLOOKUP($S703,Frequenties[],3,FALSE)*VLOOKUP($A703,Locaties[],3,FALSE),0)</f>
        <v>0</v>
      </c>
      <c r="V703" s="86">
        <f>Ruimtestaat[[#This Row],[Uitvoeringen werkdagen]]*Ruimtestaat[[#This Row],[Oppervlak (netto)]]</f>
        <v>688.8</v>
      </c>
      <c r="W703" s="87">
        <f>IF(U703&gt;0,Ruimtestaat[[#This Row],[Prest. (m2 /jaar) werkdagen]]/Ruimtestaat[[#This Row],[Norm (m2/uur) werkdagen]],0)</f>
        <v>0</v>
      </c>
      <c r="X703" s="88">
        <f>Ruimtestaat[[#This Row],[uren / jaar werkdagen]]*Tariefsopbouw!$E$35</f>
        <v>0</v>
      </c>
      <c r="Y703" s="85"/>
      <c r="Z703" s="89">
        <f>IF(Ruimtestaat[[#This Row],[Frequentie weekend]]&gt;0,VALUE(LEFT(Y703,1))*R703,0)</f>
        <v>0</v>
      </c>
      <c r="AA703" s="85">
        <f>IF($Z703&gt;0,VLOOKUP($J703,Ruimtegroepen[],3,FALSE)*VLOOKUP($L703,Vloersoorten[],3,FALSE)*VLOOKUP($Y703,Frequenties[],3,FALSE)*VLOOKUP(#REF!,Locaties[],3,FALSE),0)</f>
        <v>0</v>
      </c>
      <c r="AB703" s="87">
        <f>Ruimtestaat[[#This Row],[Uitvoeringen weekend]]*Ruimtestaat[[#This Row],[Oppervlak (netto)]]</f>
        <v>0</v>
      </c>
      <c r="AC703" s="90">
        <f>IF(AB703&gt;0,Ruimtestaat[[#This Row],[Prest. (m2 /jaar) weekend]]/Ruimtestaat[[#This Row],[Norm (m2/uur) weekend]],0)</f>
        <v>0</v>
      </c>
      <c r="AD703" s="91">
        <f>Ruimtestaat[[#This Row],[uren / jaar weekend]]*Tariefsopbouw!$D$40</f>
        <v>0</v>
      </c>
      <c r="AE703" s="60">
        <f>Ruimtestaat[[#This Row],[Prest. (m2 /jaar) weekend]]+Ruimtestaat[[#This Row],[Prest. (m2 /jaar) werkdagen]]</f>
        <v>688.8</v>
      </c>
      <c r="AF703" s="60">
        <f>Ruimtestaat[[#This Row],[uren / jaar weekend]]+Ruimtestaat[[#This Row],[uren / jaar werkdagen]]</f>
        <v>0</v>
      </c>
      <c r="AG703" s="61">
        <f>Ruimtestaat[[#This Row],[kosten / jaar weekend]]+Ruimtestaat[[#This Row],[kosten / jaar werkdagen]]</f>
        <v>0</v>
      </c>
      <c r="AH703" s="92"/>
      <c r="HL703" s="59"/>
    </row>
    <row r="704" spans="1:220">
      <c r="A704" s="24">
        <v>5</v>
      </c>
      <c r="B704" s="24" t="str">
        <f>VLOOKUP(Ruimtestaat[[#This Row],[Code]],Locaties[#All],2,FALSE)</f>
        <v>Marke Zuid</v>
      </c>
      <c r="C704" s="24" t="str">
        <f>VLOOKUP(Ruimtestaat[[#This Row],[Code]],Locaties[#All],4,FALSE)</f>
        <v>Ludgerstraat 1</v>
      </c>
      <c r="D704" s="24" t="str">
        <f>VLOOKUP(Ruimtestaat[[#This Row],[Code]],Locaties[#All],5,FALSE)</f>
        <v>7415 DV</v>
      </c>
      <c r="E704" s="24" t="str">
        <f>VLOOKUP(Ruimtestaat[[#This Row],[Code]],Locaties[#All],6,FALSE)</f>
        <v>Deventer</v>
      </c>
      <c r="F704" s="54"/>
      <c r="G704" s="24" t="s">
        <v>367</v>
      </c>
      <c r="H704" s="24" t="s">
        <v>1177</v>
      </c>
      <c r="I704" s="4" t="s">
        <v>375</v>
      </c>
      <c r="J704" s="24">
        <v>22</v>
      </c>
      <c r="K704" s="54" t="str">
        <f>VLOOKUP(J704,Ruimtegroepen[],2,FALSE)</f>
        <v>Niet in onderhoud</v>
      </c>
      <c r="L704" s="24" t="s">
        <v>305</v>
      </c>
      <c r="M704" s="24" t="s">
        <v>1008</v>
      </c>
      <c r="N704" s="83"/>
      <c r="O704" s="83">
        <v>1.32</v>
      </c>
      <c r="P704" s="93" t="str">
        <f>LEFT(VLOOKUP(Ruimtestaat[[#This Row],[Ruimte code]],Ruimtegroepen[#All],4,1),2)</f>
        <v/>
      </c>
      <c r="Q704" s="93"/>
      <c r="R704" s="84"/>
      <c r="S704" s="84"/>
      <c r="T704" s="85">
        <f>IF(R704&gt;0,IF(RIGHT(Ruimtestaat[[#This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04" s="85">
        <f>IF(T704&gt;0,VLOOKUP($J704,Ruimtegroepen[],3,FALSE)*VLOOKUP($L704,Vloersoorten[],3,FALSE)*VLOOKUP($S704,Frequenties[],3,FALSE)*VLOOKUP($A704,Locaties[],3,FALSE),0)</f>
        <v>0</v>
      </c>
      <c r="V704" s="86">
        <f>Ruimtestaat[[#This Row],[Uitvoeringen werkdagen]]*Ruimtestaat[[#This Row],[Oppervlak (netto)]]</f>
        <v>0</v>
      </c>
      <c r="W704" s="87">
        <f>IF(U704&gt;0,Ruimtestaat[[#This Row],[Prest. (m2 /jaar) werkdagen]]/Ruimtestaat[[#This Row],[Norm (m2/uur) werkdagen]],0)</f>
        <v>0</v>
      </c>
      <c r="X704" s="88">
        <f>Ruimtestaat[[#This Row],[uren / jaar werkdagen]]*Tariefsopbouw!$E$35</f>
        <v>0</v>
      </c>
      <c r="Y704" s="85"/>
      <c r="Z704" s="89">
        <f>IF(Ruimtestaat[[#This Row],[Frequentie weekend]]&gt;0,VALUE(LEFT(Y704,1))*R704,0)</f>
        <v>0</v>
      </c>
      <c r="AA704" s="85">
        <f>IF($Z704&gt;0,VLOOKUP($J704,Ruimtegroepen[],3,FALSE)*VLOOKUP($L704,Vloersoorten[],3,FALSE)*VLOOKUP($Y704,Frequenties[],3,FALSE)*VLOOKUP(#REF!,Locaties[],3,FALSE),0)</f>
        <v>0</v>
      </c>
      <c r="AB704" s="87">
        <f>Ruimtestaat[[#This Row],[Uitvoeringen weekend]]*Ruimtestaat[[#This Row],[Oppervlak (netto)]]</f>
        <v>0</v>
      </c>
      <c r="AC704" s="90">
        <f>IF(AB704&gt;0,Ruimtestaat[[#This Row],[Prest. (m2 /jaar) weekend]]/Ruimtestaat[[#This Row],[Norm (m2/uur) weekend]],0)</f>
        <v>0</v>
      </c>
      <c r="AD704" s="91">
        <f>Ruimtestaat[[#This Row],[uren / jaar weekend]]*Tariefsopbouw!$D$40</f>
        <v>0</v>
      </c>
      <c r="AE704" s="60">
        <f>Ruimtestaat[[#This Row],[Prest. (m2 /jaar) weekend]]+Ruimtestaat[[#This Row],[Prest. (m2 /jaar) werkdagen]]</f>
        <v>0</v>
      </c>
      <c r="AF704" s="60">
        <f>Ruimtestaat[[#This Row],[uren / jaar weekend]]+Ruimtestaat[[#This Row],[uren / jaar werkdagen]]</f>
        <v>0</v>
      </c>
      <c r="AG704" s="61">
        <f>Ruimtestaat[[#This Row],[kosten / jaar weekend]]+Ruimtestaat[[#This Row],[kosten / jaar werkdagen]]</f>
        <v>0</v>
      </c>
      <c r="AH704" s="92"/>
      <c r="HL704" s="59"/>
    </row>
    <row r="705" spans="1:220">
      <c r="A705" s="24">
        <v>5</v>
      </c>
      <c r="B705" s="24" t="str">
        <f>VLOOKUP(Ruimtestaat[[#This Row],[Code]],Locaties[#All],2,FALSE)</f>
        <v>Marke Zuid</v>
      </c>
      <c r="C705" s="24" t="str">
        <f>VLOOKUP(Ruimtestaat[[#This Row],[Code]],Locaties[#All],4,FALSE)</f>
        <v>Ludgerstraat 1</v>
      </c>
      <c r="D705" s="24" t="str">
        <f>VLOOKUP(Ruimtestaat[[#This Row],[Code]],Locaties[#All],5,FALSE)</f>
        <v>7415 DV</v>
      </c>
      <c r="E705" s="24" t="str">
        <f>VLOOKUP(Ruimtestaat[[#This Row],[Code]],Locaties[#All],6,FALSE)</f>
        <v>Deventer</v>
      </c>
      <c r="F705" s="54"/>
      <c r="G705" s="24" t="s">
        <v>367</v>
      </c>
      <c r="H705" s="24" t="s">
        <v>1178</v>
      </c>
      <c r="I705" s="4" t="s">
        <v>709</v>
      </c>
      <c r="J705" s="24">
        <v>16</v>
      </c>
      <c r="K705" s="54" t="str">
        <f>VLOOKUP(J705,Ruimtegroepen[],2,FALSE)</f>
        <v>Leslokalen theorie</v>
      </c>
      <c r="L705" s="24" t="s">
        <v>300</v>
      </c>
      <c r="M705" s="24" t="s">
        <v>997</v>
      </c>
      <c r="N705" s="83">
        <v>55.5</v>
      </c>
      <c r="O705" s="83"/>
      <c r="P705" s="93" t="str">
        <f>LEFT(VLOOKUP(Ruimtestaat[[#This Row],[Ruimte code]],Ruimtegroepen[#All],4,1),2)</f>
        <v>Le</v>
      </c>
      <c r="Q705" s="93"/>
      <c r="R705" s="84">
        <v>40</v>
      </c>
      <c r="S705" s="84" t="s">
        <v>318</v>
      </c>
      <c r="T705" s="85">
        <f>IF(R705&gt;0,IF(RIGHT(Ruimtestaat[[#This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5" s="85">
        <f>IF(T705&gt;0,VLOOKUP($J705,Ruimtegroepen[],3,FALSE)*VLOOKUP($L705,Vloersoorten[],3,FALSE)*VLOOKUP($S705,Frequenties[],3,FALSE)*VLOOKUP($A705,Locaties[],3,FALSE),0)</f>
        <v>0</v>
      </c>
      <c r="V705" s="86">
        <f>Ruimtestaat[[#This Row],[Uitvoeringen werkdagen]]*Ruimtestaat[[#This Row],[Oppervlak (netto)]]</f>
        <v>11100</v>
      </c>
      <c r="W705" s="87">
        <f>IF(U705&gt;0,Ruimtestaat[[#This Row],[Prest. (m2 /jaar) werkdagen]]/Ruimtestaat[[#This Row],[Norm (m2/uur) werkdagen]],0)</f>
        <v>0</v>
      </c>
      <c r="X705" s="88">
        <f>Ruimtestaat[[#This Row],[uren / jaar werkdagen]]*Tariefsopbouw!$E$35</f>
        <v>0</v>
      </c>
      <c r="Y705" s="85"/>
      <c r="Z705" s="89">
        <f>IF(Ruimtestaat[[#This Row],[Frequentie weekend]]&gt;0,VALUE(LEFT(Y705,1))*R705,0)</f>
        <v>0</v>
      </c>
      <c r="AA705" s="85">
        <f>IF($Z705&gt;0,VLOOKUP($J705,Ruimtegroepen[],3,FALSE)*VLOOKUP($L705,Vloersoorten[],3,FALSE)*VLOOKUP($Y705,Frequenties[],3,FALSE)*VLOOKUP(#REF!,Locaties[],3,FALSE),0)</f>
        <v>0</v>
      </c>
      <c r="AB705" s="87">
        <f>Ruimtestaat[[#This Row],[Uitvoeringen weekend]]*Ruimtestaat[[#This Row],[Oppervlak (netto)]]</f>
        <v>0</v>
      </c>
      <c r="AC705" s="90">
        <f>IF(AB705&gt;0,Ruimtestaat[[#This Row],[Prest. (m2 /jaar) weekend]]/Ruimtestaat[[#This Row],[Norm (m2/uur) weekend]],0)</f>
        <v>0</v>
      </c>
      <c r="AD705" s="91">
        <f>Ruimtestaat[[#This Row],[uren / jaar weekend]]*Tariefsopbouw!$D$40</f>
        <v>0</v>
      </c>
      <c r="AE705" s="60">
        <f>Ruimtestaat[[#This Row],[Prest. (m2 /jaar) weekend]]+Ruimtestaat[[#This Row],[Prest. (m2 /jaar) werkdagen]]</f>
        <v>11100</v>
      </c>
      <c r="AF705" s="60">
        <f>Ruimtestaat[[#This Row],[uren / jaar weekend]]+Ruimtestaat[[#This Row],[uren / jaar werkdagen]]</f>
        <v>0</v>
      </c>
      <c r="AG705" s="61">
        <f>Ruimtestaat[[#This Row],[kosten / jaar weekend]]+Ruimtestaat[[#This Row],[kosten / jaar werkdagen]]</f>
        <v>0</v>
      </c>
      <c r="AH705" s="92"/>
      <c r="HL705" s="59"/>
    </row>
    <row r="706" spans="1:220">
      <c r="A706" s="24">
        <v>5</v>
      </c>
      <c r="B706" s="24" t="str">
        <f>VLOOKUP(Ruimtestaat[[#This Row],[Code]],Locaties[#All],2,FALSE)</f>
        <v>Marke Zuid</v>
      </c>
      <c r="C706" s="24" t="str">
        <f>VLOOKUP(Ruimtestaat[[#This Row],[Code]],Locaties[#All],4,FALSE)</f>
        <v>Ludgerstraat 1</v>
      </c>
      <c r="D706" s="24" t="str">
        <f>VLOOKUP(Ruimtestaat[[#This Row],[Code]],Locaties[#All],5,FALSE)</f>
        <v>7415 DV</v>
      </c>
      <c r="E706" s="24" t="str">
        <f>VLOOKUP(Ruimtestaat[[#This Row],[Code]],Locaties[#All],6,FALSE)</f>
        <v>Deventer</v>
      </c>
      <c r="F706" s="54"/>
      <c r="G706" s="24" t="s">
        <v>367</v>
      </c>
      <c r="H706" s="24" t="s">
        <v>1179</v>
      </c>
      <c r="I706" s="4" t="s">
        <v>667</v>
      </c>
      <c r="J706" s="24">
        <v>22</v>
      </c>
      <c r="K706" s="54" t="str">
        <f>VLOOKUP(J706,Ruimtegroepen[],2,FALSE)</f>
        <v>Niet in onderhoud</v>
      </c>
      <c r="L706" s="24" t="s">
        <v>305</v>
      </c>
      <c r="M706" s="24" t="s">
        <v>1180</v>
      </c>
      <c r="N706" s="83"/>
      <c r="O706" s="83">
        <v>27.86</v>
      </c>
      <c r="P706" s="93" t="str">
        <f>LEFT(VLOOKUP(Ruimtestaat[[#This Row],[Ruimte code]],Ruimtegroepen[#All],4,1),2)</f>
        <v/>
      </c>
      <c r="Q706" s="93"/>
      <c r="R706" s="84"/>
      <c r="S706" s="84"/>
      <c r="T706" s="85">
        <f>IF(R706&gt;0,IF(RIGHT(Ruimtestaat[[#This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06" s="85">
        <f>IF(T706&gt;0,VLOOKUP($J706,Ruimtegroepen[],3,FALSE)*VLOOKUP($L706,Vloersoorten[],3,FALSE)*VLOOKUP($S706,Frequenties[],3,FALSE)*VLOOKUP($A706,Locaties[],3,FALSE),0)</f>
        <v>0</v>
      </c>
      <c r="V706" s="86">
        <f>Ruimtestaat[[#This Row],[Uitvoeringen werkdagen]]*Ruimtestaat[[#This Row],[Oppervlak (netto)]]</f>
        <v>0</v>
      </c>
      <c r="W706" s="87">
        <f>IF(U706&gt;0,Ruimtestaat[[#This Row],[Prest. (m2 /jaar) werkdagen]]/Ruimtestaat[[#This Row],[Norm (m2/uur) werkdagen]],0)</f>
        <v>0</v>
      </c>
      <c r="X706" s="88">
        <f>Ruimtestaat[[#This Row],[uren / jaar werkdagen]]*Tariefsopbouw!$E$35</f>
        <v>0</v>
      </c>
      <c r="Y706" s="85"/>
      <c r="Z706" s="89">
        <f>IF(Ruimtestaat[[#This Row],[Frequentie weekend]]&gt;0,VALUE(LEFT(Y706,1))*R706,0)</f>
        <v>0</v>
      </c>
      <c r="AA706" s="85">
        <f>IF($Z706&gt;0,VLOOKUP($J706,Ruimtegroepen[],3,FALSE)*VLOOKUP($L706,Vloersoorten[],3,FALSE)*VLOOKUP($Y706,Frequenties[],3,FALSE)*VLOOKUP(#REF!,Locaties[],3,FALSE),0)</f>
        <v>0</v>
      </c>
      <c r="AB706" s="87">
        <f>Ruimtestaat[[#This Row],[Uitvoeringen weekend]]*Ruimtestaat[[#This Row],[Oppervlak (netto)]]</f>
        <v>0</v>
      </c>
      <c r="AC706" s="90">
        <f>IF(AB706&gt;0,Ruimtestaat[[#This Row],[Prest. (m2 /jaar) weekend]]/Ruimtestaat[[#This Row],[Norm (m2/uur) weekend]],0)</f>
        <v>0</v>
      </c>
      <c r="AD706" s="91">
        <f>Ruimtestaat[[#This Row],[uren / jaar weekend]]*Tariefsopbouw!$D$40</f>
        <v>0</v>
      </c>
      <c r="AE706" s="60">
        <f>Ruimtestaat[[#This Row],[Prest. (m2 /jaar) weekend]]+Ruimtestaat[[#This Row],[Prest. (m2 /jaar) werkdagen]]</f>
        <v>0</v>
      </c>
      <c r="AF706" s="60">
        <f>Ruimtestaat[[#This Row],[uren / jaar weekend]]+Ruimtestaat[[#This Row],[uren / jaar werkdagen]]</f>
        <v>0</v>
      </c>
      <c r="AG706" s="61">
        <f>Ruimtestaat[[#This Row],[kosten / jaar weekend]]+Ruimtestaat[[#This Row],[kosten / jaar werkdagen]]</f>
        <v>0</v>
      </c>
      <c r="AH706" s="92"/>
      <c r="HL706" s="59"/>
    </row>
    <row r="707" spans="1:220">
      <c r="A707" s="24">
        <v>5</v>
      </c>
      <c r="B707" s="24" t="str">
        <f>VLOOKUP(Ruimtestaat[[#This Row],[Code]],Locaties[#All],2,FALSE)</f>
        <v>Marke Zuid</v>
      </c>
      <c r="C707" s="24" t="str">
        <f>VLOOKUP(Ruimtestaat[[#This Row],[Code]],Locaties[#All],4,FALSE)</f>
        <v>Ludgerstraat 1</v>
      </c>
      <c r="D707" s="24" t="str">
        <f>VLOOKUP(Ruimtestaat[[#This Row],[Code]],Locaties[#All],5,FALSE)</f>
        <v>7415 DV</v>
      </c>
      <c r="E707" s="24" t="str">
        <f>VLOOKUP(Ruimtestaat[[#This Row],[Code]],Locaties[#All],6,FALSE)</f>
        <v>Deventer</v>
      </c>
      <c r="F707" s="54"/>
      <c r="G707" s="24" t="s">
        <v>367</v>
      </c>
      <c r="H707" s="24" t="s">
        <v>1181</v>
      </c>
      <c r="I707" s="4" t="s">
        <v>941</v>
      </c>
      <c r="J707" s="24">
        <v>2</v>
      </c>
      <c r="K707" s="54" t="str">
        <f>VLOOKUP(J707,Ruimtegroepen[],2,FALSE)</f>
        <v>Kantoren</v>
      </c>
      <c r="L707" s="24" t="s">
        <v>311</v>
      </c>
      <c r="M707" s="252" t="s">
        <v>1182</v>
      </c>
      <c r="N707" s="83">
        <v>27.18</v>
      </c>
      <c r="O707" s="83"/>
      <c r="P707" s="93" t="str">
        <f>LEFT(VLOOKUP(Ruimtestaat[[#This Row],[Ruimte code]],Ruimtegroepen[#All],4,1),2)</f>
        <v>Bu</v>
      </c>
      <c r="Q707" s="93"/>
      <c r="R707" s="84">
        <v>42</v>
      </c>
      <c r="S707" s="84" t="s">
        <v>322</v>
      </c>
      <c r="T707" s="85">
        <f>IF(R707&gt;0,IF(RIGHT(Ruimtestaat[[#This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07" s="85">
        <f>IF(T707&gt;0,VLOOKUP($J707,Ruimtegroepen[],3,FALSE)*VLOOKUP($L707,Vloersoorten[],3,FALSE)*VLOOKUP($S707,Frequenties[],3,FALSE)*VLOOKUP($A707,Locaties[],3,FALSE),0)</f>
        <v>0</v>
      </c>
      <c r="V707" s="86">
        <f>Ruimtestaat[[#This Row],[Uitvoeringen werkdagen]]*Ruimtestaat[[#This Row],[Oppervlak (netto)]]</f>
        <v>3424.68</v>
      </c>
      <c r="W707" s="87">
        <f>IF(U707&gt;0,Ruimtestaat[[#This Row],[Prest. (m2 /jaar) werkdagen]]/Ruimtestaat[[#This Row],[Norm (m2/uur) werkdagen]],0)</f>
        <v>0</v>
      </c>
      <c r="X707" s="88">
        <f>Ruimtestaat[[#This Row],[uren / jaar werkdagen]]*Tariefsopbouw!$E$35</f>
        <v>0</v>
      </c>
      <c r="Y707" s="85"/>
      <c r="Z707" s="89">
        <f>IF(Ruimtestaat[[#This Row],[Frequentie weekend]]&gt;0,VALUE(LEFT(Y707,1))*R707,0)</f>
        <v>0</v>
      </c>
      <c r="AA707" s="85">
        <f>IF($Z707&gt;0,VLOOKUP($J707,Ruimtegroepen[],3,FALSE)*VLOOKUP($L707,Vloersoorten[],3,FALSE)*VLOOKUP($Y707,Frequenties[],3,FALSE)*VLOOKUP(#REF!,Locaties[],3,FALSE),0)</f>
        <v>0</v>
      </c>
      <c r="AB707" s="87">
        <f>Ruimtestaat[[#This Row],[Uitvoeringen weekend]]*Ruimtestaat[[#This Row],[Oppervlak (netto)]]</f>
        <v>0</v>
      </c>
      <c r="AC707" s="90">
        <f>IF(AB707&gt;0,Ruimtestaat[[#This Row],[Prest. (m2 /jaar) weekend]]/Ruimtestaat[[#This Row],[Norm (m2/uur) weekend]],0)</f>
        <v>0</v>
      </c>
      <c r="AD707" s="91">
        <f>Ruimtestaat[[#This Row],[uren / jaar weekend]]*Tariefsopbouw!$D$40</f>
        <v>0</v>
      </c>
      <c r="AE707" s="60">
        <f>Ruimtestaat[[#This Row],[Prest. (m2 /jaar) weekend]]+Ruimtestaat[[#This Row],[Prest. (m2 /jaar) werkdagen]]</f>
        <v>3424.68</v>
      </c>
      <c r="AF707" s="60">
        <f>Ruimtestaat[[#This Row],[uren / jaar weekend]]+Ruimtestaat[[#This Row],[uren / jaar werkdagen]]</f>
        <v>0</v>
      </c>
      <c r="AG707" s="61">
        <f>Ruimtestaat[[#This Row],[kosten / jaar weekend]]+Ruimtestaat[[#This Row],[kosten / jaar werkdagen]]</f>
        <v>0</v>
      </c>
      <c r="AH707" s="92"/>
      <c r="HL707" s="59"/>
    </row>
    <row r="708" spans="1:220">
      <c r="A708" s="24">
        <v>5</v>
      </c>
      <c r="B708" s="24" t="str">
        <f>VLOOKUP(Ruimtestaat[[#This Row],[Code]],Locaties[#All],2,FALSE)</f>
        <v>Marke Zuid</v>
      </c>
      <c r="C708" s="24" t="str">
        <f>VLOOKUP(Ruimtestaat[[#This Row],[Code]],Locaties[#All],4,FALSE)</f>
        <v>Ludgerstraat 1</v>
      </c>
      <c r="D708" s="24" t="str">
        <f>VLOOKUP(Ruimtestaat[[#This Row],[Code]],Locaties[#All],5,FALSE)</f>
        <v>7415 DV</v>
      </c>
      <c r="E708" s="24" t="str">
        <f>VLOOKUP(Ruimtestaat[[#This Row],[Code]],Locaties[#All],6,FALSE)</f>
        <v>Deventer</v>
      </c>
      <c r="F708" s="54"/>
      <c r="G708" s="24" t="s">
        <v>367</v>
      </c>
      <c r="H708" s="24" t="s">
        <v>1183</v>
      </c>
      <c r="I708" s="4" t="s">
        <v>941</v>
      </c>
      <c r="J708" s="24">
        <v>2</v>
      </c>
      <c r="K708" s="54" t="str">
        <f>VLOOKUP(J708,Ruimtegroepen[],2,FALSE)</f>
        <v>Kantoren</v>
      </c>
      <c r="L708" s="24" t="s">
        <v>300</v>
      </c>
      <c r="M708" s="24" t="s">
        <v>997</v>
      </c>
      <c r="N708" s="83">
        <v>22.15</v>
      </c>
      <c r="O708" s="83"/>
      <c r="P708" s="93" t="str">
        <f>LEFT(VLOOKUP(Ruimtestaat[[#This Row],[Ruimte code]],Ruimtegroepen[#All],4,1),2)</f>
        <v>Bu</v>
      </c>
      <c r="Q708" s="93"/>
      <c r="R708" s="84">
        <v>42</v>
      </c>
      <c r="S708" s="84" t="s">
        <v>322</v>
      </c>
      <c r="T708" s="85">
        <f>IF(R708&gt;0,IF(RIGHT(Ruimtestaat[[#This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08" s="85">
        <f>IF(T708&gt;0,VLOOKUP($J708,Ruimtegroepen[],3,FALSE)*VLOOKUP($L708,Vloersoorten[],3,FALSE)*VLOOKUP($S708,Frequenties[],3,FALSE)*VLOOKUP($A708,Locaties[],3,FALSE),0)</f>
        <v>0</v>
      </c>
      <c r="V708" s="86">
        <f>Ruimtestaat[[#This Row],[Uitvoeringen werkdagen]]*Ruimtestaat[[#This Row],[Oppervlak (netto)]]</f>
        <v>2790.8999999999996</v>
      </c>
      <c r="W708" s="87">
        <f>IF(U708&gt;0,Ruimtestaat[[#This Row],[Prest. (m2 /jaar) werkdagen]]/Ruimtestaat[[#This Row],[Norm (m2/uur) werkdagen]],0)</f>
        <v>0</v>
      </c>
      <c r="X708" s="88">
        <f>Ruimtestaat[[#This Row],[uren / jaar werkdagen]]*Tariefsopbouw!$E$35</f>
        <v>0</v>
      </c>
      <c r="Y708" s="85"/>
      <c r="Z708" s="89">
        <f>IF(Ruimtestaat[[#This Row],[Frequentie weekend]]&gt;0,VALUE(LEFT(Y708,1))*R708,0)</f>
        <v>0</v>
      </c>
      <c r="AA708" s="85">
        <f>IF($Z708&gt;0,VLOOKUP($J708,Ruimtegroepen[],3,FALSE)*VLOOKUP($L708,Vloersoorten[],3,FALSE)*VLOOKUP($Y708,Frequenties[],3,FALSE)*VLOOKUP(#REF!,Locaties[],3,FALSE),0)</f>
        <v>0</v>
      </c>
      <c r="AB708" s="87">
        <f>Ruimtestaat[[#This Row],[Uitvoeringen weekend]]*Ruimtestaat[[#This Row],[Oppervlak (netto)]]</f>
        <v>0</v>
      </c>
      <c r="AC708" s="90">
        <f>IF(AB708&gt;0,Ruimtestaat[[#This Row],[Prest. (m2 /jaar) weekend]]/Ruimtestaat[[#This Row],[Norm (m2/uur) weekend]],0)</f>
        <v>0</v>
      </c>
      <c r="AD708" s="91">
        <f>Ruimtestaat[[#This Row],[uren / jaar weekend]]*Tariefsopbouw!$D$40</f>
        <v>0</v>
      </c>
      <c r="AE708" s="60">
        <f>Ruimtestaat[[#This Row],[Prest. (m2 /jaar) weekend]]+Ruimtestaat[[#This Row],[Prest. (m2 /jaar) werkdagen]]</f>
        <v>2790.8999999999996</v>
      </c>
      <c r="AF708" s="60">
        <f>Ruimtestaat[[#This Row],[uren / jaar weekend]]+Ruimtestaat[[#This Row],[uren / jaar werkdagen]]</f>
        <v>0</v>
      </c>
      <c r="AG708" s="61">
        <f>Ruimtestaat[[#This Row],[kosten / jaar weekend]]+Ruimtestaat[[#This Row],[kosten / jaar werkdagen]]</f>
        <v>0</v>
      </c>
      <c r="AH708" s="92"/>
      <c r="HL708" s="59"/>
    </row>
    <row r="709" spans="1:220">
      <c r="A709" s="24">
        <v>5</v>
      </c>
      <c r="B709" s="24" t="str">
        <f>VLOOKUP(Ruimtestaat[[#This Row],[Code]],Locaties[#All],2,FALSE)</f>
        <v>Marke Zuid</v>
      </c>
      <c r="C709" s="24" t="str">
        <f>VLOOKUP(Ruimtestaat[[#This Row],[Code]],Locaties[#All],4,FALSE)</f>
        <v>Ludgerstraat 1</v>
      </c>
      <c r="D709" s="24" t="str">
        <f>VLOOKUP(Ruimtestaat[[#This Row],[Code]],Locaties[#All],5,FALSE)</f>
        <v>7415 DV</v>
      </c>
      <c r="E709" s="24" t="str">
        <f>VLOOKUP(Ruimtestaat[[#This Row],[Code]],Locaties[#All],6,FALSE)</f>
        <v>Deventer</v>
      </c>
      <c r="F709" s="54"/>
      <c r="G709" s="24" t="s">
        <v>367</v>
      </c>
      <c r="H709" s="24" t="s">
        <v>1184</v>
      </c>
      <c r="I709" s="4" t="s">
        <v>402</v>
      </c>
      <c r="J709" s="24">
        <v>5</v>
      </c>
      <c r="K709" s="54" t="str">
        <f>VLOOKUP(J709,Ruimtegroepen[],2,FALSE)</f>
        <v>Sanitair</v>
      </c>
      <c r="L709" s="24" t="s">
        <v>305</v>
      </c>
      <c r="M709" s="24" t="s">
        <v>1008</v>
      </c>
      <c r="N709" s="83">
        <v>22.53</v>
      </c>
      <c r="O709" s="83"/>
      <c r="P709" s="93" t="str">
        <f>LEFT(VLOOKUP(Ruimtestaat[[#This Row],[Ruimte code]],Ruimtegroepen[#All],4,1),2)</f>
        <v>Sa</v>
      </c>
      <c r="Q709" s="93"/>
      <c r="R709" s="84">
        <v>42</v>
      </c>
      <c r="S709" s="84" t="s">
        <v>316</v>
      </c>
      <c r="T709" s="85">
        <f>IF(R709&gt;0,IF(RIGHT(Ruimtestaat[[#This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09" s="85">
        <f>IF(T709&gt;0,VLOOKUP($J709,Ruimtegroepen[],3,FALSE)*VLOOKUP($L709,Vloersoorten[],3,FALSE)*VLOOKUP($S709,Frequenties[],3,FALSE)*VLOOKUP($A709,Locaties[],3,FALSE),0)</f>
        <v>0</v>
      </c>
      <c r="V709" s="86">
        <f>Ruimtestaat[[#This Row],[Uitvoeringen werkdagen]]*Ruimtestaat[[#This Row],[Oppervlak (netto)]]</f>
        <v>9462.6</v>
      </c>
      <c r="W709" s="87">
        <f>IF(U709&gt;0,Ruimtestaat[[#This Row],[Prest. (m2 /jaar) werkdagen]]/Ruimtestaat[[#This Row],[Norm (m2/uur) werkdagen]],0)</f>
        <v>0</v>
      </c>
      <c r="X709" s="88">
        <f>Ruimtestaat[[#This Row],[uren / jaar werkdagen]]*Tariefsopbouw!$E$35</f>
        <v>0</v>
      </c>
      <c r="Y709" s="85"/>
      <c r="Z709" s="89">
        <f>IF(Ruimtestaat[[#This Row],[Frequentie weekend]]&gt;0,VALUE(LEFT(Y709,1))*R709,0)</f>
        <v>0</v>
      </c>
      <c r="AA709" s="85">
        <f>IF($Z709&gt;0,VLOOKUP($J709,Ruimtegroepen[],3,FALSE)*VLOOKUP($L709,Vloersoorten[],3,FALSE)*VLOOKUP($Y709,Frequenties[],3,FALSE)*VLOOKUP(#REF!,Locaties[],3,FALSE),0)</f>
        <v>0</v>
      </c>
      <c r="AB709" s="87">
        <f>Ruimtestaat[[#This Row],[Uitvoeringen weekend]]*Ruimtestaat[[#This Row],[Oppervlak (netto)]]</f>
        <v>0</v>
      </c>
      <c r="AC709" s="90">
        <f>IF(AB709&gt;0,Ruimtestaat[[#This Row],[Prest. (m2 /jaar) weekend]]/Ruimtestaat[[#This Row],[Norm (m2/uur) weekend]],0)</f>
        <v>0</v>
      </c>
      <c r="AD709" s="91">
        <f>Ruimtestaat[[#This Row],[uren / jaar weekend]]*Tariefsopbouw!$D$40</f>
        <v>0</v>
      </c>
      <c r="AE709" s="60">
        <f>Ruimtestaat[[#This Row],[Prest. (m2 /jaar) weekend]]+Ruimtestaat[[#This Row],[Prest. (m2 /jaar) werkdagen]]</f>
        <v>9462.6</v>
      </c>
      <c r="AF709" s="60">
        <f>Ruimtestaat[[#This Row],[uren / jaar weekend]]+Ruimtestaat[[#This Row],[uren / jaar werkdagen]]</f>
        <v>0</v>
      </c>
      <c r="AG709" s="61">
        <f>Ruimtestaat[[#This Row],[kosten / jaar weekend]]+Ruimtestaat[[#This Row],[kosten / jaar werkdagen]]</f>
        <v>0</v>
      </c>
      <c r="AH709" s="92"/>
      <c r="HL709" s="59"/>
    </row>
    <row r="710" spans="1:220">
      <c r="A710" s="24">
        <v>5</v>
      </c>
      <c r="B710" s="24" t="str">
        <f>VLOOKUP(Ruimtestaat[[#This Row],[Code]],Locaties[#All],2,FALSE)</f>
        <v>Marke Zuid</v>
      </c>
      <c r="C710" s="24" t="str">
        <f>VLOOKUP(Ruimtestaat[[#This Row],[Code]],Locaties[#All],4,FALSE)</f>
        <v>Ludgerstraat 1</v>
      </c>
      <c r="D710" s="24" t="str">
        <f>VLOOKUP(Ruimtestaat[[#This Row],[Code]],Locaties[#All],5,FALSE)</f>
        <v>7415 DV</v>
      </c>
      <c r="E710" s="24" t="str">
        <f>VLOOKUP(Ruimtestaat[[#This Row],[Code]],Locaties[#All],6,FALSE)</f>
        <v>Deventer</v>
      </c>
      <c r="F710" s="54"/>
      <c r="G710" s="24" t="s">
        <v>367</v>
      </c>
      <c r="H710" s="24" t="s">
        <v>1185</v>
      </c>
      <c r="I710" s="4" t="s">
        <v>458</v>
      </c>
      <c r="J710" s="24">
        <v>5</v>
      </c>
      <c r="K710" s="54" t="str">
        <f>VLOOKUP(J710,Ruimtegroepen[],2,FALSE)</f>
        <v>Sanitair</v>
      </c>
      <c r="L710" s="24" t="s">
        <v>305</v>
      </c>
      <c r="M710" s="24" t="s">
        <v>1008</v>
      </c>
      <c r="N710" s="83">
        <v>4.62</v>
      </c>
      <c r="O710" s="83"/>
      <c r="P710" s="93" t="str">
        <f>LEFT(VLOOKUP(Ruimtestaat[[#This Row],[Ruimte code]],Ruimtegroepen[#All],4,1),2)</f>
        <v>Sa</v>
      </c>
      <c r="Q710" s="93"/>
      <c r="R710" s="84">
        <v>42</v>
      </c>
      <c r="S710" s="84" t="s">
        <v>316</v>
      </c>
      <c r="T710" s="85">
        <f>IF(R710&gt;0,IF(RIGHT(Ruimtestaat[[#This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10" s="85">
        <f>IF(T710&gt;0,VLOOKUP($J710,Ruimtegroepen[],3,FALSE)*VLOOKUP($L710,Vloersoorten[],3,FALSE)*VLOOKUP($S710,Frequenties[],3,FALSE)*VLOOKUP($A710,Locaties[],3,FALSE),0)</f>
        <v>0</v>
      </c>
      <c r="V710" s="86">
        <f>Ruimtestaat[[#This Row],[Uitvoeringen werkdagen]]*Ruimtestaat[[#This Row],[Oppervlak (netto)]]</f>
        <v>1940.4</v>
      </c>
      <c r="W710" s="87">
        <f>IF(U710&gt;0,Ruimtestaat[[#This Row],[Prest. (m2 /jaar) werkdagen]]/Ruimtestaat[[#This Row],[Norm (m2/uur) werkdagen]],0)</f>
        <v>0</v>
      </c>
      <c r="X710" s="88">
        <f>Ruimtestaat[[#This Row],[uren / jaar werkdagen]]*Tariefsopbouw!$E$35</f>
        <v>0</v>
      </c>
      <c r="Y710" s="85"/>
      <c r="Z710" s="89">
        <f>IF(Ruimtestaat[[#This Row],[Frequentie weekend]]&gt;0,VALUE(LEFT(Y710,1))*R710,0)</f>
        <v>0</v>
      </c>
      <c r="AA710" s="85">
        <f>IF($Z710&gt;0,VLOOKUP($J710,Ruimtegroepen[],3,FALSE)*VLOOKUP($L710,Vloersoorten[],3,FALSE)*VLOOKUP($Y710,Frequenties[],3,FALSE)*VLOOKUP(#REF!,Locaties[],3,FALSE),0)</f>
        <v>0</v>
      </c>
      <c r="AB710" s="87">
        <f>Ruimtestaat[[#This Row],[Uitvoeringen weekend]]*Ruimtestaat[[#This Row],[Oppervlak (netto)]]</f>
        <v>0</v>
      </c>
      <c r="AC710" s="90">
        <f>IF(AB710&gt;0,Ruimtestaat[[#This Row],[Prest. (m2 /jaar) weekend]]/Ruimtestaat[[#This Row],[Norm (m2/uur) weekend]],0)</f>
        <v>0</v>
      </c>
      <c r="AD710" s="91">
        <f>Ruimtestaat[[#This Row],[uren / jaar weekend]]*Tariefsopbouw!$D$40</f>
        <v>0</v>
      </c>
      <c r="AE710" s="60">
        <f>Ruimtestaat[[#This Row],[Prest. (m2 /jaar) weekend]]+Ruimtestaat[[#This Row],[Prest. (m2 /jaar) werkdagen]]</f>
        <v>1940.4</v>
      </c>
      <c r="AF710" s="60">
        <f>Ruimtestaat[[#This Row],[uren / jaar weekend]]+Ruimtestaat[[#This Row],[uren / jaar werkdagen]]</f>
        <v>0</v>
      </c>
      <c r="AG710" s="61">
        <f>Ruimtestaat[[#This Row],[kosten / jaar weekend]]+Ruimtestaat[[#This Row],[kosten / jaar werkdagen]]</f>
        <v>0</v>
      </c>
      <c r="AH710" s="92"/>
      <c r="HL710" s="59"/>
    </row>
    <row r="711" spans="1:220">
      <c r="A711" s="24">
        <v>5</v>
      </c>
      <c r="B711" s="24" t="str">
        <f>VLOOKUP(Ruimtestaat[[#This Row],[Code]],Locaties[#All],2,FALSE)</f>
        <v>Marke Zuid</v>
      </c>
      <c r="C711" s="24" t="str">
        <f>VLOOKUP(Ruimtestaat[[#This Row],[Code]],Locaties[#All],4,FALSE)</f>
        <v>Ludgerstraat 1</v>
      </c>
      <c r="D711" s="24" t="str">
        <f>VLOOKUP(Ruimtestaat[[#This Row],[Code]],Locaties[#All],5,FALSE)</f>
        <v>7415 DV</v>
      </c>
      <c r="E711" s="24" t="str">
        <f>VLOOKUP(Ruimtestaat[[#This Row],[Code]],Locaties[#All],6,FALSE)</f>
        <v>Deventer</v>
      </c>
      <c r="F711" s="54"/>
      <c r="G711" s="24" t="s">
        <v>367</v>
      </c>
      <c r="H711" s="24" t="s">
        <v>1186</v>
      </c>
      <c r="I711" s="4" t="s">
        <v>691</v>
      </c>
      <c r="J711" s="24">
        <v>22</v>
      </c>
      <c r="K711" s="54" t="str">
        <f>VLOOKUP(J711,Ruimtegroepen[],2,FALSE)</f>
        <v>Niet in onderhoud</v>
      </c>
      <c r="L711" s="24" t="s">
        <v>305</v>
      </c>
      <c r="M711" s="24" t="s">
        <v>1008</v>
      </c>
      <c r="N711" s="83"/>
      <c r="O711" s="83">
        <v>1.5</v>
      </c>
      <c r="P711" s="93" t="str">
        <f>LEFT(VLOOKUP(Ruimtestaat[[#This Row],[Ruimte code]],Ruimtegroepen[#All],4,1),2)</f>
        <v/>
      </c>
      <c r="Q711" s="93"/>
      <c r="R711" s="84"/>
      <c r="S711" s="84"/>
      <c r="T711" s="85">
        <f>IF(R711&gt;0,IF(RIGHT(Ruimtestaat[[#This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11" s="85">
        <f>IF(T711&gt;0,VLOOKUP($J711,Ruimtegroepen[],3,FALSE)*VLOOKUP($L711,Vloersoorten[],3,FALSE)*VLOOKUP($S711,Frequenties[],3,FALSE)*VLOOKUP($A711,Locaties[],3,FALSE),0)</f>
        <v>0</v>
      </c>
      <c r="V711" s="86">
        <f>Ruimtestaat[[#This Row],[Uitvoeringen werkdagen]]*Ruimtestaat[[#This Row],[Oppervlak (netto)]]</f>
        <v>0</v>
      </c>
      <c r="W711" s="87">
        <f>IF(U711&gt;0,Ruimtestaat[[#This Row],[Prest. (m2 /jaar) werkdagen]]/Ruimtestaat[[#This Row],[Norm (m2/uur) werkdagen]],0)</f>
        <v>0</v>
      </c>
      <c r="X711" s="88">
        <f>Ruimtestaat[[#This Row],[uren / jaar werkdagen]]*Tariefsopbouw!$E$35</f>
        <v>0</v>
      </c>
      <c r="Y711" s="85"/>
      <c r="Z711" s="89">
        <f>IF(Ruimtestaat[[#This Row],[Frequentie weekend]]&gt;0,VALUE(LEFT(Y711,1))*R711,0)</f>
        <v>0</v>
      </c>
      <c r="AA711" s="85">
        <f>IF($Z711&gt;0,VLOOKUP($J711,Ruimtegroepen[],3,FALSE)*VLOOKUP($L711,Vloersoorten[],3,FALSE)*VLOOKUP($Y711,Frequenties[],3,FALSE)*VLOOKUP(#REF!,Locaties[],3,FALSE),0)</f>
        <v>0</v>
      </c>
      <c r="AB711" s="87">
        <f>Ruimtestaat[[#This Row],[Uitvoeringen weekend]]*Ruimtestaat[[#This Row],[Oppervlak (netto)]]</f>
        <v>0</v>
      </c>
      <c r="AC711" s="90">
        <f>IF(AB711&gt;0,Ruimtestaat[[#This Row],[Prest. (m2 /jaar) weekend]]/Ruimtestaat[[#This Row],[Norm (m2/uur) weekend]],0)</f>
        <v>0</v>
      </c>
      <c r="AD711" s="91">
        <f>Ruimtestaat[[#This Row],[uren / jaar weekend]]*Tariefsopbouw!$D$40</f>
        <v>0</v>
      </c>
      <c r="AE711" s="60">
        <f>Ruimtestaat[[#This Row],[Prest. (m2 /jaar) weekend]]+Ruimtestaat[[#This Row],[Prest. (m2 /jaar) werkdagen]]</f>
        <v>0</v>
      </c>
      <c r="AF711" s="60">
        <f>Ruimtestaat[[#This Row],[uren / jaar weekend]]+Ruimtestaat[[#This Row],[uren / jaar werkdagen]]</f>
        <v>0</v>
      </c>
      <c r="AG711" s="61">
        <f>Ruimtestaat[[#This Row],[kosten / jaar weekend]]+Ruimtestaat[[#This Row],[kosten / jaar werkdagen]]</f>
        <v>0</v>
      </c>
      <c r="AH711" s="92"/>
      <c r="HL711" s="59"/>
    </row>
    <row r="712" spans="1:220">
      <c r="A712" s="24">
        <v>5</v>
      </c>
      <c r="B712" s="24" t="str">
        <f>VLOOKUP(Ruimtestaat[[#This Row],[Code]],Locaties[#All],2,FALSE)</f>
        <v>Marke Zuid</v>
      </c>
      <c r="C712" s="24" t="str">
        <f>VLOOKUP(Ruimtestaat[[#This Row],[Code]],Locaties[#All],4,FALSE)</f>
        <v>Ludgerstraat 1</v>
      </c>
      <c r="D712" s="24" t="str">
        <f>VLOOKUP(Ruimtestaat[[#This Row],[Code]],Locaties[#All],5,FALSE)</f>
        <v>7415 DV</v>
      </c>
      <c r="E712" s="24" t="str">
        <f>VLOOKUP(Ruimtestaat[[#This Row],[Code]],Locaties[#All],6,FALSE)</f>
        <v>Deventer</v>
      </c>
      <c r="F712" s="54"/>
      <c r="G712" s="24" t="s">
        <v>367</v>
      </c>
      <c r="H712" s="24" t="s">
        <v>1187</v>
      </c>
      <c r="I712" s="4" t="s">
        <v>375</v>
      </c>
      <c r="J712" s="24">
        <v>22</v>
      </c>
      <c r="K712" s="54" t="str">
        <f>VLOOKUP(J712,Ruimtegroepen[],2,FALSE)</f>
        <v>Niet in onderhoud</v>
      </c>
      <c r="L712" s="24" t="s">
        <v>305</v>
      </c>
      <c r="M712" s="24" t="s">
        <v>1008</v>
      </c>
      <c r="N712" s="83"/>
      <c r="O712" s="83">
        <v>1.94</v>
      </c>
      <c r="P712" s="93" t="str">
        <f>LEFT(VLOOKUP(Ruimtestaat[[#This Row],[Ruimte code]],Ruimtegroepen[#All],4,1),2)</f>
        <v/>
      </c>
      <c r="Q712" s="93"/>
      <c r="R712" s="84"/>
      <c r="S712" s="84"/>
      <c r="T712" s="85">
        <f>IF(R712&gt;0,IF(RIGHT(Ruimtestaat[[#This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12" s="85">
        <f>IF(T712&gt;0,VLOOKUP($J712,Ruimtegroepen[],3,FALSE)*VLOOKUP($L712,Vloersoorten[],3,FALSE)*VLOOKUP($S712,Frequenties[],3,FALSE)*VLOOKUP($A712,Locaties[],3,FALSE),0)</f>
        <v>0</v>
      </c>
      <c r="V712" s="86">
        <f>Ruimtestaat[[#This Row],[Uitvoeringen werkdagen]]*Ruimtestaat[[#This Row],[Oppervlak (netto)]]</f>
        <v>0</v>
      </c>
      <c r="W712" s="87">
        <f>IF(U712&gt;0,Ruimtestaat[[#This Row],[Prest. (m2 /jaar) werkdagen]]/Ruimtestaat[[#This Row],[Norm (m2/uur) werkdagen]],0)</f>
        <v>0</v>
      </c>
      <c r="X712" s="88">
        <f>Ruimtestaat[[#This Row],[uren / jaar werkdagen]]*Tariefsopbouw!$E$35</f>
        <v>0</v>
      </c>
      <c r="Y712" s="85"/>
      <c r="Z712" s="89">
        <f>IF(Ruimtestaat[[#This Row],[Frequentie weekend]]&gt;0,VALUE(LEFT(Y712,1))*R712,0)</f>
        <v>0</v>
      </c>
      <c r="AA712" s="85">
        <f>IF($Z712&gt;0,VLOOKUP($J712,Ruimtegroepen[],3,FALSE)*VLOOKUP($L712,Vloersoorten[],3,FALSE)*VLOOKUP($Y712,Frequenties[],3,FALSE)*VLOOKUP(#REF!,Locaties[],3,FALSE),0)</f>
        <v>0</v>
      </c>
      <c r="AB712" s="87">
        <f>Ruimtestaat[[#This Row],[Uitvoeringen weekend]]*Ruimtestaat[[#This Row],[Oppervlak (netto)]]</f>
        <v>0</v>
      </c>
      <c r="AC712" s="90">
        <f>IF(AB712&gt;0,Ruimtestaat[[#This Row],[Prest. (m2 /jaar) weekend]]/Ruimtestaat[[#This Row],[Norm (m2/uur) weekend]],0)</f>
        <v>0</v>
      </c>
      <c r="AD712" s="91">
        <f>Ruimtestaat[[#This Row],[uren / jaar weekend]]*Tariefsopbouw!$D$40</f>
        <v>0</v>
      </c>
      <c r="AE712" s="60">
        <f>Ruimtestaat[[#This Row],[Prest. (m2 /jaar) weekend]]+Ruimtestaat[[#This Row],[Prest. (m2 /jaar) werkdagen]]</f>
        <v>0</v>
      </c>
      <c r="AF712" s="60">
        <f>Ruimtestaat[[#This Row],[uren / jaar weekend]]+Ruimtestaat[[#This Row],[uren / jaar werkdagen]]</f>
        <v>0</v>
      </c>
      <c r="AG712" s="61">
        <f>Ruimtestaat[[#This Row],[kosten / jaar weekend]]+Ruimtestaat[[#This Row],[kosten / jaar werkdagen]]</f>
        <v>0</v>
      </c>
      <c r="AH712" s="92"/>
      <c r="HL712" s="59"/>
    </row>
    <row r="713" spans="1:220">
      <c r="A713" s="24">
        <v>5</v>
      </c>
      <c r="B713" s="24" t="str">
        <f>VLOOKUP(Ruimtestaat[[#This Row],[Code]],Locaties[#All],2,FALSE)</f>
        <v>Marke Zuid</v>
      </c>
      <c r="C713" s="24" t="str">
        <f>VLOOKUP(Ruimtestaat[[#This Row],[Code]],Locaties[#All],4,FALSE)</f>
        <v>Ludgerstraat 1</v>
      </c>
      <c r="D713" s="24" t="str">
        <f>VLOOKUP(Ruimtestaat[[#This Row],[Code]],Locaties[#All],5,FALSE)</f>
        <v>7415 DV</v>
      </c>
      <c r="E713" s="24" t="str">
        <f>VLOOKUP(Ruimtestaat[[#This Row],[Code]],Locaties[#All],6,FALSE)</f>
        <v>Deventer</v>
      </c>
      <c r="F713" s="54"/>
      <c r="G713" s="24" t="s">
        <v>367</v>
      </c>
      <c r="H713" s="24" t="s">
        <v>1188</v>
      </c>
      <c r="I713" s="4" t="s">
        <v>1189</v>
      </c>
      <c r="J713" s="24">
        <v>22</v>
      </c>
      <c r="K713" s="54" t="str">
        <f>VLOOKUP(J713,Ruimtegroepen[],2,FALSE)</f>
        <v>Niet in onderhoud</v>
      </c>
      <c r="L713" s="24" t="s">
        <v>305</v>
      </c>
      <c r="M713" s="24" t="s">
        <v>376</v>
      </c>
      <c r="N713" s="83"/>
      <c r="O713" s="83">
        <v>10.68</v>
      </c>
      <c r="P713" s="93" t="str">
        <f>LEFT(VLOOKUP(Ruimtestaat[[#This Row],[Ruimte code]],Ruimtegroepen[#All],4,1),2)</f>
        <v/>
      </c>
      <c r="Q713" s="93"/>
      <c r="R713" s="84"/>
      <c r="S713" s="84"/>
      <c r="T713" s="85">
        <f>IF(R713&gt;0,IF(RIGHT(Ruimtestaat[[#This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13" s="85">
        <f>IF(T713&gt;0,VLOOKUP($J713,Ruimtegroepen[],3,FALSE)*VLOOKUP($L713,Vloersoorten[],3,FALSE)*VLOOKUP($S713,Frequenties[],3,FALSE)*VLOOKUP($A713,Locaties[],3,FALSE),0)</f>
        <v>0</v>
      </c>
      <c r="V713" s="86">
        <f>Ruimtestaat[[#This Row],[Uitvoeringen werkdagen]]*Ruimtestaat[[#This Row],[Oppervlak (netto)]]</f>
        <v>0</v>
      </c>
      <c r="W713" s="87">
        <f>IF(U713&gt;0,Ruimtestaat[[#This Row],[Prest. (m2 /jaar) werkdagen]]/Ruimtestaat[[#This Row],[Norm (m2/uur) werkdagen]],0)</f>
        <v>0</v>
      </c>
      <c r="X713" s="88">
        <f>Ruimtestaat[[#This Row],[uren / jaar werkdagen]]*Tariefsopbouw!$E$35</f>
        <v>0</v>
      </c>
      <c r="Y713" s="85"/>
      <c r="Z713" s="89">
        <f>IF(Ruimtestaat[[#This Row],[Frequentie weekend]]&gt;0,VALUE(LEFT(Y713,1))*R713,0)</f>
        <v>0</v>
      </c>
      <c r="AA713" s="85">
        <f>IF($Z713&gt;0,VLOOKUP($J713,Ruimtegroepen[],3,FALSE)*VLOOKUP($L713,Vloersoorten[],3,FALSE)*VLOOKUP($Y713,Frequenties[],3,FALSE)*VLOOKUP(#REF!,Locaties[],3,FALSE),0)</f>
        <v>0</v>
      </c>
      <c r="AB713" s="87">
        <f>Ruimtestaat[[#This Row],[Uitvoeringen weekend]]*Ruimtestaat[[#This Row],[Oppervlak (netto)]]</f>
        <v>0</v>
      </c>
      <c r="AC713" s="90">
        <f>IF(AB713&gt;0,Ruimtestaat[[#This Row],[Prest. (m2 /jaar) weekend]]/Ruimtestaat[[#This Row],[Norm (m2/uur) weekend]],0)</f>
        <v>0</v>
      </c>
      <c r="AD713" s="91">
        <f>Ruimtestaat[[#This Row],[uren / jaar weekend]]*Tariefsopbouw!$D$40</f>
        <v>0</v>
      </c>
      <c r="AE713" s="60">
        <f>Ruimtestaat[[#This Row],[Prest. (m2 /jaar) weekend]]+Ruimtestaat[[#This Row],[Prest. (m2 /jaar) werkdagen]]</f>
        <v>0</v>
      </c>
      <c r="AF713" s="60">
        <f>Ruimtestaat[[#This Row],[uren / jaar weekend]]+Ruimtestaat[[#This Row],[uren / jaar werkdagen]]</f>
        <v>0</v>
      </c>
      <c r="AG713" s="61">
        <f>Ruimtestaat[[#This Row],[kosten / jaar weekend]]+Ruimtestaat[[#This Row],[kosten / jaar werkdagen]]</f>
        <v>0</v>
      </c>
      <c r="AH713" s="92"/>
      <c r="HL713" s="59"/>
    </row>
    <row r="714" spans="1:220">
      <c r="A714" s="24">
        <v>5</v>
      </c>
      <c r="B714" s="24" t="str">
        <f>VLOOKUP(Ruimtestaat[[#This Row],[Code]],Locaties[#All],2,FALSE)</f>
        <v>Marke Zuid</v>
      </c>
      <c r="C714" s="24" t="str">
        <f>VLOOKUP(Ruimtestaat[[#This Row],[Code]],Locaties[#All],4,FALSE)</f>
        <v>Ludgerstraat 1</v>
      </c>
      <c r="D714" s="24" t="str">
        <f>VLOOKUP(Ruimtestaat[[#This Row],[Code]],Locaties[#All],5,FALSE)</f>
        <v>7415 DV</v>
      </c>
      <c r="E714" s="24" t="str">
        <f>VLOOKUP(Ruimtestaat[[#This Row],[Code]],Locaties[#All],6,FALSE)</f>
        <v>Deventer</v>
      </c>
      <c r="F714" s="54"/>
      <c r="G714" s="24" t="s">
        <v>367</v>
      </c>
      <c r="H714" s="24" t="s">
        <v>1190</v>
      </c>
      <c r="I714" s="4" t="s">
        <v>415</v>
      </c>
      <c r="J714" s="24">
        <v>16</v>
      </c>
      <c r="K714" s="54" t="str">
        <f>VLOOKUP(J714,Ruimtegroepen[],2,FALSE)</f>
        <v>Leslokalen theorie</v>
      </c>
      <c r="L714" s="24" t="s">
        <v>300</v>
      </c>
      <c r="M714" s="24" t="s">
        <v>997</v>
      </c>
      <c r="N714" s="83">
        <v>112.37</v>
      </c>
      <c r="O714" s="83"/>
      <c r="P714" s="93" t="str">
        <f>LEFT(VLOOKUP(Ruimtestaat[[#This Row],[Ruimte code]],Ruimtegroepen[#All],4,1),2)</f>
        <v>Le</v>
      </c>
      <c r="Q714" s="93"/>
      <c r="R714" s="84">
        <v>40</v>
      </c>
      <c r="S714" s="84" t="s">
        <v>318</v>
      </c>
      <c r="T714" s="85">
        <f>IF(R714&gt;0,IF(RIGHT(Ruimtestaat[[#This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4" s="85">
        <f>IF(T714&gt;0,VLOOKUP($J714,Ruimtegroepen[],3,FALSE)*VLOOKUP($L714,Vloersoorten[],3,FALSE)*VLOOKUP($S714,Frequenties[],3,FALSE)*VLOOKUP($A714,Locaties[],3,FALSE),0)</f>
        <v>0</v>
      </c>
      <c r="V714" s="86">
        <f>Ruimtestaat[[#This Row],[Uitvoeringen werkdagen]]*Ruimtestaat[[#This Row],[Oppervlak (netto)]]</f>
        <v>22474</v>
      </c>
      <c r="W714" s="87">
        <f>IF(U714&gt;0,Ruimtestaat[[#This Row],[Prest. (m2 /jaar) werkdagen]]/Ruimtestaat[[#This Row],[Norm (m2/uur) werkdagen]],0)</f>
        <v>0</v>
      </c>
      <c r="X714" s="88">
        <f>Ruimtestaat[[#This Row],[uren / jaar werkdagen]]*Tariefsopbouw!$E$35</f>
        <v>0</v>
      </c>
      <c r="Y714" s="85"/>
      <c r="Z714" s="89">
        <f>IF(Ruimtestaat[[#This Row],[Frequentie weekend]]&gt;0,VALUE(LEFT(Y714,1))*R714,0)</f>
        <v>0</v>
      </c>
      <c r="AA714" s="85">
        <f>IF($Z714&gt;0,VLOOKUP($J714,Ruimtegroepen[],3,FALSE)*VLOOKUP($L714,Vloersoorten[],3,FALSE)*VLOOKUP($Y714,Frequenties[],3,FALSE)*VLOOKUP(#REF!,Locaties[],3,FALSE),0)</f>
        <v>0</v>
      </c>
      <c r="AB714" s="87">
        <f>Ruimtestaat[[#This Row],[Uitvoeringen weekend]]*Ruimtestaat[[#This Row],[Oppervlak (netto)]]</f>
        <v>0</v>
      </c>
      <c r="AC714" s="90">
        <f>IF(AB714&gt;0,Ruimtestaat[[#This Row],[Prest. (m2 /jaar) weekend]]/Ruimtestaat[[#This Row],[Norm (m2/uur) weekend]],0)</f>
        <v>0</v>
      </c>
      <c r="AD714" s="91">
        <f>Ruimtestaat[[#This Row],[uren / jaar weekend]]*Tariefsopbouw!$D$40</f>
        <v>0</v>
      </c>
      <c r="AE714" s="60">
        <f>Ruimtestaat[[#This Row],[Prest. (m2 /jaar) weekend]]+Ruimtestaat[[#This Row],[Prest. (m2 /jaar) werkdagen]]</f>
        <v>22474</v>
      </c>
      <c r="AF714" s="60">
        <f>Ruimtestaat[[#This Row],[uren / jaar weekend]]+Ruimtestaat[[#This Row],[uren / jaar werkdagen]]</f>
        <v>0</v>
      </c>
      <c r="AG714" s="61">
        <f>Ruimtestaat[[#This Row],[kosten / jaar weekend]]+Ruimtestaat[[#This Row],[kosten / jaar werkdagen]]</f>
        <v>0</v>
      </c>
      <c r="AH714" s="92"/>
      <c r="HL714" s="59"/>
    </row>
    <row r="715" spans="1:220">
      <c r="A715" s="24">
        <v>5</v>
      </c>
      <c r="B715" s="24" t="str">
        <f>VLOOKUP(Ruimtestaat[[#This Row],[Code]],Locaties[#All],2,FALSE)</f>
        <v>Marke Zuid</v>
      </c>
      <c r="C715" s="24" t="str">
        <f>VLOOKUP(Ruimtestaat[[#This Row],[Code]],Locaties[#All],4,FALSE)</f>
        <v>Ludgerstraat 1</v>
      </c>
      <c r="D715" s="24" t="str">
        <f>VLOOKUP(Ruimtestaat[[#This Row],[Code]],Locaties[#All],5,FALSE)</f>
        <v>7415 DV</v>
      </c>
      <c r="E715" s="24" t="str">
        <f>VLOOKUP(Ruimtestaat[[#This Row],[Code]],Locaties[#All],6,FALSE)</f>
        <v>Deventer</v>
      </c>
      <c r="F715" s="54"/>
      <c r="G715" s="24" t="s">
        <v>367</v>
      </c>
      <c r="H715" s="24" t="s">
        <v>1191</v>
      </c>
      <c r="I715" s="4" t="s">
        <v>487</v>
      </c>
      <c r="J715" s="24">
        <v>6</v>
      </c>
      <c r="K715" s="54" t="str">
        <f>VLOOKUP(J715,Ruimtegroepen[],2,FALSE)</f>
        <v>Gangen/hallen</v>
      </c>
      <c r="L715" s="24" t="s">
        <v>305</v>
      </c>
      <c r="M715" s="24" t="s">
        <v>373</v>
      </c>
      <c r="N715" s="83">
        <v>71.92</v>
      </c>
      <c r="O715" s="83"/>
      <c r="P715" s="93" t="str">
        <f>LEFT(VLOOKUP(Ruimtestaat[[#This Row],[Ruimte code]],Ruimtegroepen[#All],4,1),2)</f>
        <v>Ve</v>
      </c>
      <c r="Q715" s="93"/>
      <c r="R715" s="84">
        <v>40</v>
      </c>
      <c r="S715" s="84" t="s">
        <v>318</v>
      </c>
      <c r="T715" s="85">
        <f>IF(R715&gt;0,IF(RIGHT(Ruimtestaat[[#This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5" s="85">
        <f>IF(T715&gt;0,VLOOKUP($J715,Ruimtegroepen[],3,FALSE)*VLOOKUP($L715,Vloersoorten[],3,FALSE)*VLOOKUP($S715,Frequenties[],3,FALSE)*VLOOKUP($A715,Locaties[],3,FALSE),0)</f>
        <v>0</v>
      </c>
      <c r="V715" s="86">
        <f>Ruimtestaat[[#This Row],[Uitvoeringen werkdagen]]*Ruimtestaat[[#This Row],[Oppervlak (netto)]]</f>
        <v>14384</v>
      </c>
      <c r="W715" s="87">
        <f>IF(U715&gt;0,Ruimtestaat[[#This Row],[Prest. (m2 /jaar) werkdagen]]/Ruimtestaat[[#This Row],[Norm (m2/uur) werkdagen]],0)</f>
        <v>0</v>
      </c>
      <c r="X715" s="88">
        <f>Ruimtestaat[[#This Row],[uren / jaar werkdagen]]*Tariefsopbouw!$E$35</f>
        <v>0</v>
      </c>
      <c r="Y715" s="85"/>
      <c r="Z715" s="89">
        <f>IF(Ruimtestaat[[#This Row],[Frequentie weekend]]&gt;0,VALUE(LEFT(Y715,1))*R715,0)</f>
        <v>0</v>
      </c>
      <c r="AA715" s="85">
        <f>IF($Z715&gt;0,VLOOKUP($J715,Ruimtegroepen[],3,FALSE)*VLOOKUP($L715,Vloersoorten[],3,FALSE)*VLOOKUP($Y715,Frequenties[],3,FALSE)*VLOOKUP(#REF!,Locaties[],3,FALSE),0)</f>
        <v>0</v>
      </c>
      <c r="AB715" s="87">
        <f>Ruimtestaat[[#This Row],[Uitvoeringen weekend]]*Ruimtestaat[[#This Row],[Oppervlak (netto)]]</f>
        <v>0</v>
      </c>
      <c r="AC715" s="90">
        <f>IF(AB715&gt;0,Ruimtestaat[[#This Row],[Prest. (m2 /jaar) weekend]]/Ruimtestaat[[#This Row],[Norm (m2/uur) weekend]],0)</f>
        <v>0</v>
      </c>
      <c r="AD715" s="91">
        <f>Ruimtestaat[[#This Row],[uren / jaar weekend]]*Tariefsopbouw!$D$40</f>
        <v>0</v>
      </c>
      <c r="AE715" s="60">
        <f>Ruimtestaat[[#This Row],[Prest. (m2 /jaar) weekend]]+Ruimtestaat[[#This Row],[Prest. (m2 /jaar) werkdagen]]</f>
        <v>14384</v>
      </c>
      <c r="AF715" s="60">
        <f>Ruimtestaat[[#This Row],[uren / jaar weekend]]+Ruimtestaat[[#This Row],[uren / jaar werkdagen]]</f>
        <v>0</v>
      </c>
      <c r="AG715" s="61">
        <f>Ruimtestaat[[#This Row],[kosten / jaar weekend]]+Ruimtestaat[[#This Row],[kosten / jaar werkdagen]]</f>
        <v>0</v>
      </c>
      <c r="AH715" s="92"/>
      <c r="HL715" s="59"/>
    </row>
    <row r="716" spans="1:220">
      <c r="A716" s="24">
        <v>5</v>
      </c>
      <c r="B716" s="24" t="str">
        <f>VLOOKUP(Ruimtestaat[[#This Row],[Code]],Locaties[#All],2,FALSE)</f>
        <v>Marke Zuid</v>
      </c>
      <c r="C716" s="24" t="str">
        <f>VLOOKUP(Ruimtestaat[[#This Row],[Code]],Locaties[#All],4,FALSE)</f>
        <v>Ludgerstraat 1</v>
      </c>
      <c r="D716" s="24" t="str">
        <f>VLOOKUP(Ruimtestaat[[#This Row],[Code]],Locaties[#All],5,FALSE)</f>
        <v>7415 DV</v>
      </c>
      <c r="E716" s="24" t="str">
        <f>VLOOKUP(Ruimtestaat[[#This Row],[Code]],Locaties[#All],6,FALSE)</f>
        <v>Deventer</v>
      </c>
      <c r="F716" s="54"/>
      <c r="G716" s="24" t="s">
        <v>367</v>
      </c>
      <c r="H716" s="24" t="s">
        <v>1192</v>
      </c>
      <c r="I716" s="4" t="s">
        <v>487</v>
      </c>
      <c r="J716" s="24">
        <v>6</v>
      </c>
      <c r="K716" s="54" t="str">
        <f>VLOOKUP(J716,Ruimtegroepen[],2,FALSE)</f>
        <v>Gangen/hallen</v>
      </c>
      <c r="L716" s="24" t="s">
        <v>303</v>
      </c>
      <c r="M716" s="252" t="s">
        <v>1193</v>
      </c>
      <c r="N716" s="83">
        <v>8.4600000000000009</v>
      </c>
      <c r="O716" s="83"/>
      <c r="P716" s="93" t="str">
        <f>LEFT(VLOOKUP(Ruimtestaat[[#This Row],[Ruimte code]],Ruimtegroepen[#All],4,1),2)</f>
        <v>Ve</v>
      </c>
      <c r="Q716" s="93"/>
      <c r="R716" s="84">
        <v>40</v>
      </c>
      <c r="S716" s="84" t="s">
        <v>318</v>
      </c>
      <c r="T716" s="85">
        <f>IF(R716&gt;0,IF(RIGHT(Ruimtestaat[[#This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6" s="85">
        <f>IF(T716&gt;0,VLOOKUP($J716,Ruimtegroepen[],3,FALSE)*VLOOKUP($L716,Vloersoorten[],3,FALSE)*VLOOKUP($S716,Frequenties[],3,FALSE)*VLOOKUP($A716,Locaties[],3,FALSE),0)</f>
        <v>0</v>
      </c>
      <c r="V716" s="86">
        <f>Ruimtestaat[[#This Row],[Uitvoeringen werkdagen]]*Ruimtestaat[[#This Row],[Oppervlak (netto)]]</f>
        <v>1692.0000000000002</v>
      </c>
      <c r="W716" s="87">
        <f>IF(U716&gt;0,Ruimtestaat[[#This Row],[Prest. (m2 /jaar) werkdagen]]/Ruimtestaat[[#This Row],[Norm (m2/uur) werkdagen]],0)</f>
        <v>0</v>
      </c>
      <c r="X716" s="88">
        <f>Ruimtestaat[[#This Row],[uren / jaar werkdagen]]*Tariefsopbouw!$E$35</f>
        <v>0</v>
      </c>
      <c r="Y716" s="85"/>
      <c r="Z716" s="89">
        <f>IF(Ruimtestaat[[#This Row],[Frequentie weekend]]&gt;0,VALUE(LEFT(Y716,1))*R716,0)</f>
        <v>0</v>
      </c>
      <c r="AA716" s="85">
        <f>IF($Z716&gt;0,VLOOKUP($J716,Ruimtegroepen[],3,FALSE)*VLOOKUP($L716,Vloersoorten[],3,FALSE)*VLOOKUP($Y716,Frequenties[],3,FALSE)*VLOOKUP(#REF!,Locaties[],3,FALSE),0)</f>
        <v>0</v>
      </c>
      <c r="AB716" s="87">
        <f>Ruimtestaat[[#This Row],[Uitvoeringen weekend]]*Ruimtestaat[[#This Row],[Oppervlak (netto)]]</f>
        <v>0</v>
      </c>
      <c r="AC716" s="90">
        <f>IF(AB716&gt;0,Ruimtestaat[[#This Row],[Prest. (m2 /jaar) weekend]]/Ruimtestaat[[#This Row],[Norm (m2/uur) weekend]],0)</f>
        <v>0</v>
      </c>
      <c r="AD716" s="91">
        <f>Ruimtestaat[[#This Row],[uren / jaar weekend]]*Tariefsopbouw!$D$40</f>
        <v>0</v>
      </c>
      <c r="AE716" s="60">
        <f>Ruimtestaat[[#This Row],[Prest. (m2 /jaar) weekend]]+Ruimtestaat[[#This Row],[Prest. (m2 /jaar) werkdagen]]</f>
        <v>1692.0000000000002</v>
      </c>
      <c r="AF716" s="60">
        <f>Ruimtestaat[[#This Row],[uren / jaar weekend]]+Ruimtestaat[[#This Row],[uren / jaar werkdagen]]</f>
        <v>0</v>
      </c>
      <c r="AG716" s="61">
        <f>Ruimtestaat[[#This Row],[kosten / jaar weekend]]+Ruimtestaat[[#This Row],[kosten / jaar werkdagen]]</f>
        <v>0</v>
      </c>
      <c r="AH716" s="92"/>
      <c r="HL716" s="59"/>
    </row>
    <row r="717" spans="1:220">
      <c r="A717" s="24">
        <v>5</v>
      </c>
      <c r="B717" s="24" t="str">
        <f>VLOOKUP(Ruimtestaat[[#This Row],[Code]],Locaties[#All],2,FALSE)</f>
        <v>Marke Zuid</v>
      </c>
      <c r="C717" s="24" t="str">
        <f>VLOOKUP(Ruimtestaat[[#This Row],[Code]],Locaties[#All],4,FALSE)</f>
        <v>Ludgerstraat 1</v>
      </c>
      <c r="D717" s="24" t="str">
        <f>VLOOKUP(Ruimtestaat[[#This Row],[Code]],Locaties[#All],5,FALSE)</f>
        <v>7415 DV</v>
      </c>
      <c r="E717" s="24" t="str">
        <f>VLOOKUP(Ruimtestaat[[#This Row],[Code]],Locaties[#All],6,FALSE)</f>
        <v>Deventer</v>
      </c>
      <c r="F717" s="54"/>
      <c r="G717" s="24" t="s">
        <v>367</v>
      </c>
      <c r="H717" s="24" t="s">
        <v>1194</v>
      </c>
      <c r="I717" s="4" t="s">
        <v>487</v>
      </c>
      <c r="J717" s="24">
        <v>6</v>
      </c>
      <c r="K717" s="54" t="str">
        <f>VLOOKUP(J717,Ruimtegroepen[],2,FALSE)</f>
        <v>Gangen/hallen</v>
      </c>
      <c r="L717" s="24" t="s">
        <v>300</v>
      </c>
      <c r="M717" s="24" t="s">
        <v>997</v>
      </c>
      <c r="N717" s="83">
        <v>232.65</v>
      </c>
      <c r="O717" s="83"/>
      <c r="P717" s="93" t="str">
        <f>LEFT(VLOOKUP(Ruimtestaat[[#This Row],[Ruimte code]],Ruimtegroepen[#All],4,1),2)</f>
        <v>Ve</v>
      </c>
      <c r="Q717" s="93"/>
      <c r="R717" s="84">
        <v>40</v>
      </c>
      <c r="S717" s="84" t="s">
        <v>318</v>
      </c>
      <c r="T717" s="85">
        <f>IF(R717&gt;0,IF(RIGHT(Ruimtestaat[[#This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7" s="85">
        <f>IF(T717&gt;0,VLOOKUP($J717,Ruimtegroepen[],3,FALSE)*VLOOKUP($L717,Vloersoorten[],3,FALSE)*VLOOKUP($S717,Frequenties[],3,FALSE)*VLOOKUP($A717,Locaties[],3,FALSE),0)</f>
        <v>0</v>
      </c>
      <c r="V717" s="86">
        <f>Ruimtestaat[[#This Row],[Uitvoeringen werkdagen]]*Ruimtestaat[[#This Row],[Oppervlak (netto)]]</f>
        <v>46530</v>
      </c>
      <c r="W717" s="87">
        <f>IF(U717&gt;0,Ruimtestaat[[#This Row],[Prest. (m2 /jaar) werkdagen]]/Ruimtestaat[[#This Row],[Norm (m2/uur) werkdagen]],0)</f>
        <v>0</v>
      </c>
      <c r="X717" s="88">
        <f>Ruimtestaat[[#This Row],[uren / jaar werkdagen]]*Tariefsopbouw!$E$35</f>
        <v>0</v>
      </c>
      <c r="Y717" s="85"/>
      <c r="Z717" s="89">
        <f>IF(Ruimtestaat[[#This Row],[Frequentie weekend]]&gt;0,VALUE(LEFT(Y717,1))*R717,0)</f>
        <v>0</v>
      </c>
      <c r="AA717" s="85">
        <f>IF($Z717&gt;0,VLOOKUP($J717,Ruimtegroepen[],3,FALSE)*VLOOKUP($L717,Vloersoorten[],3,FALSE)*VLOOKUP($Y717,Frequenties[],3,FALSE)*VLOOKUP(#REF!,Locaties[],3,FALSE),0)</f>
        <v>0</v>
      </c>
      <c r="AB717" s="87">
        <f>Ruimtestaat[[#This Row],[Uitvoeringen weekend]]*Ruimtestaat[[#This Row],[Oppervlak (netto)]]</f>
        <v>0</v>
      </c>
      <c r="AC717" s="90">
        <f>IF(AB717&gt;0,Ruimtestaat[[#This Row],[Prest. (m2 /jaar) weekend]]/Ruimtestaat[[#This Row],[Norm (m2/uur) weekend]],0)</f>
        <v>0</v>
      </c>
      <c r="AD717" s="91">
        <f>Ruimtestaat[[#This Row],[uren / jaar weekend]]*Tariefsopbouw!$D$40</f>
        <v>0</v>
      </c>
      <c r="AE717" s="60">
        <f>Ruimtestaat[[#This Row],[Prest. (m2 /jaar) weekend]]+Ruimtestaat[[#This Row],[Prest. (m2 /jaar) werkdagen]]</f>
        <v>46530</v>
      </c>
      <c r="AF717" s="60">
        <f>Ruimtestaat[[#This Row],[uren / jaar weekend]]+Ruimtestaat[[#This Row],[uren / jaar werkdagen]]</f>
        <v>0</v>
      </c>
      <c r="AG717" s="61">
        <f>Ruimtestaat[[#This Row],[kosten / jaar weekend]]+Ruimtestaat[[#This Row],[kosten / jaar werkdagen]]</f>
        <v>0</v>
      </c>
      <c r="AH717" s="92"/>
      <c r="HL717" s="59"/>
    </row>
    <row r="718" spans="1:220">
      <c r="A718" s="24">
        <v>5</v>
      </c>
      <c r="B718" s="24" t="str">
        <f>VLOOKUP(Ruimtestaat[[#This Row],[Code]],Locaties[#All],2,FALSE)</f>
        <v>Marke Zuid</v>
      </c>
      <c r="C718" s="24" t="str">
        <f>VLOOKUP(Ruimtestaat[[#This Row],[Code]],Locaties[#All],4,FALSE)</f>
        <v>Ludgerstraat 1</v>
      </c>
      <c r="D718" s="24" t="str">
        <f>VLOOKUP(Ruimtestaat[[#This Row],[Code]],Locaties[#All],5,FALSE)</f>
        <v>7415 DV</v>
      </c>
      <c r="E718" s="24" t="str">
        <f>VLOOKUP(Ruimtestaat[[#This Row],[Code]],Locaties[#All],6,FALSE)</f>
        <v>Deventer</v>
      </c>
      <c r="F718" s="54"/>
      <c r="G718" s="24" t="s">
        <v>367</v>
      </c>
      <c r="H718" s="24" t="s">
        <v>1195</v>
      </c>
      <c r="I718" s="4" t="s">
        <v>487</v>
      </c>
      <c r="J718" s="24">
        <v>6</v>
      </c>
      <c r="K718" s="54" t="str">
        <f>VLOOKUP(J718,Ruimtegroepen[],2,FALSE)</f>
        <v>Gangen/hallen</v>
      </c>
      <c r="L718" s="24" t="s">
        <v>305</v>
      </c>
      <c r="M718" s="24" t="s">
        <v>373</v>
      </c>
      <c r="N718" s="83">
        <v>181.18</v>
      </c>
      <c r="O718" s="83"/>
      <c r="P718" s="93" t="str">
        <f>LEFT(VLOOKUP(Ruimtestaat[[#This Row],[Ruimte code]],Ruimtegroepen[#All],4,1),2)</f>
        <v>Ve</v>
      </c>
      <c r="Q718" s="93"/>
      <c r="R718" s="84">
        <v>40</v>
      </c>
      <c r="S718" s="84" t="s">
        <v>318</v>
      </c>
      <c r="T718" s="85">
        <f>IF(R718&gt;0,IF(RIGHT(Ruimtestaat[[#This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8" s="85">
        <f>IF(T718&gt;0,VLOOKUP($J718,Ruimtegroepen[],3,FALSE)*VLOOKUP($L718,Vloersoorten[],3,FALSE)*VLOOKUP($S718,Frequenties[],3,FALSE)*VLOOKUP($A718,Locaties[],3,FALSE),0)</f>
        <v>0</v>
      </c>
      <c r="V718" s="86">
        <f>Ruimtestaat[[#This Row],[Uitvoeringen werkdagen]]*Ruimtestaat[[#This Row],[Oppervlak (netto)]]</f>
        <v>36236</v>
      </c>
      <c r="W718" s="87">
        <f>IF(U718&gt;0,Ruimtestaat[[#This Row],[Prest. (m2 /jaar) werkdagen]]/Ruimtestaat[[#This Row],[Norm (m2/uur) werkdagen]],0)</f>
        <v>0</v>
      </c>
      <c r="X718" s="88">
        <f>Ruimtestaat[[#This Row],[uren / jaar werkdagen]]*Tariefsopbouw!$E$35</f>
        <v>0</v>
      </c>
      <c r="Y718" s="85"/>
      <c r="Z718" s="89">
        <f>IF(Ruimtestaat[[#This Row],[Frequentie weekend]]&gt;0,VALUE(LEFT(Y718,1))*R718,0)</f>
        <v>0</v>
      </c>
      <c r="AA718" s="85">
        <f>IF($Z718&gt;0,VLOOKUP($J718,Ruimtegroepen[],3,FALSE)*VLOOKUP($L718,Vloersoorten[],3,FALSE)*VLOOKUP($Y718,Frequenties[],3,FALSE)*VLOOKUP(#REF!,Locaties[],3,FALSE),0)</f>
        <v>0</v>
      </c>
      <c r="AB718" s="87">
        <f>Ruimtestaat[[#This Row],[Uitvoeringen weekend]]*Ruimtestaat[[#This Row],[Oppervlak (netto)]]</f>
        <v>0</v>
      </c>
      <c r="AC718" s="90">
        <f>IF(AB718&gt;0,Ruimtestaat[[#This Row],[Prest. (m2 /jaar) weekend]]/Ruimtestaat[[#This Row],[Norm (m2/uur) weekend]],0)</f>
        <v>0</v>
      </c>
      <c r="AD718" s="91">
        <f>Ruimtestaat[[#This Row],[uren / jaar weekend]]*Tariefsopbouw!$D$40</f>
        <v>0</v>
      </c>
      <c r="AE718" s="60">
        <f>Ruimtestaat[[#This Row],[Prest. (m2 /jaar) weekend]]+Ruimtestaat[[#This Row],[Prest. (m2 /jaar) werkdagen]]</f>
        <v>36236</v>
      </c>
      <c r="AF718" s="60">
        <f>Ruimtestaat[[#This Row],[uren / jaar weekend]]+Ruimtestaat[[#This Row],[uren / jaar werkdagen]]</f>
        <v>0</v>
      </c>
      <c r="AG718" s="61">
        <f>Ruimtestaat[[#This Row],[kosten / jaar weekend]]+Ruimtestaat[[#This Row],[kosten / jaar werkdagen]]</f>
        <v>0</v>
      </c>
      <c r="AH718" s="92"/>
      <c r="HL718" s="59"/>
    </row>
    <row r="719" spans="1:220">
      <c r="A719" s="24">
        <v>5</v>
      </c>
      <c r="B719" s="24" t="str">
        <f>VLOOKUP(Ruimtestaat[[#This Row],[Code]],Locaties[#All],2,FALSE)</f>
        <v>Marke Zuid</v>
      </c>
      <c r="C719" s="24" t="str">
        <f>VLOOKUP(Ruimtestaat[[#This Row],[Code]],Locaties[#All],4,FALSE)</f>
        <v>Ludgerstraat 1</v>
      </c>
      <c r="D719" s="24" t="str">
        <f>VLOOKUP(Ruimtestaat[[#This Row],[Code]],Locaties[#All],5,FALSE)</f>
        <v>7415 DV</v>
      </c>
      <c r="E719" s="24" t="str">
        <f>VLOOKUP(Ruimtestaat[[#This Row],[Code]],Locaties[#All],6,FALSE)</f>
        <v>Deventer</v>
      </c>
      <c r="F719" s="54"/>
      <c r="G719" s="24" t="s">
        <v>367</v>
      </c>
      <c r="H719" s="24" t="s">
        <v>1196</v>
      </c>
      <c r="I719" s="4" t="s">
        <v>487</v>
      </c>
      <c r="J719" s="24">
        <v>6</v>
      </c>
      <c r="K719" s="54" t="str">
        <f>VLOOKUP(J719,Ruimtegroepen[],2,FALSE)</f>
        <v>Gangen/hallen</v>
      </c>
      <c r="L719" s="24" t="s">
        <v>300</v>
      </c>
      <c r="M719" s="24" t="s">
        <v>997</v>
      </c>
      <c r="N719" s="83">
        <v>27.74</v>
      </c>
      <c r="O719" s="83"/>
      <c r="P719" s="93" t="str">
        <f>LEFT(VLOOKUP(Ruimtestaat[[#This Row],[Ruimte code]],Ruimtegroepen[#All],4,1),2)</f>
        <v>Ve</v>
      </c>
      <c r="Q719" s="93"/>
      <c r="R719" s="84">
        <v>40</v>
      </c>
      <c r="S719" s="84" t="s">
        <v>318</v>
      </c>
      <c r="T719" s="85">
        <f>IF(R719&gt;0,IF(RIGHT(Ruimtestaat[[#This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9" s="85">
        <f>IF(T719&gt;0,VLOOKUP($J719,Ruimtegroepen[],3,FALSE)*VLOOKUP($L719,Vloersoorten[],3,FALSE)*VLOOKUP($S719,Frequenties[],3,FALSE)*VLOOKUP($A719,Locaties[],3,FALSE),0)</f>
        <v>0</v>
      </c>
      <c r="V719" s="86">
        <f>Ruimtestaat[[#This Row],[Uitvoeringen werkdagen]]*Ruimtestaat[[#This Row],[Oppervlak (netto)]]</f>
        <v>5548</v>
      </c>
      <c r="W719" s="87">
        <f>IF(U719&gt;0,Ruimtestaat[[#This Row],[Prest. (m2 /jaar) werkdagen]]/Ruimtestaat[[#This Row],[Norm (m2/uur) werkdagen]],0)</f>
        <v>0</v>
      </c>
      <c r="X719" s="88">
        <f>Ruimtestaat[[#This Row],[uren / jaar werkdagen]]*Tariefsopbouw!$E$35</f>
        <v>0</v>
      </c>
      <c r="Y719" s="85"/>
      <c r="Z719" s="89">
        <f>IF(Ruimtestaat[[#This Row],[Frequentie weekend]]&gt;0,VALUE(LEFT(Y719,1))*R719,0)</f>
        <v>0</v>
      </c>
      <c r="AA719" s="85">
        <f>IF($Z719&gt;0,VLOOKUP($J719,Ruimtegroepen[],3,FALSE)*VLOOKUP($L719,Vloersoorten[],3,FALSE)*VLOOKUP($Y719,Frequenties[],3,FALSE)*VLOOKUP(#REF!,Locaties[],3,FALSE),0)</f>
        <v>0</v>
      </c>
      <c r="AB719" s="87">
        <f>Ruimtestaat[[#This Row],[Uitvoeringen weekend]]*Ruimtestaat[[#This Row],[Oppervlak (netto)]]</f>
        <v>0</v>
      </c>
      <c r="AC719" s="90">
        <f>IF(AB719&gt;0,Ruimtestaat[[#This Row],[Prest. (m2 /jaar) weekend]]/Ruimtestaat[[#This Row],[Norm (m2/uur) weekend]],0)</f>
        <v>0</v>
      </c>
      <c r="AD719" s="91">
        <f>Ruimtestaat[[#This Row],[uren / jaar weekend]]*Tariefsopbouw!$D$40</f>
        <v>0</v>
      </c>
      <c r="AE719" s="60">
        <f>Ruimtestaat[[#This Row],[Prest. (m2 /jaar) weekend]]+Ruimtestaat[[#This Row],[Prest. (m2 /jaar) werkdagen]]</f>
        <v>5548</v>
      </c>
      <c r="AF719" s="60">
        <f>Ruimtestaat[[#This Row],[uren / jaar weekend]]+Ruimtestaat[[#This Row],[uren / jaar werkdagen]]</f>
        <v>0</v>
      </c>
      <c r="AG719" s="61">
        <f>Ruimtestaat[[#This Row],[kosten / jaar weekend]]+Ruimtestaat[[#This Row],[kosten / jaar werkdagen]]</f>
        <v>0</v>
      </c>
      <c r="AH719" s="92"/>
      <c r="HL719" s="59"/>
    </row>
    <row r="720" spans="1:220">
      <c r="A720" s="24">
        <v>5</v>
      </c>
      <c r="B720" s="24" t="str">
        <f>VLOOKUP(Ruimtestaat[[#This Row],[Code]],Locaties[#All],2,FALSE)</f>
        <v>Marke Zuid</v>
      </c>
      <c r="C720" s="24" t="str">
        <f>VLOOKUP(Ruimtestaat[[#This Row],[Code]],Locaties[#All],4,FALSE)</f>
        <v>Ludgerstraat 1</v>
      </c>
      <c r="D720" s="24" t="str">
        <f>VLOOKUP(Ruimtestaat[[#This Row],[Code]],Locaties[#All],5,FALSE)</f>
        <v>7415 DV</v>
      </c>
      <c r="E720" s="24" t="str">
        <f>VLOOKUP(Ruimtestaat[[#This Row],[Code]],Locaties[#All],6,FALSE)</f>
        <v>Deventer</v>
      </c>
      <c r="F720" s="54"/>
      <c r="G720" s="24" t="s">
        <v>367</v>
      </c>
      <c r="H720" s="24" t="s">
        <v>486</v>
      </c>
      <c r="I720" s="4" t="s">
        <v>487</v>
      </c>
      <c r="J720" s="24">
        <v>6</v>
      </c>
      <c r="K720" s="54" t="str">
        <f>VLOOKUP(J720,Ruimtegroepen[],2,FALSE)</f>
        <v>Gangen/hallen</v>
      </c>
      <c r="L720" s="24" t="s">
        <v>300</v>
      </c>
      <c r="M720" s="24" t="s">
        <v>997</v>
      </c>
      <c r="N720" s="83">
        <v>12.22</v>
      </c>
      <c r="O720" s="83"/>
      <c r="P720" s="93" t="str">
        <f>LEFT(VLOOKUP(Ruimtestaat[[#This Row],[Ruimte code]],Ruimtegroepen[#All],4,1),2)</f>
        <v>Ve</v>
      </c>
      <c r="Q720" s="93"/>
      <c r="R720" s="84">
        <v>40</v>
      </c>
      <c r="S720" s="84" t="s">
        <v>318</v>
      </c>
      <c r="T720" s="85">
        <f>IF(R720&gt;0,IF(RIGHT(Ruimtestaat[[#This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0" s="85">
        <f>IF(T720&gt;0,VLOOKUP($J720,Ruimtegroepen[],3,FALSE)*VLOOKUP($L720,Vloersoorten[],3,FALSE)*VLOOKUP($S720,Frequenties[],3,FALSE)*VLOOKUP($A720,Locaties[],3,FALSE),0)</f>
        <v>0</v>
      </c>
      <c r="V720" s="86">
        <f>Ruimtestaat[[#This Row],[Uitvoeringen werkdagen]]*Ruimtestaat[[#This Row],[Oppervlak (netto)]]</f>
        <v>2444</v>
      </c>
      <c r="W720" s="87">
        <f>IF(U720&gt;0,Ruimtestaat[[#This Row],[Prest. (m2 /jaar) werkdagen]]/Ruimtestaat[[#This Row],[Norm (m2/uur) werkdagen]],0)</f>
        <v>0</v>
      </c>
      <c r="X720" s="88">
        <f>Ruimtestaat[[#This Row],[uren / jaar werkdagen]]*Tariefsopbouw!$E$35</f>
        <v>0</v>
      </c>
      <c r="Y720" s="85"/>
      <c r="Z720" s="89">
        <f>IF(Ruimtestaat[[#This Row],[Frequentie weekend]]&gt;0,VALUE(LEFT(Y720,1))*R720,0)</f>
        <v>0</v>
      </c>
      <c r="AA720" s="85">
        <f>IF($Z720&gt;0,VLOOKUP($J720,Ruimtegroepen[],3,FALSE)*VLOOKUP($L720,Vloersoorten[],3,FALSE)*VLOOKUP($Y720,Frequenties[],3,FALSE)*VLOOKUP(#REF!,Locaties[],3,FALSE),0)</f>
        <v>0</v>
      </c>
      <c r="AB720" s="87">
        <f>Ruimtestaat[[#This Row],[Uitvoeringen weekend]]*Ruimtestaat[[#This Row],[Oppervlak (netto)]]</f>
        <v>0</v>
      </c>
      <c r="AC720" s="90">
        <f>IF(AB720&gt;0,Ruimtestaat[[#This Row],[Prest. (m2 /jaar) weekend]]/Ruimtestaat[[#This Row],[Norm (m2/uur) weekend]],0)</f>
        <v>0</v>
      </c>
      <c r="AD720" s="91">
        <f>Ruimtestaat[[#This Row],[uren / jaar weekend]]*Tariefsopbouw!$D$40</f>
        <v>0</v>
      </c>
      <c r="AE720" s="60">
        <f>Ruimtestaat[[#This Row],[Prest. (m2 /jaar) weekend]]+Ruimtestaat[[#This Row],[Prest. (m2 /jaar) werkdagen]]</f>
        <v>2444</v>
      </c>
      <c r="AF720" s="60">
        <f>Ruimtestaat[[#This Row],[uren / jaar weekend]]+Ruimtestaat[[#This Row],[uren / jaar werkdagen]]</f>
        <v>0</v>
      </c>
      <c r="AG720" s="61">
        <f>Ruimtestaat[[#This Row],[kosten / jaar weekend]]+Ruimtestaat[[#This Row],[kosten / jaar werkdagen]]</f>
        <v>0</v>
      </c>
      <c r="AH720" s="92"/>
      <c r="HL720" s="59"/>
    </row>
    <row r="721" spans="1:220">
      <c r="A721" s="24">
        <v>5</v>
      </c>
      <c r="B721" s="24" t="str">
        <f>VLOOKUP(Ruimtestaat[[#This Row],[Code]],Locaties[#All],2,FALSE)</f>
        <v>Marke Zuid</v>
      </c>
      <c r="C721" s="24" t="str">
        <f>VLOOKUP(Ruimtestaat[[#This Row],[Code]],Locaties[#All],4,FALSE)</f>
        <v>Ludgerstraat 1</v>
      </c>
      <c r="D721" s="24" t="str">
        <f>VLOOKUP(Ruimtestaat[[#This Row],[Code]],Locaties[#All],5,FALSE)</f>
        <v>7415 DV</v>
      </c>
      <c r="E721" s="24" t="str">
        <f>VLOOKUP(Ruimtestaat[[#This Row],[Code]],Locaties[#All],6,FALSE)</f>
        <v>Deventer</v>
      </c>
      <c r="F721" s="54"/>
      <c r="G721" s="24" t="s">
        <v>367</v>
      </c>
      <c r="H721" s="24" t="s">
        <v>1197</v>
      </c>
      <c r="I721" s="4" t="s">
        <v>1198</v>
      </c>
      <c r="J721" s="24">
        <v>22</v>
      </c>
      <c r="K721" s="54" t="str">
        <f>VLOOKUP(J721,Ruimtegroepen[],2,FALSE)</f>
        <v>Niet in onderhoud</v>
      </c>
      <c r="M721" s="24"/>
      <c r="N721" s="83"/>
      <c r="O721" s="83">
        <v>5.0199999999999996</v>
      </c>
      <c r="P721" s="93" t="str">
        <f>LEFT(VLOOKUP(Ruimtestaat[[#This Row],[Ruimte code]],Ruimtegroepen[#All],4,1),2)</f>
        <v/>
      </c>
      <c r="Q721" s="93"/>
      <c r="R721" s="84"/>
      <c r="S721" s="84"/>
      <c r="T721" s="85">
        <f>IF(R721&gt;0,IF(RIGHT(Ruimtestaat[[#This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21" s="85">
        <f>IF(T721&gt;0,VLOOKUP($J721,Ruimtegroepen[],3,FALSE)*VLOOKUP($L721,Vloersoorten[],3,FALSE)*VLOOKUP($S721,Frequenties[],3,FALSE)*VLOOKUP($A721,Locaties[],3,FALSE),0)</f>
        <v>0</v>
      </c>
      <c r="V721" s="86">
        <f>Ruimtestaat[[#This Row],[Uitvoeringen werkdagen]]*Ruimtestaat[[#This Row],[Oppervlak (netto)]]</f>
        <v>0</v>
      </c>
      <c r="W721" s="87">
        <f>IF(U721&gt;0,Ruimtestaat[[#This Row],[Prest. (m2 /jaar) werkdagen]]/Ruimtestaat[[#This Row],[Norm (m2/uur) werkdagen]],0)</f>
        <v>0</v>
      </c>
      <c r="X721" s="88">
        <f>Ruimtestaat[[#This Row],[uren / jaar werkdagen]]*Tariefsopbouw!$E$35</f>
        <v>0</v>
      </c>
      <c r="Y721" s="85"/>
      <c r="Z721" s="89">
        <f>IF(Ruimtestaat[[#This Row],[Frequentie weekend]]&gt;0,VALUE(LEFT(Y721,1))*R721,0)</f>
        <v>0</v>
      </c>
      <c r="AA721" s="85">
        <f>IF($Z721&gt;0,VLOOKUP($J721,Ruimtegroepen[],3,FALSE)*VLOOKUP($L721,Vloersoorten[],3,FALSE)*VLOOKUP($Y721,Frequenties[],3,FALSE)*VLOOKUP(#REF!,Locaties[],3,FALSE),0)</f>
        <v>0</v>
      </c>
      <c r="AB721" s="87">
        <f>Ruimtestaat[[#This Row],[Uitvoeringen weekend]]*Ruimtestaat[[#This Row],[Oppervlak (netto)]]</f>
        <v>0</v>
      </c>
      <c r="AC721" s="90">
        <f>IF(AB721&gt;0,Ruimtestaat[[#This Row],[Prest. (m2 /jaar) weekend]]/Ruimtestaat[[#This Row],[Norm (m2/uur) weekend]],0)</f>
        <v>0</v>
      </c>
      <c r="AD721" s="91">
        <f>Ruimtestaat[[#This Row],[uren / jaar weekend]]*Tariefsopbouw!$D$40</f>
        <v>0</v>
      </c>
      <c r="AE721" s="60">
        <f>Ruimtestaat[[#This Row],[Prest. (m2 /jaar) weekend]]+Ruimtestaat[[#This Row],[Prest. (m2 /jaar) werkdagen]]</f>
        <v>0</v>
      </c>
      <c r="AF721" s="60">
        <f>Ruimtestaat[[#This Row],[uren / jaar weekend]]+Ruimtestaat[[#This Row],[uren / jaar werkdagen]]</f>
        <v>0</v>
      </c>
      <c r="AG721" s="61">
        <f>Ruimtestaat[[#This Row],[kosten / jaar weekend]]+Ruimtestaat[[#This Row],[kosten / jaar werkdagen]]</f>
        <v>0</v>
      </c>
      <c r="AH721" s="92"/>
      <c r="HL721" s="59"/>
    </row>
    <row r="722" spans="1:220">
      <c r="A722" s="24">
        <v>5</v>
      </c>
      <c r="B722" s="24" t="str">
        <f>VLOOKUP(Ruimtestaat[[#This Row],[Code]],Locaties[#All],2,FALSE)</f>
        <v>Marke Zuid</v>
      </c>
      <c r="C722" s="24" t="str">
        <f>VLOOKUP(Ruimtestaat[[#This Row],[Code]],Locaties[#All],4,FALSE)</f>
        <v>Ludgerstraat 1</v>
      </c>
      <c r="D722" s="24" t="str">
        <f>VLOOKUP(Ruimtestaat[[#This Row],[Code]],Locaties[#All],5,FALSE)</f>
        <v>7415 DV</v>
      </c>
      <c r="E722" s="24" t="str">
        <f>VLOOKUP(Ruimtestaat[[#This Row],[Code]],Locaties[#All],6,FALSE)</f>
        <v>Deventer</v>
      </c>
      <c r="F722" s="54"/>
      <c r="G722" s="24" t="s">
        <v>367</v>
      </c>
      <c r="H722" s="24" t="s">
        <v>1199</v>
      </c>
      <c r="I722" s="4" t="s">
        <v>1198</v>
      </c>
      <c r="J722" s="24">
        <v>22</v>
      </c>
      <c r="K722" s="54" t="str">
        <f>VLOOKUP(J722,Ruimtegroepen[],2,FALSE)</f>
        <v>Niet in onderhoud</v>
      </c>
      <c r="M722" s="24"/>
      <c r="N722" s="83"/>
      <c r="O722" s="83">
        <v>5.13</v>
      </c>
      <c r="P722" s="93" t="str">
        <f>LEFT(VLOOKUP(Ruimtestaat[[#This Row],[Ruimte code]],Ruimtegroepen[#All],4,1),2)</f>
        <v/>
      </c>
      <c r="Q722" s="93"/>
      <c r="R722" s="84"/>
      <c r="S722" s="84"/>
      <c r="T722" s="85">
        <f>IF(R722&gt;0,IF(RIGHT(Ruimtestaat[[#This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22" s="85">
        <f>IF(T722&gt;0,VLOOKUP($J722,Ruimtegroepen[],3,FALSE)*VLOOKUP($L722,Vloersoorten[],3,FALSE)*VLOOKUP($S722,Frequenties[],3,FALSE)*VLOOKUP($A722,Locaties[],3,FALSE),0)</f>
        <v>0</v>
      </c>
      <c r="V722" s="86">
        <f>Ruimtestaat[[#This Row],[Uitvoeringen werkdagen]]*Ruimtestaat[[#This Row],[Oppervlak (netto)]]</f>
        <v>0</v>
      </c>
      <c r="W722" s="87">
        <f>IF(U722&gt;0,Ruimtestaat[[#This Row],[Prest. (m2 /jaar) werkdagen]]/Ruimtestaat[[#This Row],[Norm (m2/uur) werkdagen]],0)</f>
        <v>0</v>
      </c>
      <c r="X722" s="88">
        <f>Ruimtestaat[[#This Row],[uren / jaar werkdagen]]*Tariefsopbouw!$E$35</f>
        <v>0</v>
      </c>
      <c r="Y722" s="85"/>
      <c r="Z722" s="89">
        <f>IF(Ruimtestaat[[#This Row],[Frequentie weekend]]&gt;0,VALUE(LEFT(Y722,1))*R722,0)</f>
        <v>0</v>
      </c>
      <c r="AA722" s="85">
        <f>IF($Z722&gt;0,VLOOKUP($J722,Ruimtegroepen[],3,FALSE)*VLOOKUP($L722,Vloersoorten[],3,FALSE)*VLOOKUP($Y722,Frequenties[],3,FALSE)*VLOOKUP(#REF!,Locaties[],3,FALSE),0)</f>
        <v>0</v>
      </c>
      <c r="AB722" s="87">
        <f>Ruimtestaat[[#This Row],[Uitvoeringen weekend]]*Ruimtestaat[[#This Row],[Oppervlak (netto)]]</f>
        <v>0</v>
      </c>
      <c r="AC722" s="90">
        <f>IF(AB722&gt;0,Ruimtestaat[[#This Row],[Prest. (m2 /jaar) weekend]]/Ruimtestaat[[#This Row],[Norm (m2/uur) weekend]],0)</f>
        <v>0</v>
      </c>
      <c r="AD722" s="91">
        <f>Ruimtestaat[[#This Row],[uren / jaar weekend]]*Tariefsopbouw!$D$40</f>
        <v>0</v>
      </c>
      <c r="AE722" s="60">
        <f>Ruimtestaat[[#This Row],[Prest. (m2 /jaar) weekend]]+Ruimtestaat[[#This Row],[Prest. (m2 /jaar) werkdagen]]</f>
        <v>0</v>
      </c>
      <c r="AF722" s="60">
        <f>Ruimtestaat[[#This Row],[uren / jaar weekend]]+Ruimtestaat[[#This Row],[uren / jaar werkdagen]]</f>
        <v>0</v>
      </c>
      <c r="AG722" s="61">
        <f>Ruimtestaat[[#This Row],[kosten / jaar weekend]]+Ruimtestaat[[#This Row],[kosten / jaar werkdagen]]</f>
        <v>0</v>
      </c>
      <c r="AH722" s="92"/>
      <c r="HL722" s="59"/>
    </row>
    <row r="723" spans="1:220">
      <c r="A723" s="24">
        <v>5</v>
      </c>
      <c r="B723" s="24" t="str">
        <f>VLOOKUP(Ruimtestaat[[#This Row],[Code]],Locaties[#All],2,FALSE)</f>
        <v>Marke Zuid</v>
      </c>
      <c r="C723" s="24" t="str">
        <f>VLOOKUP(Ruimtestaat[[#This Row],[Code]],Locaties[#All],4,FALSE)</f>
        <v>Ludgerstraat 1</v>
      </c>
      <c r="D723" s="24" t="str">
        <f>VLOOKUP(Ruimtestaat[[#This Row],[Code]],Locaties[#All],5,FALSE)</f>
        <v>7415 DV</v>
      </c>
      <c r="E723" s="24" t="str">
        <f>VLOOKUP(Ruimtestaat[[#This Row],[Code]],Locaties[#All],6,FALSE)</f>
        <v>Deventer</v>
      </c>
      <c r="F723" s="54"/>
      <c r="G723" s="24" t="s">
        <v>367</v>
      </c>
      <c r="H723" s="24" t="s">
        <v>488</v>
      </c>
      <c r="I723" s="4" t="s">
        <v>487</v>
      </c>
      <c r="J723" s="24">
        <v>6</v>
      </c>
      <c r="K723" s="54" t="str">
        <f>VLOOKUP(J723,Ruimtegroepen[],2,FALSE)</f>
        <v>Gangen/hallen</v>
      </c>
      <c r="L723" s="24" t="s">
        <v>300</v>
      </c>
      <c r="M723" s="24" t="s">
        <v>997</v>
      </c>
      <c r="N723" s="83">
        <v>398.7</v>
      </c>
      <c r="O723" s="83"/>
      <c r="P723" s="93" t="str">
        <f>LEFT(VLOOKUP(Ruimtestaat[[#This Row],[Ruimte code]],Ruimtegroepen[#All],4,1),2)</f>
        <v>Ve</v>
      </c>
      <c r="Q723" s="93"/>
      <c r="R723" s="84">
        <v>40</v>
      </c>
      <c r="S723" s="84" t="s">
        <v>318</v>
      </c>
      <c r="T723" s="85">
        <f>IF(R723&gt;0,IF(RIGHT(Ruimtestaat[[#This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3" s="85">
        <f>IF(T723&gt;0,VLOOKUP($J723,Ruimtegroepen[],3,FALSE)*VLOOKUP($L723,Vloersoorten[],3,FALSE)*VLOOKUP($S723,Frequenties[],3,FALSE)*VLOOKUP($A723,Locaties[],3,FALSE),0)</f>
        <v>0</v>
      </c>
      <c r="V723" s="86">
        <f>Ruimtestaat[[#This Row],[Uitvoeringen werkdagen]]*Ruimtestaat[[#This Row],[Oppervlak (netto)]]</f>
        <v>79740</v>
      </c>
      <c r="W723" s="87">
        <f>IF(U723&gt;0,Ruimtestaat[[#This Row],[Prest. (m2 /jaar) werkdagen]]/Ruimtestaat[[#This Row],[Norm (m2/uur) werkdagen]],0)</f>
        <v>0</v>
      </c>
      <c r="X723" s="88">
        <f>Ruimtestaat[[#This Row],[uren / jaar werkdagen]]*Tariefsopbouw!$E$35</f>
        <v>0</v>
      </c>
      <c r="Y723" s="85"/>
      <c r="Z723" s="89">
        <f>IF(Ruimtestaat[[#This Row],[Frequentie weekend]]&gt;0,VALUE(LEFT(Y723,1))*R723,0)</f>
        <v>0</v>
      </c>
      <c r="AA723" s="85">
        <f>IF($Z723&gt;0,VLOOKUP($J723,Ruimtegroepen[],3,FALSE)*VLOOKUP($L723,Vloersoorten[],3,FALSE)*VLOOKUP($Y723,Frequenties[],3,FALSE)*VLOOKUP(#REF!,Locaties[],3,FALSE),0)</f>
        <v>0</v>
      </c>
      <c r="AB723" s="87">
        <f>Ruimtestaat[[#This Row],[Uitvoeringen weekend]]*Ruimtestaat[[#This Row],[Oppervlak (netto)]]</f>
        <v>0</v>
      </c>
      <c r="AC723" s="90">
        <f>IF(AB723&gt;0,Ruimtestaat[[#This Row],[Prest. (m2 /jaar) weekend]]/Ruimtestaat[[#This Row],[Norm (m2/uur) weekend]],0)</f>
        <v>0</v>
      </c>
      <c r="AD723" s="91">
        <f>Ruimtestaat[[#This Row],[uren / jaar weekend]]*Tariefsopbouw!$D$40</f>
        <v>0</v>
      </c>
      <c r="AE723" s="60">
        <f>Ruimtestaat[[#This Row],[Prest. (m2 /jaar) weekend]]+Ruimtestaat[[#This Row],[Prest. (m2 /jaar) werkdagen]]</f>
        <v>79740</v>
      </c>
      <c r="AF723" s="60">
        <f>Ruimtestaat[[#This Row],[uren / jaar weekend]]+Ruimtestaat[[#This Row],[uren / jaar werkdagen]]</f>
        <v>0</v>
      </c>
      <c r="AG723" s="61">
        <f>Ruimtestaat[[#This Row],[kosten / jaar weekend]]+Ruimtestaat[[#This Row],[kosten / jaar werkdagen]]</f>
        <v>0</v>
      </c>
      <c r="AH723" s="92"/>
      <c r="HL723" s="59"/>
    </row>
    <row r="724" spans="1:220">
      <c r="A724" s="24">
        <v>5</v>
      </c>
      <c r="B724" s="24" t="str">
        <f>VLOOKUP(Ruimtestaat[[#This Row],[Code]],Locaties[#All],2,FALSE)</f>
        <v>Marke Zuid</v>
      </c>
      <c r="C724" s="24" t="str">
        <f>VLOOKUP(Ruimtestaat[[#This Row],[Code]],Locaties[#All],4,FALSE)</f>
        <v>Ludgerstraat 1</v>
      </c>
      <c r="D724" s="24" t="str">
        <f>VLOOKUP(Ruimtestaat[[#This Row],[Code]],Locaties[#All],5,FALSE)</f>
        <v>7415 DV</v>
      </c>
      <c r="E724" s="24" t="str">
        <f>VLOOKUP(Ruimtestaat[[#This Row],[Code]],Locaties[#All],6,FALSE)</f>
        <v>Deventer</v>
      </c>
      <c r="F724" s="54"/>
      <c r="G724" s="24" t="s">
        <v>367</v>
      </c>
      <c r="H724" s="24" t="s">
        <v>489</v>
      </c>
      <c r="I724" s="4" t="s">
        <v>487</v>
      </c>
      <c r="J724" s="24">
        <v>6</v>
      </c>
      <c r="K724" s="54" t="str">
        <f>VLOOKUP(J724,Ruimtegroepen[],2,FALSE)</f>
        <v>Gangen/hallen</v>
      </c>
      <c r="L724" s="24" t="s">
        <v>305</v>
      </c>
      <c r="M724" s="24" t="s">
        <v>373</v>
      </c>
      <c r="N724" s="83">
        <v>312.42</v>
      </c>
      <c r="O724" s="83"/>
      <c r="P724" s="93" t="str">
        <f>LEFT(VLOOKUP(Ruimtestaat[[#This Row],[Ruimte code]],Ruimtegroepen[#All],4,1),2)</f>
        <v>Ve</v>
      </c>
      <c r="Q724" s="93"/>
      <c r="R724" s="84">
        <v>40</v>
      </c>
      <c r="S724" s="84" t="s">
        <v>318</v>
      </c>
      <c r="T724" s="85">
        <f>IF(R724&gt;0,IF(RIGHT(Ruimtestaat[[#This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4" s="85">
        <f>IF(T724&gt;0,VLOOKUP($J724,Ruimtegroepen[],3,FALSE)*VLOOKUP($L724,Vloersoorten[],3,FALSE)*VLOOKUP($S724,Frequenties[],3,FALSE)*VLOOKUP($A724,Locaties[],3,FALSE),0)</f>
        <v>0</v>
      </c>
      <c r="V724" s="86">
        <f>Ruimtestaat[[#This Row],[Uitvoeringen werkdagen]]*Ruimtestaat[[#This Row],[Oppervlak (netto)]]</f>
        <v>62484</v>
      </c>
      <c r="W724" s="87">
        <f>IF(U724&gt;0,Ruimtestaat[[#This Row],[Prest. (m2 /jaar) werkdagen]]/Ruimtestaat[[#This Row],[Norm (m2/uur) werkdagen]],0)</f>
        <v>0</v>
      </c>
      <c r="X724" s="88">
        <f>Ruimtestaat[[#This Row],[uren / jaar werkdagen]]*Tariefsopbouw!$E$35</f>
        <v>0</v>
      </c>
      <c r="Y724" s="85"/>
      <c r="Z724" s="89">
        <f>IF(Ruimtestaat[[#This Row],[Frequentie weekend]]&gt;0,VALUE(LEFT(Y724,1))*R724,0)</f>
        <v>0</v>
      </c>
      <c r="AA724" s="85">
        <f>IF($Z724&gt;0,VLOOKUP($J724,Ruimtegroepen[],3,FALSE)*VLOOKUP($L724,Vloersoorten[],3,FALSE)*VLOOKUP($Y724,Frequenties[],3,FALSE)*VLOOKUP(#REF!,Locaties[],3,FALSE),0)</f>
        <v>0</v>
      </c>
      <c r="AB724" s="87">
        <f>Ruimtestaat[[#This Row],[Uitvoeringen weekend]]*Ruimtestaat[[#This Row],[Oppervlak (netto)]]</f>
        <v>0</v>
      </c>
      <c r="AC724" s="90">
        <f>IF(AB724&gt;0,Ruimtestaat[[#This Row],[Prest. (m2 /jaar) weekend]]/Ruimtestaat[[#This Row],[Norm (m2/uur) weekend]],0)</f>
        <v>0</v>
      </c>
      <c r="AD724" s="91">
        <f>Ruimtestaat[[#This Row],[uren / jaar weekend]]*Tariefsopbouw!$D$40</f>
        <v>0</v>
      </c>
      <c r="AE724" s="60">
        <f>Ruimtestaat[[#This Row],[Prest. (m2 /jaar) weekend]]+Ruimtestaat[[#This Row],[Prest. (m2 /jaar) werkdagen]]</f>
        <v>62484</v>
      </c>
      <c r="AF724" s="60">
        <f>Ruimtestaat[[#This Row],[uren / jaar weekend]]+Ruimtestaat[[#This Row],[uren / jaar werkdagen]]</f>
        <v>0</v>
      </c>
      <c r="AG724" s="61">
        <f>Ruimtestaat[[#This Row],[kosten / jaar weekend]]+Ruimtestaat[[#This Row],[kosten / jaar werkdagen]]</f>
        <v>0</v>
      </c>
      <c r="AH724" s="92"/>
      <c r="HL724" s="59"/>
    </row>
    <row r="725" spans="1:220">
      <c r="A725" s="24">
        <v>5</v>
      </c>
      <c r="B725" s="24" t="str">
        <f>VLOOKUP(Ruimtestaat[[#This Row],[Code]],Locaties[#All],2,FALSE)</f>
        <v>Marke Zuid</v>
      </c>
      <c r="C725" s="24" t="str">
        <f>VLOOKUP(Ruimtestaat[[#This Row],[Code]],Locaties[#All],4,FALSE)</f>
        <v>Ludgerstraat 1</v>
      </c>
      <c r="D725" s="24" t="str">
        <f>VLOOKUP(Ruimtestaat[[#This Row],[Code]],Locaties[#All],5,FALSE)</f>
        <v>7415 DV</v>
      </c>
      <c r="E725" s="24" t="str">
        <f>VLOOKUP(Ruimtestaat[[#This Row],[Code]],Locaties[#All],6,FALSE)</f>
        <v>Deventer</v>
      </c>
      <c r="F725" s="54"/>
      <c r="G725" s="24" t="s">
        <v>367</v>
      </c>
      <c r="H725" s="24" t="s">
        <v>490</v>
      </c>
      <c r="I725" s="4" t="s">
        <v>487</v>
      </c>
      <c r="J725" s="24">
        <v>6</v>
      </c>
      <c r="K725" s="54" t="str">
        <f>VLOOKUP(J725,Ruimtegroepen[],2,FALSE)</f>
        <v>Gangen/hallen</v>
      </c>
      <c r="L725" s="24" t="s">
        <v>300</v>
      </c>
      <c r="M725" s="24" t="s">
        <v>997</v>
      </c>
      <c r="N725" s="83">
        <v>91.07</v>
      </c>
      <c r="O725" s="83"/>
      <c r="P725" s="93" t="str">
        <f>LEFT(VLOOKUP(Ruimtestaat[[#This Row],[Ruimte code]],Ruimtegroepen[#All],4,1),2)</f>
        <v>Ve</v>
      </c>
      <c r="Q725" s="93"/>
      <c r="R725" s="84">
        <v>40</v>
      </c>
      <c r="S725" s="84" t="s">
        <v>318</v>
      </c>
      <c r="T725" s="85">
        <f>IF(R725&gt;0,IF(RIGHT(Ruimtestaat[[#This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5" s="85">
        <f>IF(T725&gt;0,VLOOKUP($J725,Ruimtegroepen[],3,FALSE)*VLOOKUP($L725,Vloersoorten[],3,FALSE)*VLOOKUP($S725,Frequenties[],3,FALSE)*VLOOKUP($A725,Locaties[],3,FALSE),0)</f>
        <v>0</v>
      </c>
      <c r="V725" s="86">
        <f>Ruimtestaat[[#This Row],[Uitvoeringen werkdagen]]*Ruimtestaat[[#This Row],[Oppervlak (netto)]]</f>
        <v>18214</v>
      </c>
      <c r="W725" s="87">
        <f>IF(U725&gt;0,Ruimtestaat[[#This Row],[Prest. (m2 /jaar) werkdagen]]/Ruimtestaat[[#This Row],[Norm (m2/uur) werkdagen]],0)</f>
        <v>0</v>
      </c>
      <c r="X725" s="88">
        <f>Ruimtestaat[[#This Row],[uren / jaar werkdagen]]*Tariefsopbouw!$E$35</f>
        <v>0</v>
      </c>
      <c r="Y725" s="85"/>
      <c r="Z725" s="89">
        <f>IF(Ruimtestaat[[#This Row],[Frequentie weekend]]&gt;0,VALUE(LEFT(Y725,1))*R725,0)</f>
        <v>0</v>
      </c>
      <c r="AA725" s="85">
        <f>IF($Z725&gt;0,VLOOKUP($J725,Ruimtegroepen[],3,FALSE)*VLOOKUP($L725,Vloersoorten[],3,FALSE)*VLOOKUP($Y725,Frequenties[],3,FALSE)*VLOOKUP(#REF!,Locaties[],3,FALSE),0)</f>
        <v>0</v>
      </c>
      <c r="AB725" s="87">
        <f>Ruimtestaat[[#This Row],[Uitvoeringen weekend]]*Ruimtestaat[[#This Row],[Oppervlak (netto)]]</f>
        <v>0</v>
      </c>
      <c r="AC725" s="90">
        <f>IF(AB725&gt;0,Ruimtestaat[[#This Row],[Prest. (m2 /jaar) weekend]]/Ruimtestaat[[#This Row],[Norm (m2/uur) weekend]],0)</f>
        <v>0</v>
      </c>
      <c r="AD725" s="91">
        <f>Ruimtestaat[[#This Row],[uren / jaar weekend]]*Tariefsopbouw!$D$40</f>
        <v>0</v>
      </c>
      <c r="AE725" s="60">
        <f>Ruimtestaat[[#This Row],[Prest. (m2 /jaar) weekend]]+Ruimtestaat[[#This Row],[Prest. (m2 /jaar) werkdagen]]</f>
        <v>18214</v>
      </c>
      <c r="AF725" s="60">
        <f>Ruimtestaat[[#This Row],[uren / jaar weekend]]+Ruimtestaat[[#This Row],[uren / jaar werkdagen]]</f>
        <v>0</v>
      </c>
      <c r="AG725" s="61">
        <f>Ruimtestaat[[#This Row],[kosten / jaar weekend]]+Ruimtestaat[[#This Row],[kosten / jaar werkdagen]]</f>
        <v>0</v>
      </c>
      <c r="AH725" s="92"/>
      <c r="HL725" s="59"/>
    </row>
    <row r="726" spans="1:220">
      <c r="A726" s="24">
        <v>5</v>
      </c>
      <c r="B726" s="24" t="str">
        <f>VLOOKUP(Ruimtestaat[[#This Row],[Code]],Locaties[#All],2,FALSE)</f>
        <v>Marke Zuid</v>
      </c>
      <c r="C726" s="24" t="str">
        <f>VLOOKUP(Ruimtestaat[[#This Row],[Code]],Locaties[#All],4,FALSE)</f>
        <v>Ludgerstraat 1</v>
      </c>
      <c r="D726" s="24" t="str">
        <f>VLOOKUP(Ruimtestaat[[#This Row],[Code]],Locaties[#All],5,FALSE)</f>
        <v>7415 DV</v>
      </c>
      <c r="E726" s="24" t="str">
        <f>VLOOKUP(Ruimtestaat[[#This Row],[Code]],Locaties[#All],6,FALSE)</f>
        <v>Deventer</v>
      </c>
      <c r="F726" s="54"/>
      <c r="G726" s="24" t="s">
        <v>367</v>
      </c>
      <c r="H726" s="24" t="s">
        <v>706</v>
      </c>
      <c r="I726" s="4" t="s">
        <v>487</v>
      </c>
      <c r="J726" s="24">
        <v>6</v>
      </c>
      <c r="K726" s="54" t="str">
        <f>VLOOKUP(J726,Ruimtegroepen[],2,FALSE)</f>
        <v>Gangen/hallen</v>
      </c>
      <c r="L726" s="24" t="s">
        <v>305</v>
      </c>
      <c r="M726" s="24" t="s">
        <v>373</v>
      </c>
      <c r="N726" s="83">
        <v>140.22</v>
      </c>
      <c r="O726" s="83"/>
      <c r="P726" s="93" t="str">
        <f>LEFT(VLOOKUP(Ruimtestaat[[#This Row],[Ruimte code]],Ruimtegroepen[#All],4,1),2)</f>
        <v>Ve</v>
      </c>
      <c r="Q726" s="93"/>
      <c r="R726" s="84">
        <v>40</v>
      </c>
      <c r="S726" s="84" t="s">
        <v>318</v>
      </c>
      <c r="T726" s="85">
        <f>IF(R726&gt;0,IF(RIGHT(Ruimtestaat[[#This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6" s="85">
        <f>IF(T726&gt;0,VLOOKUP($J726,Ruimtegroepen[],3,FALSE)*VLOOKUP($L726,Vloersoorten[],3,FALSE)*VLOOKUP($S726,Frequenties[],3,FALSE)*VLOOKUP($A726,Locaties[],3,FALSE),0)</f>
        <v>0</v>
      </c>
      <c r="V726" s="86">
        <f>Ruimtestaat[[#This Row],[Uitvoeringen werkdagen]]*Ruimtestaat[[#This Row],[Oppervlak (netto)]]</f>
        <v>28044</v>
      </c>
      <c r="W726" s="87">
        <f>IF(U726&gt;0,Ruimtestaat[[#This Row],[Prest. (m2 /jaar) werkdagen]]/Ruimtestaat[[#This Row],[Norm (m2/uur) werkdagen]],0)</f>
        <v>0</v>
      </c>
      <c r="X726" s="88">
        <f>Ruimtestaat[[#This Row],[uren / jaar werkdagen]]*Tariefsopbouw!$E$35</f>
        <v>0</v>
      </c>
      <c r="Y726" s="85"/>
      <c r="Z726" s="89">
        <f>IF(Ruimtestaat[[#This Row],[Frequentie weekend]]&gt;0,VALUE(LEFT(Y726,1))*R726,0)</f>
        <v>0</v>
      </c>
      <c r="AA726" s="85">
        <f>IF($Z726&gt;0,VLOOKUP($J726,Ruimtegroepen[],3,FALSE)*VLOOKUP($L726,Vloersoorten[],3,FALSE)*VLOOKUP($Y726,Frequenties[],3,FALSE)*VLOOKUP(#REF!,Locaties[],3,FALSE),0)</f>
        <v>0</v>
      </c>
      <c r="AB726" s="87">
        <f>Ruimtestaat[[#This Row],[Uitvoeringen weekend]]*Ruimtestaat[[#This Row],[Oppervlak (netto)]]</f>
        <v>0</v>
      </c>
      <c r="AC726" s="90">
        <f>IF(AB726&gt;0,Ruimtestaat[[#This Row],[Prest. (m2 /jaar) weekend]]/Ruimtestaat[[#This Row],[Norm (m2/uur) weekend]],0)</f>
        <v>0</v>
      </c>
      <c r="AD726" s="91">
        <f>Ruimtestaat[[#This Row],[uren / jaar weekend]]*Tariefsopbouw!$D$40</f>
        <v>0</v>
      </c>
      <c r="AE726" s="60">
        <f>Ruimtestaat[[#This Row],[Prest. (m2 /jaar) weekend]]+Ruimtestaat[[#This Row],[Prest. (m2 /jaar) werkdagen]]</f>
        <v>28044</v>
      </c>
      <c r="AF726" s="60">
        <f>Ruimtestaat[[#This Row],[uren / jaar weekend]]+Ruimtestaat[[#This Row],[uren / jaar werkdagen]]</f>
        <v>0</v>
      </c>
      <c r="AG726" s="61">
        <f>Ruimtestaat[[#This Row],[kosten / jaar weekend]]+Ruimtestaat[[#This Row],[kosten / jaar werkdagen]]</f>
        <v>0</v>
      </c>
      <c r="AH726" s="92"/>
      <c r="HL726" s="59"/>
    </row>
    <row r="727" spans="1:220">
      <c r="A727" s="24">
        <v>5</v>
      </c>
      <c r="B727" s="24" t="str">
        <f>VLOOKUP(Ruimtestaat[[#This Row],[Code]],Locaties[#All],2,FALSE)</f>
        <v>Marke Zuid</v>
      </c>
      <c r="C727" s="24" t="str">
        <f>VLOOKUP(Ruimtestaat[[#This Row],[Code]],Locaties[#All],4,FALSE)</f>
        <v>Ludgerstraat 1</v>
      </c>
      <c r="D727" s="24" t="str">
        <f>VLOOKUP(Ruimtestaat[[#This Row],[Code]],Locaties[#All],5,FALSE)</f>
        <v>7415 DV</v>
      </c>
      <c r="E727" s="24" t="str">
        <f>VLOOKUP(Ruimtestaat[[#This Row],[Code]],Locaties[#All],6,FALSE)</f>
        <v>Deventer</v>
      </c>
      <c r="F727" s="54"/>
      <c r="G727" s="24" t="s">
        <v>367</v>
      </c>
      <c r="H727" s="24" t="s">
        <v>499</v>
      </c>
      <c r="I727" s="4" t="s">
        <v>487</v>
      </c>
      <c r="J727" s="24">
        <v>6</v>
      </c>
      <c r="K727" s="54" t="str">
        <f>VLOOKUP(J727,Ruimtegroepen[],2,FALSE)</f>
        <v>Gangen/hallen</v>
      </c>
      <c r="L727" s="24" t="s">
        <v>300</v>
      </c>
      <c r="M727" s="24" t="s">
        <v>997</v>
      </c>
      <c r="N727" s="83">
        <v>299.94</v>
      </c>
      <c r="O727" s="83"/>
      <c r="P727" s="93" t="str">
        <f>LEFT(VLOOKUP(Ruimtestaat[[#This Row],[Ruimte code]],Ruimtegroepen[#All],4,1),2)</f>
        <v>Ve</v>
      </c>
      <c r="Q727" s="93"/>
      <c r="R727" s="84">
        <v>40</v>
      </c>
      <c r="S727" s="84" t="s">
        <v>318</v>
      </c>
      <c r="T727" s="85">
        <f>IF(R727&gt;0,IF(RIGHT(Ruimtestaat[[#This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7" s="85">
        <f>IF(T727&gt;0,VLOOKUP($J727,Ruimtegroepen[],3,FALSE)*VLOOKUP($L727,Vloersoorten[],3,FALSE)*VLOOKUP($S727,Frequenties[],3,FALSE)*VLOOKUP($A727,Locaties[],3,FALSE),0)</f>
        <v>0</v>
      </c>
      <c r="V727" s="86">
        <f>Ruimtestaat[[#This Row],[Uitvoeringen werkdagen]]*Ruimtestaat[[#This Row],[Oppervlak (netto)]]</f>
        <v>59988</v>
      </c>
      <c r="W727" s="87">
        <f>IF(U727&gt;0,Ruimtestaat[[#This Row],[Prest. (m2 /jaar) werkdagen]]/Ruimtestaat[[#This Row],[Norm (m2/uur) werkdagen]],0)</f>
        <v>0</v>
      </c>
      <c r="X727" s="88">
        <f>Ruimtestaat[[#This Row],[uren / jaar werkdagen]]*Tariefsopbouw!$E$35</f>
        <v>0</v>
      </c>
      <c r="Y727" s="85"/>
      <c r="Z727" s="89">
        <f>IF(Ruimtestaat[[#This Row],[Frequentie weekend]]&gt;0,VALUE(LEFT(Y727,1))*R727,0)</f>
        <v>0</v>
      </c>
      <c r="AA727" s="85">
        <f>IF($Z727&gt;0,VLOOKUP($J727,Ruimtegroepen[],3,FALSE)*VLOOKUP($L727,Vloersoorten[],3,FALSE)*VLOOKUP($Y727,Frequenties[],3,FALSE)*VLOOKUP(#REF!,Locaties[],3,FALSE),0)</f>
        <v>0</v>
      </c>
      <c r="AB727" s="87">
        <f>Ruimtestaat[[#This Row],[Uitvoeringen weekend]]*Ruimtestaat[[#This Row],[Oppervlak (netto)]]</f>
        <v>0</v>
      </c>
      <c r="AC727" s="90">
        <f>IF(AB727&gt;0,Ruimtestaat[[#This Row],[Prest. (m2 /jaar) weekend]]/Ruimtestaat[[#This Row],[Norm (m2/uur) weekend]],0)</f>
        <v>0</v>
      </c>
      <c r="AD727" s="91">
        <f>Ruimtestaat[[#This Row],[uren / jaar weekend]]*Tariefsopbouw!$D$40</f>
        <v>0</v>
      </c>
      <c r="AE727" s="60">
        <f>Ruimtestaat[[#This Row],[Prest. (m2 /jaar) weekend]]+Ruimtestaat[[#This Row],[Prest. (m2 /jaar) werkdagen]]</f>
        <v>59988</v>
      </c>
      <c r="AF727" s="60">
        <f>Ruimtestaat[[#This Row],[uren / jaar weekend]]+Ruimtestaat[[#This Row],[uren / jaar werkdagen]]</f>
        <v>0</v>
      </c>
      <c r="AG727" s="61">
        <f>Ruimtestaat[[#This Row],[kosten / jaar weekend]]+Ruimtestaat[[#This Row],[kosten / jaar werkdagen]]</f>
        <v>0</v>
      </c>
      <c r="AH727" s="92"/>
      <c r="HL727" s="59"/>
    </row>
    <row r="728" spans="1:220">
      <c r="A728" s="24">
        <v>5</v>
      </c>
      <c r="B728" s="24" t="str">
        <f>VLOOKUP(Ruimtestaat[[#This Row],[Code]],Locaties[#All],2,FALSE)</f>
        <v>Marke Zuid</v>
      </c>
      <c r="C728" s="24" t="str">
        <f>VLOOKUP(Ruimtestaat[[#This Row],[Code]],Locaties[#All],4,FALSE)</f>
        <v>Ludgerstraat 1</v>
      </c>
      <c r="D728" s="24" t="str">
        <f>VLOOKUP(Ruimtestaat[[#This Row],[Code]],Locaties[#All],5,FALSE)</f>
        <v>7415 DV</v>
      </c>
      <c r="E728" s="24" t="str">
        <f>VLOOKUP(Ruimtestaat[[#This Row],[Code]],Locaties[#All],6,FALSE)</f>
        <v>Deventer</v>
      </c>
      <c r="F728" s="54"/>
      <c r="G728" s="24" t="s">
        <v>367</v>
      </c>
      <c r="H728" s="24" t="s">
        <v>1200</v>
      </c>
      <c r="I728" s="4" t="s">
        <v>375</v>
      </c>
      <c r="J728" s="24">
        <v>22</v>
      </c>
      <c r="K728" s="54" t="str">
        <f>VLOOKUP(J728,Ruimtegroepen[],2,FALSE)</f>
        <v>Niet in onderhoud</v>
      </c>
      <c r="M728" s="24"/>
      <c r="N728" s="83"/>
      <c r="O728" s="83">
        <v>1.77</v>
      </c>
      <c r="P728" s="93" t="str">
        <f>LEFT(VLOOKUP(Ruimtestaat[[#This Row],[Ruimte code]],Ruimtegroepen[#All],4,1),2)</f>
        <v/>
      </c>
      <c r="Q728" s="93"/>
      <c r="R728" s="84"/>
      <c r="S728" s="84"/>
      <c r="T728" s="85">
        <f>IF(R728&gt;0,IF(RIGHT(Ruimtestaat[[#This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28" s="85">
        <f>IF(T728&gt;0,VLOOKUP($J728,Ruimtegroepen[],3,FALSE)*VLOOKUP($L728,Vloersoorten[],3,FALSE)*VLOOKUP($S728,Frequenties[],3,FALSE)*VLOOKUP($A728,Locaties[],3,FALSE),0)</f>
        <v>0</v>
      </c>
      <c r="V728" s="86">
        <f>Ruimtestaat[[#This Row],[Uitvoeringen werkdagen]]*Ruimtestaat[[#This Row],[Oppervlak (netto)]]</f>
        <v>0</v>
      </c>
      <c r="W728" s="87">
        <f>IF(U728&gt;0,Ruimtestaat[[#This Row],[Prest. (m2 /jaar) werkdagen]]/Ruimtestaat[[#This Row],[Norm (m2/uur) werkdagen]],0)</f>
        <v>0</v>
      </c>
      <c r="X728" s="88">
        <f>Ruimtestaat[[#This Row],[uren / jaar werkdagen]]*Tariefsopbouw!$E$35</f>
        <v>0</v>
      </c>
      <c r="Y728" s="85"/>
      <c r="Z728" s="89">
        <f>IF(Ruimtestaat[[#This Row],[Frequentie weekend]]&gt;0,VALUE(LEFT(Y728,1))*R728,0)</f>
        <v>0</v>
      </c>
      <c r="AA728" s="85">
        <f>IF($Z728&gt;0,VLOOKUP($J728,Ruimtegroepen[],3,FALSE)*VLOOKUP($L728,Vloersoorten[],3,FALSE)*VLOOKUP($Y728,Frequenties[],3,FALSE)*VLOOKUP(#REF!,Locaties[],3,FALSE),0)</f>
        <v>0</v>
      </c>
      <c r="AB728" s="87">
        <f>Ruimtestaat[[#This Row],[Uitvoeringen weekend]]*Ruimtestaat[[#This Row],[Oppervlak (netto)]]</f>
        <v>0</v>
      </c>
      <c r="AC728" s="90">
        <f>IF(AB728&gt;0,Ruimtestaat[[#This Row],[Prest. (m2 /jaar) weekend]]/Ruimtestaat[[#This Row],[Norm (m2/uur) weekend]],0)</f>
        <v>0</v>
      </c>
      <c r="AD728" s="91">
        <f>Ruimtestaat[[#This Row],[uren / jaar weekend]]*Tariefsopbouw!$D$40</f>
        <v>0</v>
      </c>
      <c r="AE728" s="60">
        <f>Ruimtestaat[[#This Row],[Prest. (m2 /jaar) weekend]]+Ruimtestaat[[#This Row],[Prest. (m2 /jaar) werkdagen]]</f>
        <v>0</v>
      </c>
      <c r="AF728" s="60">
        <f>Ruimtestaat[[#This Row],[uren / jaar weekend]]+Ruimtestaat[[#This Row],[uren / jaar werkdagen]]</f>
        <v>0</v>
      </c>
      <c r="AG728" s="61">
        <f>Ruimtestaat[[#This Row],[kosten / jaar weekend]]+Ruimtestaat[[#This Row],[kosten / jaar werkdagen]]</f>
        <v>0</v>
      </c>
      <c r="AH728" s="92"/>
      <c r="HL728" s="59"/>
    </row>
    <row r="729" spans="1:220">
      <c r="A729" s="24">
        <v>5</v>
      </c>
      <c r="B729" s="24" t="str">
        <f>VLOOKUP(Ruimtestaat[[#This Row],[Code]],Locaties[#All],2,FALSE)</f>
        <v>Marke Zuid</v>
      </c>
      <c r="C729" s="24" t="str">
        <f>VLOOKUP(Ruimtestaat[[#This Row],[Code]],Locaties[#All],4,FALSE)</f>
        <v>Ludgerstraat 1</v>
      </c>
      <c r="D729" s="24" t="str">
        <f>VLOOKUP(Ruimtestaat[[#This Row],[Code]],Locaties[#All],5,FALSE)</f>
        <v>7415 DV</v>
      </c>
      <c r="E729" s="24" t="str">
        <f>VLOOKUP(Ruimtestaat[[#This Row],[Code]],Locaties[#All],6,FALSE)</f>
        <v>Deventer</v>
      </c>
      <c r="F729" s="54"/>
      <c r="G729" s="24" t="s">
        <v>367</v>
      </c>
      <c r="H729" s="24" t="s">
        <v>707</v>
      </c>
      <c r="I729" s="4" t="s">
        <v>103</v>
      </c>
      <c r="J729" s="24">
        <v>10</v>
      </c>
      <c r="K729" s="54" t="str">
        <f>VLOOKUP(J729,Ruimtegroepen[],2,FALSE)</f>
        <v>Trappenhuizen/lift</v>
      </c>
      <c r="L729" s="24" t="s">
        <v>300</v>
      </c>
      <c r="M729" s="24" t="s">
        <v>997</v>
      </c>
      <c r="N729" s="83">
        <v>4.2699999999999996</v>
      </c>
      <c r="O729" s="83"/>
      <c r="P729" s="93" t="str">
        <f>LEFT(VLOOKUP(Ruimtestaat[[#This Row],[Ruimte code]],Ruimtegroepen[#All],4,1),2)</f>
        <v>Ve</v>
      </c>
      <c r="Q729" s="93"/>
      <c r="R729" s="84">
        <v>40</v>
      </c>
      <c r="S729" s="84" t="s">
        <v>318</v>
      </c>
      <c r="T729" s="85">
        <f>IF(R729&gt;0,IF(RIGHT(Ruimtestaat[[#This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9" s="85">
        <f>IF(T729&gt;0,VLOOKUP($J729,Ruimtegroepen[],3,FALSE)*VLOOKUP($L729,Vloersoorten[],3,FALSE)*VLOOKUP($S729,Frequenties[],3,FALSE)*VLOOKUP($A729,Locaties[],3,FALSE),0)</f>
        <v>0</v>
      </c>
      <c r="V729" s="86">
        <f>Ruimtestaat[[#This Row],[Uitvoeringen werkdagen]]*Ruimtestaat[[#This Row],[Oppervlak (netto)]]</f>
        <v>853.99999999999989</v>
      </c>
      <c r="W729" s="87">
        <f>IF(U729&gt;0,Ruimtestaat[[#This Row],[Prest. (m2 /jaar) werkdagen]]/Ruimtestaat[[#This Row],[Norm (m2/uur) werkdagen]],0)</f>
        <v>0</v>
      </c>
      <c r="X729" s="88">
        <f>Ruimtestaat[[#This Row],[uren / jaar werkdagen]]*Tariefsopbouw!$E$35</f>
        <v>0</v>
      </c>
      <c r="Y729" s="85"/>
      <c r="Z729" s="89">
        <f>IF(Ruimtestaat[[#This Row],[Frequentie weekend]]&gt;0,VALUE(LEFT(Y729,1))*R729,0)</f>
        <v>0</v>
      </c>
      <c r="AA729" s="85">
        <f>IF($Z729&gt;0,VLOOKUP($J729,Ruimtegroepen[],3,FALSE)*VLOOKUP($L729,Vloersoorten[],3,FALSE)*VLOOKUP($Y729,Frequenties[],3,FALSE)*VLOOKUP(#REF!,Locaties[],3,FALSE),0)</f>
        <v>0</v>
      </c>
      <c r="AB729" s="87">
        <f>Ruimtestaat[[#This Row],[Uitvoeringen weekend]]*Ruimtestaat[[#This Row],[Oppervlak (netto)]]</f>
        <v>0</v>
      </c>
      <c r="AC729" s="90">
        <f>IF(AB729&gt;0,Ruimtestaat[[#This Row],[Prest. (m2 /jaar) weekend]]/Ruimtestaat[[#This Row],[Norm (m2/uur) weekend]],0)</f>
        <v>0</v>
      </c>
      <c r="AD729" s="91">
        <f>Ruimtestaat[[#This Row],[uren / jaar weekend]]*Tariefsopbouw!$D$40</f>
        <v>0</v>
      </c>
      <c r="AE729" s="60">
        <f>Ruimtestaat[[#This Row],[Prest. (m2 /jaar) weekend]]+Ruimtestaat[[#This Row],[Prest. (m2 /jaar) werkdagen]]</f>
        <v>853.99999999999989</v>
      </c>
      <c r="AF729" s="60">
        <f>Ruimtestaat[[#This Row],[uren / jaar weekend]]+Ruimtestaat[[#This Row],[uren / jaar werkdagen]]</f>
        <v>0</v>
      </c>
      <c r="AG729" s="61">
        <f>Ruimtestaat[[#This Row],[kosten / jaar weekend]]+Ruimtestaat[[#This Row],[kosten / jaar werkdagen]]</f>
        <v>0</v>
      </c>
      <c r="AH729" s="92"/>
      <c r="HL729" s="59"/>
    </row>
    <row r="730" spans="1:220">
      <c r="A730" s="24">
        <v>5</v>
      </c>
      <c r="B730" s="24" t="str">
        <f>VLOOKUP(Ruimtestaat[[#This Row],[Code]],Locaties[#All],2,FALSE)</f>
        <v>Marke Zuid</v>
      </c>
      <c r="C730" s="24" t="str">
        <f>VLOOKUP(Ruimtestaat[[#This Row],[Code]],Locaties[#All],4,FALSE)</f>
        <v>Ludgerstraat 1</v>
      </c>
      <c r="D730" s="24" t="str">
        <f>VLOOKUP(Ruimtestaat[[#This Row],[Code]],Locaties[#All],5,FALSE)</f>
        <v>7415 DV</v>
      </c>
      <c r="E730" s="24" t="str">
        <f>VLOOKUP(Ruimtestaat[[#This Row],[Code]],Locaties[#All],6,FALSE)</f>
        <v>Deventer</v>
      </c>
      <c r="F730" s="54"/>
      <c r="G730" s="24" t="s">
        <v>367</v>
      </c>
      <c r="H730" s="24" t="s">
        <v>1201</v>
      </c>
      <c r="I730" s="4" t="s">
        <v>1202</v>
      </c>
      <c r="J730" s="24">
        <v>22</v>
      </c>
      <c r="K730" s="54" t="str">
        <f>VLOOKUP(J730,Ruimtegroepen[],2,FALSE)</f>
        <v>Niet in onderhoud</v>
      </c>
      <c r="M730" s="24"/>
      <c r="N730" s="83"/>
      <c r="O730" s="83">
        <v>2.02</v>
      </c>
      <c r="P730" s="93" t="str">
        <f>LEFT(VLOOKUP(Ruimtestaat[[#This Row],[Ruimte code]],Ruimtegroepen[#All],4,1),2)</f>
        <v/>
      </c>
      <c r="Q730" s="93"/>
      <c r="R730" s="84"/>
      <c r="S730" s="84"/>
      <c r="T730" s="85">
        <f>IF(R730&gt;0,IF(RIGHT(Ruimtestaat[[#This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30" s="85">
        <f>IF(T730&gt;0,VLOOKUP($J730,Ruimtegroepen[],3,FALSE)*VLOOKUP($L730,Vloersoorten[],3,FALSE)*VLOOKUP($S730,Frequenties[],3,FALSE)*VLOOKUP($A730,Locaties[],3,FALSE),0)</f>
        <v>0</v>
      </c>
      <c r="V730" s="86">
        <f>Ruimtestaat[[#This Row],[Uitvoeringen werkdagen]]*Ruimtestaat[[#This Row],[Oppervlak (netto)]]</f>
        <v>0</v>
      </c>
      <c r="W730" s="87">
        <f>IF(U730&gt;0,Ruimtestaat[[#This Row],[Prest. (m2 /jaar) werkdagen]]/Ruimtestaat[[#This Row],[Norm (m2/uur) werkdagen]],0)</f>
        <v>0</v>
      </c>
      <c r="X730" s="88">
        <f>Ruimtestaat[[#This Row],[uren / jaar werkdagen]]*Tariefsopbouw!$E$35</f>
        <v>0</v>
      </c>
      <c r="Y730" s="85"/>
      <c r="Z730" s="89">
        <f>IF(Ruimtestaat[[#This Row],[Frequentie weekend]]&gt;0,VALUE(LEFT(Y730,1))*R730,0)</f>
        <v>0</v>
      </c>
      <c r="AA730" s="85">
        <f>IF($Z730&gt;0,VLOOKUP($J730,Ruimtegroepen[],3,FALSE)*VLOOKUP($L730,Vloersoorten[],3,FALSE)*VLOOKUP($Y730,Frequenties[],3,FALSE)*VLOOKUP(#REF!,Locaties[],3,FALSE),0)</f>
        <v>0</v>
      </c>
      <c r="AB730" s="87">
        <f>Ruimtestaat[[#This Row],[Uitvoeringen weekend]]*Ruimtestaat[[#This Row],[Oppervlak (netto)]]</f>
        <v>0</v>
      </c>
      <c r="AC730" s="90">
        <f>IF(AB730&gt;0,Ruimtestaat[[#This Row],[Prest. (m2 /jaar) weekend]]/Ruimtestaat[[#This Row],[Norm (m2/uur) weekend]],0)</f>
        <v>0</v>
      </c>
      <c r="AD730" s="91">
        <f>Ruimtestaat[[#This Row],[uren / jaar weekend]]*Tariefsopbouw!$D$40</f>
        <v>0</v>
      </c>
      <c r="AE730" s="60">
        <f>Ruimtestaat[[#This Row],[Prest. (m2 /jaar) weekend]]+Ruimtestaat[[#This Row],[Prest. (m2 /jaar) werkdagen]]</f>
        <v>0</v>
      </c>
      <c r="AF730" s="60">
        <f>Ruimtestaat[[#This Row],[uren / jaar weekend]]+Ruimtestaat[[#This Row],[uren / jaar werkdagen]]</f>
        <v>0</v>
      </c>
      <c r="AG730" s="61">
        <f>Ruimtestaat[[#This Row],[kosten / jaar weekend]]+Ruimtestaat[[#This Row],[kosten / jaar werkdagen]]</f>
        <v>0</v>
      </c>
      <c r="AH730" s="92"/>
      <c r="HL730" s="59"/>
    </row>
    <row r="731" spans="1:220">
      <c r="A731" s="24">
        <v>5</v>
      </c>
      <c r="B731" s="24" t="str">
        <f>VLOOKUP(Ruimtestaat[[#This Row],[Code]],Locaties[#All],2,FALSE)</f>
        <v>Marke Zuid</v>
      </c>
      <c r="C731" s="24" t="str">
        <f>VLOOKUP(Ruimtestaat[[#This Row],[Code]],Locaties[#All],4,FALSE)</f>
        <v>Ludgerstraat 1</v>
      </c>
      <c r="D731" s="24" t="str">
        <f>VLOOKUP(Ruimtestaat[[#This Row],[Code]],Locaties[#All],5,FALSE)</f>
        <v>7415 DV</v>
      </c>
      <c r="E731" s="24" t="str">
        <f>VLOOKUP(Ruimtestaat[[#This Row],[Code]],Locaties[#All],6,FALSE)</f>
        <v>Deventer</v>
      </c>
      <c r="F731" s="54"/>
      <c r="G731" s="24" t="s">
        <v>367</v>
      </c>
      <c r="H731" s="24" t="s">
        <v>956</v>
      </c>
      <c r="I731" s="4" t="s">
        <v>716</v>
      </c>
      <c r="J731" s="24">
        <v>10</v>
      </c>
      <c r="K731" s="54" t="str">
        <f>VLOOKUP(J731,Ruimtegroepen[],2,FALSE)</f>
        <v>Trappenhuizen/lift</v>
      </c>
      <c r="L731" s="24" t="s">
        <v>305</v>
      </c>
      <c r="M731" s="24" t="s">
        <v>376</v>
      </c>
      <c r="N731" s="83">
        <v>80.7</v>
      </c>
      <c r="O731" s="83"/>
      <c r="P731" s="93" t="str">
        <f>LEFT(VLOOKUP(Ruimtestaat[[#This Row],[Ruimte code]],Ruimtegroepen[#All],4,1),2)</f>
        <v>Ve</v>
      </c>
      <c r="Q731" s="93"/>
      <c r="R731" s="84">
        <v>40</v>
      </c>
      <c r="S731" s="84" t="s">
        <v>318</v>
      </c>
      <c r="T731" s="85">
        <f>IF(R731&gt;0,IF(RIGHT(Ruimtestaat[[#This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1" s="85">
        <f>IF(T731&gt;0,VLOOKUP($J731,Ruimtegroepen[],3,FALSE)*VLOOKUP($L731,Vloersoorten[],3,FALSE)*VLOOKUP($S731,Frequenties[],3,FALSE)*VLOOKUP($A731,Locaties[],3,FALSE),0)</f>
        <v>0</v>
      </c>
      <c r="V731" s="86">
        <f>Ruimtestaat[[#This Row],[Uitvoeringen werkdagen]]*Ruimtestaat[[#This Row],[Oppervlak (netto)]]</f>
        <v>16140</v>
      </c>
      <c r="W731" s="87">
        <f>IF(U731&gt;0,Ruimtestaat[[#This Row],[Prest. (m2 /jaar) werkdagen]]/Ruimtestaat[[#This Row],[Norm (m2/uur) werkdagen]],0)</f>
        <v>0</v>
      </c>
      <c r="X731" s="88">
        <f>Ruimtestaat[[#This Row],[uren / jaar werkdagen]]*Tariefsopbouw!$E$35</f>
        <v>0</v>
      </c>
      <c r="Y731" s="85"/>
      <c r="Z731" s="89">
        <f>IF(Ruimtestaat[[#This Row],[Frequentie weekend]]&gt;0,VALUE(LEFT(Y731,1))*R731,0)</f>
        <v>0</v>
      </c>
      <c r="AA731" s="85">
        <f>IF($Z731&gt;0,VLOOKUP($J731,Ruimtegroepen[],3,FALSE)*VLOOKUP($L731,Vloersoorten[],3,FALSE)*VLOOKUP($Y731,Frequenties[],3,FALSE)*VLOOKUP(#REF!,Locaties[],3,FALSE),0)</f>
        <v>0</v>
      </c>
      <c r="AB731" s="87">
        <f>Ruimtestaat[[#This Row],[Uitvoeringen weekend]]*Ruimtestaat[[#This Row],[Oppervlak (netto)]]</f>
        <v>0</v>
      </c>
      <c r="AC731" s="90">
        <f>IF(AB731&gt;0,Ruimtestaat[[#This Row],[Prest. (m2 /jaar) weekend]]/Ruimtestaat[[#This Row],[Norm (m2/uur) weekend]],0)</f>
        <v>0</v>
      </c>
      <c r="AD731" s="91">
        <f>Ruimtestaat[[#This Row],[uren / jaar weekend]]*Tariefsopbouw!$D$40</f>
        <v>0</v>
      </c>
      <c r="AE731" s="60">
        <f>Ruimtestaat[[#This Row],[Prest. (m2 /jaar) weekend]]+Ruimtestaat[[#This Row],[Prest. (m2 /jaar) werkdagen]]</f>
        <v>16140</v>
      </c>
      <c r="AF731" s="60">
        <f>Ruimtestaat[[#This Row],[uren / jaar weekend]]+Ruimtestaat[[#This Row],[uren / jaar werkdagen]]</f>
        <v>0</v>
      </c>
      <c r="AG731" s="61">
        <f>Ruimtestaat[[#This Row],[kosten / jaar weekend]]+Ruimtestaat[[#This Row],[kosten / jaar werkdagen]]</f>
        <v>0</v>
      </c>
      <c r="AH731" s="92"/>
      <c r="HL731" s="59"/>
    </row>
    <row r="732" spans="1:220">
      <c r="A732" s="24">
        <v>5</v>
      </c>
      <c r="B732" s="24" t="str">
        <f>VLOOKUP(Ruimtestaat[[#This Row],[Code]],Locaties[#All],2,FALSE)</f>
        <v>Marke Zuid</v>
      </c>
      <c r="C732" s="24" t="str">
        <f>VLOOKUP(Ruimtestaat[[#This Row],[Code]],Locaties[#All],4,FALSE)</f>
        <v>Ludgerstraat 1</v>
      </c>
      <c r="D732" s="24" t="str">
        <f>VLOOKUP(Ruimtestaat[[#This Row],[Code]],Locaties[#All],5,FALSE)</f>
        <v>7415 DV</v>
      </c>
      <c r="E732" s="24" t="str">
        <f>VLOOKUP(Ruimtestaat[[#This Row],[Code]],Locaties[#All],6,FALSE)</f>
        <v>Deventer</v>
      </c>
      <c r="F732" s="54"/>
      <c r="G732" s="24" t="s">
        <v>367</v>
      </c>
      <c r="H732" s="24" t="s">
        <v>1203</v>
      </c>
      <c r="I732" s="4" t="s">
        <v>372</v>
      </c>
      <c r="J732" s="24">
        <v>10</v>
      </c>
      <c r="K732" s="54" t="str">
        <f>VLOOKUP(J732,Ruimtegroepen[],2,FALSE)</f>
        <v>Trappenhuizen/lift</v>
      </c>
      <c r="L732" s="24" t="s">
        <v>305</v>
      </c>
      <c r="M732" s="24" t="s">
        <v>376</v>
      </c>
      <c r="N732" s="83">
        <v>8.06</v>
      </c>
      <c r="O732" s="83"/>
      <c r="P732" s="93" t="str">
        <f>LEFT(VLOOKUP(Ruimtestaat[[#This Row],[Ruimte code]],Ruimtegroepen[#All],4,1),2)</f>
        <v>Ve</v>
      </c>
      <c r="Q732" s="93"/>
      <c r="R732" s="84">
        <v>40</v>
      </c>
      <c r="S732" s="84" t="s">
        <v>318</v>
      </c>
      <c r="T732" s="85">
        <f>IF(R732&gt;0,IF(RIGHT(Ruimtestaat[[#This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2" s="85">
        <f>IF(T732&gt;0,VLOOKUP($J732,Ruimtegroepen[],3,FALSE)*VLOOKUP($L732,Vloersoorten[],3,FALSE)*VLOOKUP($S732,Frequenties[],3,FALSE)*VLOOKUP($A732,Locaties[],3,FALSE),0)</f>
        <v>0</v>
      </c>
      <c r="V732" s="86">
        <f>Ruimtestaat[[#This Row],[Uitvoeringen werkdagen]]*Ruimtestaat[[#This Row],[Oppervlak (netto)]]</f>
        <v>1612</v>
      </c>
      <c r="W732" s="87">
        <f>IF(U732&gt;0,Ruimtestaat[[#This Row],[Prest. (m2 /jaar) werkdagen]]/Ruimtestaat[[#This Row],[Norm (m2/uur) werkdagen]],0)</f>
        <v>0</v>
      </c>
      <c r="X732" s="88">
        <f>Ruimtestaat[[#This Row],[uren / jaar werkdagen]]*Tariefsopbouw!$E$35</f>
        <v>0</v>
      </c>
      <c r="Y732" s="85"/>
      <c r="Z732" s="89">
        <f>IF(Ruimtestaat[[#This Row],[Frequentie weekend]]&gt;0,VALUE(LEFT(Y732,1))*R732,0)</f>
        <v>0</v>
      </c>
      <c r="AA732" s="85">
        <f>IF($Z732&gt;0,VLOOKUP($J732,Ruimtegroepen[],3,FALSE)*VLOOKUP($L732,Vloersoorten[],3,FALSE)*VLOOKUP($Y732,Frequenties[],3,FALSE)*VLOOKUP(#REF!,Locaties[],3,FALSE),0)</f>
        <v>0</v>
      </c>
      <c r="AB732" s="87">
        <f>Ruimtestaat[[#This Row],[Uitvoeringen weekend]]*Ruimtestaat[[#This Row],[Oppervlak (netto)]]</f>
        <v>0</v>
      </c>
      <c r="AC732" s="90">
        <f>IF(AB732&gt;0,Ruimtestaat[[#This Row],[Prest. (m2 /jaar) weekend]]/Ruimtestaat[[#This Row],[Norm (m2/uur) weekend]],0)</f>
        <v>0</v>
      </c>
      <c r="AD732" s="91">
        <f>Ruimtestaat[[#This Row],[uren / jaar weekend]]*Tariefsopbouw!$D$40</f>
        <v>0</v>
      </c>
      <c r="AE732" s="60">
        <f>Ruimtestaat[[#This Row],[Prest. (m2 /jaar) weekend]]+Ruimtestaat[[#This Row],[Prest. (m2 /jaar) werkdagen]]</f>
        <v>1612</v>
      </c>
      <c r="AF732" s="60">
        <f>Ruimtestaat[[#This Row],[uren / jaar weekend]]+Ruimtestaat[[#This Row],[uren / jaar werkdagen]]</f>
        <v>0</v>
      </c>
      <c r="AG732" s="61">
        <f>Ruimtestaat[[#This Row],[kosten / jaar weekend]]+Ruimtestaat[[#This Row],[kosten / jaar werkdagen]]</f>
        <v>0</v>
      </c>
      <c r="AH732" s="92"/>
      <c r="HL732" s="59"/>
    </row>
    <row r="733" spans="1:220">
      <c r="A733" s="24">
        <v>5</v>
      </c>
      <c r="B733" s="24" t="str">
        <f>VLOOKUP(Ruimtestaat[[#This Row],[Code]],Locaties[#All],2,FALSE)</f>
        <v>Marke Zuid</v>
      </c>
      <c r="C733" s="24" t="str">
        <f>VLOOKUP(Ruimtestaat[[#This Row],[Code]],Locaties[#All],4,FALSE)</f>
        <v>Ludgerstraat 1</v>
      </c>
      <c r="D733" s="24" t="str">
        <f>VLOOKUP(Ruimtestaat[[#This Row],[Code]],Locaties[#All],5,FALSE)</f>
        <v>7415 DV</v>
      </c>
      <c r="E733" s="24" t="str">
        <f>VLOOKUP(Ruimtestaat[[#This Row],[Code]],Locaties[#All],6,FALSE)</f>
        <v>Deventer</v>
      </c>
      <c r="F733" s="54"/>
      <c r="G733" s="24" t="s">
        <v>367</v>
      </c>
      <c r="H733" s="24" t="s">
        <v>1204</v>
      </c>
      <c r="I733" s="4" t="s">
        <v>375</v>
      </c>
      <c r="J733" s="24">
        <v>22</v>
      </c>
      <c r="K733" s="54" t="str">
        <f>VLOOKUP(J733,Ruimtegroepen[],2,FALSE)</f>
        <v>Niet in onderhoud</v>
      </c>
      <c r="M733" s="24"/>
      <c r="N733" s="83"/>
      <c r="O733" s="83">
        <v>2.04</v>
      </c>
      <c r="P733" s="93" t="str">
        <f>LEFT(VLOOKUP(Ruimtestaat[[#This Row],[Ruimte code]],Ruimtegroepen[#All],4,1),2)</f>
        <v/>
      </c>
      <c r="Q733" s="93"/>
      <c r="R733" s="84"/>
      <c r="S733" s="84"/>
      <c r="T733" s="85">
        <f>IF(R733&gt;0,IF(RIGHT(Ruimtestaat[[#This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33" s="85">
        <f>IF(T733&gt;0,VLOOKUP($J733,Ruimtegroepen[],3,FALSE)*VLOOKUP($L733,Vloersoorten[],3,FALSE)*VLOOKUP($S733,Frequenties[],3,FALSE)*VLOOKUP($A733,Locaties[],3,FALSE),0)</f>
        <v>0</v>
      </c>
      <c r="V733" s="86">
        <f>Ruimtestaat[[#This Row],[Uitvoeringen werkdagen]]*Ruimtestaat[[#This Row],[Oppervlak (netto)]]</f>
        <v>0</v>
      </c>
      <c r="W733" s="87">
        <f>IF(U733&gt;0,Ruimtestaat[[#This Row],[Prest. (m2 /jaar) werkdagen]]/Ruimtestaat[[#This Row],[Norm (m2/uur) werkdagen]],0)</f>
        <v>0</v>
      </c>
      <c r="X733" s="88">
        <f>Ruimtestaat[[#This Row],[uren / jaar werkdagen]]*Tariefsopbouw!$E$35</f>
        <v>0</v>
      </c>
      <c r="Y733" s="85"/>
      <c r="Z733" s="89">
        <f>IF(Ruimtestaat[[#This Row],[Frequentie weekend]]&gt;0,VALUE(LEFT(Y733,1))*R733,0)</f>
        <v>0</v>
      </c>
      <c r="AA733" s="85">
        <f>IF($Z733&gt;0,VLOOKUP($J733,Ruimtegroepen[],3,FALSE)*VLOOKUP($L733,Vloersoorten[],3,FALSE)*VLOOKUP($Y733,Frequenties[],3,FALSE)*VLOOKUP(#REF!,Locaties[],3,FALSE),0)</f>
        <v>0</v>
      </c>
      <c r="AB733" s="87">
        <f>Ruimtestaat[[#This Row],[Uitvoeringen weekend]]*Ruimtestaat[[#This Row],[Oppervlak (netto)]]</f>
        <v>0</v>
      </c>
      <c r="AC733" s="90">
        <f>IF(AB733&gt;0,Ruimtestaat[[#This Row],[Prest. (m2 /jaar) weekend]]/Ruimtestaat[[#This Row],[Norm (m2/uur) weekend]],0)</f>
        <v>0</v>
      </c>
      <c r="AD733" s="91">
        <f>Ruimtestaat[[#This Row],[uren / jaar weekend]]*Tariefsopbouw!$D$40</f>
        <v>0</v>
      </c>
      <c r="AE733" s="60">
        <f>Ruimtestaat[[#This Row],[Prest. (m2 /jaar) weekend]]+Ruimtestaat[[#This Row],[Prest. (m2 /jaar) werkdagen]]</f>
        <v>0</v>
      </c>
      <c r="AF733" s="60">
        <f>Ruimtestaat[[#This Row],[uren / jaar weekend]]+Ruimtestaat[[#This Row],[uren / jaar werkdagen]]</f>
        <v>0</v>
      </c>
      <c r="AG733" s="61">
        <f>Ruimtestaat[[#This Row],[kosten / jaar weekend]]+Ruimtestaat[[#This Row],[kosten / jaar werkdagen]]</f>
        <v>0</v>
      </c>
      <c r="AH733" s="92"/>
      <c r="HL733" s="59"/>
    </row>
    <row r="734" spans="1:220">
      <c r="A734" s="24">
        <v>5</v>
      </c>
      <c r="B734" s="24" t="str">
        <f>VLOOKUP(Ruimtestaat[[#This Row],[Code]],Locaties[#All],2,FALSE)</f>
        <v>Marke Zuid</v>
      </c>
      <c r="C734" s="24" t="str">
        <f>VLOOKUP(Ruimtestaat[[#This Row],[Code]],Locaties[#All],4,FALSE)</f>
        <v>Ludgerstraat 1</v>
      </c>
      <c r="D734" s="24" t="str">
        <f>VLOOKUP(Ruimtestaat[[#This Row],[Code]],Locaties[#All],5,FALSE)</f>
        <v>7415 DV</v>
      </c>
      <c r="E734" s="24" t="str">
        <f>VLOOKUP(Ruimtestaat[[#This Row],[Code]],Locaties[#All],6,FALSE)</f>
        <v>Deventer</v>
      </c>
      <c r="F734" s="54"/>
      <c r="G734" s="24" t="s">
        <v>367</v>
      </c>
      <c r="H734" s="24" t="s">
        <v>958</v>
      </c>
      <c r="I734" s="4" t="s">
        <v>716</v>
      </c>
      <c r="J734" s="24">
        <v>10</v>
      </c>
      <c r="K734" s="54" t="str">
        <f>VLOOKUP(J734,Ruimtegroepen[],2,FALSE)</f>
        <v>Trappenhuizen/lift</v>
      </c>
      <c r="L734" s="24" t="s">
        <v>305</v>
      </c>
      <c r="M734" s="24" t="s">
        <v>376</v>
      </c>
      <c r="N734" s="83">
        <v>61.33</v>
      </c>
      <c r="O734" s="83"/>
      <c r="P734" s="93" t="str">
        <f>LEFT(VLOOKUP(Ruimtestaat[[#This Row],[Ruimte code]],Ruimtegroepen[#All],4,1),2)</f>
        <v>Ve</v>
      </c>
      <c r="Q734" s="93"/>
      <c r="R734" s="84">
        <v>40</v>
      </c>
      <c r="S734" s="84" t="s">
        <v>318</v>
      </c>
      <c r="T734" s="85">
        <f>IF(R734&gt;0,IF(RIGHT(Ruimtestaat[[#This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4" s="85">
        <f>IF(T734&gt;0,VLOOKUP($J734,Ruimtegroepen[],3,FALSE)*VLOOKUP($L734,Vloersoorten[],3,FALSE)*VLOOKUP($S734,Frequenties[],3,FALSE)*VLOOKUP($A734,Locaties[],3,FALSE),0)</f>
        <v>0</v>
      </c>
      <c r="V734" s="86">
        <f>Ruimtestaat[[#This Row],[Uitvoeringen werkdagen]]*Ruimtestaat[[#This Row],[Oppervlak (netto)]]</f>
        <v>12266</v>
      </c>
      <c r="W734" s="87">
        <f>IF(U734&gt;0,Ruimtestaat[[#This Row],[Prest. (m2 /jaar) werkdagen]]/Ruimtestaat[[#This Row],[Norm (m2/uur) werkdagen]],0)</f>
        <v>0</v>
      </c>
      <c r="X734" s="88">
        <f>Ruimtestaat[[#This Row],[uren / jaar werkdagen]]*Tariefsopbouw!$E$35</f>
        <v>0</v>
      </c>
      <c r="Y734" s="85"/>
      <c r="Z734" s="89">
        <f>IF(Ruimtestaat[[#This Row],[Frequentie weekend]]&gt;0,VALUE(LEFT(Y734,1))*R734,0)</f>
        <v>0</v>
      </c>
      <c r="AA734" s="85">
        <f>IF($Z734&gt;0,VLOOKUP($J734,Ruimtegroepen[],3,FALSE)*VLOOKUP($L734,Vloersoorten[],3,FALSE)*VLOOKUP($Y734,Frequenties[],3,FALSE)*VLOOKUP(#REF!,Locaties[],3,FALSE),0)</f>
        <v>0</v>
      </c>
      <c r="AB734" s="87">
        <f>Ruimtestaat[[#This Row],[Uitvoeringen weekend]]*Ruimtestaat[[#This Row],[Oppervlak (netto)]]</f>
        <v>0</v>
      </c>
      <c r="AC734" s="90">
        <f>IF(AB734&gt;0,Ruimtestaat[[#This Row],[Prest. (m2 /jaar) weekend]]/Ruimtestaat[[#This Row],[Norm (m2/uur) weekend]],0)</f>
        <v>0</v>
      </c>
      <c r="AD734" s="91">
        <f>Ruimtestaat[[#This Row],[uren / jaar weekend]]*Tariefsopbouw!$D$40</f>
        <v>0</v>
      </c>
      <c r="AE734" s="60">
        <f>Ruimtestaat[[#This Row],[Prest. (m2 /jaar) weekend]]+Ruimtestaat[[#This Row],[Prest. (m2 /jaar) werkdagen]]</f>
        <v>12266</v>
      </c>
      <c r="AF734" s="60">
        <f>Ruimtestaat[[#This Row],[uren / jaar weekend]]+Ruimtestaat[[#This Row],[uren / jaar werkdagen]]</f>
        <v>0</v>
      </c>
      <c r="AG734" s="61">
        <f>Ruimtestaat[[#This Row],[kosten / jaar weekend]]+Ruimtestaat[[#This Row],[kosten / jaar werkdagen]]</f>
        <v>0</v>
      </c>
      <c r="AH734" s="92"/>
      <c r="HL734" s="59"/>
    </row>
    <row r="735" spans="1:220">
      <c r="A735" s="24">
        <v>5</v>
      </c>
      <c r="B735" s="24" t="str">
        <f>VLOOKUP(Ruimtestaat[[#This Row],[Code]],Locaties[#All],2,FALSE)</f>
        <v>Marke Zuid</v>
      </c>
      <c r="C735" s="24" t="str">
        <f>VLOOKUP(Ruimtestaat[[#This Row],[Code]],Locaties[#All],4,FALSE)</f>
        <v>Ludgerstraat 1</v>
      </c>
      <c r="D735" s="24" t="str">
        <f>VLOOKUP(Ruimtestaat[[#This Row],[Code]],Locaties[#All],5,FALSE)</f>
        <v>7415 DV</v>
      </c>
      <c r="E735" s="24" t="str">
        <f>VLOOKUP(Ruimtestaat[[#This Row],[Code]],Locaties[#All],6,FALSE)</f>
        <v>Deventer</v>
      </c>
      <c r="F735" s="54"/>
      <c r="G735" s="24" t="s">
        <v>367</v>
      </c>
      <c r="H735" s="24" t="s">
        <v>1205</v>
      </c>
      <c r="I735" s="4" t="s">
        <v>372</v>
      </c>
      <c r="J735" s="24">
        <v>10</v>
      </c>
      <c r="K735" s="54" t="str">
        <f>VLOOKUP(J735,Ruimtegroepen[],2,FALSE)</f>
        <v>Trappenhuizen/lift</v>
      </c>
      <c r="L735" s="24" t="s">
        <v>305</v>
      </c>
      <c r="M735" s="24" t="s">
        <v>376</v>
      </c>
      <c r="N735" s="83">
        <v>4.29</v>
      </c>
      <c r="O735" s="83"/>
      <c r="P735" s="93" t="str">
        <f>LEFT(VLOOKUP(Ruimtestaat[[#This Row],[Ruimte code]],Ruimtegroepen[#All],4,1),2)</f>
        <v>Ve</v>
      </c>
      <c r="Q735" s="93"/>
      <c r="R735" s="84">
        <v>40</v>
      </c>
      <c r="S735" s="84" t="s">
        <v>318</v>
      </c>
      <c r="T735" s="85">
        <f>IF(R735&gt;0,IF(RIGHT(Ruimtestaat[[#This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5" s="85">
        <f>IF(T735&gt;0,VLOOKUP($J735,Ruimtegroepen[],3,FALSE)*VLOOKUP($L735,Vloersoorten[],3,FALSE)*VLOOKUP($S735,Frequenties[],3,FALSE)*VLOOKUP($A735,Locaties[],3,FALSE),0)</f>
        <v>0</v>
      </c>
      <c r="V735" s="86">
        <f>Ruimtestaat[[#This Row],[Uitvoeringen werkdagen]]*Ruimtestaat[[#This Row],[Oppervlak (netto)]]</f>
        <v>858</v>
      </c>
      <c r="W735" s="87">
        <f>IF(U735&gt;0,Ruimtestaat[[#This Row],[Prest. (m2 /jaar) werkdagen]]/Ruimtestaat[[#This Row],[Norm (m2/uur) werkdagen]],0)</f>
        <v>0</v>
      </c>
      <c r="X735" s="88">
        <f>Ruimtestaat[[#This Row],[uren / jaar werkdagen]]*Tariefsopbouw!$E$35</f>
        <v>0</v>
      </c>
      <c r="Y735" s="85"/>
      <c r="Z735" s="89">
        <f>IF(Ruimtestaat[[#This Row],[Frequentie weekend]]&gt;0,VALUE(LEFT(Y735,1))*R735,0)</f>
        <v>0</v>
      </c>
      <c r="AA735" s="85">
        <f>IF($Z735&gt;0,VLOOKUP($J735,Ruimtegroepen[],3,FALSE)*VLOOKUP($L735,Vloersoorten[],3,FALSE)*VLOOKUP($Y735,Frequenties[],3,FALSE)*VLOOKUP(#REF!,Locaties[],3,FALSE),0)</f>
        <v>0</v>
      </c>
      <c r="AB735" s="87">
        <f>Ruimtestaat[[#This Row],[Uitvoeringen weekend]]*Ruimtestaat[[#This Row],[Oppervlak (netto)]]</f>
        <v>0</v>
      </c>
      <c r="AC735" s="90">
        <f>IF(AB735&gt;0,Ruimtestaat[[#This Row],[Prest. (m2 /jaar) weekend]]/Ruimtestaat[[#This Row],[Norm (m2/uur) weekend]],0)</f>
        <v>0</v>
      </c>
      <c r="AD735" s="91">
        <f>Ruimtestaat[[#This Row],[uren / jaar weekend]]*Tariefsopbouw!$D$40</f>
        <v>0</v>
      </c>
      <c r="AE735" s="60">
        <f>Ruimtestaat[[#This Row],[Prest. (m2 /jaar) weekend]]+Ruimtestaat[[#This Row],[Prest. (m2 /jaar) werkdagen]]</f>
        <v>858</v>
      </c>
      <c r="AF735" s="60">
        <f>Ruimtestaat[[#This Row],[uren / jaar weekend]]+Ruimtestaat[[#This Row],[uren / jaar werkdagen]]</f>
        <v>0</v>
      </c>
      <c r="AG735" s="61">
        <f>Ruimtestaat[[#This Row],[kosten / jaar weekend]]+Ruimtestaat[[#This Row],[kosten / jaar werkdagen]]</f>
        <v>0</v>
      </c>
      <c r="AH735" s="92"/>
      <c r="HL735" s="59"/>
    </row>
    <row r="736" spans="1:220">
      <c r="A736" s="24">
        <v>5</v>
      </c>
      <c r="B736" s="24" t="str">
        <f>VLOOKUP(Ruimtestaat[[#This Row],[Code]],Locaties[#All],2,FALSE)</f>
        <v>Marke Zuid</v>
      </c>
      <c r="C736" s="24" t="str">
        <f>VLOOKUP(Ruimtestaat[[#This Row],[Code]],Locaties[#All],4,FALSE)</f>
        <v>Ludgerstraat 1</v>
      </c>
      <c r="D736" s="24" t="str">
        <f>VLOOKUP(Ruimtestaat[[#This Row],[Code]],Locaties[#All],5,FALSE)</f>
        <v>7415 DV</v>
      </c>
      <c r="E736" s="24" t="str">
        <f>VLOOKUP(Ruimtestaat[[#This Row],[Code]],Locaties[#All],6,FALSE)</f>
        <v>Deventer</v>
      </c>
      <c r="F736" s="54"/>
      <c r="G736" s="24" t="s">
        <v>367</v>
      </c>
      <c r="H736" s="24" t="s">
        <v>807</v>
      </c>
      <c r="I736" s="4" t="s">
        <v>372</v>
      </c>
      <c r="J736" s="24">
        <v>10</v>
      </c>
      <c r="K736" s="54" t="str">
        <f>VLOOKUP(J736,Ruimtegroepen[],2,FALSE)</f>
        <v>Trappenhuizen/lift</v>
      </c>
      <c r="L736" s="24" t="s">
        <v>305</v>
      </c>
      <c r="M736" s="24" t="s">
        <v>376</v>
      </c>
      <c r="N736" s="83">
        <v>3.5</v>
      </c>
      <c r="O736" s="83"/>
      <c r="P736" s="93" t="str">
        <f>LEFT(VLOOKUP(Ruimtestaat[[#This Row],[Ruimte code]],Ruimtegroepen[#All],4,1),2)</f>
        <v>Ve</v>
      </c>
      <c r="Q736" s="93"/>
      <c r="R736" s="84">
        <v>40</v>
      </c>
      <c r="S736" s="84" t="s">
        <v>318</v>
      </c>
      <c r="T736" s="85">
        <f>IF(R736&gt;0,IF(RIGHT(Ruimtestaat[[#This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6" s="85">
        <f>IF(T736&gt;0,VLOOKUP($J736,Ruimtegroepen[],3,FALSE)*VLOOKUP($L736,Vloersoorten[],3,FALSE)*VLOOKUP($S736,Frequenties[],3,FALSE)*VLOOKUP($A736,Locaties[],3,FALSE),0)</f>
        <v>0</v>
      </c>
      <c r="V736" s="86">
        <f>Ruimtestaat[[#This Row],[Uitvoeringen werkdagen]]*Ruimtestaat[[#This Row],[Oppervlak (netto)]]</f>
        <v>700</v>
      </c>
      <c r="W736" s="87">
        <f>IF(U736&gt;0,Ruimtestaat[[#This Row],[Prest. (m2 /jaar) werkdagen]]/Ruimtestaat[[#This Row],[Norm (m2/uur) werkdagen]],0)</f>
        <v>0</v>
      </c>
      <c r="X736" s="88">
        <f>Ruimtestaat[[#This Row],[uren / jaar werkdagen]]*Tariefsopbouw!$E$35</f>
        <v>0</v>
      </c>
      <c r="Y736" s="85"/>
      <c r="Z736" s="89">
        <f>IF(Ruimtestaat[[#This Row],[Frequentie weekend]]&gt;0,VALUE(LEFT(Y736,1))*R736,0)</f>
        <v>0</v>
      </c>
      <c r="AA736" s="85">
        <f>IF($Z736&gt;0,VLOOKUP($J736,Ruimtegroepen[],3,FALSE)*VLOOKUP($L736,Vloersoorten[],3,FALSE)*VLOOKUP($Y736,Frequenties[],3,FALSE)*VLOOKUP(#REF!,Locaties[],3,FALSE),0)</f>
        <v>0</v>
      </c>
      <c r="AB736" s="87">
        <f>Ruimtestaat[[#This Row],[Uitvoeringen weekend]]*Ruimtestaat[[#This Row],[Oppervlak (netto)]]</f>
        <v>0</v>
      </c>
      <c r="AC736" s="90">
        <f>IF(AB736&gt;0,Ruimtestaat[[#This Row],[Prest. (m2 /jaar) weekend]]/Ruimtestaat[[#This Row],[Norm (m2/uur) weekend]],0)</f>
        <v>0</v>
      </c>
      <c r="AD736" s="91">
        <f>Ruimtestaat[[#This Row],[uren / jaar weekend]]*Tariefsopbouw!$D$40</f>
        <v>0</v>
      </c>
      <c r="AE736" s="60">
        <f>Ruimtestaat[[#This Row],[Prest. (m2 /jaar) weekend]]+Ruimtestaat[[#This Row],[Prest. (m2 /jaar) werkdagen]]</f>
        <v>700</v>
      </c>
      <c r="AF736" s="60">
        <f>Ruimtestaat[[#This Row],[uren / jaar weekend]]+Ruimtestaat[[#This Row],[uren / jaar werkdagen]]</f>
        <v>0</v>
      </c>
      <c r="AG736" s="61">
        <f>Ruimtestaat[[#This Row],[kosten / jaar weekend]]+Ruimtestaat[[#This Row],[kosten / jaar werkdagen]]</f>
        <v>0</v>
      </c>
      <c r="AH736" s="92"/>
      <c r="HL736" s="59"/>
    </row>
    <row r="737" spans="1:220">
      <c r="A737" s="24">
        <v>5</v>
      </c>
      <c r="B737" s="24" t="str">
        <f>VLOOKUP(Ruimtestaat[[#This Row],[Code]],Locaties[#All],2,FALSE)</f>
        <v>Marke Zuid</v>
      </c>
      <c r="C737" s="24" t="str">
        <f>VLOOKUP(Ruimtestaat[[#This Row],[Code]],Locaties[#All],4,FALSE)</f>
        <v>Ludgerstraat 1</v>
      </c>
      <c r="D737" s="24" t="str">
        <f>VLOOKUP(Ruimtestaat[[#This Row],[Code]],Locaties[#All],5,FALSE)</f>
        <v>7415 DV</v>
      </c>
      <c r="E737" s="24" t="str">
        <f>VLOOKUP(Ruimtestaat[[#This Row],[Code]],Locaties[#All],6,FALSE)</f>
        <v>Deventer</v>
      </c>
      <c r="F737" s="54"/>
      <c r="G737" s="24" t="s">
        <v>367</v>
      </c>
      <c r="H737" s="24" t="s">
        <v>961</v>
      </c>
      <c r="I737" s="4" t="s">
        <v>372</v>
      </c>
      <c r="J737" s="24">
        <v>10</v>
      </c>
      <c r="K737" s="54" t="str">
        <f>VLOOKUP(J737,Ruimtegroepen[],2,FALSE)</f>
        <v>Trappenhuizen/lift</v>
      </c>
      <c r="L737" s="24" t="s">
        <v>305</v>
      </c>
      <c r="M737" s="24" t="s">
        <v>376</v>
      </c>
      <c r="N737" s="83">
        <v>3.5</v>
      </c>
      <c r="O737" s="83"/>
      <c r="P737" s="93" t="str">
        <f>LEFT(VLOOKUP(Ruimtestaat[[#This Row],[Ruimte code]],Ruimtegroepen[#All],4,1),2)</f>
        <v>Ve</v>
      </c>
      <c r="Q737" s="93"/>
      <c r="R737" s="84">
        <v>40</v>
      </c>
      <c r="S737" s="84" t="s">
        <v>318</v>
      </c>
      <c r="T737" s="85">
        <f>IF(R737&gt;0,IF(RIGHT(Ruimtestaat[[#This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7" s="85">
        <f>IF(T737&gt;0,VLOOKUP($J737,Ruimtegroepen[],3,FALSE)*VLOOKUP($L737,Vloersoorten[],3,FALSE)*VLOOKUP($S737,Frequenties[],3,FALSE)*VLOOKUP($A737,Locaties[],3,FALSE),0)</f>
        <v>0</v>
      </c>
      <c r="V737" s="86">
        <f>Ruimtestaat[[#This Row],[Uitvoeringen werkdagen]]*Ruimtestaat[[#This Row],[Oppervlak (netto)]]</f>
        <v>700</v>
      </c>
      <c r="W737" s="87">
        <f>IF(U737&gt;0,Ruimtestaat[[#This Row],[Prest. (m2 /jaar) werkdagen]]/Ruimtestaat[[#This Row],[Norm (m2/uur) werkdagen]],0)</f>
        <v>0</v>
      </c>
      <c r="X737" s="88">
        <f>Ruimtestaat[[#This Row],[uren / jaar werkdagen]]*Tariefsopbouw!$E$35</f>
        <v>0</v>
      </c>
      <c r="Y737" s="85"/>
      <c r="Z737" s="89">
        <f>IF(Ruimtestaat[[#This Row],[Frequentie weekend]]&gt;0,VALUE(LEFT(Y737,1))*R737,0)</f>
        <v>0</v>
      </c>
      <c r="AA737" s="85">
        <f>IF($Z737&gt;0,VLOOKUP($J737,Ruimtegroepen[],3,FALSE)*VLOOKUP($L737,Vloersoorten[],3,FALSE)*VLOOKUP($Y737,Frequenties[],3,FALSE)*VLOOKUP(#REF!,Locaties[],3,FALSE),0)</f>
        <v>0</v>
      </c>
      <c r="AB737" s="87">
        <f>Ruimtestaat[[#This Row],[Uitvoeringen weekend]]*Ruimtestaat[[#This Row],[Oppervlak (netto)]]</f>
        <v>0</v>
      </c>
      <c r="AC737" s="90">
        <f>IF(AB737&gt;0,Ruimtestaat[[#This Row],[Prest. (m2 /jaar) weekend]]/Ruimtestaat[[#This Row],[Norm (m2/uur) weekend]],0)</f>
        <v>0</v>
      </c>
      <c r="AD737" s="91">
        <f>Ruimtestaat[[#This Row],[uren / jaar weekend]]*Tariefsopbouw!$D$40</f>
        <v>0</v>
      </c>
      <c r="AE737" s="60">
        <f>Ruimtestaat[[#This Row],[Prest. (m2 /jaar) weekend]]+Ruimtestaat[[#This Row],[Prest. (m2 /jaar) werkdagen]]</f>
        <v>700</v>
      </c>
      <c r="AF737" s="60">
        <f>Ruimtestaat[[#This Row],[uren / jaar weekend]]+Ruimtestaat[[#This Row],[uren / jaar werkdagen]]</f>
        <v>0</v>
      </c>
      <c r="AG737" s="61">
        <f>Ruimtestaat[[#This Row],[kosten / jaar weekend]]+Ruimtestaat[[#This Row],[kosten / jaar werkdagen]]</f>
        <v>0</v>
      </c>
      <c r="AH737" s="92"/>
      <c r="HL737" s="59"/>
    </row>
    <row r="738" spans="1:220">
      <c r="A738" s="24">
        <v>5</v>
      </c>
      <c r="B738" s="24" t="str">
        <f>VLOOKUP(Ruimtestaat[[#This Row],[Code]],Locaties[#All],2,FALSE)</f>
        <v>Marke Zuid</v>
      </c>
      <c r="C738" s="24" t="str">
        <f>VLOOKUP(Ruimtestaat[[#This Row],[Code]],Locaties[#All],4,FALSE)</f>
        <v>Ludgerstraat 1</v>
      </c>
      <c r="D738" s="24" t="str">
        <f>VLOOKUP(Ruimtestaat[[#This Row],[Code]],Locaties[#All],5,FALSE)</f>
        <v>7415 DV</v>
      </c>
      <c r="E738" s="24" t="str">
        <f>VLOOKUP(Ruimtestaat[[#This Row],[Code]],Locaties[#All],6,FALSE)</f>
        <v>Deventer</v>
      </c>
      <c r="F738" s="54"/>
      <c r="G738" s="24" t="s">
        <v>512</v>
      </c>
      <c r="H738" s="24" t="s">
        <v>513</v>
      </c>
      <c r="I738" s="4" t="s">
        <v>1206</v>
      </c>
      <c r="J738" s="24">
        <v>12</v>
      </c>
      <c r="K738" s="54" t="str">
        <f>VLOOKUP(J738,Ruimtegroepen[],2,FALSE)</f>
        <v>Kantine</v>
      </c>
      <c r="L738" s="24" t="s">
        <v>300</v>
      </c>
      <c r="M738" s="24" t="s">
        <v>997</v>
      </c>
      <c r="N738" s="83">
        <v>445.11</v>
      </c>
      <c r="O738" s="83"/>
      <c r="P738" s="93" t="str">
        <f>LEFT(VLOOKUP(Ruimtestaat[[#This Row],[Ruimte code]],Ruimtegroepen[#All],4,1),2)</f>
        <v>Ve</v>
      </c>
      <c r="Q738" s="93"/>
      <c r="R738" s="84">
        <v>40</v>
      </c>
      <c r="S738" s="84" t="s">
        <v>318</v>
      </c>
      <c r="T738" s="85">
        <f>IF(R738&gt;0,IF(RIGHT(Ruimtestaat[[#This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8" s="85">
        <f>IF(T738&gt;0,VLOOKUP($J738,Ruimtegroepen[],3,FALSE)*VLOOKUP($L738,Vloersoorten[],3,FALSE)*VLOOKUP($S738,Frequenties[],3,FALSE)*VLOOKUP($A738,Locaties[],3,FALSE),0)</f>
        <v>0</v>
      </c>
      <c r="V738" s="86">
        <f>Ruimtestaat[[#This Row],[Uitvoeringen werkdagen]]*Ruimtestaat[[#This Row],[Oppervlak (netto)]]</f>
        <v>89022</v>
      </c>
      <c r="W738" s="87">
        <f>IF(U738&gt;0,Ruimtestaat[[#This Row],[Prest. (m2 /jaar) werkdagen]]/Ruimtestaat[[#This Row],[Norm (m2/uur) werkdagen]],0)</f>
        <v>0</v>
      </c>
      <c r="X738" s="88">
        <f>Ruimtestaat[[#This Row],[uren / jaar werkdagen]]*Tariefsopbouw!$E$35</f>
        <v>0</v>
      </c>
      <c r="Y738" s="85"/>
      <c r="Z738" s="89">
        <f>IF(Ruimtestaat[[#This Row],[Frequentie weekend]]&gt;0,VALUE(LEFT(Y738,1))*R738,0)</f>
        <v>0</v>
      </c>
      <c r="AA738" s="85">
        <f>IF($Z738&gt;0,VLOOKUP($J738,Ruimtegroepen[],3,FALSE)*VLOOKUP($L738,Vloersoorten[],3,FALSE)*VLOOKUP($Y738,Frequenties[],3,FALSE)*VLOOKUP(#REF!,Locaties[],3,FALSE),0)</f>
        <v>0</v>
      </c>
      <c r="AB738" s="87">
        <f>Ruimtestaat[[#This Row],[Uitvoeringen weekend]]*Ruimtestaat[[#This Row],[Oppervlak (netto)]]</f>
        <v>0</v>
      </c>
      <c r="AC738" s="90">
        <f>IF(AB738&gt;0,Ruimtestaat[[#This Row],[Prest. (m2 /jaar) weekend]]/Ruimtestaat[[#This Row],[Norm (m2/uur) weekend]],0)</f>
        <v>0</v>
      </c>
      <c r="AD738" s="91">
        <f>Ruimtestaat[[#This Row],[uren / jaar weekend]]*Tariefsopbouw!$D$40</f>
        <v>0</v>
      </c>
      <c r="AE738" s="60">
        <f>Ruimtestaat[[#This Row],[Prest. (m2 /jaar) weekend]]+Ruimtestaat[[#This Row],[Prest. (m2 /jaar) werkdagen]]</f>
        <v>89022</v>
      </c>
      <c r="AF738" s="60">
        <f>Ruimtestaat[[#This Row],[uren / jaar weekend]]+Ruimtestaat[[#This Row],[uren / jaar werkdagen]]</f>
        <v>0</v>
      </c>
      <c r="AG738" s="61">
        <f>Ruimtestaat[[#This Row],[kosten / jaar weekend]]+Ruimtestaat[[#This Row],[kosten / jaar werkdagen]]</f>
        <v>0</v>
      </c>
      <c r="AH738" s="92"/>
      <c r="HL738" s="59"/>
    </row>
    <row r="739" spans="1:220">
      <c r="A739" s="24">
        <v>5</v>
      </c>
      <c r="B739" s="24" t="str">
        <f>VLOOKUP(Ruimtestaat[[#This Row],[Code]],Locaties[#All],2,FALSE)</f>
        <v>Marke Zuid</v>
      </c>
      <c r="C739" s="24" t="str">
        <f>VLOOKUP(Ruimtestaat[[#This Row],[Code]],Locaties[#All],4,FALSE)</f>
        <v>Ludgerstraat 1</v>
      </c>
      <c r="D739" s="24" t="str">
        <f>VLOOKUP(Ruimtestaat[[#This Row],[Code]],Locaties[#All],5,FALSE)</f>
        <v>7415 DV</v>
      </c>
      <c r="E739" s="24" t="str">
        <f>VLOOKUP(Ruimtestaat[[#This Row],[Code]],Locaties[#All],6,FALSE)</f>
        <v>Deventer</v>
      </c>
      <c r="F739" s="54"/>
      <c r="G739" s="24" t="s">
        <v>512</v>
      </c>
      <c r="H739" s="24" t="s">
        <v>1207</v>
      </c>
      <c r="I739" s="4" t="s">
        <v>1208</v>
      </c>
      <c r="J739" s="24">
        <v>11</v>
      </c>
      <c r="K739" s="54" t="str">
        <f>VLOOKUP(J739,Ruimtegroepen[],2,FALSE)</f>
        <v>Kooklokaal/leskeuken</v>
      </c>
      <c r="L739" s="24" t="s">
        <v>305</v>
      </c>
      <c r="M739" s="24" t="s">
        <v>373</v>
      </c>
      <c r="N739" s="83">
        <v>20.92</v>
      </c>
      <c r="O739" s="83"/>
      <c r="P739" s="93" t="str">
        <f>LEFT(VLOOKUP(Ruimtestaat[[#This Row],[Ruimte code]],Ruimtegroepen[#All],4,1),2)</f>
        <v>Le</v>
      </c>
      <c r="Q739" s="93"/>
      <c r="R739" s="84">
        <v>40</v>
      </c>
      <c r="S739" s="84" t="s">
        <v>318</v>
      </c>
      <c r="T739" s="85">
        <f>IF(R739&gt;0,IF(RIGHT(Ruimtestaat[[#This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9" s="85">
        <f>IF(T739&gt;0,VLOOKUP($J739,Ruimtegroepen[],3,FALSE)*VLOOKUP($L739,Vloersoorten[],3,FALSE)*VLOOKUP($S739,Frequenties[],3,FALSE)*VLOOKUP($A739,Locaties[],3,FALSE),0)</f>
        <v>0</v>
      </c>
      <c r="V739" s="86">
        <f>Ruimtestaat[[#This Row],[Uitvoeringen werkdagen]]*Ruimtestaat[[#This Row],[Oppervlak (netto)]]</f>
        <v>4184</v>
      </c>
      <c r="W739" s="87">
        <f>IF(U739&gt;0,Ruimtestaat[[#This Row],[Prest. (m2 /jaar) werkdagen]]/Ruimtestaat[[#This Row],[Norm (m2/uur) werkdagen]],0)</f>
        <v>0</v>
      </c>
      <c r="X739" s="88">
        <f>Ruimtestaat[[#This Row],[uren / jaar werkdagen]]*Tariefsopbouw!$E$35</f>
        <v>0</v>
      </c>
      <c r="Y739" s="85"/>
      <c r="Z739" s="89">
        <f>IF(Ruimtestaat[[#This Row],[Frequentie weekend]]&gt;0,VALUE(LEFT(Y739,1))*R739,0)</f>
        <v>0</v>
      </c>
      <c r="AA739" s="85">
        <f>IF($Z739&gt;0,VLOOKUP($J739,Ruimtegroepen[],3,FALSE)*VLOOKUP($L739,Vloersoorten[],3,FALSE)*VLOOKUP($Y739,Frequenties[],3,FALSE)*VLOOKUP(#REF!,Locaties[],3,FALSE),0)</f>
        <v>0</v>
      </c>
      <c r="AB739" s="87">
        <f>Ruimtestaat[[#This Row],[Uitvoeringen weekend]]*Ruimtestaat[[#This Row],[Oppervlak (netto)]]</f>
        <v>0</v>
      </c>
      <c r="AC739" s="90">
        <f>IF(AB739&gt;0,Ruimtestaat[[#This Row],[Prest. (m2 /jaar) weekend]]/Ruimtestaat[[#This Row],[Norm (m2/uur) weekend]],0)</f>
        <v>0</v>
      </c>
      <c r="AD739" s="91">
        <f>Ruimtestaat[[#This Row],[uren / jaar weekend]]*Tariefsopbouw!$D$40</f>
        <v>0</v>
      </c>
      <c r="AE739" s="60">
        <f>Ruimtestaat[[#This Row],[Prest. (m2 /jaar) weekend]]+Ruimtestaat[[#This Row],[Prest. (m2 /jaar) werkdagen]]</f>
        <v>4184</v>
      </c>
      <c r="AF739" s="60">
        <f>Ruimtestaat[[#This Row],[uren / jaar weekend]]+Ruimtestaat[[#This Row],[uren / jaar werkdagen]]</f>
        <v>0</v>
      </c>
      <c r="AG739" s="61">
        <f>Ruimtestaat[[#This Row],[kosten / jaar weekend]]+Ruimtestaat[[#This Row],[kosten / jaar werkdagen]]</f>
        <v>0</v>
      </c>
      <c r="AH739" s="92"/>
      <c r="HL739" s="59"/>
    </row>
    <row r="740" spans="1:220">
      <c r="A740" s="24">
        <v>5</v>
      </c>
      <c r="B740" s="24" t="str">
        <f>VLOOKUP(Ruimtestaat[[#This Row],[Code]],Locaties[#All],2,FALSE)</f>
        <v>Marke Zuid</v>
      </c>
      <c r="C740" s="24" t="str">
        <f>VLOOKUP(Ruimtestaat[[#This Row],[Code]],Locaties[#All],4,FALSE)</f>
        <v>Ludgerstraat 1</v>
      </c>
      <c r="D740" s="24" t="str">
        <f>VLOOKUP(Ruimtestaat[[#This Row],[Code]],Locaties[#All],5,FALSE)</f>
        <v>7415 DV</v>
      </c>
      <c r="E740" s="24" t="str">
        <f>VLOOKUP(Ruimtestaat[[#This Row],[Code]],Locaties[#All],6,FALSE)</f>
        <v>Deventer</v>
      </c>
      <c r="F740" s="54"/>
      <c r="G740" s="24" t="s">
        <v>512</v>
      </c>
      <c r="H740" s="24" t="s">
        <v>1209</v>
      </c>
      <c r="I740" s="4" t="s">
        <v>1210</v>
      </c>
      <c r="J740" s="24">
        <v>5</v>
      </c>
      <c r="K740" s="54" t="str">
        <f>VLOOKUP(J740,Ruimtegroepen[],2,FALSE)</f>
        <v>Sanitair</v>
      </c>
      <c r="L740" s="24" t="s">
        <v>305</v>
      </c>
      <c r="M740" s="24" t="s">
        <v>373</v>
      </c>
      <c r="N740" s="83">
        <v>11.48</v>
      </c>
      <c r="O740" s="83"/>
      <c r="P740" s="93" t="str">
        <f>LEFT(VLOOKUP(Ruimtestaat[[#This Row],[Ruimte code]],Ruimtegroepen[#All],4,1),2)</f>
        <v>Sa</v>
      </c>
      <c r="Q740" s="93"/>
      <c r="R740" s="84">
        <v>40</v>
      </c>
      <c r="S740" s="84" t="s">
        <v>316</v>
      </c>
      <c r="T740" s="85">
        <f>IF(R740&gt;0,IF(RIGHT(Ruimtestaat[[#This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740" s="85">
        <f>IF(T740&gt;0,VLOOKUP($J740,Ruimtegroepen[],3,FALSE)*VLOOKUP($L740,Vloersoorten[],3,FALSE)*VLOOKUP($S740,Frequenties[],3,FALSE)*VLOOKUP($A740,Locaties[],3,FALSE),0)</f>
        <v>0</v>
      </c>
      <c r="V740" s="86">
        <f>Ruimtestaat[[#This Row],[Uitvoeringen werkdagen]]*Ruimtestaat[[#This Row],[Oppervlak (netto)]]</f>
        <v>4592</v>
      </c>
      <c r="W740" s="87">
        <f>IF(U740&gt;0,Ruimtestaat[[#This Row],[Prest. (m2 /jaar) werkdagen]]/Ruimtestaat[[#This Row],[Norm (m2/uur) werkdagen]],0)</f>
        <v>0</v>
      </c>
      <c r="X740" s="88">
        <f>Ruimtestaat[[#This Row],[uren / jaar werkdagen]]*Tariefsopbouw!$E$35</f>
        <v>0</v>
      </c>
      <c r="Y740" s="85"/>
      <c r="Z740" s="89">
        <f>IF(Ruimtestaat[[#This Row],[Frequentie weekend]]&gt;0,VALUE(LEFT(Y740,1))*R740,0)</f>
        <v>0</v>
      </c>
      <c r="AA740" s="85">
        <f>IF($Z740&gt;0,VLOOKUP($J740,Ruimtegroepen[],3,FALSE)*VLOOKUP($L740,Vloersoorten[],3,FALSE)*VLOOKUP($Y740,Frequenties[],3,FALSE)*VLOOKUP(#REF!,Locaties[],3,FALSE),0)</f>
        <v>0</v>
      </c>
      <c r="AB740" s="87">
        <f>Ruimtestaat[[#This Row],[Uitvoeringen weekend]]*Ruimtestaat[[#This Row],[Oppervlak (netto)]]</f>
        <v>0</v>
      </c>
      <c r="AC740" s="90">
        <f>IF(AB740&gt;0,Ruimtestaat[[#This Row],[Prest. (m2 /jaar) weekend]]/Ruimtestaat[[#This Row],[Norm (m2/uur) weekend]],0)</f>
        <v>0</v>
      </c>
      <c r="AD740" s="91">
        <f>Ruimtestaat[[#This Row],[uren / jaar weekend]]*Tariefsopbouw!$D$40</f>
        <v>0</v>
      </c>
      <c r="AE740" s="60">
        <f>Ruimtestaat[[#This Row],[Prest. (m2 /jaar) weekend]]+Ruimtestaat[[#This Row],[Prest. (m2 /jaar) werkdagen]]</f>
        <v>4592</v>
      </c>
      <c r="AF740" s="60">
        <f>Ruimtestaat[[#This Row],[uren / jaar weekend]]+Ruimtestaat[[#This Row],[uren / jaar werkdagen]]</f>
        <v>0</v>
      </c>
      <c r="AG740" s="61">
        <f>Ruimtestaat[[#This Row],[kosten / jaar weekend]]+Ruimtestaat[[#This Row],[kosten / jaar werkdagen]]</f>
        <v>0</v>
      </c>
      <c r="AH740" s="92"/>
      <c r="HL740" s="59"/>
    </row>
    <row r="741" spans="1:220">
      <c r="A741" s="24">
        <v>5</v>
      </c>
      <c r="B741" s="24" t="str">
        <f>VLOOKUP(Ruimtestaat[[#This Row],[Code]],Locaties[#All],2,FALSE)</f>
        <v>Marke Zuid</v>
      </c>
      <c r="C741" s="24" t="str">
        <f>VLOOKUP(Ruimtestaat[[#This Row],[Code]],Locaties[#All],4,FALSE)</f>
        <v>Ludgerstraat 1</v>
      </c>
      <c r="D741" s="24" t="str">
        <f>VLOOKUP(Ruimtestaat[[#This Row],[Code]],Locaties[#All],5,FALSE)</f>
        <v>7415 DV</v>
      </c>
      <c r="E741" s="24" t="str">
        <f>VLOOKUP(Ruimtestaat[[#This Row],[Code]],Locaties[#All],6,FALSE)</f>
        <v>Deventer</v>
      </c>
      <c r="F741" s="54"/>
      <c r="G741" s="24" t="s">
        <v>512</v>
      </c>
      <c r="H741" s="24" t="s">
        <v>1211</v>
      </c>
      <c r="I741" s="4" t="s">
        <v>1210</v>
      </c>
      <c r="J741" s="24">
        <v>5</v>
      </c>
      <c r="K741" s="54" t="str">
        <f>VLOOKUP(J741,Ruimtegroepen[],2,FALSE)</f>
        <v>Sanitair</v>
      </c>
      <c r="L741" s="24" t="s">
        <v>305</v>
      </c>
      <c r="M741" s="24" t="s">
        <v>373</v>
      </c>
      <c r="N741" s="83">
        <v>11.61</v>
      </c>
      <c r="O741" s="83"/>
      <c r="P741" s="93" t="str">
        <f>LEFT(VLOOKUP(Ruimtestaat[[#This Row],[Ruimte code]],Ruimtegroepen[#All],4,1),2)</f>
        <v>Sa</v>
      </c>
      <c r="Q741" s="93"/>
      <c r="R741" s="84">
        <v>40</v>
      </c>
      <c r="S741" s="84" t="s">
        <v>316</v>
      </c>
      <c r="T741" s="85">
        <f>IF(R741&gt;0,IF(RIGHT(Ruimtestaat[[#This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741" s="85">
        <f>IF(T741&gt;0,VLOOKUP($J741,Ruimtegroepen[],3,FALSE)*VLOOKUP($L741,Vloersoorten[],3,FALSE)*VLOOKUP($S741,Frequenties[],3,FALSE)*VLOOKUP($A741,Locaties[],3,FALSE),0)</f>
        <v>0</v>
      </c>
      <c r="V741" s="86">
        <f>Ruimtestaat[[#This Row],[Uitvoeringen werkdagen]]*Ruimtestaat[[#This Row],[Oppervlak (netto)]]</f>
        <v>4644</v>
      </c>
      <c r="W741" s="87">
        <f>IF(U741&gt;0,Ruimtestaat[[#This Row],[Prest. (m2 /jaar) werkdagen]]/Ruimtestaat[[#This Row],[Norm (m2/uur) werkdagen]],0)</f>
        <v>0</v>
      </c>
      <c r="X741" s="88">
        <f>Ruimtestaat[[#This Row],[uren / jaar werkdagen]]*Tariefsopbouw!$E$35</f>
        <v>0</v>
      </c>
      <c r="Y741" s="85"/>
      <c r="Z741" s="89">
        <f>IF(Ruimtestaat[[#This Row],[Frequentie weekend]]&gt;0,VALUE(LEFT(Y741,1))*R741,0)</f>
        <v>0</v>
      </c>
      <c r="AA741" s="85">
        <f>IF($Z741&gt;0,VLOOKUP($J741,Ruimtegroepen[],3,FALSE)*VLOOKUP($L741,Vloersoorten[],3,FALSE)*VLOOKUP($Y741,Frequenties[],3,FALSE)*VLOOKUP(#REF!,Locaties[],3,FALSE),0)</f>
        <v>0</v>
      </c>
      <c r="AB741" s="87">
        <f>Ruimtestaat[[#This Row],[Uitvoeringen weekend]]*Ruimtestaat[[#This Row],[Oppervlak (netto)]]</f>
        <v>0</v>
      </c>
      <c r="AC741" s="90">
        <f>IF(AB741&gt;0,Ruimtestaat[[#This Row],[Prest. (m2 /jaar) weekend]]/Ruimtestaat[[#This Row],[Norm (m2/uur) weekend]],0)</f>
        <v>0</v>
      </c>
      <c r="AD741" s="91">
        <f>Ruimtestaat[[#This Row],[uren / jaar weekend]]*Tariefsopbouw!$D$40</f>
        <v>0</v>
      </c>
      <c r="AE741" s="60">
        <f>Ruimtestaat[[#This Row],[Prest. (m2 /jaar) weekend]]+Ruimtestaat[[#This Row],[Prest. (m2 /jaar) werkdagen]]</f>
        <v>4644</v>
      </c>
      <c r="AF741" s="60">
        <f>Ruimtestaat[[#This Row],[uren / jaar weekend]]+Ruimtestaat[[#This Row],[uren / jaar werkdagen]]</f>
        <v>0</v>
      </c>
      <c r="AG741" s="61">
        <f>Ruimtestaat[[#This Row],[kosten / jaar weekend]]+Ruimtestaat[[#This Row],[kosten / jaar werkdagen]]</f>
        <v>0</v>
      </c>
      <c r="AH741" s="92"/>
      <c r="HL741" s="59"/>
    </row>
    <row r="742" spans="1:220">
      <c r="A742" s="24">
        <v>5</v>
      </c>
      <c r="B742" s="24" t="str">
        <f>VLOOKUP(Ruimtestaat[[#This Row],[Code]],Locaties[#All],2,FALSE)</f>
        <v>Marke Zuid</v>
      </c>
      <c r="C742" s="24" t="str">
        <f>VLOOKUP(Ruimtestaat[[#This Row],[Code]],Locaties[#All],4,FALSE)</f>
        <v>Ludgerstraat 1</v>
      </c>
      <c r="D742" s="24" t="str">
        <f>VLOOKUP(Ruimtestaat[[#This Row],[Code]],Locaties[#All],5,FALSE)</f>
        <v>7415 DV</v>
      </c>
      <c r="E742" s="24" t="str">
        <f>VLOOKUP(Ruimtestaat[[#This Row],[Code]],Locaties[#All],6,FALSE)</f>
        <v>Deventer</v>
      </c>
      <c r="F742" s="54"/>
      <c r="G742" s="24" t="s">
        <v>512</v>
      </c>
      <c r="H742" s="24" t="s">
        <v>1212</v>
      </c>
      <c r="I742" s="4" t="s">
        <v>372</v>
      </c>
      <c r="J742" s="24">
        <v>10</v>
      </c>
      <c r="K742" s="54" t="str">
        <f>VLOOKUP(J742,Ruimtegroepen[],2,FALSE)</f>
        <v>Trappenhuizen/lift</v>
      </c>
      <c r="L742" s="24" t="s">
        <v>305</v>
      </c>
      <c r="M742" s="24" t="s">
        <v>376</v>
      </c>
      <c r="N742" s="83">
        <v>1.1499999999999999</v>
      </c>
      <c r="O742" s="83"/>
      <c r="P742" s="93" t="str">
        <f>LEFT(VLOOKUP(Ruimtestaat[[#This Row],[Ruimte code]],Ruimtegroepen[#All],4,1),2)</f>
        <v>Ve</v>
      </c>
      <c r="Q742" s="93"/>
      <c r="R742" s="84">
        <v>40</v>
      </c>
      <c r="S742" s="84" t="s">
        <v>318</v>
      </c>
      <c r="T742" s="85">
        <f>IF(R742&gt;0,IF(RIGHT(Ruimtestaat[[#This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2" s="85">
        <f>IF(T742&gt;0,VLOOKUP($J742,Ruimtegroepen[],3,FALSE)*VLOOKUP($L742,Vloersoorten[],3,FALSE)*VLOOKUP($S742,Frequenties[],3,FALSE)*VLOOKUP($A742,Locaties[],3,FALSE),0)</f>
        <v>0</v>
      </c>
      <c r="V742" s="86">
        <f>Ruimtestaat[[#This Row],[Uitvoeringen werkdagen]]*Ruimtestaat[[#This Row],[Oppervlak (netto)]]</f>
        <v>229.99999999999997</v>
      </c>
      <c r="W742" s="87">
        <f>IF(U742&gt;0,Ruimtestaat[[#This Row],[Prest. (m2 /jaar) werkdagen]]/Ruimtestaat[[#This Row],[Norm (m2/uur) werkdagen]],0)</f>
        <v>0</v>
      </c>
      <c r="X742" s="88">
        <f>Ruimtestaat[[#This Row],[uren / jaar werkdagen]]*Tariefsopbouw!$E$35</f>
        <v>0</v>
      </c>
      <c r="Y742" s="85"/>
      <c r="Z742" s="89">
        <f>IF(Ruimtestaat[[#This Row],[Frequentie weekend]]&gt;0,VALUE(LEFT(Y742,1))*R742,0)</f>
        <v>0</v>
      </c>
      <c r="AA742" s="85">
        <f>IF($Z742&gt;0,VLOOKUP($J742,Ruimtegroepen[],3,FALSE)*VLOOKUP($L742,Vloersoorten[],3,FALSE)*VLOOKUP($Y742,Frequenties[],3,FALSE)*VLOOKUP(#REF!,Locaties[],3,FALSE),0)</f>
        <v>0</v>
      </c>
      <c r="AB742" s="87">
        <f>Ruimtestaat[[#This Row],[Uitvoeringen weekend]]*Ruimtestaat[[#This Row],[Oppervlak (netto)]]</f>
        <v>0</v>
      </c>
      <c r="AC742" s="90">
        <f>IF(AB742&gt;0,Ruimtestaat[[#This Row],[Prest. (m2 /jaar) weekend]]/Ruimtestaat[[#This Row],[Norm (m2/uur) weekend]],0)</f>
        <v>0</v>
      </c>
      <c r="AD742" s="91">
        <f>Ruimtestaat[[#This Row],[uren / jaar weekend]]*Tariefsopbouw!$D$40</f>
        <v>0</v>
      </c>
      <c r="AE742" s="60">
        <f>Ruimtestaat[[#This Row],[Prest. (m2 /jaar) weekend]]+Ruimtestaat[[#This Row],[Prest. (m2 /jaar) werkdagen]]</f>
        <v>229.99999999999997</v>
      </c>
      <c r="AF742" s="60">
        <f>Ruimtestaat[[#This Row],[uren / jaar weekend]]+Ruimtestaat[[#This Row],[uren / jaar werkdagen]]</f>
        <v>0</v>
      </c>
      <c r="AG742" s="61">
        <f>Ruimtestaat[[#This Row],[kosten / jaar weekend]]+Ruimtestaat[[#This Row],[kosten / jaar werkdagen]]</f>
        <v>0</v>
      </c>
      <c r="AH742" s="92"/>
      <c r="HL742" s="59"/>
    </row>
    <row r="743" spans="1:220">
      <c r="A743" s="24">
        <v>5</v>
      </c>
      <c r="B743" s="24" t="str">
        <f>VLOOKUP(Ruimtestaat[[#This Row],[Code]],Locaties[#All],2,FALSE)</f>
        <v>Marke Zuid</v>
      </c>
      <c r="C743" s="24" t="str">
        <f>VLOOKUP(Ruimtestaat[[#This Row],[Code]],Locaties[#All],4,FALSE)</f>
        <v>Ludgerstraat 1</v>
      </c>
      <c r="D743" s="24" t="str">
        <f>VLOOKUP(Ruimtestaat[[#This Row],[Code]],Locaties[#All],5,FALSE)</f>
        <v>7415 DV</v>
      </c>
      <c r="E743" s="24" t="str">
        <f>VLOOKUP(Ruimtestaat[[#This Row],[Code]],Locaties[#All],6,FALSE)</f>
        <v>Deventer</v>
      </c>
      <c r="F743" s="54"/>
      <c r="G743" s="24" t="s">
        <v>512</v>
      </c>
      <c r="H743" s="24" t="s">
        <v>1213</v>
      </c>
      <c r="I743" s="4" t="s">
        <v>375</v>
      </c>
      <c r="J743" s="24">
        <v>22</v>
      </c>
      <c r="K743" s="54" t="str">
        <f>VLOOKUP(J743,Ruimtegroepen[],2,FALSE)</f>
        <v>Niet in onderhoud</v>
      </c>
      <c r="L743" s="24" t="s">
        <v>305</v>
      </c>
      <c r="M743" s="24" t="s">
        <v>373</v>
      </c>
      <c r="N743" s="83"/>
      <c r="O743" s="83">
        <v>1.19</v>
      </c>
      <c r="P743" s="93" t="str">
        <f>LEFT(VLOOKUP(Ruimtestaat[[#This Row],[Ruimte code]],Ruimtegroepen[#All],4,1),2)</f>
        <v/>
      </c>
      <c r="Q743" s="93"/>
      <c r="R743" s="84"/>
      <c r="S743" s="84"/>
      <c r="T743" s="85">
        <f>IF(R743&gt;0,IF(RIGHT(Ruimtestaat[[#This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43" s="85">
        <f>IF(T743&gt;0,VLOOKUP($J743,Ruimtegroepen[],3,FALSE)*VLOOKUP($L743,Vloersoorten[],3,FALSE)*VLOOKUP($S743,Frequenties[],3,FALSE)*VLOOKUP($A743,Locaties[],3,FALSE),0)</f>
        <v>0</v>
      </c>
      <c r="V743" s="86">
        <f>Ruimtestaat[[#This Row],[Uitvoeringen werkdagen]]*Ruimtestaat[[#This Row],[Oppervlak (netto)]]</f>
        <v>0</v>
      </c>
      <c r="W743" s="87">
        <f>IF(U743&gt;0,Ruimtestaat[[#This Row],[Prest. (m2 /jaar) werkdagen]]/Ruimtestaat[[#This Row],[Norm (m2/uur) werkdagen]],0)</f>
        <v>0</v>
      </c>
      <c r="X743" s="88">
        <f>Ruimtestaat[[#This Row],[uren / jaar werkdagen]]*Tariefsopbouw!$E$35</f>
        <v>0</v>
      </c>
      <c r="Y743" s="85"/>
      <c r="Z743" s="89">
        <f>IF(Ruimtestaat[[#This Row],[Frequentie weekend]]&gt;0,VALUE(LEFT(Y743,1))*R743,0)</f>
        <v>0</v>
      </c>
      <c r="AA743" s="85">
        <f>IF($Z743&gt;0,VLOOKUP($J743,Ruimtegroepen[],3,FALSE)*VLOOKUP($L743,Vloersoorten[],3,FALSE)*VLOOKUP($Y743,Frequenties[],3,FALSE)*VLOOKUP(#REF!,Locaties[],3,FALSE),0)</f>
        <v>0</v>
      </c>
      <c r="AB743" s="87">
        <f>Ruimtestaat[[#This Row],[Uitvoeringen weekend]]*Ruimtestaat[[#This Row],[Oppervlak (netto)]]</f>
        <v>0</v>
      </c>
      <c r="AC743" s="90">
        <f>IF(AB743&gt;0,Ruimtestaat[[#This Row],[Prest. (m2 /jaar) weekend]]/Ruimtestaat[[#This Row],[Norm (m2/uur) weekend]],0)</f>
        <v>0</v>
      </c>
      <c r="AD743" s="91">
        <f>Ruimtestaat[[#This Row],[uren / jaar weekend]]*Tariefsopbouw!$D$40</f>
        <v>0</v>
      </c>
      <c r="AE743" s="60">
        <f>Ruimtestaat[[#This Row],[Prest. (m2 /jaar) weekend]]+Ruimtestaat[[#This Row],[Prest. (m2 /jaar) werkdagen]]</f>
        <v>0</v>
      </c>
      <c r="AF743" s="60">
        <f>Ruimtestaat[[#This Row],[uren / jaar weekend]]+Ruimtestaat[[#This Row],[uren / jaar werkdagen]]</f>
        <v>0</v>
      </c>
      <c r="AG743" s="61">
        <f>Ruimtestaat[[#This Row],[kosten / jaar weekend]]+Ruimtestaat[[#This Row],[kosten / jaar werkdagen]]</f>
        <v>0</v>
      </c>
      <c r="AH743" s="92"/>
      <c r="HL743" s="59"/>
    </row>
    <row r="744" spans="1:220">
      <c r="A744" s="24">
        <v>5</v>
      </c>
      <c r="B744" s="24" t="str">
        <f>VLOOKUP(Ruimtestaat[[#This Row],[Code]],Locaties[#All],2,FALSE)</f>
        <v>Marke Zuid</v>
      </c>
      <c r="C744" s="24" t="str">
        <f>VLOOKUP(Ruimtestaat[[#This Row],[Code]],Locaties[#All],4,FALSE)</f>
        <v>Ludgerstraat 1</v>
      </c>
      <c r="D744" s="24" t="str">
        <f>VLOOKUP(Ruimtestaat[[#This Row],[Code]],Locaties[#All],5,FALSE)</f>
        <v>7415 DV</v>
      </c>
      <c r="E744" s="24" t="str">
        <f>VLOOKUP(Ruimtestaat[[#This Row],[Code]],Locaties[#All],6,FALSE)</f>
        <v>Deventer</v>
      </c>
      <c r="F744" s="54"/>
      <c r="G744" s="24" t="s">
        <v>512</v>
      </c>
      <c r="H744" s="24" t="s">
        <v>1214</v>
      </c>
      <c r="I744" s="4" t="s">
        <v>1215</v>
      </c>
      <c r="J744" s="24">
        <v>12</v>
      </c>
      <c r="K744" s="54" t="str">
        <f>VLOOKUP(J744,Ruimtegroepen[],2,FALSE)</f>
        <v>Kantine</v>
      </c>
      <c r="L744" s="24" t="s">
        <v>311</v>
      </c>
      <c r="M744" s="252" t="s">
        <v>1182</v>
      </c>
      <c r="N744" s="83">
        <v>41.2</v>
      </c>
      <c r="O744" s="83"/>
      <c r="P744" s="93" t="str">
        <f>LEFT(VLOOKUP(Ruimtestaat[[#This Row],[Ruimte code]],Ruimtegroepen[#All],4,1),2)</f>
        <v>Ve</v>
      </c>
      <c r="Q744" s="93"/>
      <c r="R744" s="84">
        <v>40</v>
      </c>
      <c r="S744" s="84" t="s">
        <v>318</v>
      </c>
      <c r="T744" s="85">
        <f>IF(R744&gt;0,IF(RIGHT(Ruimtestaat[[#This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4" s="85">
        <f>IF(T744&gt;0,VLOOKUP($J744,Ruimtegroepen[],3,FALSE)*VLOOKUP($L744,Vloersoorten[],3,FALSE)*VLOOKUP($S744,Frequenties[],3,FALSE)*VLOOKUP($A744,Locaties[],3,FALSE),0)</f>
        <v>0</v>
      </c>
      <c r="V744" s="86">
        <f>Ruimtestaat[[#This Row],[Uitvoeringen werkdagen]]*Ruimtestaat[[#This Row],[Oppervlak (netto)]]</f>
        <v>8240</v>
      </c>
      <c r="W744" s="87">
        <f>IF(U744&gt;0,Ruimtestaat[[#This Row],[Prest. (m2 /jaar) werkdagen]]/Ruimtestaat[[#This Row],[Norm (m2/uur) werkdagen]],0)</f>
        <v>0</v>
      </c>
      <c r="X744" s="88">
        <f>Ruimtestaat[[#This Row],[uren / jaar werkdagen]]*Tariefsopbouw!$E$35</f>
        <v>0</v>
      </c>
      <c r="Y744" s="85"/>
      <c r="Z744" s="89">
        <f>IF(Ruimtestaat[[#This Row],[Frequentie weekend]]&gt;0,VALUE(LEFT(Y744,1))*R744,0)</f>
        <v>0</v>
      </c>
      <c r="AA744" s="85">
        <f>IF($Z744&gt;0,VLOOKUP($J744,Ruimtegroepen[],3,FALSE)*VLOOKUP($L744,Vloersoorten[],3,FALSE)*VLOOKUP($Y744,Frequenties[],3,FALSE)*VLOOKUP(#REF!,Locaties[],3,FALSE),0)</f>
        <v>0</v>
      </c>
      <c r="AB744" s="87">
        <f>Ruimtestaat[[#This Row],[Uitvoeringen weekend]]*Ruimtestaat[[#This Row],[Oppervlak (netto)]]</f>
        <v>0</v>
      </c>
      <c r="AC744" s="90">
        <f>IF(AB744&gt;0,Ruimtestaat[[#This Row],[Prest. (m2 /jaar) weekend]]/Ruimtestaat[[#This Row],[Norm (m2/uur) weekend]],0)</f>
        <v>0</v>
      </c>
      <c r="AD744" s="91">
        <f>Ruimtestaat[[#This Row],[uren / jaar weekend]]*Tariefsopbouw!$D$40</f>
        <v>0</v>
      </c>
      <c r="AE744" s="60">
        <f>Ruimtestaat[[#This Row],[Prest. (m2 /jaar) weekend]]+Ruimtestaat[[#This Row],[Prest. (m2 /jaar) werkdagen]]</f>
        <v>8240</v>
      </c>
      <c r="AF744" s="60">
        <f>Ruimtestaat[[#This Row],[uren / jaar weekend]]+Ruimtestaat[[#This Row],[uren / jaar werkdagen]]</f>
        <v>0</v>
      </c>
      <c r="AG744" s="61">
        <f>Ruimtestaat[[#This Row],[kosten / jaar weekend]]+Ruimtestaat[[#This Row],[kosten / jaar werkdagen]]</f>
        <v>0</v>
      </c>
      <c r="AH744" s="92"/>
      <c r="HL744" s="59"/>
    </row>
    <row r="745" spans="1:220">
      <c r="A745" s="24">
        <v>5</v>
      </c>
      <c r="B745" s="24" t="str">
        <f>VLOOKUP(Ruimtestaat[[#This Row],[Code]],Locaties[#All],2,FALSE)</f>
        <v>Marke Zuid</v>
      </c>
      <c r="C745" s="24" t="str">
        <f>VLOOKUP(Ruimtestaat[[#This Row],[Code]],Locaties[#All],4,FALSE)</f>
        <v>Ludgerstraat 1</v>
      </c>
      <c r="D745" s="24" t="str">
        <f>VLOOKUP(Ruimtestaat[[#This Row],[Code]],Locaties[#All],5,FALSE)</f>
        <v>7415 DV</v>
      </c>
      <c r="E745" s="24" t="str">
        <f>VLOOKUP(Ruimtestaat[[#This Row],[Code]],Locaties[#All],6,FALSE)</f>
        <v>Deventer</v>
      </c>
      <c r="F745" s="54"/>
      <c r="G745" s="24" t="s">
        <v>512</v>
      </c>
      <c r="H745" s="24" t="s">
        <v>1216</v>
      </c>
      <c r="I745" s="4" t="s">
        <v>1010</v>
      </c>
      <c r="J745" s="24">
        <v>5</v>
      </c>
      <c r="K745" s="54" t="str">
        <f>VLOOKUP(J745,Ruimtegroepen[],2,FALSE)</f>
        <v>Sanitair</v>
      </c>
      <c r="L745" s="24" t="s">
        <v>305</v>
      </c>
      <c r="M745" s="24" t="s">
        <v>373</v>
      </c>
      <c r="N745" s="83">
        <v>1.1599999999999999</v>
      </c>
      <c r="O745" s="83"/>
      <c r="P745" s="93" t="str">
        <f>LEFT(VLOOKUP(Ruimtestaat[[#This Row],[Ruimte code]],Ruimtegroepen[#All],4,1),2)</f>
        <v>Sa</v>
      </c>
      <c r="Q745" s="93"/>
      <c r="R745" s="84">
        <v>42</v>
      </c>
      <c r="S745" s="84" t="s">
        <v>316</v>
      </c>
      <c r="T745" s="85">
        <f>IF(R745&gt;0,IF(RIGHT(Ruimtestaat[[#This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45" s="85">
        <f>IF(T745&gt;0,VLOOKUP($J745,Ruimtegroepen[],3,FALSE)*VLOOKUP($L745,Vloersoorten[],3,FALSE)*VLOOKUP($S745,Frequenties[],3,FALSE)*VLOOKUP($A745,Locaties[],3,FALSE),0)</f>
        <v>0</v>
      </c>
      <c r="V745" s="86">
        <f>Ruimtestaat[[#This Row],[Uitvoeringen werkdagen]]*Ruimtestaat[[#This Row],[Oppervlak (netto)]]</f>
        <v>487.2</v>
      </c>
      <c r="W745" s="87">
        <f>IF(U745&gt;0,Ruimtestaat[[#This Row],[Prest. (m2 /jaar) werkdagen]]/Ruimtestaat[[#This Row],[Norm (m2/uur) werkdagen]],0)</f>
        <v>0</v>
      </c>
      <c r="X745" s="88">
        <f>Ruimtestaat[[#This Row],[uren / jaar werkdagen]]*Tariefsopbouw!$E$35</f>
        <v>0</v>
      </c>
      <c r="Y745" s="85"/>
      <c r="Z745" s="89">
        <f>IF(Ruimtestaat[[#This Row],[Frequentie weekend]]&gt;0,VALUE(LEFT(Y745,1))*R745,0)</f>
        <v>0</v>
      </c>
      <c r="AA745" s="85">
        <f>IF($Z745&gt;0,VLOOKUP($J745,Ruimtegroepen[],3,FALSE)*VLOOKUP($L745,Vloersoorten[],3,FALSE)*VLOOKUP($Y745,Frequenties[],3,FALSE)*VLOOKUP(#REF!,Locaties[],3,FALSE),0)</f>
        <v>0</v>
      </c>
      <c r="AB745" s="87">
        <f>Ruimtestaat[[#This Row],[Uitvoeringen weekend]]*Ruimtestaat[[#This Row],[Oppervlak (netto)]]</f>
        <v>0</v>
      </c>
      <c r="AC745" s="90">
        <f>IF(AB745&gt;0,Ruimtestaat[[#This Row],[Prest. (m2 /jaar) weekend]]/Ruimtestaat[[#This Row],[Norm (m2/uur) weekend]],0)</f>
        <v>0</v>
      </c>
      <c r="AD745" s="91">
        <f>Ruimtestaat[[#This Row],[uren / jaar weekend]]*Tariefsopbouw!$D$40</f>
        <v>0</v>
      </c>
      <c r="AE745" s="60">
        <f>Ruimtestaat[[#This Row],[Prest. (m2 /jaar) weekend]]+Ruimtestaat[[#This Row],[Prest. (m2 /jaar) werkdagen]]</f>
        <v>487.2</v>
      </c>
      <c r="AF745" s="60">
        <f>Ruimtestaat[[#This Row],[uren / jaar weekend]]+Ruimtestaat[[#This Row],[uren / jaar werkdagen]]</f>
        <v>0</v>
      </c>
      <c r="AG745" s="61">
        <f>Ruimtestaat[[#This Row],[kosten / jaar weekend]]+Ruimtestaat[[#This Row],[kosten / jaar werkdagen]]</f>
        <v>0</v>
      </c>
      <c r="AH745" s="92"/>
      <c r="HL745" s="59"/>
    </row>
    <row r="746" spans="1:220">
      <c r="A746" s="24">
        <v>5</v>
      </c>
      <c r="B746" s="24" t="str">
        <f>VLOOKUP(Ruimtestaat[[#This Row],[Code]],Locaties[#All],2,FALSE)</f>
        <v>Marke Zuid</v>
      </c>
      <c r="C746" s="24" t="str">
        <f>VLOOKUP(Ruimtestaat[[#This Row],[Code]],Locaties[#All],4,FALSE)</f>
        <v>Ludgerstraat 1</v>
      </c>
      <c r="D746" s="24" t="str">
        <f>VLOOKUP(Ruimtestaat[[#This Row],[Code]],Locaties[#All],5,FALSE)</f>
        <v>7415 DV</v>
      </c>
      <c r="E746" s="24" t="str">
        <f>VLOOKUP(Ruimtestaat[[#This Row],[Code]],Locaties[#All],6,FALSE)</f>
        <v>Deventer</v>
      </c>
      <c r="F746" s="54"/>
      <c r="G746" s="24" t="s">
        <v>512</v>
      </c>
      <c r="H746" s="24" t="s">
        <v>1217</v>
      </c>
      <c r="I746" s="4" t="s">
        <v>1218</v>
      </c>
      <c r="J746" s="24">
        <v>5</v>
      </c>
      <c r="K746" s="54" t="str">
        <f>VLOOKUP(J746,Ruimtegroepen[],2,FALSE)</f>
        <v>Sanitair</v>
      </c>
      <c r="L746" s="24" t="s">
        <v>305</v>
      </c>
      <c r="M746" s="24" t="s">
        <v>373</v>
      </c>
      <c r="N746" s="83">
        <v>1.89</v>
      </c>
      <c r="O746" s="83"/>
      <c r="P746" s="93" t="str">
        <f>LEFT(VLOOKUP(Ruimtestaat[[#This Row],[Ruimte code]],Ruimtegroepen[#All],4,1),2)</f>
        <v>Sa</v>
      </c>
      <c r="Q746" s="93"/>
      <c r="R746" s="84">
        <v>42</v>
      </c>
      <c r="S746" s="84" t="s">
        <v>316</v>
      </c>
      <c r="T746" s="85">
        <f>IF(R746&gt;0,IF(RIGHT(Ruimtestaat[[#This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46" s="85">
        <f>IF(T746&gt;0,VLOOKUP($J746,Ruimtegroepen[],3,FALSE)*VLOOKUP($L746,Vloersoorten[],3,FALSE)*VLOOKUP($S746,Frequenties[],3,FALSE)*VLOOKUP($A746,Locaties[],3,FALSE),0)</f>
        <v>0</v>
      </c>
      <c r="V746" s="86">
        <f>Ruimtestaat[[#This Row],[Uitvoeringen werkdagen]]*Ruimtestaat[[#This Row],[Oppervlak (netto)]]</f>
        <v>793.8</v>
      </c>
      <c r="W746" s="87">
        <f>IF(U746&gt;0,Ruimtestaat[[#This Row],[Prest. (m2 /jaar) werkdagen]]/Ruimtestaat[[#This Row],[Norm (m2/uur) werkdagen]],0)</f>
        <v>0</v>
      </c>
      <c r="X746" s="88">
        <f>Ruimtestaat[[#This Row],[uren / jaar werkdagen]]*Tariefsopbouw!$E$35</f>
        <v>0</v>
      </c>
      <c r="Y746" s="85"/>
      <c r="Z746" s="89">
        <f>IF(Ruimtestaat[[#This Row],[Frequentie weekend]]&gt;0,VALUE(LEFT(Y746,1))*R746,0)</f>
        <v>0</v>
      </c>
      <c r="AA746" s="85">
        <f>IF($Z746&gt;0,VLOOKUP($J746,Ruimtegroepen[],3,FALSE)*VLOOKUP($L746,Vloersoorten[],3,FALSE)*VLOOKUP($Y746,Frequenties[],3,FALSE)*VLOOKUP(#REF!,Locaties[],3,FALSE),0)</f>
        <v>0</v>
      </c>
      <c r="AB746" s="87">
        <f>Ruimtestaat[[#This Row],[Uitvoeringen weekend]]*Ruimtestaat[[#This Row],[Oppervlak (netto)]]</f>
        <v>0</v>
      </c>
      <c r="AC746" s="90">
        <f>IF(AB746&gt;0,Ruimtestaat[[#This Row],[Prest. (m2 /jaar) weekend]]/Ruimtestaat[[#This Row],[Norm (m2/uur) weekend]],0)</f>
        <v>0</v>
      </c>
      <c r="AD746" s="91">
        <f>Ruimtestaat[[#This Row],[uren / jaar weekend]]*Tariefsopbouw!$D$40</f>
        <v>0</v>
      </c>
      <c r="AE746" s="60">
        <f>Ruimtestaat[[#This Row],[Prest. (m2 /jaar) weekend]]+Ruimtestaat[[#This Row],[Prest. (m2 /jaar) werkdagen]]</f>
        <v>793.8</v>
      </c>
      <c r="AF746" s="60">
        <f>Ruimtestaat[[#This Row],[uren / jaar weekend]]+Ruimtestaat[[#This Row],[uren / jaar werkdagen]]</f>
        <v>0</v>
      </c>
      <c r="AG746" s="61">
        <f>Ruimtestaat[[#This Row],[kosten / jaar weekend]]+Ruimtestaat[[#This Row],[kosten / jaar werkdagen]]</f>
        <v>0</v>
      </c>
      <c r="AH746" s="92"/>
      <c r="HL746" s="59"/>
    </row>
    <row r="747" spans="1:220">
      <c r="A747" s="24">
        <v>5</v>
      </c>
      <c r="B747" s="24" t="str">
        <f>VLOOKUP(Ruimtestaat[[#This Row],[Code]],Locaties[#All],2,FALSE)</f>
        <v>Marke Zuid</v>
      </c>
      <c r="C747" s="24" t="str">
        <f>VLOOKUP(Ruimtestaat[[#This Row],[Code]],Locaties[#All],4,FALSE)</f>
        <v>Ludgerstraat 1</v>
      </c>
      <c r="D747" s="24" t="str">
        <f>VLOOKUP(Ruimtestaat[[#This Row],[Code]],Locaties[#All],5,FALSE)</f>
        <v>7415 DV</v>
      </c>
      <c r="E747" s="24" t="str">
        <f>VLOOKUP(Ruimtestaat[[#This Row],[Code]],Locaties[#All],6,FALSE)</f>
        <v>Deventer</v>
      </c>
      <c r="F747" s="54"/>
      <c r="G747" s="24" t="s">
        <v>512</v>
      </c>
      <c r="H747" s="24" t="s">
        <v>1219</v>
      </c>
      <c r="I747" s="4" t="s">
        <v>1010</v>
      </c>
      <c r="J747" s="24">
        <v>5</v>
      </c>
      <c r="K747" s="54" t="str">
        <f>VLOOKUP(J747,Ruimtegroepen[],2,FALSE)</f>
        <v>Sanitair</v>
      </c>
      <c r="L747" s="24" t="s">
        <v>305</v>
      </c>
      <c r="M747" s="24" t="s">
        <v>373</v>
      </c>
      <c r="N747" s="83">
        <v>1.17</v>
      </c>
      <c r="O747" s="83"/>
      <c r="P747" s="93" t="str">
        <f>LEFT(VLOOKUP(Ruimtestaat[[#This Row],[Ruimte code]],Ruimtegroepen[#All],4,1),2)</f>
        <v>Sa</v>
      </c>
      <c r="Q747" s="93"/>
      <c r="R747" s="84">
        <v>42</v>
      </c>
      <c r="S747" s="84" t="s">
        <v>316</v>
      </c>
      <c r="T747" s="85">
        <f>IF(R747&gt;0,IF(RIGHT(Ruimtestaat[[#This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47" s="85">
        <f>IF(T747&gt;0,VLOOKUP($J747,Ruimtegroepen[],3,FALSE)*VLOOKUP($L747,Vloersoorten[],3,FALSE)*VLOOKUP($S747,Frequenties[],3,FALSE)*VLOOKUP($A747,Locaties[],3,FALSE),0)</f>
        <v>0</v>
      </c>
      <c r="V747" s="86">
        <f>Ruimtestaat[[#This Row],[Uitvoeringen werkdagen]]*Ruimtestaat[[#This Row],[Oppervlak (netto)]]</f>
        <v>491.4</v>
      </c>
      <c r="W747" s="87">
        <f>IF(U747&gt;0,Ruimtestaat[[#This Row],[Prest. (m2 /jaar) werkdagen]]/Ruimtestaat[[#This Row],[Norm (m2/uur) werkdagen]],0)</f>
        <v>0</v>
      </c>
      <c r="X747" s="88">
        <f>Ruimtestaat[[#This Row],[uren / jaar werkdagen]]*Tariefsopbouw!$E$35</f>
        <v>0</v>
      </c>
      <c r="Y747" s="85"/>
      <c r="Z747" s="89">
        <f>IF(Ruimtestaat[[#This Row],[Frequentie weekend]]&gt;0,VALUE(LEFT(Y747,1))*R747,0)</f>
        <v>0</v>
      </c>
      <c r="AA747" s="85">
        <f>IF($Z747&gt;0,VLOOKUP($J747,Ruimtegroepen[],3,FALSE)*VLOOKUP($L747,Vloersoorten[],3,FALSE)*VLOOKUP($Y747,Frequenties[],3,FALSE)*VLOOKUP(#REF!,Locaties[],3,FALSE),0)</f>
        <v>0</v>
      </c>
      <c r="AB747" s="87">
        <f>Ruimtestaat[[#This Row],[Uitvoeringen weekend]]*Ruimtestaat[[#This Row],[Oppervlak (netto)]]</f>
        <v>0</v>
      </c>
      <c r="AC747" s="90">
        <f>IF(AB747&gt;0,Ruimtestaat[[#This Row],[Prest. (m2 /jaar) weekend]]/Ruimtestaat[[#This Row],[Norm (m2/uur) weekend]],0)</f>
        <v>0</v>
      </c>
      <c r="AD747" s="91">
        <f>Ruimtestaat[[#This Row],[uren / jaar weekend]]*Tariefsopbouw!$D$40</f>
        <v>0</v>
      </c>
      <c r="AE747" s="60">
        <f>Ruimtestaat[[#This Row],[Prest. (m2 /jaar) weekend]]+Ruimtestaat[[#This Row],[Prest. (m2 /jaar) werkdagen]]</f>
        <v>491.4</v>
      </c>
      <c r="AF747" s="60">
        <f>Ruimtestaat[[#This Row],[uren / jaar weekend]]+Ruimtestaat[[#This Row],[uren / jaar werkdagen]]</f>
        <v>0</v>
      </c>
      <c r="AG747" s="61">
        <f>Ruimtestaat[[#This Row],[kosten / jaar weekend]]+Ruimtestaat[[#This Row],[kosten / jaar werkdagen]]</f>
        <v>0</v>
      </c>
      <c r="AH747" s="92"/>
      <c r="HL747" s="59"/>
    </row>
    <row r="748" spans="1:220">
      <c r="A748" s="24">
        <v>5</v>
      </c>
      <c r="B748" s="24" t="str">
        <f>VLOOKUP(Ruimtestaat[[#This Row],[Code]],Locaties[#All],2,FALSE)</f>
        <v>Marke Zuid</v>
      </c>
      <c r="C748" s="24" t="str">
        <f>VLOOKUP(Ruimtestaat[[#This Row],[Code]],Locaties[#All],4,FALSE)</f>
        <v>Ludgerstraat 1</v>
      </c>
      <c r="D748" s="24" t="str">
        <f>VLOOKUP(Ruimtestaat[[#This Row],[Code]],Locaties[#All],5,FALSE)</f>
        <v>7415 DV</v>
      </c>
      <c r="E748" s="24" t="str">
        <f>VLOOKUP(Ruimtestaat[[#This Row],[Code]],Locaties[#All],6,FALSE)</f>
        <v>Deventer</v>
      </c>
      <c r="F748" s="54"/>
      <c r="G748" s="24" t="s">
        <v>512</v>
      </c>
      <c r="H748" s="24" t="s">
        <v>1220</v>
      </c>
      <c r="I748" s="4" t="s">
        <v>1221</v>
      </c>
      <c r="J748" s="24">
        <v>5</v>
      </c>
      <c r="K748" s="54" t="str">
        <f>VLOOKUP(J748,Ruimtegroepen[],2,FALSE)</f>
        <v>Sanitair</v>
      </c>
      <c r="L748" s="24" t="s">
        <v>305</v>
      </c>
      <c r="M748" s="24" t="s">
        <v>373</v>
      </c>
      <c r="N748" s="83">
        <v>1.88</v>
      </c>
      <c r="O748" s="83"/>
      <c r="P748" s="93" t="str">
        <f>LEFT(VLOOKUP(Ruimtestaat[[#This Row],[Ruimte code]],Ruimtegroepen[#All],4,1),2)</f>
        <v>Sa</v>
      </c>
      <c r="Q748" s="93"/>
      <c r="R748" s="84">
        <v>42</v>
      </c>
      <c r="S748" s="84" t="s">
        <v>316</v>
      </c>
      <c r="T748" s="85">
        <f>IF(R748&gt;0,IF(RIGHT(Ruimtestaat[[#This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48" s="85">
        <f>IF(T748&gt;0,VLOOKUP($J748,Ruimtegroepen[],3,FALSE)*VLOOKUP($L748,Vloersoorten[],3,FALSE)*VLOOKUP($S748,Frequenties[],3,FALSE)*VLOOKUP($A748,Locaties[],3,FALSE),0)</f>
        <v>0</v>
      </c>
      <c r="V748" s="86">
        <f>Ruimtestaat[[#This Row],[Uitvoeringen werkdagen]]*Ruimtestaat[[#This Row],[Oppervlak (netto)]]</f>
        <v>789.59999999999991</v>
      </c>
      <c r="W748" s="87">
        <f>IF(U748&gt;0,Ruimtestaat[[#This Row],[Prest. (m2 /jaar) werkdagen]]/Ruimtestaat[[#This Row],[Norm (m2/uur) werkdagen]],0)</f>
        <v>0</v>
      </c>
      <c r="X748" s="88">
        <f>Ruimtestaat[[#This Row],[uren / jaar werkdagen]]*Tariefsopbouw!$E$35</f>
        <v>0</v>
      </c>
      <c r="Y748" s="85"/>
      <c r="Z748" s="89">
        <f>IF(Ruimtestaat[[#This Row],[Frequentie weekend]]&gt;0,VALUE(LEFT(Y748,1))*R748,0)</f>
        <v>0</v>
      </c>
      <c r="AA748" s="85">
        <f>IF($Z748&gt;0,VLOOKUP($J748,Ruimtegroepen[],3,FALSE)*VLOOKUP($L748,Vloersoorten[],3,FALSE)*VLOOKUP($Y748,Frequenties[],3,FALSE)*VLOOKUP(#REF!,Locaties[],3,FALSE),0)</f>
        <v>0</v>
      </c>
      <c r="AB748" s="87">
        <f>Ruimtestaat[[#This Row],[Uitvoeringen weekend]]*Ruimtestaat[[#This Row],[Oppervlak (netto)]]</f>
        <v>0</v>
      </c>
      <c r="AC748" s="90">
        <f>IF(AB748&gt;0,Ruimtestaat[[#This Row],[Prest. (m2 /jaar) weekend]]/Ruimtestaat[[#This Row],[Norm (m2/uur) weekend]],0)</f>
        <v>0</v>
      </c>
      <c r="AD748" s="91">
        <f>Ruimtestaat[[#This Row],[uren / jaar weekend]]*Tariefsopbouw!$D$40</f>
        <v>0</v>
      </c>
      <c r="AE748" s="60">
        <f>Ruimtestaat[[#This Row],[Prest. (m2 /jaar) weekend]]+Ruimtestaat[[#This Row],[Prest. (m2 /jaar) werkdagen]]</f>
        <v>789.59999999999991</v>
      </c>
      <c r="AF748" s="60">
        <f>Ruimtestaat[[#This Row],[uren / jaar weekend]]+Ruimtestaat[[#This Row],[uren / jaar werkdagen]]</f>
        <v>0</v>
      </c>
      <c r="AG748" s="61">
        <f>Ruimtestaat[[#This Row],[kosten / jaar weekend]]+Ruimtestaat[[#This Row],[kosten / jaar werkdagen]]</f>
        <v>0</v>
      </c>
      <c r="AH748" s="92"/>
      <c r="HL748" s="59"/>
    </row>
    <row r="749" spans="1:220">
      <c r="A749" s="24">
        <v>5</v>
      </c>
      <c r="B749" s="24" t="str">
        <f>VLOOKUP(Ruimtestaat[[#This Row],[Code]],Locaties[#All],2,FALSE)</f>
        <v>Marke Zuid</v>
      </c>
      <c r="C749" s="24" t="str">
        <f>VLOOKUP(Ruimtestaat[[#This Row],[Code]],Locaties[#All],4,FALSE)</f>
        <v>Ludgerstraat 1</v>
      </c>
      <c r="D749" s="24" t="str">
        <f>VLOOKUP(Ruimtestaat[[#This Row],[Code]],Locaties[#All],5,FALSE)</f>
        <v>7415 DV</v>
      </c>
      <c r="E749" s="24" t="str">
        <f>VLOOKUP(Ruimtestaat[[#This Row],[Code]],Locaties[#All],6,FALSE)</f>
        <v>Deventer</v>
      </c>
      <c r="F749" s="54"/>
      <c r="G749" s="24" t="s">
        <v>512</v>
      </c>
      <c r="H749" s="24" t="s">
        <v>516</v>
      </c>
      <c r="I749" s="4" t="s">
        <v>1222</v>
      </c>
      <c r="J749" s="24">
        <v>16</v>
      </c>
      <c r="K749" s="54" t="str">
        <f>VLOOKUP(J749,Ruimtegroepen[],2,FALSE)</f>
        <v>Leslokalen theorie</v>
      </c>
      <c r="L749" s="24" t="s">
        <v>300</v>
      </c>
      <c r="M749" s="24" t="s">
        <v>997</v>
      </c>
      <c r="N749" s="83">
        <v>133.36000000000001</v>
      </c>
      <c r="O749" s="83"/>
      <c r="P749" s="93" t="str">
        <f>LEFT(VLOOKUP(Ruimtestaat[[#This Row],[Ruimte code]],Ruimtegroepen[#All],4,1),2)</f>
        <v>Le</v>
      </c>
      <c r="Q749" s="93"/>
      <c r="R749" s="84">
        <v>40</v>
      </c>
      <c r="S749" s="84" t="s">
        <v>318</v>
      </c>
      <c r="T749" s="85">
        <f>IF(R749&gt;0,IF(RIGHT(Ruimtestaat[[#This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9" s="85">
        <f>IF(T749&gt;0,VLOOKUP($J749,Ruimtegroepen[],3,FALSE)*VLOOKUP($L749,Vloersoorten[],3,FALSE)*VLOOKUP($S749,Frequenties[],3,FALSE)*VLOOKUP($A749,Locaties[],3,FALSE),0)</f>
        <v>0</v>
      </c>
      <c r="V749" s="86">
        <f>Ruimtestaat[[#This Row],[Uitvoeringen werkdagen]]*Ruimtestaat[[#This Row],[Oppervlak (netto)]]</f>
        <v>26672.000000000004</v>
      </c>
      <c r="W749" s="87">
        <f>IF(U749&gt;0,Ruimtestaat[[#This Row],[Prest. (m2 /jaar) werkdagen]]/Ruimtestaat[[#This Row],[Norm (m2/uur) werkdagen]],0)</f>
        <v>0</v>
      </c>
      <c r="X749" s="88">
        <f>Ruimtestaat[[#This Row],[uren / jaar werkdagen]]*Tariefsopbouw!$E$35</f>
        <v>0</v>
      </c>
      <c r="Y749" s="85"/>
      <c r="Z749" s="89">
        <f>IF(Ruimtestaat[[#This Row],[Frequentie weekend]]&gt;0,VALUE(LEFT(Y749,1))*R749,0)</f>
        <v>0</v>
      </c>
      <c r="AA749" s="85">
        <f>IF($Z749&gt;0,VLOOKUP($J749,Ruimtegroepen[],3,FALSE)*VLOOKUP($L749,Vloersoorten[],3,FALSE)*VLOOKUP($Y749,Frequenties[],3,FALSE)*VLOOKUP(#REF!,Locaties[],3,FALSE),0)</f>
        <v>0</v>
      </c>
      <c r="AB749" s="87">
        <f>Ruimtestaat[[#This Row],[Uitvoeringen weekend]]*Ruimtestaat[[#This Row],[Oppervlak (netto)]]</f>
        <v>0</v>
      </c>
      <c r="AC749" s="90">
        <f>IF(AB749&gt;0,Ruimtestaat[[#This Row],[Prest. (m2 /jaar) weekend]]/Ruimtestaat[[#This Row],[Norm (m2/uur) weekend]],0)</f>
        <v>0</v>
      </c>
      <c r="AD749" s="91">
        <f>Ruimtestaat[[#This Row],[uren / jaar weekend]]*Tariefsopbouw!$D$40</f>
        <v>0</v>
      </c>
      <c r="AE749" s="60">
        <f>Ruimtestaat[[#This Row],[Prest. (m2 /jaar) weekend]]+Ruimtestaat[[#This Row],[Prest. (m2 /jaar) werkdagen]]</f>
        <v>26672.000000000004</v>
      </c>
      <c r="AF749" s="60">
        <f>Ruimtestaat[[#This Row],[uren / jaar weekend]]+Ruimtestaat[[#This Row],[uren / jaar werkdagen]]</f>
        <v>0</v>
      </c>
      <c r="AG749" s="61">
        <f>Ruimtestaat[[#This Row],[kosten / jaar weekend]]+Ruimtestaat[[#This Row],[kosten / jaar werkdagen]]</f>
        <v>0</v>
      </c>
      <c r="AH749" s="92"/>
      <c r="HL749" s="59"/>
    </row>
    <row r="750" spans="1:220">
      <c r="A750" s="24">
        <v>5</v>
      </c>
      <c r="B750" s="24" t="str">
        <f>VLOOKUP(Ruimtestaat[[#This Row],[Code]],Locaties[#All],2,FALSE)</f>
        <v>Marke Zuid</v>
      </c>
      <c r="C750" s="24" t="str">
        <f>VLOOKUP(Ruimtestaat[[#This Row],[Code]],Locaties[#All],4,FALSE)</f>
        <v>Ludgerstraat 1</v>
      </c>
      <c r="D750" s="24" t="str">
        <f>VLOOKUP(Ruimtestaat[[#This Row],[Code]],Locaties[#All],5,FALSE)</f>
        <v>7415 DV</v>
      </c>
      <c r="E750" s="24" t="str">
        <f>VLOOKUP(Ruimtestaat[[#This Row],[Code]],Locaties[#All],6,FALSE)</f>
        <v>Deventer</v>
      </c>
      <c r="F750" s="54"/>
      <c r="G750" s="24" t="s">
        <v>512</v>
      </c>
      <c r="H750" s="24" t="s">
        <v>517</v>
      </c>
      <c r="I750" s="4" t="s">
        <v>1222</v>
      </c>
      <c r="J750" s="24">
        <v>16</v>
      </c>
      <c r="K750" s="54" t="str">
        <f>VLOOKUP(J750,Ruimtegroepen[],2,FALSE)</f>
        <v>Leslokalen theorie</v>
      </c>
      <c r="L750" s="24" t="s">
        <v>300</v>
      </c>
      <c r="M750" s="24" t="s">
        <v>997</v>
      </c>
      <c r="N750" s="83">
        <v>66.61</v>
      </c>
      <c r="O750" s="83"/>
      <c r="P750" s="93" t="str">
        <f>LEFT(VLOOKUP(Ruimtestaat[[#This Row],[Ruimte code]],Ruimtegroepen[#All],4,1),2)</f>
        <v>Le</v>
      </c>
      <c r="Q750" s="93"/>
      <c r="R750" s="84">
        <v>40</v>
      </c>
      <c r="S750" s="84" t="s">
        <v>318</v>
      </c>
      <c r="T750" s="85">
        <f>IF(R750&gt;0,IF(RIGHT(Ruimtestaat[[#This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0" s="85">
        <f>IF(T750&gt;0,VLOOKUP($J750,Ruimtegroepen[],3,FALSE)*VLOOKUP($L750,Vloersoorten[],3,FALSE)*VLOOKUP($S750,Frequenties[],3,FALSE)*VLOOKUP($A750,Locaties[],3,FALSE),0)</f>
        <v>0</v>
      </c>
      <c r="V750" s="86">
        <f>Ruimtestaat[[#This Row],[Uitvoeringen werkdagen]]*Ruimtestaat[[#This Row],[Oppervlak (netto)]]</f>
        <v>13322</v>
      </c>
      <c r="W750" s="87">
        <f>IF(U750&gt;0,Ruimtestaat[[#This Row],[Prest. (m2 /jaar) werkdagen]]/Ruimtestaat[[#This Row],[Norm (m2/uur) werkdagen]],0)</f>
        <v>0</v>
      </c>
      <c r="X750" s="88">
        <f>Ruimtestaat[[#This Row],[uren / jaar werkdagen]]*Tariefsopbouw!$E$35</f>
        <v>0</v>
      </c>
      <c r="Y750" s="85"/>
      <c r="Z750" s="89">
        <f>IF(Ruimtestaat[[#This Row],[Frequentie weekend]]&gt;0,VALUE(LEFT(Y750,1))*R750,0)</f>
        <v>0</v>
      </c>
      <c r="AA750" s="85">
        <f>IF($Z750&gt;0,VLOOKUP($J750,Ruimtegroepen[],3,FALSE)*VLOOKUP($L750,Vloersoorten[],3,FALSE)*VLOOKUP($Y750,Frequenties[],3,FALSE)*VLOOKUP(#REF!,Locaties[],3,FALSE),0)</f>
        <v>0</v>
      </c>
      <c r="AB750" s="87">
        <f>Ruimtestaat[[#This Row],[Uitvoeringen weekend]]*Ruimtestaat[[#This Row],[Oppervlak (netto)]]</f>
        <v>0</v>
      </c>
      <c r="AC750" s="90">
        <f>IF(AB750&gt;0,Ruimtestaat[[#This Row],[Prest. (m2 /jaar) weekend]]/Ruimtestaat[[#This Row],[Norm (m2/uur) weekend]],0)</f>
        <v>0</v>
      </c>
      <c r="AD750" s="91">
        <f>Ruimtestaat[[#This Row],[uren / jaar weekend]]*Tariefsopbouw!$D$40</f>
        <v>0</v>
      </c>
      <c r="AE750" s="60">
        <f>Ruimtestaat[[#This Row],[Prest. (m2 /jaar) weekend]]+Ruimtestaat[[#This Row],[Prest. (m2 /jaar) werkdagen]]</f>
        <v>13322</v>
      </c>
      <c r="AF750" s="60">
        <f>Ruimtestaat[[#This Row],[uren / jaar weekend]]+Ruimtestaat[[#This Row],[uren / jaar werkdagen]]</f>
        <v>0</v>
      </c>
      <c r="AG750" s="61">
        <f>Ruimtestaat[[#This Row],[kosten / jaar weekend]]+Ruimtestaat[[#This Row],[kosten / jaar werkdagen]]</f>
        <v>0</v>
      </c>
      <c r="AH750" s="92"/>
      <c r="HL750" s="59"/>
    </row>
    <row r="751" spans="1:220">
      <c r="A751" s="24">
        <v>5</v>
      </c>
      <c r="B751" s="24" t="str">
        <f>VLOOKUP(Ruimtestaat[[#This Row],[Code]],Locaties[#All],2,FALSE)</f>
        <v>Marke Zuid</v>
      </c>
      <c r="C751" s="24" t="str">
        <f>VLOOKUP(Ruimtestaat[[#This Row],[Code]],Locaties[#All],4,FALSE)</f>
        <v>Ludgerstraat 1</v>
      </c>
      <c r="D751" s="24" t="str">
        <f>VLOOKUP(Ruimtestaat[[#This Row],[Code]],Locaties[#All],5,FALSE)</f>
        <v>7415 DV</v>
      </c>
      <c r="E751" s="24" t="str">
        <f>VLOOKUP(Ruimtestaat[[#This Row],[Code]],Locaties[#All],6,FALSE)</f>
        <v>Deventer</v>
      </c>
      <c r="F751" s="54"/>
      <c r="G751" s="24" t="s">
        <v>512</v>
      </c>
      <c r="H751" s="24" t="s">
        <v>518</v>
      </c>
      <c r="I751" s="4" t="s">
        <v>1098</v>
      </c>
      <c r="J751" s="24">
        <v>16</v>
      </c>
      <c r="K751" s="54" t="str">
        <f>VLOOKUP(J751,Ruimtegroepen[],2,FALSE)</f>
        <v>Leslokalen theorie</v>
      </c>
      <c r="L751" s="24" t="s">
        <v>300</v>
      </c>
      <c r="M751" s="24" t="s">
        <v>997</v>
      </c>
      <c r="N751" s="83">
        <v>66.33</v>
      </c>
      <c r="O751" s="83"/>
      <c r="P751" s="93" t="str">
        <f>LEFT(VLOOKUP(Ruimtestaat[[#This Row],[Ruimte code]],Ruimtegroepen[#All],4,1),2)</f>
        <v>Le</v>
      </c>
      <c r="Q751" s="93"/>
      <c r="R751" s="84">
        <v>40</v>
      </c>
      <c r="S751" s="84" t="s">
        <v>318</v>
      </c>
      <c r="T751" s="85">
        <f>IF(R751&gt;0,IF(RIGHT(Ruimtestaat[[#This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1" s="85">
        <f>IF(T751&gt;0,VLOOKUP($J751,Ruimtegroepen[],3,FALSE)*VLOOKUP($L751,Vloersoorten[],3,FALSE)*VLOOKUP($S751,Frequenties[],3,FALSE)*VLOOKUP($A751,Locaties[],3,FALSE),0)</f>
        <v>0</v>
      </c>
      <c r="V751" s="86">
        <f>Ruimtestaat[[#This Row],[Uitvoeringen werkdagen]]*Ruimtestaat[[#This Row],[Oppervlak (netto)]]</f>
        <v>13266</v>
      </c>
      <c r="W751" s="87">
        <f>IF(U751&gt;0,Ruimtestaat[[#This Row],[Prest. (m2 /jaar) werkdagen]]/Ruimtestaat[[#This Row],[Norm (m2/uur) werkdagen]],0)</f>
        <v>0</v>
      </c>
      <c r="X751" s="88">
        <f>Ruimtestaat[[#This Row],[uren / jaar werkdagen]]*Tariefsopbouw!$E$35</f>
        <v>0</v>
      </c>
      <c r="Y751" s="85"/>
      <c r="Z751" s="89">
        <f>IF(Ruimtestaat[[#This Row],[Frequentie weekend]]&gt;0,VALUE(LEFT(Y751,1))*R751,0)</f>
        <v>0</v>
      </c>
      <c r="AA751" s="85">
        <f>IF($Z751&gt;0,VLOOKUP($J751,Ruimtegroepen[],3,FALSE)*VLOOKUP($L751,Vloersoorten[],3,FALSE)*VLOOKUP($Y751,Frequenties[],3,FALSE)*VLOOKUP(#REF!,Locaties[],3,FALSE),0)</f>
        <v>0</v>
      </c>
      <c r="AB751" s="87">
        <f>Ruimtestaat[[#This Row],[Uitvoeringen weekend]]*Ruimtestaat[[#This Row],[Oppervlak (netto)]]</f>
        <v>0</v>
      </c>
      <c r="AC751" s="90">
        <f>IF(AB751&gt;0,Ruimtestaat[[#This Row],[Prest. (m2 /jaar) weekend]]/Ruimtestaat[[#This Row],[Norm (m2/uur) weekend]],0)</f>
        <v>0</v>
      </c>
      <c r="AD751" s="91">
        <f>Ruimtestaat[[#This Row],[uren / jaar weekend]]*Tariefsopbouw!$D$40</f>
        <v>0</v>
      </c>
      <c r="AE751" s="60">
        <f>Ruimtestaat[[#This Row],[Prest. (m2 /jaar) weekend]]+Ruimtestaat[[#This Row],[Prest. (m2 /jaar) werkdagen]]</f>
        <v>13266</v>
      </c>
      <c r="AF751" s="60">
        <f>Ruimtestaat[[#This Row],[uren / jaar weekend]]+Ruimtestaat[[#This Row],[uren / jaar werkdagen]]</f>
        <v>0</v>
      </c>
      <c r="AG751" s="61">
        <f>Ruimtestaat[[#This Row],[kosten / jaar weekend]]+Ruimtestaat[[#This Row],[kosten / jaar werkdagen]]</f>
        <v>0</v>
      </c>
      <c r="AH751" s="92"/>
      <c r="HL751" s="59"/>
    </row>
    <row r="752" spans="1:220">
      <c r="A752" s="24">
        <v>5</v>
      </c>
      <c r="B752" s="24" t="str">
        <f>VLOOKUP(Ruimtestaat[[#This Row],[Code]],Locaties[#All],2,FALSE)</f>
        <v>Marke Zuid</v>
      </c>
      <c r="C752" s="24" t="str">
        <f>VLOOKUP(Ruimtestaat[[#This Row],[Code]],Locaties[#All],4,FALSE)</f>
        <v>Ludgerstraat 1</v>
      </c>
      <c r="D752" s="24" t="str">
        <f>VLOOKUP(Ruimtestaat[[#This Row],[Code]],Locaties[#All],5,FALSE)</f>
        <v>7415 DV</v>
      </c>
      <c r="E752" s="24" t="str">
        <f>VLOOKUP(Ruimtestaat[[#This Row],[Code]],Locaties[#All],6,FALSE)</f>
        <v>Deventer</v>
      </c>
      <c r="F752" s="54"/>
      <c r="G752" s="24" t="s">
        <v>512</v>
      </c>
      <c r="H752" s="24" t="s">
        <v>520</v>
      </c>
      <c r="I752" s="4" t="s">
        <v>1098</v>
      </c>
      <c r="J752" s="24">
        <v>16</v>
      </c>
      <c r="K752" s="54" t="str">
        <f>VLOOKUP(J752,Ruimtegroepen[],2,FALSE)</f>
        <v>Leslokalen theorie</v>
      </c>
      <c r="L752" s="24" t="s">
        <v>300</v>
      </c>
      <c r="M752" s="24" t="s">
        <v>997</v>
      </c>
      <c r="N752" s="83">
        <v>66.569999999999993</v>
      </c>
      <c r="O752" s="83"/>
      <c r="P752" s="93" t="str">
        <f>LEFT(VLOOKUP(Ruimtestaat[[#This Row],[Ruimte code]],Ruimtegroepen[#All],4,1),2)</f>
        <v>Le</v>
      </c>
      <c r="Q752" s="93"/>
      <c r="R752" s="84">
        <v>40</v>
      </c>
      <c r="S752" s="84" t="s">
        <v>318</v>
      </c>
      <c r="T752" s="85">
        <f>IF(R752&gt;0,IF(RIGHT(Ruimtestaat[[#This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2" s="85">
        <f>IF(T752&gt;0,VLOOKUP($J752,Ruimtegroepen[],3,FALSE)*VLOOKUP($L752,Vloersoorten[],3,FALSE)*VLOOKUP($S752,Frequenties[],3,FALSE)*VLOOKUP($A752,Locaties[],3,FALSE),0)</f>
        <v>0</v>
      </c>
      <c r="V752" s="86">
        <f>Ruimtestaat[[#This Row],[Uitvoeringen werkdagen]]*Ruimtestaat[[#This Row],[Oppervlak (netto)]]</f>
        <v>13313.999999999998</v>
      </c>
      <c r="W752" s="87">
        <f>IF(U752&gt;0,Ruimtestaat[[#This Row],[Prest. (m2 /jaar) werkdagen]]/Ruimtestaat[[#This Row],[Norm (m2/uur) werkdagen]],0)</f>
        <v>0</v>
      </c>
      <c r="X752" s="88">
        <f>Ruimtestaat[[#This Row],[uren / jaar werkdagen]]*Tariefsopbouw!$E$35</f>
        <v>0</v>
      </c>
      <c r="Y752" s="85"/>
      <c r="Z752" s="89">
        <f>IF(Ruimtestaat[[#This Row],[Frequentie weekend]]&gt;0,VALUE(LEFT(Y752,1))*R752,0)</f>
        <v>0</v>
      </c>
      <c r="AA752" s="85">
        <f>IF($Z752&gt;0,VLOOKUP($J752,Ruimtegroepen[],3,FALSE)*VLOOKUP($L752,Vloersoorten[],3,FALSE)*VLOOKUP($Y752,Frequenties[],3,FALSE)*VLOOKUP(#REF!,Locaties[],3,FALSE),0)</f>
        <v>0</v>
      </c>
      <c r="AB752" s="87">
        <f>Ruimtestaat[[#This Row],[Uitvoeringen weekend]]*Ruimtestaat[[#This Row],[Oppervlak (netto)]]</f>
        <v>0</v>
      </c>
      <c r="AC752" s="90">
        <f>IF(AB752&gt;0,Ruimtestaat[[#This Row],[Prest. (m2 /jaar) weekend]]/Ruimtestaat[[#This Row],[Norm (m2/uur) weekend]],0)</f>
        <v>0</v>
      </c>
      <c r="AD752" s="91">
        <f>Ruimtestaat[[#This Row],[uren / jaar weekend]]*Tariefsopbouw!$D$40</f>
        <v>0</v>
      </c>
      <c r="AE752" s="60">
        <f>Ruimtestaat[[#This Row],[Prest. (m2 /jaar) weekend]]+Ruimtestaat[[#This Row],[Prest. (m2 /jaar) werkdagen]]</f>
        <v>13313.999999999998</v>
      </c>
      <c r="AF752" s="60">
        <f>Ruimtestaat[[#This Row],[uren / jaar weekend]]+Ruimtestaat[[#This Row],[uren / jaar werkdagen]]</f>
        <v>0</v>
      </c>
      <c r="AG752" s="61">
        <f>Ruimtestaat[[#This Row],[kosten / jaar weekend]]+Ruimtestaat[[#This Row],[kosten / jaar werkdagen]]</f>
        <v>0</v>
      </c>
      <c r="AH752" s="92"/>
      <c r="HL752" s="59"/>
    </row>
    <row r="753" spans="1:220">
      <c r="A753" s="24">
        <v>5</v>
      </c>
      <c r="B753" s="24" t="str">
        <f>VLOOKUP(Ruimtestaat[[#This Row],[Code]],Locaties[#All],2,FALSE)</f>
        <v>Marke Zuid</v>
      </c>
      <c r="C753" s="24" t="str">
        <f>VLOOKUP(Ruimtestaat[[#This Row],[Code]],Locaties[#All],4,FALSE)</f>
        <v>Ludgerstraat 1</v>
      </c>
      <c r="D753" s="24" t="str">
        <f>VLOOKUP(Ruimtestaat[[#This Row],[Code]],Locaties[#All],5,FALSE)</f>
        <v>7415 DV</v>
      </c>
      <c r="E753" s="24" t="str">
        <f>VLOOKUP(Ruimtestaat[[#This Row],[Code]],Locaties[#All],6,FALSE)</f>
        <v>Deventer</v>
      </c>
      <c r="F753" s="54"/>
      <c r="G753" s="24" t="s">
        <v>512</v>
      </c>
      <c r="H753" s="24" t="s">
        <v>522</v>
      </c>
      <c r="I753" s="4" t="s">
        <v>1098</v>
      </c>
      <c r="J753" s="24">
        <v>16</v>
      </c>
      <c r="K753" s="54" t="str">
        <f>VLOOKUP(J753,Ruimtegroepen[],2,FALSE)</f>
        <v>Leslokalen theorie</v>
      </c>
      <c r="L753" s="24" t="s">
        <v>300</v>
      </c>
      <c r="M753" s="24" t="s">
        <v>997</v>
      </c>
      <c r="N753" s="83">
        <v>65.77</v>
      </c>
      <c r="O753" s="83"/>
      <c r="P753" s="93" t="str">
        <f>LEFT(VLOOKUP(Ruimtestaat[[#This Row],[Ruimte code]],Ruimtegroepen[#All],4,1),2)</f>
        <v>Le</v>
      </c>
      <c r="Q753" s="93"/>
      <c r="R753" s="84">
        <v>40</v>
      </c>
      <c r="S753" s="84" t="s">
        <v>318</v>
      </c>
      <c r="T753" s="85">
        <f>IF(R753&gt;0,IF(RIGHT(Ruimtestaat[[#This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3" s="85">
        <f>IF(T753&gt;0,VLOOKUP($J753,Ruimtegroepen[],3,FALSE)*VLOOKUP($L753,Vloersoorten[],3,FALSE)*VLOOKUP($S753,Frequenties[],3,FALSE)*VLOOKUP($A753,Locaties[],3,FALSE),0)</f>
        <v>0</v>
      </c>
      <c r="V753" s="86">
        <f>Ruimtestaat[[#This Row],[Uitvoeringen werkdagen]]*Ruimtestaat[[#This Row],[Oppervlak (netto)]]</f>
        <v>13154</v>
      </c>
      <c r="W753" s="87">
        <f>IF(U753&gt;0,Ruimtestaat[[#This Row],[Prest. (m2 /jaar) werkdagen]]/Ruimtestaat[[#This Row],[Norm (m2/uur) werkdagen]],0)</f>
        <v>0</v>
      </c>
      <c r="X753" s="88">
        <f>Ruimtestaat[[#This Row],[uren / jaar werkdagen]]*Tariefsopbouw!$E$35</f>
        <v>0</v>
      </c>
      <c r="Y753" s="85"/>
      <c r="Z753" s="89">
        <f>IF(Ruimtestaat[[#This Row],[Frequentie weekend]]&gt;0,VALUE(LEFT(Y753,1))*R753,0)</f>
        <v>0</v>
      </c>
      <c r="AA753" s="85">
        <f>IF($Z753&gt;0,VLOOKUP($J753,Ruimtegroepen[],3,FALSE)*VLOOKUP($L753,Vloersoorten[],3,FALSE)*VLOOKUP($Y753,Frequenties[],3,FALSE)*VLOOKUP(#REF!,Locaties[],3,FALSE),0)</f>
        <v>0</v>
      </c>
      <c r="AB753" s="87">
        <f>Ruimtestaat[[#This Row],[Uitvoeringen weekend]]*Ruimtestaat[[#This Row],[Oppervlak (netto)]]</f>
        <v>0</v>
      </c>
      <c r="AC753" s="90">
        <f>IF(AB753&gt;0,Ruimtestaat[[#This Row],[Prest. (m2 /jaar) weekend]]/Ruimtestaat[[#This Row],[Norm (m2/uur) weekend]],0)</f>
        <v>0</v>
      </c>
      <c r="AD753" s="91">
        <f>Ruimtestaat[[#This Row],[uren / jaar weekend]]*Tariefsopbouw!$D$40</f>
        <v>0</v>
      </c>
      <c r="AE753" s="60">
        <f>Ruimtestaat[[#This Row],[Prest. (m2 /jaar) weekend]]+Ruimtestaat[[#This Row],[Prest. (m2 /jaar) werkdagen]]</f>
        <v>13154</v>
      </c>
      <c r="AF753" s="60">
        <f>Ruimtestaat[[#This Row],[uren / jaar weekend]]+Ruimtestaat[[#This Row],[uren / jaar werkdagen]]</f>
        <v>0</v>
      </c>
      <c r="AG753" s="61">
        <f>Ruimtestaat[[#This Row],[kosten / jaar weekend]]+Ruimtestaat[[#This Row],[kosten / jaar werkdagen]]</f>
        <v>0</v>
      </c>
      <c r="AH753" s="92"/>
      <c r="HL753" s="59"/>
    </row>
    <row r="754" spans="1:220">
      <c r="A754" s="24">
        <v>5</v>
      </c>
      <c r="B754" s="24" t="str">
        <f>VLOOKUP(Ruimtestaat[[#This Row],[Code]],Locaties[#All],2,FALSE)</f>
        <v>Marke Zuid</v>
      </c>
      <c r="C754" s="24" t="str">
        <f>VLOOKUP(Ruimtestaat[[#This Row],[Code]],Locaties[#All],4,FALSE)</f>
        <v>Ludgerstraat 1</v>
      </c>
      <c r="D754" s="24" t="str">
        <f>VLOOKUP(Ruimtestaat[[#This Row],[Code]],Locaties[#All],5,FALSE)</f>
        <v>7415 DV</v>
      </c>
      <c r="E754" s="24" t="str">
        <f>VLOOKUP(Ruimtestaat[[#This Row],[Code]],Locaties[#All],6,FALSE)</f>
        <v>Deventer</v>
      </c>
      <c r="F754" s="54"/>
      <c r="G754" s="24" t="s">
        <v>512</v>
      </c>
      <c r="H754" s="24" t="s">
        <v>1223</v>
      </c>
      <c r="I754" s="4" t="s">
        <v>1224</v>
      </c>
      <c r="J754" s="24">
        <v>22</v>
      </c>
      <c r="K754" s="54" t="str">
        <f>VLOOKUP(J754,Ruimtegroepen[],2,FALSE)</f>
        <v>Niet in onderhoud</v>
      </c>
      <c r="M754" s="24" t="s">
        <v>1225</v>
      </c>
      <c r="N754" s="83"/>
      <c r="O754" s="83">
        <v>7.69</v>
      </c>
      <c r="P754" s="93" t="str">
        <f>LEFT(VLOOKUP(Ruimtestaat[[#This Row],[Ruimte code]],Ruimtegroepen[#All],4,1),2)</f>
        <v/>
      </c>
      <c r="Q754" s="93"/>
      <c r="R754" s="84"/>
      <c r="S754" s="84"/>
      <c r="T754" s="85">
        <f>IF(R754&gt;0,IF(RIGHT(Ruimtestaat[[#This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54" s="85">
        <f>IF(T754&gt;0,VLOOKUP($J754,Ruimtegroepen[],3,FALSE)*VLOOKUP($L754,Vloersoorten[],3,FALSE)*VLOOKUP($S754,Frequenties[],3,FALSE)*VLOOKUP($A754,Locaties[],3,FALSE),0)</f>
        <v>0</v>
      </c>
      <c r="V754" s="86">
        <f>Ruimtestaat[[#This Row],[Uitvoeringen werkdagen]]*Ruimtestaat[[#This Row],[Oppervlak (netto)]]</f>
        <v>0</v>
      </c>
      <c r="W754" s="87">
        <f>IF(U754&gt;0,Ruimtestaat[[#This Row],[Prest. (m2 /jaar) werkdagen]]/Ruimtestaat[[#This Row],[Norm (m2/uur) werkdagen]],0)</f>
        <v>0</v>
      </c>
      <c r="X754" s="88">
        <f>Ruimtestaat[[#This Row],[uren / jaar werkdagen]]*Tariefsopbouw!$E$35</f>
        <v>0</v>
      </c>
      <c r="Y754" s="85"/>
      <c r="Z754" s="89">
        <f>IF(Ruimtestaat[[#This Row],[Frequentie weekend]]&gt;0,VALUE(LEFT(Y754,1))*R754,0)</f>
        <v>0</v>
      </c>
      <c r="AA754" s="85">
        <f>IF($Z754&gt;0,VLOOKUP($J754,Ruimtegroepen[],3,FALSE)*VLOOKUP($L754,Vloersoorten[],3,FALSE)*VLOOKUP($Y754,Frequenties[],3,FALSE)*VLOOKUP(#REF!,Locaties[],3,FALSE),0)</f>
        <v>0</v>
      </c>
      <c r="AB754" s="87">
        <f>Ruimtestaat[[#This Row],[Uitvoeringen weekend]]*Ruimtestaat[[#This Row],[Oppervlak (netto)]]</f>
        <v>0</v>
      </c>
      <c r="AC754" s="90">
        <f>IF(AB754&gt;0,Ruimtestaat[[#This Row],[Prest. (m2 /jaar) weekend]]/Ruimtestaat[[#This Row],[Norm (m2/uur) weekend]],0)</f>
        <v>0</v>
      </c>
      <c r="AD754" s="91">
        <f>Ruimtestaat[[#This Row],[uren / jaar weekend]]*Tariefsopbouw!$D$40</f>
        <v>0</v>
      </c>
      <c r="AE754" s="60">
        <f>Ruimtestaat[[#This Row],[Prest. (m2 /jaar) weekend]]+Ruimtestaat[[#This Row],[Prest. (m2 /jaar) werkdagen]]</f>
        <v>0</v>
      </c>
      <c r="AF754" s="60">
        <f>Ruimtestaat[[#This Row],[uren / jaar weekend]]+Ruimtestaat[[#This Row],[uren / jaar werkdagen]]</f>
        <v>0</v>
      </c>
      <c r="AG754" s="61">
        <f>Ruimtestaat[[#This Row],[kosten / jaar weekend]]+Ruimtestaat[[#This Row],[kosten / jaar werkdagen]]</f>
        <v>0</v>
      </c>
      <c r="AH754" s="92"/>
      <c r="HL754" s="59"/>
    </row>
    <row r="755" spans="1:220">
      <c r="A755" s="24">
        <v>5</v>
      </c>
      <c r="B755" s="24" t="str">
        <f>VLOOKUP(Ruimtestaat[[#This Row],[Code]],Locaties[#All],2,FALSE)</f>
        <v>Marke Zuid</v>
      </c>
      <c r="C755" s="24" t="str">
        <f>VLOOKUP(Ruimtestaat[[#This Row],[Code]],Locaties[#All],4,FALSE)</f>
        <v>Ludgerstraat 1</v>
      </c>
      <c r="D755" s="24" t="str">
        <f>VLOOKUP(Ruimtestaat[[#This Row],[Code]],Locaties[#All],5,FALSE)</f>
        <v>7415 DV</v>
      </c>
      <c r="E755" s="24" t="str">
        <f>VLOOKUP(Ruimtestaat[[#This Row],[Code]],Locaties[#All],6,FALSE)</f>
        <v>Deventer</v>
      </c>
      <c r="F755" s="54"/>
      <c r="G755" s="24" t="s">
        <v>512</v>
      </c>
      <c r="H755" s="24" t="s">
        <v>523</v>
      </c>
      <c r="I755" s="4" t="s">
        <v>1098</v>
      </c>
      <c r="J755" s="24">
        <v>16</v>
      </c>
      <c r="K755" s="54" t="str">
        <f>VLOOKUP(J755,Ruimtegroepen[],2,FALSE)</f>
        <v>Leslokalen theorie</v>
      </c>
      <c r="L755" s="24" t="s">
        <v>300</v>
      </c>
      <c r="M755" s="24" t="s">
        <v>997</v>
      </c>
      <c r="N755" s="83">
        <v>66.36</v>
      </c>
      <c r="O755" s="83"/>
      <c r="P755" s="93" t="str">
        <f>LEFT(VLOOKUP(Ruimtestaat[[#This Row],[Ruimte code]],Ruimtegroepen[#All],4,1),2)</f>
        <v>Le</v>
      </c>
      <c r="Q755" s="93"/>
      <c r="R755" s="84">
        <v>40</v>
      </c>
      <c r="S755" s="84" t="s">
        <v>318</v>
      </c>
      <c r="T755" s="85">
        <f>IF(R755&gt;0,IF(RIGHT(Ruimtestaat[[#This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5" s="85">
        <f>IF(T755&gt;0,VLOOKUP($J755,Ruimtegroepen[],3,FALSE)*VLOOKUP($L755,Vloersoorten[],3,FALSE)*VLOOKUP($S755,Frequenties[],3,FALSE)*VLOOKUP($A755,Locaties[],3,FALSE),0)</f>
        <v>0</v>
      </c>
      <c r="V755" s="86">
        <f>Ruimtestaat[[#This Row],[Uitvoeringen werkdagen]]*Ruimtestaat[[#This Row],[Oppervlak (netto)]]</f>
        <v>13272</v>
      </c>
      <c r="W755" s="87">
        <f>IF(U755&gt;0,Ruimtestaat[[#This Row],[Prest. (m2 /jaar) werkdagen]]/Ruimtestaat[[#This Row],[Norm (m2/uur) werkdagen]],0)</f>
        <v>0</v>
      </c>
      <c r="X755" s="88">
        <f>Ruimtestaat[[#This Row],[uren / jaar werkdagen]]*Tariefsopbouw!$E$35</f>
        <v>0</v>
      </c>
      <c r="Y755" s="85"/>
      <c r="Z755" s="89">
        <f>IF(Ruimtestaat[[#This Row],[Frequentie weekend]]&gt;0,VALUE(LEFT(Y755,1))*R755,0)</f>
        <v>0</v>
      </c>
      <c r="AA755" s="85">
        <f>IF($Z755&gt;0,VLOOKUP($J755,Ruimtegroepen[],3,FALSE)*VLOOKUP($L755,Vloersoorten[],3,FALSE)*VLOOKUP($Y755,Frequenties[],3,FALSE)*VLOOKUP(#REF!,Locaties[],3,FALSE),0)</f>
        <v>0</v>
      </c>
      <c r="AB755" s="87">
        <f>Ruimtestaat[[#This Row],[Uitvoeringen weekend]]*Ruimtestaat[[#This Row],[Oppervlak (netto)]]</f>
        <v>0</v>
      </c>
      <c r="AC755" s="90">
        <f>IF(AB755&gt;0,Ruimtestaat[[#This Row],[Prest. (m2 /jaar) weekend]]/Ruimtestaat[[#This Row],[Norm (m2/uur) weekend]],0)</f>
        <v>0</v>
      </c>
      <c r="AD755" s="91">
        <f>Ruimtestaat[[#This Row],[uren / jaar weekend]]*Tariefsopbouw!$D$40</f>
        <v>0</v>
      </c>
      <c r="AE755" s="60">
        <f>Ruimtestaat[[#This Row],[Prest. (m2 /jaar) weekend]]+Ruimtestaat[[#This Row],[Prest. (m2 /jaar) werkdagen]]</f>
        <v>13272</v>
      </c>
      <c r="AF755" s="60">
        <f>Ruimtestaat[[#This Row],[uren / jaar weekend]]+Ruimtestaat[[#This Row],[uren / jaar werkdagen]]</f>
        <v>0</v>
      </c>
      <c r="AG755" s="61">
        <f>Ruimtestaat[[#This Row],[kosten / jaar weekend]]+Ruimtestaat[[#This Row],[kosten / jaar werkdagen]]</f>
        <v>0</v>
      </c>
      <c r="AH755" s="92"/>
      <c r="HL755" s="59"/>
    </row>
    <row r="756" spans="1:220">
      <c r="A756" s="24">
        <v>5</v>
      </c>
      <c r="B756" s="24" t="str">
        <f>VLOOKUP(Ruimtestaat[[#This Row],[Code]],Locaties[#All],2,FALSE)</f>
        <v>Marke Zuid</v>
      </c>
      <c r="C756" s="24" t="str">
        <f>VLOOKUP(Ruimtestaat[[#This Row],[Code]],Locaties[#All],4,FALSE)</f>
        <v>Ludgerstraat 1</v>
      </c>
      <c r="D756" s="24" t="str">
        <f>VLOOKUP(Ruimtestaat[[#This Row],[Code]],Locaties[#All],5,FALSE)</f>
        <v>7415 DV</v>
      </c>
      <c r="E756" s="24" t="str">
        <f>VLOOKUP(Ruimtestaat[[#This Row],[Code]],Locaties[#All],6,FALSE)</f>
        <v>Deventer</v>
      </c>
      <c r="F756" s="54"/>
      <c r="G756" s="24" t="s">
        <v>512</v>
      </c>
      <c r="H756" s="24" t="s">
        <v>525</v>
      </c>
      <c r="I756" s="4" t="s">
        <v>1226</v>
      </c>
      <c r="J756" s="24">
        <v>2</v>
      </c>
      <c r="K756" s="54" t="str">
        <f>VLOOKUP(J756,Ruimtegroepen[],2,FALSE)</f>
        <v>Kantoren</v>
      </c>
      <c r="L756" s="24" t="s">
        <v>311</v>
      </c>
      <c r="M756" s="252" t="s">
        <v>1182</v>
      </c>
      <c r="N756" s="83">
        <v>15.62</v>
      </c>
      <c r="O756" s="83"/>
      <c r="P756" s="93" t="str">
        <f>LEFT(VLOOKUP(Ruimtestaat[[#This Row],[Ruimte code]],Ruimtegroepen[#All],4,1),2)</f>
        <v>Bu</v>
      </c>
      <c r="Q756" s="93"/>
      <c r="R756" s="84">
        <v>42</v>
      </c>
      <c r="S756" s="84" t="s">
        <v>322</v>
      </c>
      <c r="T756" s="85">
        <f>IF(R756&gt;0,IF(RIGHT(Ruimtestaat[[#This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56" s="85">
        <f>IF(T756&gt;0,VLOOKUP($J756,Ruimtegroepen[],3,FALSE)*VLOOKUP($L756,Vloersoorten[],3,FALSE)*VLOOKUP($S756,Frequenties[],3,FALSE)*VLOOKUP($A756,Locaties[],3,FALSE),0)</f>
        <v>0</v>
      </c>
      <c r="V756" s="86">
        <f>Ruimtestaat[[#This Row],[Uitvoeringen werkdagen]]*Ruimtestaat[[#This Row],[Oppervlak (netto)]]</f>
        <v>1968.12</v>
      </c>
      <c r="W756" s="87">
        <f>IF(U756&gt;0,Ruimtestaat[[#This Row],[Prest. (m2 /jaar) werkdagen]]/Ruimtestaat[[#This Row],[Norm (m2/uur) werkdagen]],0)</f>
        <v>0</v>
      </c>
      <c r="X756" s="88">
        <f>Ruimtestaat[[#This Row],[uren / jaar werkdagen]]*Tariefsopbouw!$E$35</f>
        <v>0</v>
      </c>
      <c r="Y756" s="85"/>
      <c r="Z756" s="89">
        <f>IF(Ruimtestaat[[#This Row],[Frequentie weekend]]&gt;0,VALUE(LEFT(Y756,1))*R756,0)</f>
        <v>0</v>
      </c>
      <c r="AA756" s="85">
        <f>IF($Z756&gt;0,VLOOKUP($J756,Ruimtegroepen[],3,FALSE)*VLOOKUP($L756,Vloersoorten[],3,FALSE)*VLOOKUP($Y756,Frequenties[],3,FALSE)*VLOOKUP(#REF!,Locaties[],3,FALSE),0)</f>
        <v>0</v>
      </c>
      <c r="AB756" s="87">
        <f>Ruimtestaat[[#This Row],[Uitvoeringen weekend]]*Ruimtestaat[[#This Row],[Oppervlak (netto)]]</f>
        <v>0</v>
      </c>
      <c r="AC756" s="90">
        <f>IF(AB756&gt;0,Ruimtestaat[[#This Row],[Prest. (m2 /jaar) weekend]]/Ruimtestaat[[#This Row],[Norm (m2/uur) weekend]],0)</f>
        <v>0</v>
      </c>
      <c r="AD756" s="91">
        <f>Ruimtestaat[[#This Row],[uren / jaar weekend]]*Tariefsopbouw!$D$40</f>
        <v>0</v>
      </c>
      <c r="AE756" s="60">
        <f>Ruimtestaat[[#This Row],[Prest. (m2 /jaar) weekend]]+Ruimtestaat[[#This Row],[Prest. (m2 /jaar) werkdagen]]</f>
        <v>1968.12</v>
      </c>
      <c r="AF756" s="60">
        <f>Ruimtestaat[[#This Row],[uren / jaar weekend]]+Ruimtestaat[[#This Row],[uren / jaar werkdagen]]</f>
        <v>0</v>
      </c>
      <c r="AG756" s="61">
        <f>Ruimtestaat[[#This Row],[kosten / jaar weekend]]+Ruimtestaat[[#This Row],[kosten / jaar werkdagen]]</f>
        <v>0</v>
      </c>
      <c r="AH756" s="92"/>
      <c r="HL756" s="59"/>
    </row>
    <row r="757" spans="1:220">
      <c r="A757" s="24">
        <v>5</v>
      </c>
      <c r="B757" s="24" t="str">
        <f>VLOOKUP(Ruimtestaat[[#This Row],[Code]],Locaties[#All],2,FALSE)</f>
        <v>Marke Zuid</v>
      </c>
      <c r="C757" s="24" t="str">
        <f>VLOOKUP(Ruimtestaat[[#This Row],[Code]],Locaties[#All],4,FALSE)</f>
        <v>Ludgerstraat 1</v>
      </c>
      <c r="D757" s="24" t="str">
        <f>VLOOKUP(Ruimtestaat[[#This Row],[Code]],Locaties[#All],5,FALSE)</f>
        <v>7415 DV</v>
      </c>
      <c r="E757" s="24" t="str">
        <f>VLOOKUP(Ruimtestaat[[#This Row],[Code]],Locaties[#All],6,FALSE)</f>
        <v>Deventer</v>
      </c>
      <c r="F757" s="54"/>
      <c r="G757" s="24" t="s">
        <v>512</v>
      </c>
      <c r="H757" s="24" t="s">
        <v>526</v>
      </c>
      <c r="I757" s="4" t="s">
        <v>1010</v>
      </c>
      <c r="J757" s="24">
        <v>5</v>
      </c>
      <c r="K757" s="54" t="str">
        <f>VLOOKUP(J757,Ruimtegroepen[],2,FALSE)</f>
        <v>Sanitair</v>
      </c>
      <c r="L757" s="24" t="s">
        <v>305</v>
      </c>
      <c r="M757" s="24" t="s">
        <v>1008</v>
      </c>
      <c r="N757" s="83">
        <v>7.61</v>
      </c>
      <c r="O757" s="83"/>
      <c r="P757" s="93" t="str">
        <f>LEFT(VLOOKUP(Ruimtestaat[[#This Row],[Ruimte code]],Ruimtegroepen[#All],4,1),2)</f>
        <v>Sa</v>
      </c>
      <c r="Q757" s="93"/>
      <c r="R757" s="84">
        <v>42</v>
      </c>
      <c r="S757" s="84" t="s">
        <v>316</v>
      </c>
      <c r="T757" s="85">
        <f>IF(R757&gt;0,IF(RIGHT(Ruimtestaat[[#This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57" s="85">
        <f>IF(T757&gt;0,VLOOKUP($J757,Ruimtegroepen[],3,FALSE)*VLOOKUP($L757,Vloersoorten[],3,FALSE)*VLOOKUP($S757,Frequenties[],3,FALSE)*VLOOKUP($A757,Locaties[],3,FALSE),0)</f>
        <v>0</v>
      </c>
      <c r="V757" s="86">
        <f>Ruimtestaat[[#This Row],[Uitvoeringen werkdagen]]*Ruimtestaat[[#This Row],[Oppervlak (netto)]]</f>
        <v>3196.2000000000003</v>
      </c>
      <c r="W757" s="87">
        <f>IF(U757&gt;0,Ruimtestaat[[#This Row],[Prest. (m2 /jaar) werkdagen]]/Ruimtestaat[[#This Row],[Norm (m2/uur) werkdagen]],0)</f>
        <v>0</v>
      </c>
      <c r="X757" s="88">
        <f>Ruimtestaat[[#This Row],[uren / jaar werkdagen]]*Tariefsopbouw!$E$35</f>
        <v>0</v>
      </c>
      <c r="Y757" s="85"/>
      <c r="Z757" s="89">
        <f>IF(Ruimtestaat[[#This Row],[Frequentie weekend]]&gt;0,VALUE(LEFT(Y757,1))*R757,0)</f>
        <v>0</v>
      </c>
      <c r="AA757" s="85">
        <f>IF($Z757&gt;0,VLOOKUP($J757,Ruimtegroepen[],3,FALSE)*VLOOKUP($L757,Vloersoorten[],3,FALSE)*VLOOKUP($Y757,Frequenties[],3,FALSE)*VLOOKUP(#REF!,Locaties[],3,FALSE),0)</f>
        <v>0</v>
      </c>
      <c r="AB757" s="87">
        <f>Ruimtestaat[[#This Row],[Uitvoeringen weekend]]*Ruimtestaat[[#This Row],[Oppervlak (netto)]]</f>
        <v>0</v>
      </c>
      <c r="AC757" s="90">
        <f>IF(AB757&gt;0,Ruimtestaat[[#This Row],[Prest. (m2 /jaar) weekend]]/Ruimtestaat[[#This Row],[Norm (m2/uur) weekend]],0)</f>
        <v>0</v>
      </c>
      <c r="AD757" s="91">
        <f>Ruimtestaat[[#This Row],[uren / jaar weekend]]*Tariefsopbouw!$D$40</f>
        <v>0</v>
      </c>
      <c r="AE757" s="60">
        <f>Ruimtestaat[[#This Row],[Prest. (m2 /jaar) weekend]]+Ruimtestaat[[#This Row],[Prest. (m2 /jaar) werkdagen]]</f>
        <v>3196.2000000000003</v>
      </c>
      <c r="AF757" s="60">
        <f>Ruimtestaat[[#This Row],[uren / jaar weekend]]+Ruimtestaat[[#This Row],[uren / jaar werkdagen]]</f>
        <v>0</v>
      </c>
      <c r="AG757" s="61">
        <f>Ruimtestaat[[#This Row],[kosten / jaar weekend]]+Ruimtestaat[[#This Row],[kosten / jaar werkdagen]]</f>
        <v>0</v>
      </c>
      <c r="AH757" s="92"/>
      <c r="HL757" s="59"/>
    </row>
    <row r="758" spans="1:220">
      <c r="A758" s="24">
        <v>5</v>
      </c>
      <c r="B758" s="24" t="str">
        <f>VLOOKUP(Ruimtestaat[[#This Row],[Code]],Locaties[#All],2,FALSE)</f>
        <v>Marke Zuid</v>
      </c>
      <c r="C758" s="24" t="str">
        <f>VLOOKUP(Ruimtestaat[[#This Row],[Code]],Locaties[#All],4,FALSE)</f>
        <v>Ludgerstraat 1</v>
      </c>
      <c r="D758" s="24" t="str">
        <f>VLOOKUP(Ruimtestaat[[#This Row],[Code]],Locaties[#All],5,FALSE)</f>
        <v>7415 DV</v>
      </c>
      <c r="E758" s="24" t="str">
        <f>VLOOKUP(Ruimtestaat[[#This Row],[Code]],Locaties[#All],6,FALSE)</f>
        <v>Deventer</v>
      </c>
      <c r="F758" s="54"/>
      <c r="G758" s="24" t="s">
        <v>512</v>
      </c>
      <c r="H758" s="24" t="s">
        <v>1227</v>
      </c>
      <c r="I758" s="4" t="s">
        <v>1010</v>
      </c>
      <c r="J758" s="24">
        <v>5</v>
      </c>
      <c r="K758" s="54" t="str">
        <f>VLOOKUP(J758,Ruimtegroepen[],2,FALSE)</f>
        <v>Sanitair</v>
      </c>
      <c r="L758" s="24" t="s">
        <v>305</v>
      </c>
      <c r="M758" s="24" t="s">
        <v>1008</v>
      </c>
      <c r="N758" s="83">
        <v>1.17</v>
      </c>
      <c r="O758" s="83"/>
      <c r="P758" s="93" t="str">
        <f>LEFT(VLOOKUP(Ruimtestaat[[#This Row],[Ruimte code]],Ruimtegroepen[#All],4,1),2)</f>
        <v>Sa</v>
      </c>
      <c r="Q758" s="93"/>
      <c r="R758" s="84">
        <v>42</v>
      </c>
      <c r="S758" s="84" t="s">
        <v>316</v>
      </c>
      <c r="T758" s="85">
        <f>IF(R758&gt;0,IF(RIGHT(Ruimtestaat[[#This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58" s="85">
        <f>IF(T758&gt;0,VLOOKUP($J758,Ruimtegroepen[],3,FALSE)*VLOOKUP($L758,Vloersoorten[],3,FALSE)*VLOOKUP($S758,Frequenties[],3,FALSE)*VLOOKUP($A758,Locaties[],3,FALSE),0)</f>
        <v>0</v>
      </c>
      <c r="V758" s="86">
        <f>Ruimtestaat[[#This Row],[Uitvoeringen werkdagen]]*Ruimtestaat[[#This Row],[Oppervlak (netto)]]</f>
        <v>491.4</v>
      </c>
      <c r="W758" s="87">
        <f>IF(U758&gt;0,Ruimtestaat[[#This Row],[Prest. (m2 /jaar) werkdagen]]/Ruimtestaat[[#This Row],[Norm (m2/uur) werkdagen]],0)</f>
        <v>0</v>
      </c>
      <c r="X758" s="88">
        <f>Ruimtestaat[[#This Row],[uren / jaar werkdagen]]*Tariefsopbouw!$E$35</f>
        <v>0</v>
      </c>
      <c r="Y758" s="85"/>
      <c r="Z758" s="89">
        <f>IF(Ruimtestaat[[#This Row],[Frequentie weekend]]&gt;0,VALUE(LEFT(Y758,1))*R758,0)</f>
        <v>0</v>
      </c>
      <c r="AA758" s="85">
        <f>IF($Z758&gt;0,VLOOKUP($J758,Ruimtegroepen[],3,FALSE)*VLOOKUP($L758,Vloersoorten[],3,FALSE)*VLOOKUP($Y758,Frequenties[],3,FALSE)*VLOOKUP(#REF!,Locaties[],3,FALSE),0)</f>
        <v>0</v>
      </c>
      <c r="AB758" s="87">
        <f>Ruimtestaat[[#This Row],[Uitvoeringen weekend]]*Ruimtestaat[[#This Row],[Oppervlak (netto)]]</f>
        <v>0</v>
      </c>
      <c r="AC758" s="90">
        <f>IF(AB758&gt;0,Ruimtestaat[[#This Row],[Prest. (m2 /jaar) weekend]]/Ruimtestaat[[#This Row],[Norm (m2/uur) weekend]],0)</f>
        <v>0</v>
      </c>
      <c r="AD758" s="91">
        <f>Ruimtestaat[[#This Row],[uren / jaar weekend]]*Tariefsopbouw!$D$40</f>
        <v>0</v>
      </c>
      <c r="AE758" s="60">
        <f>Ruimtestaat[[#This Row],[Prest. (m2 /jaar) weekend]]+Ruimtestaat[[#This Row],[Prest. (m2 /jaar) werkdagen]]</f>
        <v>491.4</v>
      </c>
      <c r="AF758" s="60">
        <f>Ruimtestaat[[#This Row],[uren / jaar weekend]]+Ruimtestaat[[#This Row],[uren / jaar werkdagen]]</f>
        <v>0</v>
      </c>
      <c r="AG758" s="61">
        <f>Ruimtestaat[[#This Row],[kosten / jaar weekend]]+Ruimtestaat[[#This Row],[kosten / jaar werkdagen]]</f>
        <v>0</v>
      </c>
      <c r="AH758" s="92"/>
      <c r="HL758" s="59"/>
    </row>
    <row r="759" spans="1:220">
      <c r="A759" s="24">
        <v>5</v>
      </c>
      <c r="B759" s="24" t="str">
        <f>VLOOKUP(Ruimtestaat[[#This Row],[Code]],Locaties[#All],2,FALSE)</f>
        <v>Marke Zuid</v>
      </c>
      <c r="C759" s="24" t="str">
        <f>VLOOKUP(Ruimtestaat[[#This Row],[Code]],Locaties[#All],4,FALSE)</f>
        <v>Ludgerstraat 1</v>
      </c>
      <c r="D759" s="24" t="str">
        <f>VLOOKUP(Ruimtestaat[[#This Row],[Code]],Locaties[#All],5,FALSE)</f>
        <v>7415 DV</v>
      </c>
      <c r="E759" s="24" t="str">
        <f>VLOOKUP(Ruimtestaat[[#This Row],[Code]],Locaties[#All],6,FALSE)</f>
        <v>Deventer</v>
      </c>
      <c r="F759" s="54"/>
      <c r="G759" s="24" t="s">
        <v>512</v>
      </c>
      <c r="H759" s="24" t="s">
        <v>1228</v>
      </c>
      <c r="I759" s="4" t="s">
        <v>691</v>
      </c>
      <c r="J759" s="24">
        <v>22</v>
      </c>
      <c r="K759" s="54" t="str">
        <f>VLOOKUP(J759,Ruimtegroepen[],2,FALSE)</f>
        <v>Niet in onderhoud</v>
      </c>
      <c r="L759" s="24" t="s">
        <v>305</v>
      </c>
      <c r="M759" s="24" t="s">
        <v>1008</v>
      </c>
      <c r="N759" s="83"/>
      <c r="O759" s="83">
        <v>0.9</v>
      </c>
      <c r="P759" s="93" t="str">
        <f>LEFT(VLOOKUP(Ruimtestaat[[#This Row],[Ruimte code]],Ruimtegroepen[#All],4,1),2)</f>
        <v/>
      </c>
      <c r="Q759" s="93"/>
      <c r="R759" s="84"/>
      <c r="S759" s="84"/>
      <c r="T759" s="85">
        <f>IF(R759&gt;0,IF(RIGHT(Ruimtestaat[[#This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59" s="85">
        <f>IF(T759&gt;0,VLOOKUP($J759,Ruimtegroepen[],3,FALSE)*VLOOKUP($L759,Vloersoorten[],3,FALSE)*VLOOKUP($S759,Frequenties[],3,FALSE)*VLOOKUP($A759,Locaties[],3,FALSE),0)</f>
        <v>0</v>
      </c>
      <c r="V759" s="86">
        <f>Ruimtestaat[[#This Row],[Uitvoeringen werkdagen]]*Ruimtestaat[[#This Row],[Oppervlak (netto)]]</f>
        <v>0</v>
      </c>
      <c r="W759" s="87">
        <f>IF(U759&gt;0,Ruimtestaat[[#This Row],[Prest. (m2 /jaar) werkdagen]]/Ruimtestaat[[#This Row],[Norm (m2/uur) werkdagen]],0)</f>
        <v>0</v>
      </c>
      <c r="X759" s="88">
        <f>Ruimtestaat[[#This Row],[uren / jaar werkdagen]]*Tariefsopbouw!$E$35</f>
        <v>0</v>
      </c>
      <c r="Y759" s="85"/>
      <c r="Z759" s="89">
        <f>IF(Ruimtestaat[[#This Row],[Frequentie weekend]]&gt;0,VALUE(LEFT(Y759,1))*R759,0)</f>
        <v>0</v>
      </c>
      <c r="AA759" s="85">
        <f>IF($Z759&gt;0,VLOOKUP($J759,Ruimtegroepen[],3,FALSE)*VLOOKUP($L759,Vloersoorten[],3,FALSE)*VLOOKUP($Y759,Frequenties[],3,FALSE)*VLOOKUP(#REF!,Locaties[],3,FALSE),0)</f>
        <v>0</v>
      </c>
      <c r="AB759" s="87">
        <f>Ruimtestaat[[#This Row],[Uitvoeringen weekend]]*Ruimtestaat[[#This Row],[Oppervlak (netto)]]</f>
        <v>0</v>
      </c>
      <c r="AC759" s="90">
        <f>IF(AB759&gt;0,Ruimtestaat[[#This Row],[Prest. (m2 /jaar) weekend]]/Ruimtestaat[[#This Row],[Norm (m2/uur) weekend]],0)</f>
        <v>0</v>
      </c>
      <c r="AD759" s="91">
        <f>Ruimtestaat[[#This Row],[uren / jaar weekend]]*Tariefsopbouw!$D$40</f>
        <v>0</v>
      </c>
      <c r="AE759" s="60">
        <f>Ruimtestaat[[#This Row],[Prest. (m2 /jaar) weekend]]+Ruimtestaat[[#This Row],[Prest. (m2 /jaar) werkdagen]]</f>
        <v>0</v>
      </c>
      <c r="AF759" s="60">
        <f>Ruimtestaat[[#This Row],[uren / jaar weekend]]+Ruimtestaat[[#This Row],[uren / jaar werkdagen]]</f>
        <v>0</v>
      </c>
      <c r="AG759" s="61">
        <f>Ruimtestaat[[#This Row],[kosten / jaar weekend]]+Ruimtestaat[[#This Row],[kosten / jaar werkdagen]]</f>
        <v>0</v>
      </c>
      <c r="AH759" s="92"/>
      <c r="HL759" s="59"/>
    </row>
    <row r="760" spans="1:220">
      <c r="A760" s="24">
        <v>5</v>
      </c>
      <c r="B760" s="24" t="str">
        <f>VLOOKUP(Ruimtestaat[[#This Row],[Code]],Locaties[#All],2,FALSE)</f>
        <v>Marke Zuid</v>
      </c>
      <c r="C760" s="24" t="str">
        <f>VLOOKUP(Ruimtestaat[[#This Row],[Code]],Locaties[#All],4,FALSE)</f>
        <v>Ludgerstraat 1</v>
      </c>
      <c r="D760" s="24" t="str">
        <f>VLOOKUP(Ruimtestaat[[#This Row],[Code]],Locaties[#All],5,FALSE)</f>
        <v>7415 DV</v>
      </c>
      <c r="E760" s="24" t="str">
        <f>VLOOKUP(Ruimtestaat[[#This Row],[Code]],Locaties[#All],6,FALSE)</f>
        <v>Deventer</v>
      </c>
      <c r="F760" s="54"/>
      <c r="G760" s="24" t="s">
        <v>512</v>
      </c>
      <c r="H760" s="24" t="s">
        <v>528</v>
      </c>
      <c r="I760" s="4" t="s">
        <v>1229</v>
      </c>
      <c r="J760" s="24">
        <v>22</v>
      </c>
      <c r="K760" s="54" t="str">
        <f>VLOOKUP(J760,Ruimtegroepen[],2,FALSE)</f>
        <v>Niet in onderhoud</v>
      </c>
      <c r="M760" s="24"/>
      <c r="N760" s="83"/>
      <c r="O760" s="83">
        <v>29.38</v>
      </c>
      <c r="P760" s="93" t="str">
        <f>LEFT(VLOOKUP(Ruimtestaat[[#This Row],[Ruimte code]],Ruimtegroepen[#All],4,1),2)</f>
        <v/>
      </c>
      <c r="Q760" s="93"/>
      <c r="R760" s="84"/>
      <c r="S760" s="84"/>
      <c r="T760" s="85">
        <f>IF(R760&gt;0,IF(RIGHT(Ruimtestaat[[#This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0" s="85">
        <f>IF(T760&gt;0,VLOOKUP($J760,Ruimtegroepen[],3,FALSE)*VLOOKUP($L760,Vloersoorten[],3,FALSE)*VLOOKUP($S760,Frequenties[],3,FALSE)*VLOOKUP($A760,Locaties[],3,FALSE),0)</f>
        <v>0</v>
      </c>
      <c r="V760" s="86">
        <f>Ruimtestaat[[#This Row],[Uitvoeringen werkdagen]]*Ruimtestaat[[#This Row],[Oppervlak (netto)]]</f>
        <v>0</v>
      </c>
      <c r="W760" s="87">
        <f>IF(U760&gt;0,Ruimtestaat[[#This Row],[Prest. (m2 /jaar) werkdagen]]/Ruimtestaat[[#This Row],[Norm (m2/uur) werkdagen]],0)</f>
        <v>0</v>
      </c>
      <c r="X760" s="88">
        <f>Ruimtestaat[[#This Row],[uren / jaar werkdagen]]*Tariefsopbouw!$E$35</f>
        <v>0</v>
      </c>
      <c r="Y760" s="85"/>
      <c r="Z760" s="89">
        <f>IF(Ruimtestaat[[#This Row],[Frequentie weekend]]&gt;0,VALUE(LEFT(Y760,1))*R760,0)</f>
        <v>0</v>
      </c>
      <c r="AA760" s="85">
        <f>IF($Z760&gt;0,VLOOKUP($J760,Ruimtegroepen[],3,FALSE)*VLOOKUP($L760,Vloersoorten[],3,FALSE)*VLOOKUP($Y760,Frequenties[],3,FALSE)*VLOOKUP(#REF!,Locaties[],3,FALSE),0)</f>
        <v>0</v>
      </c>
      <c r="AB760" s="87">
        <f>Ruimtestaat[[#This Row],[Uitvoeringen weekend]]*Ruimtestaat[[#This Row],[Oppervlak (netto)]]</f>
        <v>0</v>
      </c>
      <c r="AC760" s="90">
        <f>IF(AB760&gt;0,Ruimtestaat[[#This Row],[Prest. (m2 /jaar) weekend]]/Ruimtestaat[[#This Row],[Norm (m2/uur) weekend]],0)</f>
        <v>0</v>
      </c>
      <c r="AD760" s="91">
        <f>Ruimtestaat[[#This Row],[uren / jaar weekend]]*Tariefsopbouw!$D$40</f>
        <v>0</v>
      </c>
      <c r="AE760" s="60">
        <f>Ruimtestaat[[#This Row],[Prest. (m2 /jaar) weekend]]+Ruimtestaat[[#This Row],[Prest. (m2 /jaar) werkdagen]]</f>
        <v>0</v>
      </c>
      <c r="AF760" s="60">
        <f>Ruimtestaat[[#This Row],[uren / jaar weekend]]+Ruimtestaat[[#This Row],[uren / jaar werkdagen]]</f>
        <v>0</v>
      </c>
      <c r="AG760" s="61">
        <f>Ruimtestaat[[#This Row],[kosten / jaar weekend]]+Ruimtestaat[[#This Row],[kosten / jaar werkdagen]]</f>
        <v>0</v>
      </c>
      <c r="AH760" s="92"/>
      <c r="HL760" s="59"/>
    </row>
    <row r="761" spans="1:220">
      <c r="A761" s="24">
        <v>5</v>
      </c>
      <c r="B761" s="24" t="str">
        <f>VLOOKUP(Ruimtestaat[[#This Row],[Code]],Locaties[#All],2,FALSE)</f>
        <v>Marke Zuid</v>
      </c>
      <c r="C761" s="24" t="str">
        <f>VLOOKUP(Ruimtestaat[[#This Row],[Code]],Locaties[#All],4,FALSE)</f>
        <v>Ludgerstraat 1</v>
      </c>
      <c r="D761" s="24" t="str">
        <f>VLOOKUP(Ruimtestaat[[#This Row],[Code]],Locaties[#All],5,FALSE)</f>
        <v>7415 DV</v>
      </c>
      <c r="E761" s="24" t="str">
        <f>VLOOKUP(Ruimtestaat[[#This Row],[Code]],Locaties[#All],6,FALSE)</f>
        <v>Deventer</v>
      </c>
      <c r="F761" s="54"/>
      <c r="G761" s="24" t="s">
        <v>512</v>
      </c>
      <c r="H761" s="24" t="s">
        <v>1230</v>
      </c>
      <c r="I761" s="4" t="s">
        <v>1229</v>
      </c>
      <c r="J761" s="24">
        <v>22</v>
      </c>
      <c r="K761" s="54" t="str">
        <f>VLOOKUP(J761,Ruimtegroepen[],2,FALSE)</f>
        <v>Niet in onderhoud</v>
      </c>
      <c r="M761" s="24"/>
      <c r="N761" s="83"/>
      <c r="O761" s="83">
        <v>23.36</v>
      </c>
      <c r="P761" s="93" t="str">
        <f>LEFT(VLOOKUP(Ruimtestaat[[#This Row],[Ruimte code]],Ruimtegroepen[#All],4,1),2)</f>
        <v/>
      </c>
      <c r="Q761" s="93"/>
      <c r="R761" s="84"/>
      <c r="S761" s="84"/>
      <c r="T761" s="85">
        <f>IF(R761&gt;0,IF(RIGHT(Ruimtestaat[[#This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1" s="85">
        <f>IF(T761&gt;0,VLOOKUP($J761,Ruimtegroepen[],3,FALSE)*VLOOKUP($L761,Vloersoorten[],3,FALSE)*VLOOKUP($S761,Frequenties[],3,FALSE)*VLOOKUP($A761,Locaties[],3,FALSE),0)</f>
        <v>0</v>
      </c>
      <c r="V761" s="86">
        <f>Ruimtestaat[[#This Row],[Uitvoeringen werkdagen]]*Ruimtestaat[[#This Row],[Oppervlak (netto)]]</f>
        <v>0</v>
      </c>
      <c r="W761" s="87">
        <f>IF(U761&gt;0,Ruimtestaat[[#This Row],[Prest. (m2 /jaar) werkdagen]]/Ruimtestaat[[#This Row],[Norm (m2/uur) werkdagen]],0)</f>
        <v>0</v>
      </c>
      <c r="X761" s="88">
        <f>Ruimtestaat[[#This Row],[uren / jaar werkdagen]]*Tariefsopbouw!$E$35</f>
        <v>0</v>
      </c>
      <c r="Y761" s="85"/>
      <c r="Z761" s="89">
        <f>IF(Ruimtestaat[[#This Row],[Frequentie weekend]]&gt;0,VALUE(LEFT(Y761,1))*R761,0)</f>
        <v>0</v>
      </c>
      <c r="AA761" s="85">
        <f>IF($Z761&gt;0,VLOOKUP($J761,Ruimtegroepen[],3,FALSE)*VLOOKUP($L761,Vloersoorten[],3,FALSE)*VLOOKUP($Y761,Frequenties[],3,FALSE)*VLOOKUP(#REF!,Locaties[],3,FALSE),0)</f>
        <v>0</v>
      </c>
      <c r="AB761" s="87">
        <f>Ruimtestaat[[#This Row],[Uitvoeringen weekend]]*Ruimtestaat[[#This Row],[Oppervlak (netto)]]</f>
        <v>0</v>
      </c>
      <c r="AC761" s="90">
        <f>IF(AB761&gt;0,Ruimtestaat[[#This Row],[Prest. (m2 /jaar) weekend]]/Ruimtestaat[[#This Row],[Norm (m2/uur) weekend]],0)</f>
        <v>0</v>
      </c>
      <c r="AD761" s="91">
        <f>Ruimtestaat[[#This Row],[uren / jaar weekend]]*Tariefsopbouw!$D$40</f>
        <v>0</v>
      </c>
      <c r="AE761" s="60">
        <f>Ruimtestaat[[#This Row],[Prest. (m2 /jaar) weekend]]+Ruimtestaat[[#This Row],[Prest. (m2 /jaar) werkdagen]]</f>
        <v>0</v>
      </c>
      <c r="AF761" s="60">
        <f>Ruimtestaat[[#This Row],[uren / jaar weekend]]+Ruimtestaat[[#This Row],[uren / jaar werkdagen]]</f>
        <v>0</v>
      </c>
      <c r="AG761" s="61">
        <f>Ruimtestaat[[#This Row],[kosten / jaar weekend]]+Ruimtestaat[[#This Row],[kosten / jaar werkdagen]]</f>
        <v>0</v>
      </c>
      <c r="AH761" s="92"/>
      <c r="HL761" s="59"/>
    </row>
    <row r="762" spans="1:220">
      <c r="A762" s="24">
        <v>5</v>
      </c>
      <c r="B762" s="24" t="str">
        <f>VLOOKUP(Ruimtestaat[[#This Row],[Code]],Locaties[#All],2,FALSE)</f>
        <v>Marke Zuid</v>
      </c>
      <c r="C762" s="24" t="str">
        <f>VLOOKUP(Ruimtestaat[[#This Row],[Code]],Locaties[#All],4,FALSE)</f>
        <v>Ludgerstraat 1</v>
      </c>
      <c r="D762" s="24" t="str">
        <f>VLOOKUP(Ruimtestaat[[#This Row],[Code]],Locaties[#All],5,FALSE)</f>
        <v>7415 DV</v>
      </c>
      <c r="E762" s="24" t="str">
        <f>VLOOKUP(Ruimtestaat[[#This Row],[Code]],Locaties[#All],6,FALSE)</f>
        <v>Deventer</v>
      </c>
      <c r="F762" s="54"/>
      <c r="G762" s="24" t="s">
        <v>512</v>
      </c>
      <c r="H762" s="24" t="s">
        <v>1231</v>
      </c>
      <c r="I762" s="4" t="s">
        <v>1229</v>
      </c>
      <c r="J762" s="24">
        <v>22</v>
      </c>
      <c r="K762" s="54" t="str">
        <f>VLOOKUP(J762,Ruimtegroepen[],2,FALSE)</f>
        <v>Niet in onderhoud</v>
      </c>
      <c r="M762" s="24"/>
      <c r="N762" s="83"/>
      <c r="O762" s="83">
        <v>33.590000000000003</v>
      </c>
      <c r="P762" s="93" t="str">
        <f>LEFT(VLOOKUP(Ruimtestaat[[#This Row],[Ruimte code]],Ruimtegroepen[#All],4,1),2)</f>
        <v/>
      </c>
      <c r="Q762" s="93"/>
      <c r="R762" s="84"/>
      <c r="S762" s="84"/>
      <c r="T762" s="85">
        <f>IF(R762&gt;0,IF(RIGHT(Ruimtestaat[[#This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2" s="85">
        <f>IF(T762&gt;0,VLOOKUP($J762,Ruimtegroepen[],3,FALSE)*VLOOKUP($L762,Vloersoorten[],3,FALSE)*VLOOKUP($S762,Frequenties[],3,FALSE)*VLOOKUP($A762,Locaties[],3,FALSE),0)</f>
        <v>0</v>
      </c>
      <c r="V762" s="86">
        <f>Ruimtestaat[[#This Row],[Uitvoeringen werkdagen]]*Ruimtestaat[[#This Row],[Oppervlak (netto)]]</f>
        <v>0</v>
      </c>
      <c r="W762" s="87">
        <f>IF(U762&gt;0,Ruimtestaat[[#This Row],[Prest. (m2 /jaar) werkdagen]]/Ruimtestaat[[#This Row],[Norm (m2/uur) werkdagen]],0)</f>
        <v>0</v>
      </c>
      <c r="X762" s="88">
        <f>Ruimtestaat[[#This Row],[uren / jaar werkdagen]]*Tariefsopbouw!$E$35</f>
        <v>0</v>
      </c>
      <c r="Y762" s="85"/>
      <c r="Z762" s="89">
        <f>IF(Ruimtestaat[[#This Row],[Frequentie weekend]]&gt;0,VALUE(LEFT(Y762,1))*R762,0)</f>
        <v>0</v>
      </c>
      <c r="AA762" s="85">
        <f>IF($Z762&gt;0,VLOOKUP($J762,Ruimtegroepen[],3,FALSE)*VLOOKUP($L762,Vloersoorten[],3,FALSE)*VLOOKUP($Y762,Frequenties[],3,FALSE)*VLOOKUP(#REF!,Locaties[],3,FALSE),0)</f>
        <v>0</v>
      </c>
      <c r="AB762" s="87">
        <f>Ruimtestaat[[#This Row],[Uitvoeringen weekend]]*Ruimtestaat[[#This Row],[Oppervlak (netto)]]</f>
        <v>0</v>
      </c>
      <c r="AC762" s="90">
        <f>IF(AB762&gt;0,Ruimtestaat[[#This Row],[Prest. (m2 /jaar) weekend]]/Ruimtestaat[[#This Row],[Norm (m2/uur) weekend]],0)</f>
        <v>0</v>
      </c>
      <c r="AD762" s="91">
        <f>Ruimtestaat[[#This Row],[uren / jaar weekend]]*Tariefsopbouw!$D$40</f>
        <v>0</v>
      </c>
      <c r="AE762" s="60">
        <f>Ruimtestaat[[#This Row],[Prest. (m2 /jaar) weekend]]+Ruimtestaat[[#This Row],[Prest. (m2 /jaar) werkdagen]]</f>
        <v>0</v>
      </c>
      <c r="AF762" s="60">
        <f>Ruimtestaat[[#This Row],[uren / jaar weekend]]+Ruimtestaat[[#This Row],[uren / jaar werkdagen]]</f>
        <v>0</v>
      </c>
      <c r="AG762" s="61">
        <f>Ruimtestaat[[#This Row],[kosten / jaar weekend]]+Ruimtestaat[[#This Row],[kosten / jaar werkdagen]]</f>
        <v>0</v>
      </c>
      <c r="AH762" s="92"/>
      <c r="HL762" s="59"/>
    </row>
    <row r="763" spans="1:220">
      <c r="A763" s="24">
        <v>5</v>
      </c>
      <c r="B763" s="24" t="str">
        <f>VLOOKUP(Ruimtestaat[[#This Row],[Code]],Locaties[#All],2,FALSE)</f>
        <v>Marke Zuid</v>
      </c>
      <c r="C763" s="24" t="str">
        <f>VLOOKUP(Ruimtestaat[[#This Row],[Code]],Locaties[#All],4,FALSE)</f>
        <v>Ludgerstraat 1</v>
      </c>
      <c r="D763" s="24" t="str">
        <f>VLOOKUP(Ruimtestaat[[#This Row],[Code]],Locaties[#All],5,FALSE)</f>
        <v>7415 DV</v>
      </c>
      <c r="E763" s="24" t="str">
        <f>VLOOKUP(Ruimtestaat[[#This Row],[Code]],Locaties[#All],6,FALSE)</f>
        <v>Deventer</v>
      </c>
      <c r="F763" s="54"/>
      <c r="G763" s="24" t="s">
        <v>512</v>
      </c>
      <c r="H763" s="24" t="s">
        <v>1232</v>
      </c>
      <c r="I763" s="4" t="s">
        <v>1229</v>
      </c>
      <c r="J763" s="24">
        <v>22</v>
      </c>
      <c r="K763" s="54" t="str">
        <f>VLOOKUP(J763,Ruimtegroepen[],2,FALSE)</f>
        <v>Niet in onderhoud</v>
      </c>
      <c r="M763" s="24"/>
      <c r="N763" s="83"/>
      <c r="O763" s="83">
        <v>42.46</v>
      </c>
      <c r="P763" s="93" t="str">
        <f>LEFT(VLOOKUP(Ruimtestaat[[#This Row],[Ruimte code]],Ruimtegroepen[#All],4,1),2)</f>
        <v/>
      </c>
      <c r="Q763" s="93"/>
      <c r="R763" s="84"/>
      <c r="S763" s="84"/>
      <c r="T763" s="85">
        <f>IF(R763&gt;0,IF(RIGHT(Ruimtestaat[[#This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3" s="85">
        <f>IF(T763&gt;0,VLOOKUP($J763,Ruimtegroepen[],3,FALSE)*VLOOKUP($L763,Vloersoorten[],3,FALSE)*VLOOKUP($S763,Frequenties[],3,FALSE)*VLOOKUP($A763,Locaties[],3,FALSE),0)</f>
        <v>0</v>
      </c>
      <c r="V763" s="86">
        <f>Ruimtestaat[[#This Row],[Uitvoeringen werkdagen]]*Ruimtestaat[[#This Row],[Oppervlak (netto)]]</f>
        <v>0</v>
      </c>
      <c r="W763" s="87">
        <f>IF(U763&gt;0,Ruimtestaat[[#This Row],[Prest. (m2 /jaar) werkdagen]]/Ruimtestaat[[#This Row],[Norm (m2/uur) werkdagen]],0)</f>
        <v>0</v>
      </c>
      <c r="X763" s="88">
        <f>Ruimtestaat[[#This Row],[uren / jaar werkdagen]]*Tariefsopbouw!$E$35</f>
        <v>0</v>
      </c>
      <c r="Y763" s="85"/>
      <c r="Z763" s="89">
        <f>IF(Ruimtestaat[[#This Row],[Frequentie weekend]]&gt;0,VALUE(LEFT(Y763,1))*R763,0)</f>
        <v>0</v>
      </c>
      <c r="AA763" s="85">
        <f>IF($Z763&gt;0,VLOOKUP($J763,Ruimtegroepen[],3,FALSE)*VLOOKUP($L763,Vloersoorten[],3,FALSE)*VLOOKUP($Y763,Frequenties[],3,FALSE)*VLOOKUP(#REF!,Locaties[],3,FALSE),0)</f>
        <v>0</v>
      </c>
      <c r="AB763" s="87">
        <f>Ruimtestaat[[#This Row],[Uitvoeringen weekend]]*Ruimtestaat[[#This Row],[Oppervlak (netto)]]</f>
        <v>0</v>
      </c>
      <c r="AC763" s="90">
        <f>IF(AB763&gt;0,Ruimtestaat[[#This Row],[Prest. (m2 /jaar) weekend]]/Ruimtestaat[[#This Row],[Norm (m2/uur) weekend]],0)</f>
        <v>0</v>
      </c>
      <c r="AD763" s="91">
        <f>Ruimtestaat[[#This Row],[uren / jaar weekend]]*Tariefsopbouw!$D$40</f>
        <v>0</v>
      </c>
      <c r="AE763" s="60">
        <f>Ruimtestaat[[#This Row],[Prest. (m2 /jaar) weekend]]+Ruimtestaat[[#This Row],[Prest. (m2 /jaar) werkdagen]]</f>
        <v>0</v>
      </c>
      <c r="AF763" s="60">
        <f>Ruimtestaat[[#This Row],[uren / jaar weekend]]+Ruimtestaat[[#This Row],[uren / jaar werkdagen]]</f>
        <v>0</v>
      </c>
      <c r="AG763" s="61">
        <f>Ruimtestaat[[#This Row],[kosten / jaar weekend]]+Ruimtestaat[[#This Row],[kosten / jaar werkdagen]]</f>
        <v>0</v>
      </c>
      <c r="AH763" s="92"/>
      <c r="HL763" s="59"/>
    </row>
    <row r="764" spans="1:220">
      <c r="A764" s="24">
        <v>5</v>
      </c>
      <c r="B764" s="24" t="str">
        <f>VLOOKUP(Ruimtestaat[[#This Row],[Code]],Locaties[#All],2,FALSE)</f>
        <v>Marke Zuid</v>
      </c>
      <c r="C764" s="24" t="str">
        <f>VLOOKUP(Ruimtestaat[[#This Row],[Code]],Locaties[#All],4,FALSE)</f>
        <v>Ludgerstraat 1</v>
      </c>
      <c r="D764" s="24" t="str">
        <f>VLOOKUP(Ruimtestaat[[#This Row],[Code]],Locaties[#All],5,FALSE)</f>
        <v>7415 DV</v>
      </c>
      <c r="E764" s="24" t="str">
        <f>VLOOKUP(Ruimtestaat[[#This Row],[Code]],Locaties[#All],6,FALSE)</f>
        <v>Deventer</v>
      </c>
      <c r="F764" s="54"/>
      <c r="G764" s="24" t="s">
        <v>512</v>
      </c>
      <c r="H764" s="24" t="s">
        <v>529</v>
      </c>
      <c r="I764" s="4" t="s">
        <v>369</v>
      </c>
      <c r="J764" s="24">
        <v>16</v>
      </c>
      <c r="K764" s="54" t="str">
        <f>VLOOKUP(J764,Ruimtegroepen[],2,FALSE)</f>
        <v>Leslokalen theorie</v>
      </c>
      <c r="L764" s="24" t="s">
        <v>303</v>
      </c>
      <c r="M764" s="252" t="s">
        <v>1095</v>
      </c>
      <c r="N764" s="83">
        <v>51.93</v>
      </c>
      <c r="O764" s="83"/>
      <c r="P764" s="93" t="str">
        <f>LEFT(VLOOKUP(Ruimtestaat[[#This Row],[Ruimte code]],Ruimtegroepen[#All],4,1),2)</f>
        <v>Le</v>
      </c>
      <c r="Q764" s="93"/>
      <c r="R764" s="84">
        <v>40</v>
      </c>
      <c r="S764" s="84" t="s">
        <v>318</v>
      </c>
      <c r="T764" s="85">
        <f>IF(R764&gt;0,IF(RIGHT(Ruimtestaat[[#This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4" s="85">
        <f>IF(T764&gt;0,VLOOKUP($J764,Ruimtegroepen[],3,FALSE)*VLOOKUP($L764,Vloersoorten[],3,FALSE)*VLOOKUP($S764,Frequenties[],3,FALSE)*VLOOKUP($A764,Locaties[],3,FALSE),0)</f>
        <v>0</v>
      </c>
      <c r="V764" s="86">
        <f>Ruimtestaat[[#This Row],[Uitvoeringen werkdagen]]*Ruimtestaat[[#This Row],[Oppervlak (netto)]]</f>
        <v>10386</v>
      </c>
      <c r="W764" s="87">
        <f>IF(U764&gt;0,Ruimtestaat[[#This Row],[Prest. (m2 /jaar) werkdagen]]/Ruimtestaat[[#This Row],[Norm (m2/uur) werkdagen]],0)</f>
        <v>0</v>
      </c>
      <c r="X764" s="88">
        <f>Ruimtestaat[[#This Row],[uren / jaar werkdagen]]*Tariefsopbouw!$E$35</f>
        <v>0</v>
      </c>
      <c r="Y764" s="85"/>
      <c r="Z764" s="89">
        <f>IF(Ruimtestaat[[#This Row],[Frequentie weekend]]&gt;0,VALUE(LEFT(Y764,1))*R764,0)</f>
        <v>0</v>
      </c>
      <c r="AA764" s="85">
        <f>IF($Z764&gt;0,VLOOKUP($J764,Ruimtegroepen[],3,FALSE)*VLOOKUP($L764,Vloersoorten[],3,FALSE)*VLOOKUP($Y764,Frequenties[],3,FALSE)*VLOOKUP(#REF!,Locaties[],3,FALSE),0)</f>
        <v>0</v>
      </c>
      <c r="AB764" s="87">
        <f>Ruimtestaat[[#This Row],[Uitvoeringen weekend]]*Ruimtestaat[[#This Row],[Oppervlak (netto)]]</f>
        <v>0</v>
      </c>
      <c r="AC764" s="90">
        <f>IF(AB764&gt;0,Ruimtestaat[[#This Row],[Prest. (m2 /jaar) weekend]]/Ruimtestaat[[#This Row],[Norm (m2/uur) weekend]],0)</f>
        <v>0</v>
      </c>
      <c r="AD764" s="91">
        <f>Ruimtestaat[[#This Row],[uren / jaar weekend]]*Tariefsopbouw!$D$40</f>
        <v>0</v>
      </c>
      <c r="AE764" s="60">
        <f>Ruimtestaat[[#This Row],[Prest. (m2 /jaar) weekend]]+Ruimtestaat[[#This Row],[Prest. (m2 /jaar) werkdagen]]</f>
        <v>10386</v>
      </c>
      <c r="AF764" s="60">
        <f>Ruimtestaat[[#This Row],[uren / jaar weekend]]+Ruimtestaat[[#This Row],[uren / jaar werkdagen]]</f>
        <v>0</v>
      </c>
      <c r="AG764" s="61">
        <f>Ruimtestaat[[#This Row],[kosten / jaar weekend]]+Ruimtestaat[[#This Row],[kosten / jaar werkdagen]]</f>
        <v>0</v>
      </c>
      <c r="AH764" s="92"/>
      <c r="HL764" s="59"/>
    </row>
    <row r="765" spans="1:220">
      <c r="A765" s="24">
        <v>5</v>
      </c>
      <c r="B765" s="24" t="str">
        <f>VLOOKUP(Ruimtestaat[[#This Row],[Code]],Locaties[#All],2,FALSE)</f>
        <v>Marke Zuid</v>
      </c>
      <c r="C765" s="24" t="str">
        <f>VLOOKUP(Ruimtestaat[[#This Row],[Code]],Locaties[#All],4,FALSE)</f>
        <v>Ludgerstraat 1</v>
      </c>
      <c r="D765" s="24" t="str">
        <f>VLOOKUP(Ruimtestaat[[#This Row],[Code]],Locaties[#All],5,FALSE)</f>
        <v>7415 DV</v>
      </c>
      <c r="E765" s="24" t="str">
        <f>VLOOKUP(Ruimtestaat[[#This Row],[Code]],Locaties[#All],6,FALSE)</f>
        <v>Deventer</v>
      </c>
      <c r="F765" s="54"/>
      <c r="G765" s="24" t="s">
        <v>512</v>
      </c>
      <c r="H765" s="24" t="s">
        <v>1233</v>
      </c>
      <c r="I765" s="4" t="s">
        <v>535</v>
      </c>
      <c r="J765" s="24">
        <v>22</v>
      </c>
      <c r="K765" s="54" t="str">
        <f>VLOOKUP(J765,Ruimtegroepen[],2,FALSE)</f>
        <v>Niet in onderhoud</v>
      </c>
      <c r="L765" s="24" t="s">
        <v>305</v>
      </c>
      <c r="M765" s="24" t="s">
        <v>376</v>
      </c>
      <c r="N765" s="83"/>
      <c r="O765" s="83">
        <v>0.63</v>
      </c>
      <c r="P765" s="93" t="str">
        <f>LEFT(VLOOKUP(Ruimtestaat[[#This Row],[Ruimte code]],Ruimtegroepen[#All],4,1),2)</f>
        <v/>
      </c>
      <c r="Q765" s="93"/>
      <c r="R765" s="84"/>
      <c r="S765" s="84"/>
      <c r="T765" s="85">
        <f>IF(R765&gt;0,IF(RIGHT(Ruimtestaat[[#This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5" s="85">
        <f>IF(T765&gt;0,VLOOKUP($J765,Ruimtegroepen[],3,FALSE)*VLOOKUP($L765,Vloersoorten[],3,FALSE)*VLOOKUP($S765,Frequenties[],3,FALSE)*VLOOKUP($A765,Locaties[],3,FALSE),0)</f>
        <v>0</v>
      </c>
      <c r="V765" s="86">
        <f>Ruimtestaat[[#This Row],[Uitvoeringen werkdagen]]*Ruimtestaat[[#This Row],[Oppervlak (netto)]]</f>
        <v>0</v>
      </c>
      <c r="W765" s="87">
        <f>IF(U765&gt;0,Ruimtestaat[[#This Row],[Prest. (m2 /jaar) werkdagen]]/Ruimtestaat[[#This Row],[Norm (m2/uur) werkdagen]],0)</f>
        <v>0</v>
      </c>
      <c r="X765" s="88">
        <f>Ruimtestaat[[#This Row],[uren / jaar werkdagen]]*Tariefsopbouw!$E$35</f>
        <v>0</v>
      </c>
      <c r="Y765" s="85"/>
      <c r="Z765" s="89">
        <f>IF(Ruimtestaat[[#This Row],[Frequentie weekend]]&gt;0,VALUE(LEFT(Y765,1))*R765,0)</f>
        <v>0</v>
      </c>
      <c r="AA765" s="85">
        <f>IF($Z765&gt;0,VLOOKUP($J765,Ruimtegroepen[],3,FALSE)*VLOOKUP($L765,Vloersoorten[],3,FALSE)*VLOOKUP($Y765,Frequenties[],3,FALSE)*VLOOKUP(#REF!,Locaties[],3,FALSE),0)</f>
        <v>0</v>
      </c>
      <c r="AB765" s="87">
        <f>Ruimtestaat[[#This Row],[Uitvoeringen weekend]]*Ruimtestaat[[#This Row],[Oppervlak (netto)]]</f>
        <v>0</v>
      </c>
      <c r="AC765" s="90">
        <f>IF(AB765&gt;0,Ruimtestaat[[#This Row],[Prest. (m2 /jaar) weekend]]/Ruimtestaat[[#This Row],[Norm (m2/uur) weekend]],0)</f>
        <v>0</v>
      </c>
      <c r="AD765" s="91">
        <f>Ruimtestaat[[#This Row],[uren / jaar weekend]]*Tariefsopbouw!$D$40</f>
        <v>0</v>
      </c>
      <c r="AE765" s="60">
        <f>Ruimtestaat[[#This Row],[Prest. (m2 /jaar) weekend]]+Ruimtestaat[[#This Row],[Prest. (m2 /jaar) werkdagen]]</f>
        <v>0</v>
      </c>
      <c r="AF765" s="60">
        <f>Ruimtestaat[[#This Row],[uren / jaar weekend]]+Ruimtestaat[[#This Row],[uren / jaar werkdagen]]</f>
        <v>0</v>
      </c>
      <c r="AG765" s="61">
        <f>Ruimtestaat[[#This Row],[kosten / jaar weekend]]+Ruimtestaat[[#This Row],[kosten / jaar werkdagen]]</f>
        <v>0</v>
      </c>
      <c r="AH765" s="92"/>
      <c r="HL765" s="59"/>
    </row>
    <row r="766" spans="1:220">
      <c r="A766" s="24">
        <v>5</v>
      </c>
      <c r="B766" s="24" t="str">
        <f>VLOOKUP(Ruimtestaat[[#This Row],[Code]],Locaties[#All],2,FALSE)</f>
        <v>Marke Zuid</v>
      </c>
      <c r="C766" s="24" t="str">
        <f>VLOOKUP(Ruimtestaat[[#This Row],[Code]],Locaties[#All],4,FALSE)</f>
        <v>Ludgerstraat 1</v>
      </c>
      <c r="D766" s="24" t="str">
        <f>VLOOKUP(Ruimtestaat[[#This Row],[Code]],Locaties[#All],5,FALSE)</f>
        <v>7415 DV</v>
      </c>
      <c r="E766" s="24" t="str">
        <f>VLOOKUP(Ruimtestaat[[#This Row],[Code]],Locaties[#All],6,FALSE)</f>
        <v>Deventer</v>
      </c>
      <c r="F766" s="54"/>
      <c r="G766" s="24" t="s">
        <v>512</v>
      </c>
      <c r="H766" s="24" t="s">
        <v>531</v>
      </c>
      <c r="I766" s="4" t="s">
        <v>1098</v>
      </c>
      <c r="J766" s="24">
        <v>16</v>
      </c>
      <c r="K766" s="54" t="str">
        <f>VLOOKUP(J766,Ruimtegroepen[],2,FALSE)</f>
        <v>Leslokalen theorie</v>
      </c>
      <c r="L766" s="24" t="s">
        <v>300</v>
      </c>
      <c r="M766" s="24" t="s">
        <v>997</v>
      </c>
      <c r="N766" s="83">
        <v>56.62</v>
      </c>
      <c r="O766" s="83"/>
      <c r="P766" s="93" t="str">
        <f>LEFT(VLOOKUP(Ruimtestaat[[#This Row],[Ruimte code]],Ruimtegroepen[#All],4,1),2)</f>
        <v>Le</v>
      </c>
      <c r="Q766" s="93"/>
      <c r="R766" s="84">
        <v>40</v>
      </c>
      <c r="S766" s="84" t="s">
        <v>318</v>
      </c>
      <c r="T766" s="85">
        <f>IF(R766&gt;0,IF(RIGHT(Ruimtestaat[[#This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6" s="85">
        <f>IF(T766&gt;0,VLOOKUP($J766,Ruimtegroepen[],3,FALSE)*VLOOKUP($L766,Vloersoorten[],3,FALSE)*VLOOKUP($S766,Frequenties[],3,FALSE)*VLOOKUP($A766,Locaties[],3,FALSE),0)</f>
        <v>0</v>
      </c>
      <c r="V766" s="86">
        <f>Ruimtestaat[[#This Row],[Uitvoeringen werkdagen]]*Ruimtestaat[[#This Row],[Oppervlak (netto)]]</f>
        <v>11324</v>
      </c>
      <c r="W766" s="87">
        <f>IF(U766&gt;0,Ruimtestaat[[#This Row],[Prest. (m2 /jaar) werkdagen]]/Ruimtestaat[[#This Row],[Norm (m2/uur) werkdagen]],0)</f>
        <v>0</v>
      </c>
      <c r="X766" s="88">
        <f>Ruimtestaat[[#This Row],[uren / jaar werkdagen]]*Tariefsopbouw!$E$35</f>
        <v>0</v>
      </c>
      <c r="Y766" s="85"/>
      <c r="Z766" s="89">
        <f>IF(Ruimtestaat[[#This Row],[Frequentie weekend]]&gt;0,VALUE(LEFT(Y766,1))*R766,0)</f>
        <v>0</v>
      </c>
      <c r="AA766" s="85">
        <f>IF($Z766&gt;0,VLOOKUP($J766,Ruimtegroepen[],3,FALSE)*VLOOKUP($L766,Vloersoorten[],3,FALSE)*VLOOKUP($Y766,Frequenties[],3,FALSE)*VLOOKUP(#REF!,Locaties[],3,FALSE),0)</f>
        <v>0</v>
      </c>
      <c r="AB766" s="87">
        <f>Ruimtestaat[[#This Row],[Uitvoeringen weekend]]*Ruimtestaat[[#This Row],[Oppervlak (netto)]]</f>
        <v>0</v>
      </c>
      <c r="AC766" s="90">
        <f>IF(AB766&gt;0,Ruimtestaat[[#This Row],[Prest. (m2 /jaar) weekend]]/Ruimtestaat[[#This Row],[Norm (m2/uur) weekend]],0)</f>
        <v>0</v>
      </c>
      <c r="AD766" s="91">
        <f>Ruimtestaat[[#This Row],[uren / jaar weekend]]*Tariefsopbouw!$D$40</f>
        <v>0</v>
      </c>
      <c r="AE766" s="60">
        <f>Ruimtestaat[[#This Row],[Prest. (m2 /jaar) weekend]]+Ruimtestaat[[#This Row],[Prest. (m2 /jaar) werkdagen]]</f>
        <v>11324</v>
      </c>
      <c r="AF766" s="60">
        <f>Ruimtestaat[[#This Row],[uren / jaar weekend]]+Ruimtestaat[[#This Row],[uren / jaar werkdagen]]</f>
        <v>0</v>
      </c>
      <c r="AG766" s="61">
        <f>Ruimtestaat[[#This Row],[kosten / jaar weekend]]+Ruimtestaat[[#This Row],[kosten / jaar werkdagen]]</f>
        <v>0</v>
      </c>
      <c r="AH766" s="92"/>
      <c r="HL766" s="59"/>
    </row>
    <row r="767" spans="1:220">
      <c r="A767" s="24">
        <v>5</v>
      </c>
      <c r="B767" s="24" t="str">
        <f>VLOOKUP(Ruimtestaat[[#This Row],[Code]],Locaties[#All],2,FALSE)</f>
        <v>Marke Zuid</v>
      </c>
      <c r="C767" s="24" t="str">
        <f>VLOOKUP(Ruimtestaat[[#This Row],[Code]],Locaties[#All],4,FALSE)</f>
        <v>Ludgerstraat 1</v>
      </c>
      <c r="D767" s="24" t="str">
        <f>VLOOKUP(Ruimtestaat[[#This Row],[Code]],Locaties[#All],5,FALSE)</f>
        <v>7415 DV</v>
      </c>
      <c r="E767" s="24" t="str">
        <f>VLOOKUP(Ruimtestaat[[#This Row],[Code]],Locaties[#All],6,FALSE)</f>
        <v>Deventer</v>
      </c>
      <c r="F767" s="54"/>
      <c r="G767" s="24" t="s">
        <v>512</v>
      </c>
      <c r="H767" s="24" t="s">
        <v>1234</v>
      </c>
      <c r="I767" s="4" t="s">
        <v>941</v>
      </c>
      <c r="J767" s="24">
        <v>2</v>
      </c>
      <c r="K767" s="54" t="str">
        <f>VLOOKUP(J767,Ruimtegroepen[],2,FALSE)</f>
        <v>Kantoren</v>
      </c>
      <c r="L767" s="24" t="s">
        <v>300</v>
      </c>
      <c r="M767" s="24" t="s">
        <v>997</v>
      </c>
      <c r="N767" s="83">
        <v>27.64</v>
      </c>
      <c r="O767" s="83"/>
      <c r="P767" s="93" t="str">
        <f>LEFT(VLOOKUP(Ruimtestaat[[#This Row],[Ruimte code]],Ruimtegroepen[#All],4,1),2)</f>
        <v>Bu</v>
      </c>
      <c r="Q767" s="93"/>
      <c r="R767" s="84">
        <v>42</v>
      </c>
      <c r="S767" s="84" t="s">
        <v>322</v>
      </c>
      <c r="T767" s="85">
        <f>IF(R767&gt;0,IF(RIGHT(Ruimtestaat[[#This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67" s="85">
        <f>IF(T767&gt;0,VLOOKUP($J767,Ruimtegroepen[],3,FALSE)*VLOOKUP($L767,Vloersoorten[],3,FALSE)*VLOOKUP($S767,Frequenties[],3,FALSE)*VLOOKUP($A767,Locaties[],3,FALSE),0)</f>
        <v>0</v>
      </c>
      <c r="V767" s="86">
        <f>Ruimtestaat[[#This Row],[Uitvoeringen werkdagen]]*Ruimtestaat[[#This Row],[Oppervlak (netto)]]</f>
        <v>3482.64</v>
      </c>
      <c r="W767" s="87">
        <f>IF(U767&gt;0,Ruimtestaat[[#This Row],[Prest. (m2 /jaar) werkdagen]]/Ruimtestaat[[#This Row],[Norm (m2/uur) werkdagen]],0)</f>
        <v>0</v>
      </c>
      <c r="X767" s="88">
        <f>Ruimtestaat[[#This Row],[uren / jaar werkdagen]]*Tariefsopbouw!$E$35</f>
        <v>0</v>
      </c>
      <c r="Y767" s="85"/>
      <c r="Z767" s="89">
        <f>IF(Ruimtestaat[[#This Row],[Frequentie weekend]]&gt;0,VALUE(LEFT(Y767,1))*R767,0)</f>
        <v>0</v>
      </c>
      <c r="AA767" s="85">
        <f>IF($Z767&gt;0,VLOOKUP($J767,Ruimtegroepen[],3,FALSE)*VLOOKUP($L767,Vloersoorten[],3,FALSE)*VLOOKUP($Y767,Frequenties[],3,FALSE)*VLOOKUP(#REF!,Locaties[],3,FALSE),0)</f>
        <v>0</v>
      </c>
      <c r="AB767" s="87">
        <f>Ruimtestaat[[#This Row],[Uitvoeringen weekend]]*Ruimtestaat[[#This Row],[Oppervlak (netto)]]</f>
        <v>0</v>
      </c>
      <c r="AC767" s="90">
        <f>IF(AB767&gt;0,Ruimtestaat[[#This Row],[Prest. (m2 /jaar) weekend]]/Ruimtestaat[[#This Row],[Norm (m2/uur) weekend]],0)</f>
        <v>0</v>
      </c>
      <c r="AD767" s="91">
        <f>Ruimtestaat[[#This Row],[uren / jaar weekend]]*Tariefsopbouw!$D$40</f>
        <v>0</v>
      </c>
      <c r="AE767" s="60">
        <f>Ruimtestaat[[#This Row],[Prest. (m2 /jaar) weekend]]+Ruimtestaat[[#This Row],[Prest. (m2 /jaar) werkdagen]]</f>
        <v>3482.64</v>
      </c>
      <c r="AF767" s="60">
        <f>Ruimtestaat[[#This Row],[uren / jaar weekend]]+Ruimtestaat[[#This Row],[uren / jaar werkdagen]]</f>
        <v>0</v>
      </c>
      <c r="AG767" s="61">
        <f>Ruimtestaat[[#This Row],[kosten / jaar weekend]]+Ruimtestaat[[#This Row],[kosten / jaar werkdagen]]</f>
        <v>0</v>
      </c>
      <c r="AH767" s="92"/>
      <c r="HL767" s="59"/>
    </row>
    <row r="768" spans="1:220">
      <c r="A768" s="24">
        <v>5</v>
      </c>
      <c r="B768" s="24" t="str">
        <f>VLOOKUP(Ruimtestaat[[#This Row],[Code]],Locaties[#All],2,FALSE)</f>
        <v>Marke Zuid</v>
      </c>
      <c r="C768" s="24" t="str">
        <f>VLOOKUP(Ruimtestaat[[#This Row],[Code]],Locaties[#All],4,FALSE)</f>
        <v>Ludgerstraat 1</v>
      </c>
      <c r="D768" s="24" t="str">
        <f>VLOOKUP(Ruimtestaat[[#This Row],[Code]],Locaties[#All],5,FALSE)</f>
        <v>7415 DV</v>
      </c>
      <c r="E768" s="24" t="str">
        <f>VLOOKUP(Ruimtestaat[[#This Row],[Code]],Locaties[#All],6,FALSE)</f>
        <v>Deventer</v>
      </c>
      <c r="F768" s="54"/>
      <c r="G768" s="24" t="s">
        <v>512</v>
      </c>
      <c r="H768" s="24" t="s">
        <v>1235</v>
      </c>
      <c r="I768" s="4" t="s">
        <v>1236</v>
      </c>
      <c r="J768" s="24">
        <v>22</v>
      </c>
      <c r="K768" s="54" t="str">
        <f>VLOOKUP(J768,Ruimtegroepen[],2,FALSE)</f>
        <v>Niet in onderhoud</v>
      </c>
      <c r="L768" s="24" t="s">
        <v>300</v>
      </c>
      <c r="M768" s="24" t="s">
        <v>1237</v>
      </c>
      <c r="N768" s="83"/>
      <c r="O768" s="83">
        <v>13.7</v>
      </c>
      <c r="P768" s="93" t="str">
        <f>LEFT(VLOOKUP(Ruimtestaat[[#This Row],[Ruimte code]],Ruimtegroepen[#All],4,1),2)</f>
        <v/>
      </c>
      <c r="Q768" s="93"/>
      <c r="R768" s="84"/>
      <c r="S768" s="84"/>
      <c r="T768" s="85">
        <f>IF(R768&gt;0,IF(RIGHT(Ruimtestaat[[#This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8" s="85">
        <f>IF(T768&gt;0,VLOOKUP($J768,Ruimtegroepen[],3,FALSE)*VLOOKUP($L768,Vloersoorten[],3,FALSE)*VLOOKUP($S768,Frequenties[],3,FALSE)*VLOOKUP($A768,Locaties[],3,FALSE),0)</f>
        <v>0</v>
      </c>
      <c r="V768" s="86">
        <f>Ruimtestaat[[#This Row],[Uitvoeringen werkdagen]]*Ruimtestaat[[#This Row],[Oppervlak (netto)]]</f>
        <v>0</v>
      </c>
      <c r="W768" s="87">
        <f>IF(U768&gt;0,Ruimtestaat[[#This Row],[Prest. (m2 /jaar) werkdagen]]/Ruimtestaat[[#This Row],[Norm (m2/uur) werkdagen]],0)</f>
        <v>0</v>
      </c>
      <c r="X768" s="88">
        <f>Ruimtestaat[[#This Row],[uren / jaar werkdagen]]*Tariefsopbouw!$E$35</f>
        <v>0</v>
      </c>
      <c r="Y768" s="85"/>
      <c r="Z768" s="89">
        <f>IF(Ruimtestaat[[#This Row],[Frequentie weekend]]&gt;0,VALUE(LEFT(Y768,1))*R768,0)</f>
        <v>0</v>
      </c>
      <c r="AA768" s="85">
        <f>IF($Z768&gt;0,VLOOKUP($J768,Ruimtegroepen[],3,FALSE)*VLOOKUP($L768,Vloersoorten[],3,FALSE)*VLOOKUP($Y768,Frequenties[],3,FALSE)*VLOOKUP(#REF!,Locaties[],3,FALSE),0)</f>
        <v>0</v>
      </c>
      <c r="AB768" s="87">
        <f>Ruimtestaat[[#This Row],[Uitvoeringen weekend]]*Ruimtestaat[[#This Row],[Oppervlak (netto)]]</f>
        <v>0</v>
      </c>
      <c r="AC768" s="90">
        <f>IF(AB768&gt;0,Ruimtestaat[[#This Row],[Prest. (m2 /jaar) weekend]]/Ruimtestaat[[#This Row],[Norm (m2/uur) weekend]],0)</f>
        <v>0</v>
      </c>
      <c r="AD768" s="91">
        <f>Ruimtestaat[[#This Row],[uren / jaar weekend]]*Tariefsopbouw!$D$40</f>
        <v>0</v>
      </c>
      <c r="AE768" s="60">
        <f>Ruimtestaat[[#This Row],[Prest. (m2 /jaar) weekend]]+Ruimtestaat[[#This Row],[Prest. (m2 /jaar) werkdagen]]</f>
        <v>0</v>
      </c>
      <c r="AF768" s="60">
        <f>Ruimtestaat[[#This Row],[uren / jaar weekend]]+Ruimtestaat[[#This Row],[uren / jaar werkdagen]]</f>
        <v>0</v>
      </c>
      <c r="AG768" s="61">
        <f>Ruimtestaat[[#This Row],[kosten / jaar weekend]]+Ruimtestaat[[#This Row],[kosten / jaar werkdagen]]</f>
        <v>0</v>
      </c>
      <c r="AH768" s="92"/>
      <c r="HL768" s="59"/>
    </row>
    <row r="769" spans="1:220">
      <c r="A769" s="24">
        <v>5</v>
      </c>
      <c r="B769" s="24" t="str">
        <f>VLOOKUP(Ruimtestaat[[#This Row],[Code]],Locaties[#All],2,FALSE)</f>
        <v>Marke Zuid</v>
      </c>
      <c r="C769" s="24" t="str">
        <f>VLOOKUP(Ruimtestaat[[#This Row],[Code]],Locaties[#All],4,FALSE)</f>
        <v>Ludgerstraat 1</v>
      </c>
      <c r="D769" s="24" t="str">
        <f>VLOOKUP(Ruimtestaat[[#This Row],[Code]],Locaties[#All],5,FALSE)</f>
        <v>7415 DV</v>
      </c>
      <c r="E769" s="24" t="str">
        <f>VLOOKUP(Ruimtestaat[[#This Row],[Code]],Locaties[#All],6,FALSE)</f>
        <v>Deventer</v>
      </c>
      <c r="F769" s="54"/>
      <c r="G769" s="24" t="s">
        <v>512</v>
      </c>
      <c r="H769" s="24" t="s">
        <v>532</v>
      </c>
      <c r="I769" s="4" t="s">
        <v>1098</v>
      </c>
      <c r="J769" s="24">
        <v>16</v>
      </c>
      <c r="K769" s="54" t="str">
        <f>VLOOKUP(J769,Ruimtegroepen[],2,FALSE)</f>
        <v>Leslokalen theorie</v>
      </c>
      <c r="L769" s="24" t="s">
        <v>300</v>
      </c>
      <c r="M769" s="24" t="s">
        <v>997</v>
      </c>
      <c r="N769" s="83">
        <v>55.5</v>
      </c>
      <c r="O769" s="83"/>
      <c r="P769" s="93" t="str">
        <f>LEFT(VLOOKUP(Ruimtestaat[[#This Row],[Ruimte code]],Ruimtegroepen[#All],4,1),2)</f>
        <v>Le</v>
      </c>
      <c r="Q769" s="93"/>
      <c r="R769" s="84">
        <v>40</v>
      </c>
      <c r="S769" s="84" t="s">
        <v>318</v>
      </c>
      <c r="T769" s="85">
        <f>IF(R769&gt;0,IF(RIGHT(Ruimtestaat[[#This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9" s="85">
        <f>IF(T769&gt;0,VLOOKUP($J769,Ruimtegroepen[],3,FALSE)*VLOOKUP($L769,Vloersoorten[],3,FALSE)*VLOOKUP($S769,Frequenties[],3,FALSE)*VLOOKUP($A769,Locaties[],3,FALSE),0)</f>
        <v>0</v>
      </c>
      <c r="V769" s="86">
        <f>Ruimtestaat[[#This Row],[Uitvoeringen werkdagen]]*Ruimtestaat[[#This Row],[Oppervlak (netto)]]</f>
        <v>11100</v>
      </c>
      <c r="W769" s="87">
        <f>IF(U769&gt;0,Ruimtestaat[[#This Row],[Prest. (m2 /jaar) werkdagen]]/Ruimtestaat[[#This Row],[Norm (m2/uur) werkdagen]],0)</f>
        <v>0</v>
      </c>
      <c r="X769" s="88">
        <f>Ruimtestaat[[#This Row],[uren / jaar werkdagen]]*Tariefsopbouw!$E$35</f>
        <v>0</v>
      </c>
      <c r="Y769" s="85"/>
      <c r="Z769" s="89">
        <f>IF(Ruimtestaat[[#This Row],[Frequentie weekend]]&gt;0,VALUE(LEFT(Y769,1))*R769,0)</f>
        <v>0</v>
      </c>
      <c r="AA769" s="85">
        <f>IF($Z769&gt;0,VLOOKUP($J769,Ruimtegroepen[],3,FALSE)*VLOOKUP($L769,Vloersoorten[],3,FALSE)*VLOOKUP($Y769,Frequenties[],3,FALSE)*VLOOKUP(#REF!,Locaties[],3,FALSE),0)</f>
        <v>0</v>
      </c>
      <c r="AB769" s="87">
        <f>Ruimtestaat[[#This Row],[Uitvoeringen weekend]]*Ruimtestaat[[#This Row],[Oppervlak (netto)]]</f>
        <v>0</v>
      </c>
      <c r="AC769" s="90">
        <f>IF(AB769&gt;0,Ruimtestaat[[#This Row],[Prest. (m2 /jaar) weekend]]/Ruimtestaat[[#This Row],[Norm (m2/uur) weekend]],0)</f>
        <v>0</v>
      </c>
      <c r="AD769" s="91">
        <f>Ruimtestaat[[#This Row],[uren / jaar weekend]]*Tariefsopbouw!$D$40</f>
        <v>0</v>
      </c>
      <c r="AE769" s="60">
        <f>Ruimtestaat[[#This Row],[Prest. (m2 /jaar) weekend]]+Ruimtestaat[[#This Row],[Prest. (m2 /jaar) werkdagen]]</f>
        <v>11100</v>
      </c>
      <c r="AF769" s="60">
        <f>Ruimtestaat[[#This Row],[uren / jaar weekend]]+Ruimtestaat[[#This Row],[uren / jaar werkdagen]]</f>
        <v>0</v>
      </c>
      <c r="AG769" s="61">
        <f>Ruimtestaat[[#This Row],[kosten / jaar weekend]]+Ruimtestaat[[#This Row],[kosten / jaar werkdagen]]</f>
        <v>0</v>
      </c>
      <c r="AH769" s="92"/>
      <c r="HL769" s="59"/>
    </row>
    <row r="770" spans="1:220">
      <c r="A770" s="24">
        <v>5</v>
      </c>
      <c r="B770" s="24" t="str">
        <f>VLOOKUP(Ruimtestaat[[#This Row],[Code]],Locaties[#All],2,FALSE)</f>
        <v>Marke Zuid</v>
      </c>
      <c r="C770" s="24" t="str">
        <f>VLOOKUP(Ruimtestaat[[#This Row],[Code]],Locaties[#All],4,FALSE)</f>
        <v>Ludgerstraat 1</v>
      </c>
      <c r="D770" s="24" t="str">
        <f>VLOOKUP(Ruimtestaat[[#This Row],[Code]],Locaties[#All],5,FALSE)</f>
        <v>7415 DV</v>
      </c>
      <c r="E770" s="24" t="str">
        <f>VLOOKUP(Ruimtestaat[[#This Row],[Code]],Locaties[#All],6,FALSE)</f>
        <v>Deventer</v>
      </c>
      <c r="F770" s="54"/>
      <c r="G770" s="24" t="s">
        <v>512</v>
      </c>
      <c r="H770" s="24" t="s">
        <v>1238</v>
      </c>
      <c r="I770" s="4" t="s">
        <v>667</v>
      </c>
      <c r="J770" s="24">
        <v>22</v>
      </c>
      <c r="K770" s="54" t="str">
        <f>VLOOKUP(J770,Ruimtegroepen[],2,FALSE)</f>
        <v>Niet in onderhoud</v>
      </c>
      <c r="L770" s="24" t="s">
        <v>300</v>
      </c>
      <c r="M770" s="24" t="s">
        <v>997</v>
      </c>
      <c r="N770" s="83"/>
      <c r="O770" s="83">
        <v>13.67</v>
      </c>
      <c r="P770" s="93" t="str">
        <f>LEFT(VLOOKUP(Ruimtestaat[[#This Row],[Ruimte code]],Ruimtegroepen[#All],4,1),2)</f>
        <v/>
      </c>
      <c r="Q770" s="93"/>
      <c r="R770" s="84"/>
      <c r="S770" s="84"/>
      <c r="T770" s="85">
        <f>IF(R770&gt;0,IF(RIGHT(Ruimtestaat[[#This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70" s="85">
        <f>IF(T770&gt;0,VLOOKUP($J770,Ruimtegroepen[],3,FALSE)*VLOOKUP($L770,Vloersoorten[],3,FALSE)*VLOOKUP($S770,Frequenties[],3,FALSE)*VLOOKUP($A770,Locaties[],3,FALSE),0)</f>
        <v>0</v>
      </c>
      <c r="V770" s="86">
        <f>Ruimtestaat[[#This Row],[Uitvoeringen werkdagen]]*Ruimtestaat[[#This Row],[Oppervlak (netto)]]</f>
        <v>0</v>
      </c>
      <c r="W770" s="87">
        <f>IF(U770&gt;0,Ruimtestaat[[#This Row],[Prest. (m2 /jaar) werkdagen]]/Ruimtestaat[[#This Row],[Norm (m2/uur) werkdagen]],0)</f>
        <v>0</v>
      </c>
      <c r="X770" s="88">
        <f>Ruimtestaat[[#This Row],[uren / jaar werkdagen]]*Tariefsopbouw!$E$35</f>
        <v>0</v>
      </c>
      <c r="Y770" s="85"/>
      <c r="Z770" s="89">
        <f>IF(Ruimtestaat[[#This Row],[Frequentie weekend]]&gt;0,VALUE(LEFT(Y770,1))*R770,0)</f>
        <v>0</v>
      </c>
      <c r="AA770" s="85">
        <f>IF($Z770&gt;0,VLOOKUP($J770,Ruimtegroepen[],3,FALSE)*VLOOKUP($L770,Vloersoorten[],3,FALSE)*VLOOKUP($Y770,Frequenties[],3,FALSE)*VLOOKUP(#REF!,Locaties[],3,FALSE),0)</f>
        <v>0</v>
      </c>
      <c r="AB770" s="87">
        <f>Ruimtestaat[[#This Row],[Uitvoeringen weekend]]*Ruimtestaat[[#This Row],[Oppervlak (netto)]]</f>
        <v>0</v>
      </c>
      <c r="AC770" s="90">
        <f>IF(AB770&gt;0,Ruimtestaat[[#This Row],[Prest. (m2 /jaar) weekend]]/Ruimtestaat[[#This Row],[Norm (m2/uur) weekend]],0)</f>
        <v>0</v>
      </c>
      <c r="AD770" s="91">
        <f>Ruimtestaat[[#This Row],[uren / jaar weekend]]*Tariefsopbouw!$D$40</f>
        <v>0</v>
      </c>
      <c r="AE770" s="60">
        <f>Ruimtestaat[[#This Row],[Prest. (m2 /jaar) weekend]]+Ruimtestaat[[#This Row],[Prest. (m2 /jaar) werkdagen]]</f>
        <v>0</v>
      </c>
      <c r="AF770" s="60">
        <f>Ruimtestaat[[#This Row],[uren / jaar weekend]]+Ruimtestaat[[#This Row],[uren / jaar werkdagen]]</f>
        <v>0</v>
      </c>
      <c r="AG770" s="61">
        <f>Ruimtestaat[[#This Row],[kosten / jaar weekend]]+Ruimtestaat[[#This Row],[kosten / jaar werkdagen]]</f>
        <v>0</v>
      </c>
      <c r="AH770" s="92"/>
      <c r="HL770" s="59"/>
    </row>
    <row r="771" spans="1:220">
      <c r="A771" s="24">
        <v>5</v>
      </c>
      <c r="B771" s="24" t="str">
        <f>VLOOKUP(Ruimtestaat[[#This Row],[Code]],Locaties[#All],2,FALSE)</f>
        <v>Marke Zuid</v>
      </c>
      <c r="C771" s="24" t="str">
        <f>VLOOKUP(Ruimtestaat[[#This Row],[Code]],Locaties[#All],4,FALSE)</f>
        <v>Ludgerstraat 1</v>
      </c>
      <c r="D771" s="24" t="str">
        <f>VLOOKUP(Ruimtestaat[[#This Row],[Code]],Locaties[#All],5,FALSE)</f>
        <v>7415 DV</v>
      </c>
      <c r="E771" s="24" t="str">
        <f>VLOOKUP(Ruimtestaat[[#This Row],[Code]],Locaties[#All],6,FALSE)</f>
        <v>Deventer</v>
      </c>
      <c r="F771" s="54"/>
      <c r="G771" s="24" t="s">
        <v>512</v>
      </c>
      <c r="H771" s="24" t="s">
        <v>533</v>
      </c>
      <c r="I771" s="4" t="s">
        <v>1098</v>
      </c>
      <c r="J771" s="24">
        <v>16</v>
      </c>
      <c r="K771" s="54" t="str">
        <f>VLOOKUP(J771,Ruimtegroepen[],2,FALSE)</f>
        <v>Leslokalen theorie</v>
      </c>
      <c r="L771" s="24" t="s">
        <v>300</v>
      </c>
      <c r="M771" s="24" t="s">
        <v>997</v>
      </c>
      <c r="N771" s="83">
        <v>55.13</v>
      </c>
      <c r="O771" s="83"/>
      <c r="P771" s="93" t="str">
        <f>LEFT(VLOOKUP(Ruimtestaat[[#This Row],[Ruimte code]],Ruimtegroepen[#All],4,1),2)</f>
        <v>Le</v>
      </c>
      <c r="Q771" s="93"/>
      <c r="R771" s="84">
        <v>40</v>
      </c>
      <c r="S771" s="84" t="s">
        <v>318</v>
      </c>
      <c r="T771" s="85">
        <f>IF(R771&gt;0,IF(RIGHT(Ruimtestaat[[#This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1" s="85">
        <f>IF(T771&gt;0,VLOOKUP($J771,Ruimtegroepen[],3,FALSE)*VLOOKUP($L771,Vloersoorten[],3,FALSE)*VLOOKUP($S771,Frequenties[],3,FALSE)*VLOOKUP($A771,Locaties[],3,FALSE),0)</f>
        <v>0</v>
      </c>
      <c r="V771" s="86">
        <f>Ruimtestaat[[#This Row],[Uitvoeringen werkdagen]]*Ruimtestaat[[#This Row],[Oppervlak (netto)]]</f>
        <v>11026</v>
      </c>
      <c r="W771" s="87">
        <f>IF(U771&gt;0,Ruimtestaat[[#This Row],[Prest. (m2 /jaar) werkdagen]]/Ruimtestaat[[#This Row],[Norm (m2/uur) werkdagen]],0)</f>
        <v>0</v>
      </c>
      <c r="X771" s="88">
        <f>Ruimtestaat[[#This Row],[uren / jaar werkdagen]]*Tariefsopbouw!$E$35</f>
        <v>0</v>
      </c>
      <c r="Y771" s="85"/>
      <c r="Z771" s="89">
        <f>IF(Ruimtestaat[[#This Row],[Frequentie weekend]]&gt;0,VALUE(LEFT(Y771,1))*R771,0)</f>
        <v>0</v>
      </c>
      <c r="AA771" s="85">
        <f>IF($Z771&gt;0,VLOOKUP($J771,Ruimtegroepen[],3,FALSE)*VLOOKUP($L771,Vloersoorten[],3,FALSE)*VLOOKUP($Y771,Frequenties[],3,FALSE)*VLOOKUP(#REF!,Locaties[],3,FALSE),0)</f>
        <v>0</v>
      </c>
      <c r="AB771" s="87">
        <f>Ruimtestaat[[#This Row],[Uitvoeringen weekend]]*Ruimtestaat[[#This Row],[Oppervlak (netto)]]</f>
        <v>0</v>
      </c>
      <c r="AC771" s="90">
        <f>IF(AB771&gt;0,Ruimtestaat[[#This Row],[Prest. (m2 /jaar) weekend]]/Ruimtestaat[[#This Row],[Norm (m2/uur) weekend]],0)</f>
        <v>0</v>
      </c>
      <c r="AD771" s="91">
        <f>Ruimtestaat[[#This Row],[uren / jaar weekend]]*Tariefsopbouw!$D$40</f>
        <v>0</v>
      </c>
      <c r="AE771" s="60">
        <f>Ruimtestaat[[#This Row],[Prest. (m2 /jaar) weekend]]+Ruimtestaat[[#This Row],[Prest. (m2 /jaar) werkdagen]]</f>
        <v>11026</v>
      </c>
      <c r="AF771" s="60">
        <f>Ruimtestaat[[#This Row],[uren / jaar weekend]]+Ruimtestaat[[#This Row],[uren / jaar werkdagen]]</f>
        <v>0</v>
      </c>
      <c r="AG771" s="61">
        <f>Ruimtestaat[[#This Row],[kosten / jaar weekend]]+Ruimtestaat[[#This Row],[kosten / jaar werkdagen]]</f>
        <v>0</v>
      </c>
      <c r="AH771" s="92"/>
      <c r="HL771" s="59"/>
    </row>
    <row r="772" spans="1:220">
      <c r="A772" s="24">
        <v>5</v>
      </c>
      <c r="B772" s="24" t="str">
        <f>VLOOKUP(Ruimtestaat[[#This Row],[Code]],Locaties[#All],2,FALSE)</f>
        <v>Marke Zuid</v>
      </c>
      <c r="C772" s="24" t="str">
        <f>VLOOKUP(Ruimtestaat[[#This Row],[Code]],Locaties[#All],4,FALSE)</f>
        <v>Ludgerstraat 1</v>
      </c>
      <c r="D772" s="24" t="str">
        <f>VLOOKUP(Ruimtestaat[[#This Row],[Code]],Locaties[#All],5,FALSE)</f>
        <v>7415 DV</v>
      </c>
      <c r="E772" s="24" t="str">
        <f>VLOOKUP(Ruimtestaat[[#This Row],[Code]],Locaties[#All],6,FALSE)</f>
        <v>Deventer</v>
      </c>
      <c r="F772" s="54"/>
      <c r="G772" s="24" t="s">
        <v>512</v>
      </c>
      <c r="H772" s="24" t="s">
        <v>534</v>
      </c>
      <c r="I772" s="4" t="s">
        <v>1098</v>
      </c>
      <c r="J772" s="24">
        <v>16</v>
      </c>
      <c r="K772" s="54" t="str">
        <f>VLOOKUP(J772,Ruimtegroepen[],2,FALSE)</f>
        <v>Leslokalen theorie</v>
      </c>
      <c r="L772" s="24" t="s">
        <v>300</v>
      </c>
      <c r="M772" s="24" t="s">
        <v>997</v>
      </c>
      <c r="N772" s="83">
        <v>55.13</v>
      </c>
      <c r="O772" s="83"/>
      <c r="P772" s="93" t="str">
        <f>LEFT(VLOOKUP(Ruimtestaat[[#This Row],[Ruimte code]],Ruimtegroepen[#All],4,1),2)</f>
        <v>Le</v>
      </c>
      <c r="Q772" s="93"/>
      <c r="R772" s="84">
        <v>40</v>
      </c>
      <c r="S772" s="84" t="s">
        <v>318</v>
      </c>
      <c r="T772" s="85">
        <f>IF(R772&gt;0,IF(RIGHT(Ruimtestaat[[#This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2" s="85">
        <f>IF(T772&gt;0,VLOOKUP($J772,Ruimtegroepen[],3,FALSE)*VLOOKUP($L772,Vloersoorten[],3,FALSE)*VLOOKUP($S772,Frequenties[],3,FALSE)*VLOOKUP($A772,Locaties[],3,FALSE),0)</f>
        <v>0</v>
      </c>
      <c r="V772" s="86">
        <f>Ruimtestaat[[#This Row],[Uitvoeringen werkdagen]]*Ruimtestaat[[#This Row],[Oppervlak (netto)]]</f>
        <v>11026</v>
      </c>
      <c r="W772" s="87">
        <f>IF(U772&gt;0,Ruimtestaat[[#This Row],[Prest. (m2 /jaar) werkdagen]]/Ruimtestaat[[#This Row],[Norm (m2/uur) werkdagen]],0)</f>
        <v>0</v>
      </c>
      <c r="X772" s="88">
        <f>Ruimtestaat[[#This Row],[uren / jaar werkdagen]]*Tariefsopbouw!$E$35</f>
        <v>0</v>
      </c>
      <c r="Y772" s="85"/>
      <c r="Z772" s="89">
        <f>IF(Ruimtestaat[[#This Row],[Frequentie weekend]]&gt;0,VALUE(LEFT(Y772,1))*R772,0)</f>
        <v>0</v>
      </c>
      <c r="AA772" s="85">
        <f>IF($Z772&gt;0,VLOOKUP($J772,Ruimtegroepen[],3,FALSE)*VLOOKUP($L772,Vloersoorten[],3,FALSE)*VLOOKUP($Y772,Frequenties[],3,FALSE)*VLOOKUP(#REF!,Locaties[],3,FALSE),0)</f>
        <v>0</v>
      </c>
      <c r="AB772" s="87">
        <f>Ruimtestaat[[#This Row],[Uitvoeringen weekend]]*Ruimtestaat[[#This Row],[Oppervlak (netto)]]</f>
        <v>0</v>
      </c>
      <c r="AC772" s="90">
        <f>IF(AB772&gt;0,Ruimtestaat[[#This Row],[Prest. (m2 /jaar) weekend]]/Ruimtestaat[[#This Row],[Norm (m2/uur) weekend]],0)</f>
        <v>0</v>
      </c>
      <c r="AD772" s="91">
        <f>Ruimtestaat[[#This Row],[uren / jaar weekend]]*Tariefsopbouw!$D$40</f>
        <v>0</v>
      </c>
      <c r="AE772" s="60">
        <f>Ruimtestaat[[#This Row],[Prest. (m2 /jaar) weekend]]+Ruimtestaat[[#This Row],[Prest. (m2 /jaar) werkdagen]]</f>
        <v>11026</v>
      </c>
      <c r="AF772" s="60">
        <f>Ruimtestaat[[#This Row],[uren / jaar weekend]]+Ruimtestaat[[#This Row],[uren / jaar werkdagen]]</f>
        <v>0</v>
      </c>
      <c r="AG772" s="61">
        <f>Ruimtestaat[[#This Row],[kosten / jaar weekend]]+Ruimtestaat[[#This Row],[kosten / jaar werkdagen]]</f>
        <v>0</v>
      </c>
      <c r="AH772" s="92"/>
      <c r="HL772" s="59"/>
    </row>
    <row r="773" spans="1:220">
      <c r="A773" s="24">
        <v>5</v>
      </c>
      <c r="B773" s="24" t="str">
        <f>VLOOKUP(Ruimtestaat[[#This Row],[Code]],Locaties[#All],2,FALSE)</f>
        <v>Marke Zuid</v>
      </c>
      <c r="C773" s="24" t="str">
        <f>VLOOKUP(Ruimtestaat[[#This Row],[Code]],Locaties[#All],4,FALSE)</f>
        <v>Ludgerstraat 1</v>
      </c>
      <c r="D773" s="24" t="str">
        <f>VLOOKUP(Ruimtestaat[[#This Row],[Code]],Locaties[#All],5,FALSE)</f>
        <v>7415 DV</v>
      </c>
      <c r="E773" s="24" t="str">
        <f>VLOOKUP(Ruimtestaat[[#This Row],[Code]],Locaties[#All],6,FALSE)</f>
        <v>Deventer</v>
      </c>
      <c r="F773" s="54"/>
      <c r="G773" s="24" t="s">
        <v>512</v>
      </c>
      <c r="H773" s="24" t="s">
        <v>536</v>
      </c>
      <c r="I773" s="4" t="s">
        <v>1098</v>
      </c>
      <c r="J773" s="24">
        <v>16</v>
      </c>
      <c r="K773" s="54" t="str">
        <f>VLOOKUP(J773,Ruimtegroepen[],2,FALSE)</f>
        <v>Leslokalen theorie</v>
      </c>
      <c r="L773" s="24" t="s">
        <v>300</v>
      </c>
      <c r="M773" s="24" t="s">
        <v>997</v>
      </c>
      <c r="N773" s="83">
        <v>55.13</v>
      </c>
      <c r="O773" s="83"/>
      <c r="P773" s="93" t="str">
        <f>LEFT(VLOOKUP(Ruimtestaat[[#This Row],[Ruimte code]],Ruimtegroepen[#All],4,1),2)</f>
        <v>Le</v>
      </c>
      <c r="Q773" s="93"/>
      <c r="R773" s="84">
        <v>40</v>
      </c>
      <c r="S773" s="84" t="s">
        <v>318</v>
      </c>
      <c r="T773" s="85">
        <f>IF(R773&gt;0,IF(RIGHT(Ruimtestaat[[#This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3" s="85">
        <f>IF(T773&gt;0,VLOOKUP($J773,Ruimtegroepen[],3,FALSE)*VLOOKUP($L773,Vloersoorten[],3,FALSE)*VLOOKUP($S773,Frequenties[],3,FALSE)*VLOOKUP($A773,Locaties[],3,FALSE),0)</f>
        <v>0</v>
      </c>
      <c r="V773" s="86">
        <f>Ruimtestaat[[#This Row],[Uitvoeringen werkdagen]]*Ruimtestaat[[#This Row],[Oppervlak (netto)]]</f>
        <v>11026</v>
      </c>
      <c r="W773" s="87">
        <f>IF(U773&gt;0,Ruimtestaat[[#This Row],[Prest. (m2 /jaar) werkdagen]]/Ruimtestaat[[#This Row],[Norm (m2/uur) werkdagen]],0)</f>
        <v>0</v>
      </c>
      <c r="X773" s="88">
        <f>Ruimtestaat[[#This Row],[uren / jaar werkdagen]]*Tariefsopbouw!$E$35</f>
        <v>0</v>
      </c>
      <c r="Y773" s="85"/>
      <c r="Z773" s="89">
        <f>IF(Ruimtestaat[[#This Row],[Frequentie weekend]]&gt;0,VALUE(LEFT(Y773,1))*R773,0)</f>
        <v>0</v>
      </c>
      <c r="AA773" s="85">
        <f>IF($Z773&gt;0,VLOOKUP($J773,Ruimtegroepen[],3,FALSE)*VLOOKUP($L773,Vloersoorten[],3,FALSE)*VLOOKUP($Y773,Frequenties[],3,FALSE)*VLOOKUP(#REF!,Locaties[],3,FALSE),0)</f>
        <v>0</v>
      </c>
      <c r="AB773" s="87">
        <f>Ruimtestaat[[#This Row],[Uitvoeringen weekend]]*Ruimtestaat[[#This Row],[Oppervlak (netto)]]</f>
        <v>0</v>
      </c>
      <c r="AC773" s="90">
        <f>IF(AB773&gt;0,Ruimtestaat[[#This Row],[Prest. (m2 /jaar) weekend]]/Ruimtestaat[[#This Row],[Norm (m2/uur) weekend]],0)</f>
        <v>0</v>
      </c>
      <c r="AD773" s="91">
        <f>Ruimtestaat[[#This Row],[uren / jaar weekend]]*Tariefsopbouw!$D$40</f>
        <v>0</v>
      </c>
      <c r="AE773" s="60">
        <f>Ruimtestaat[[#This Row],[Prest. (m2 /jaar) weekend]]+Ruimtestaat[[#This Row],[Prest. (m2 /jaar) werkdagen]]</f>
        <v>11026</v>
      </c>
      <c r="AF773" s="60">
        <f>Ruimtestaat[[#This Row],[uren / jaar weekend]]+Ruimtestaat[[#This Row],[uren / jaar werkdagen]]</f>
        <v>0</v>
      </c>
      <c r="AG773" s="61">
        <f>Ruimtestaat[[#This Row],[kosten / jaar weekend]]+Ruimtestaat[[#This Row],[kosten / jaar werkdagen]]</f>
        <v>0</v>
      </c>
      <c r="AH773" s="92"/>
      <c r="HL773" s="59"/>
    </row>
    <row r="774" spans="1:220">
      <c r="A774" s="24">
        <v>5</v>
      </c>
      <c r="B774" s="24" t="str">
        <f>VLOOKUP(Ruimtestaat[[#This Row],[Code]],Locaties[#All],2,FALSE)</f>
        <v>Marke Zuid</v>
      </c>
      <c r="C774" s="24" t="str">
        <f>VLOOKUP(Ruimtestaat[[#This Row],[Code]],Locaties[#All],4,FALSE)</f>
        <v>Ludgerstraat 1</v>
      </c>
      <c r="D774" s="24" t="str">
        <f>VLOOKUP(Ruimtestaat[[#This Row],[Code]],Locaties[#All],5,FALSE)</f>
        <v>7415 DV</v>
      </c>
      <c r="E774" s="24" t="str">
        <f>VLOOKUP(Ruimtestaat[[#This Row],[Code]],Locaties[#All],6,FALSE)</f>
        <v>Deventer</v>
      </c>
      <c r="F774" s="54"/>
      <c r="G774" s="24" t="s">
        <v>512</v>
      </c>
      <c r="H774" s="24" t="s">
        <v>537</v>
      </c>
      <c r="I774" s="4" t="s">
        <v>1098</v>
      </c>
      <c r="J774" s="24">
        <v>16</v>
      </c>
      <c r="K774" s="54" t="str">
        <f>VLOOKUP(J774,Ruimtegroepen[],2,FALSE)</f>
        <v>Leslokalen theorie</v>
      </c>
      <c r="L774" s="24" t="s">
        <v>300</v>
      </c>
      <c r="M774" s="24" t="s">
        <v>997</v>
      </c>
      <c r="N774" s="83">
        <v>55.5</v>
      </c>
      <c r="O774" s="83"/>
      <c r="P774" s="93" t="str">
        <f>LEFT(VLOOKUP(Ruimtestaat[[#This Row],[Ruimte code]],Ruimtegroepen[#All],4,1),2)</f>
        <v>Le</v>
      </c>
      <c r="Q774" s="93"/>
      <c r="R774" s="84">
        <v>40</v>
      </c>
      <c r="S774" s="84" t="s">
        <v>318</v>
      </c>
      <c r="T774" s="85">
        <f>IF(R774&gt;0,IF(RIGHT(Ruimtestaat[[#This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4" s="85">
        <f>IF(T774&gt;0,VLOOKUP($J774,Ruimtegroepen[],3,FALSE)*VLOOKUP($L774,Vloersoorten[],3,FALSE)*VLOOKUP($S774,Frequenties[],3,FALSE)*VLOOKUP($A774,Locaties[],3,FALSE),0)</f>
        <v>0</v>
      </c>
      <c r="V774" s="86">
        <f>Ruimtestaat[[#This Row],[Uitvoeringen werkdagen]]*Ruimtestaat[[#This Row],[Oppervlak (netto)]]</f>
        <v>11100</v>
      </c>
      <c r="W774" s="87">
        <f>IF(U774&gt;0,Ruimtestaat[[#This Row],[Prest. (m2 /jaar) werkdagen]]/Ruimtestaat[[#This Row],[Norm (m2/uur) werkdagen]],0)</f>
        <v>0</v>
      </c>
      <c r="X774" s="88">
        <f>Ruimtestaat[[#This Row],[uren / jaar werkdagen]]*Tariefsopbouw!$E$35</f>
        <v>0</v>
      </c>
      <c r="Y774" s="85"/>
      <c r="Z774" s="89">
        <f>IF(Ruimtestaat[[#This Row],[Frequentie weekend]]&gt;0,VALUE(LEFT(Y774,1))*R774,0)</f>
        <v>0</v>
      </c>
      <c r="AA774" s="85">
        <f>IF($Z774&gt;0,VLOOKUP($J774,Ruimtegroepen[],3,FALSE)*VLOOKUP($L774,Vloersoorten[],3,FALSE)*VLOOKUP($Y774,Frequenties[],3,FALSE)*VLOOKUP(#REF!,Locaties[],3,FALSE),0)</f>
        <v>0</v>
      </c>
      <c r="AB774" s="87">
        <f>Ruimtestaat[[#This Row],[Uitvoeringen weekend]]*Ruimtestaat[[#This Row],[Oppervlak (netto)]]</f>
        <v>0</v>
      </c>
      <c r="AC774" s="90">
        <f>IF(AB774&gt;0,Ruimtestaat[[#This Row],[Prest. (m2 /jaar) weekend]]/Ruimtestaat[[#This Row],[Norm (m2/uur) weekend]],0)</f>
        <v>0</v>
      </c>
      <c r="AD774" s="91">
        <f>Ruimtestaat[[#This Row],[uren / jaar weekend]]*Tariefsopbouw!$D$40</f>
        <v>0</v>
      </c>
      <c r="AE774" s="60">
        <f>Ruimtestaat[[#This Row],[Prest. (m2 /jaar) weekend]]+Ruimtestaat[[#This Row],[Prest. (m2 /jaar) werkdagen]]</f>
        <v>11100</v>
      </c>
      <c r="AF774" s="60">
        <f>Ruimtestaat[[#This Row],[uren / jaar weekend]]+Ruimtestaat[[#This Row],[uren / jaar werkdagen]]</f>
        <v>0</v>
      </c>
      <c r="AG774" s="61">
        <f>Ruimtestaat[[#This Row],[kosten / jaar weekend]]+Ruimtestaat[[#This Row],[kosten / jaar werkdagen]]</f>
        <v>0</v>
      </c>
      <c r="AH774" s="92"/>
      <c r="HL774" s="59"/>
    </row>
    <row r="775" spans="1:220">
      <c r="A775" s="24">
        <v>5</v>
      </c>
      <c r="B775" s="24" t="str">
        <f>VLOOKUP(Ruimtestaat[[#This Row],[Code]],Locaties[#All],2,FALSE)</f>
        <v>Marke Zuid</v>
      </c>
      <c r="C775" s="24" t="str">
        <f>VLOOKUP(Ruimtestaat[[#This Row],[Code]],Locaties[#All],4,FALSE)</f>
        <v>Ludgerstraat 1</v>
      </c>
      <c r="D775" s="24" t="str">
        <f>VLOOKUP(Ruimtestaat[[#This Row],[Code]],Locaties[#All],5,FALSE)</f>
        <v>7415 DV</v>
      </c>
      <c r="E775" s="24" t="str">
        <f>VLOOKUP(Ruimtestaat[[#This Row],[Code]],Locaties[#All],6,FALSE)</f>
        <v>Deventer</v>
      </c>
      <c r="F775" s="54"/>
      <c r="G775" s="24" t="s">
        <v>512</v>
      </c>
      <c r="H775" s="24" t="s">
        <v>538</v>
      </c>
      <c r="I775" s="4" t="s">
        <v>941</v>
      </c>
      <c r="J775" s="24">
        <v>2</v>
      </c>
      <c r="K775" s="54" t="str">
        <f>VLOOKUP(J775,Ruimtegroepen[],2,FALSE)</f>
        <v>Kantoren</v>
      </c>
      <c r="L775" s="24" t="s">
        <v>300</v>
      </c>
      <c r="M775" s="24" t="s">
        <v>997</v>
      </c>
      <c r="N775" s="83">
        <v>27.74</v>
      </c>
      <c r="O775" s="83"/>
      <c r="P775" s="93" t="str">
        <f>LEFT(VLOOKUP(Ruimtestaat[[#This Row],[Ruimte code]],Ruimtegroepen[#All],4,1),2)</f>
        <v>Bu</v>
      </c>
      <c r="Q775" s="93"/>
      <c r="R775" s="84">
        <v>42</v>
      </c>
      <c r="S775" s="84" t="s">
        <v>322</v>
      </c>
      <c r="T775" s="85">
        <f>IF(R775&gt;0,IF(RIGHT(Ruimtestaat[[#This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75" s="85">
        <f>IF(T775&gt;0,VLOOKUP($J775,Ruimtegroepen[],3,FALSE)*VLOOKUP($L775,Vloersoorten[],3,FALSE)*VLOOKUP($S775,Frequenties[],3,FALSE)*VLOOKUP($A775,Locaties[],3,FALSE),0)</f>
        <v>0</v>
      </c>
      <c r="V775" s="86">
        <f>Ruimtestaat[[#This Row],[Uitvoeringen werkdagen]]*Ruimtestaat[[#This Row],[Oppervlak (netto)]]</f>
        <v>3495.24</v>
      </c>
      <c r="W775" s="87">
        <f>IF(U775&gt;0,Ruimtestaat[[#This Row],[Prest. (m2 /jaar) werkdagen]]/Ruimtestaat[[#This Row],[Norm (m2/uur) werkdagen]],0)</f>
        <v>0</v>
      </c>
      <c r="X775" s="88">
        <f>Ruimtestaat[[#This Row],[uren / jaar werkdagen]]*Tariefsopbouw!$E$35</f>
        <v>0</v>
      </c>
      <c r="Y775" s="85"/>
      <c r="Z775" s="89">
        <f>IF(Ruimtestaat[[#This Row],[Frequentie weekend]]&gt;0,VALUE(LEFT(Y775,1))*R775,0)</f>
        <v>0</v>
      </c>
      <c r="AA775" s="85">
        <f>IF($Z775&gt;0,VLOOKUP($J775,Ruimtegroepen[],3,FALSE)*VLOOKUP($L775,Vloersoorten[],3,FALSE)*VLOOKUP($Y775,Frequenties[],3,FALSE)*VLOOKUP(#REF!,Locaties[],3,FALSE),0)</f>
        <v>0</v>
      </c>
      <c r="AB775" s="87">
        <f>Ruimtestaat[[#This Row],[Uitvoeringen weekend]]*Ruimtestaat[[#This Row],[Oppervlak (netto)]]</f>
        <v>0</v>
      </c>
      <c r="AC775" s="90">
        <f>IF(AB775&gt;0,Ruimtestaat[[#This Row],[Prest. (m2 /jaar) weekend]]/Ruimtestaat[[#This Row],[Norm (m2/uur) weekend]],0)</f>
        <v>0</v>
      </c>
      <c r="AD775" s="91">
        <f>Ruimtestaat[[#This Row],[uren / jaar weekend]]*Tariefsopbouw!$D$40</f>
        <v>0</v>
      </c>
      <c r="AE775" s="60">
        <f>Ruimtestaat[[#This Row],[Prest. (m2 /jaar) weekend]]+Ruimtestaat[[#This Row],[Prest. (m2 /jaar) werkdagen]]</f>
        <v>3495.24</v>
      </c>
      <c r="AF775" s="60">
        <f>Ruimtestaat[[#This Row],[uren / jaar weekend]]+Ruimtestaat[[#This Row],[uren / jaar werkdagen]]</f>
        <v>0</v>
      </c>
      <c r="AG775" s="61">
        <f>Ruimtestaat[[#This Row],[kosten / jaar weekend]]+Ruimtestaat[[#This Row],[kosten / jaar werkdagen]]</f>
        <v>0</v>
      </c>
      <c r="AH775" s="92"/>
      <c r="HL775" s="59"/>
    </row>
    <row r="776" spans="1:220">
      <c r="A776" s="24">
        <v>5</v>
      </c>
      <c r="B776" s="24" t="str">
        <f>VLOOKUP(Ruimtestaat[[#This Row],[Code]],Locaties[#All],2,FALSE)</f>
        <v>Marke Zuid</v>
      </c>
      <c r="C776" s="24" t="str">
        <f>VLOOKUP(Ruimtestaat[[#This Row],[Code]],Locaties[#All],4,FALSE)</f>
        <v>Ludgerstraat 1</v>
      </c>
      <c r="D776" s="24" t="str">
        <f>VLOOKUP(Ruimtestaat[[#This Row],[Code]],Locaties[#All],5,FALSE)</f>
        <v>7415 DV</v>
      </c>
      <c r="E776" s="24" t="str">
        <f>VLOOKUP(Ruimtestaat[[#This Row],[Code]],Locaties[#All],6,FALSE)</f>
        <v>Deventer</v>
      </c>
      <c r="F776" s="54"/>
      <c r="G776" s="24" t="s">
        <v>512</v>
      </c>
      <c r="H776" s="24" t="s">
        <v>540</v>
      </c>
      <c r="I776" s="4" t="s">
        <v>941</v>
      </c>
      <c r="J776" s="24">
        <v>2</v>
      </c>
      <c r="K776" s="54" t="str">
        <f>VLOOKUP(J776,Ruimtegroepen[],2,FALSE)</f>
        <v>Kantoren</v>
      </c>
      <c r="L776" s="24" t="s">
        <v>300</v>
      </c>
      <c r="M776" s="24" t="s">
        <v>997</v>
      </c>
      <c r="N776" s="83">
        <v>27.55</v>
      </c>
      <c r="O776" s="83"/>
      <c r="P776" s="93" t="str">
        <f>LEFT(VLOOKUP(Ruimtestaat[[#This Row],[Ruimte code]],Ruimtegroepen[#All],4,1),2)</f>
        <v>Bu</v>
      </c>
      <c r="Q776" s="93"/>
      <c r="R776" s="84">
        <v>42</v>
      </c>
      <c r="S776" s="84" t="s">
        <v>322</v>
      </c>
      <c r="T776" s="85">
        <f>IF(R776&gt;0,IF(RIGHT(Ruimtestaat[[#This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76" s="85">
        <f>IF(T776&gt;0,VLOOKUP($J776,Ruimtegroepen[],3,FALSE)*VLOOKUP($L776,Vloersoorten[],3,FALSE)*VLOOKUP($S776,Frequenties[],3,FALSE)*VLOOKUP($A776,Locaties[],3,FALSE),0)</f>
        <v>0</v>
      </c>
      <c r="V776" s="86">
        <f>Ruimtestaat[[#This Row],[Uitvoeringen werkdagen]]*Ruimtestaat[[#This Row],[Oppervlak (netto)]]</f>
        <v>3471.3</v>
      </c>
      <c r="W776" s="87">
        <f>IF(U776&gt;0,Ruimtestaat[[#This Row],[Prest. (m2 /jaar) werkdagen]]/Ruimtestaat[[#This Row],[Norm (m2/uur) werkdagen]],0)</f>
        <v>0</v>
      </c>
      <c r="X776" s="88">
        <f>Ruimtestaat[[#This Row],[uren / jaar werkdagen]]*Tariefsopbouw!$E$35</f>
        <v>0</v>
      </c>
      <c r="Y776" s="85"/>
      <c r="Z776" s="89">
        <f>IF(Ruimtestaat[[#This Row],[Frequentie weekend]]&gt;0,VALUE(LEFT(Y776,1))*R776,0)</f>
        <v>0</v>
      </c>
      <c r="AA776" s="85">
        <f>IF($Z776&gt;0,VLOOKUP($J776,Ruimtegroepen[],3,FALSE)*VLOOKUP($L776,Vloersoorten[],3,FALSE)*VLOOKUP($Y776,Frequenties[],3,FALSE)*VLOOKUP(#REF!,Locaties[],3,FALSE),0)</f>
        <v>0</v>
      </c>
      <c r="AB776" s="87">
        <f>Ruimtestaat[[#This Row],[Uitvoeringen weekend]]*Ruimtestaat[[#This Row],[Oppervlak (netto)]]</f>
        <v>0</v>
      </c>
      <c r="AC776" s="90">
        <f>IF(AB776&gt;0,Ruimtestaat[[#This Row],[Prest. (m2 /jaar) weekend]]/Ruimtestaat[[#This Row],[Norm (m2/uur) weekend]],0)</f>
        <v>0</v>
      </c>
      <c r="AD776" s="91">
        <f>Ruimtestaat[[#This Row],[uren / jaar weekend]]*Tariefsopbouw!$D$40</f>
        <v>0</v>
      </c>
      <c r="AE776" s="60">
        <f>Ruimtestaat[[#This Row],[Prest. (m2 /jaar) weekend]]+Ruimtestaat[[#This Row],[Prest. (m2 /jaar) werkdagen]]</f>
        <v>3471.3</v>
      </c>
      <c r="AF776" s="60">
        <f>Ruimtestaat[[#This Row],[uren / jaar weekend]]+Ruimtestaat[[#This Row],[uren / jaar werkdagen]]</f>
        <v>0</v>
      </c>
      <c r="AG776" s="61">
        <f>Ruimtestaat[[#This Row],[kosten / jaar weekend]]+Ruimtestaat[[#This Row],[kosten / jaar werkdagen]]</f>
        <v>0</v>
      </c>
      <c r="AH776" s="92"/>
      <c r="HL776" s="59"/>
    </row>
    <row r="777" spans="1:220">
      <c r="A777" s="24">
        <v>5</v>
      </c>
      <c r="B777" s="24" t="str">
        <f>VLOOKUP(Ruimtestaat[[#This Row],[Code]],Locaties[#All],2,FALSE)</f>
        <v>Marke Zuid</v>
      </c>
      <c r="C777" s="24" t="str">
        <f>VLOOKUP(Ruimtestaat[[#This Row],[Code]],Locaties[#All],4,FALSE)</f>
        <v>Ludgerstraat 1</v>
      </c>
      <c r="D777" s="24" t="str">
        <f>VLOOKUP(Ruimtestaat[[#This Row],[Code]],Locaties[#All],5,FALSE)</f>
        <v>7415 DV</v>
      </c>
      <c r="E777" s="24" t="str">
        <f>VLOOKUP(Ruimtestaat[[#This Row],[Code]],Locaties[#All],6,FALSE)</f>
        <v>Deventer</v>
      </c>
      <c r="F777" s="54"/>
      <c r="G777" s="24" t="s">
        <v>512</v>
      </c>
      <c r="H777" s="24" t="s">
        <v>542</v>
      </c>
      <c r="I777" s="4" t="s">
        <v>941</v>
      </c>
      <c r="J777" s="24">
        <v>2</v>
      </c>
      <c r="K777" s="54" t="str">
        <f>VLOOKUP(J777,Ruimtegroepen[],2,FALSE)</f>
        <v>Kantoren</v>
      </c>
      <c r="L777" s="24" t="s">
        <v>311</v>
      </c>
      <c r="M777" s="252" t="s">
        <v>1182</v>
      </c>
      <c r="N777" s="83">
        <v>27.2</v>
      </c>
      <c r="O777" s="83"/>
      <c r="P777" s="93" t="str">
        <f>LEFT(VLOOKUP(Ruimtestaat[[#This Row],[Ruimte code]],Ruimtegroepen[#All],4,1),2)</f>
        <v>Bu</v>
      </c>
      <c r="Q777" s="93"/>
      <c r="R777" s="84">
        <v>42</v>
      </c>
      <c r="S777" s="84" t="s">
        <v>322</v>
      </c>
      <c r="T777" s="85">
        <f>IF(R777&gt;0,IF(RIGHT(Ruimtestaat[[#This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77" s="85">
        <f>IF(T777&gt;0,VLOOKUP($J777,Ruimtegroepen[],3,FALSE)*VLOOKUP($L777,Vloersoorten[],3,FALSE)*VLOOKUP($S777,Frequenties[],3,FALSE)*VLOOKUP($A777,Locaties[],3,FALSE),0)</f>
        <v>0</v>
      </c>
      <c r="V777" s="86">
        <f>Ruimtestaat[[#This Row],[Uitvoeringen werkdagen]]*Ruimtestaat[[#This Row],[Oppervlak (netto)]]</f>
        <v>3427.2</v>
      </c>
      <c r="W777" s="87">
        <f>IF(U777&gt;0,Ruimtestaat[[#This Row],[Prest. (m2 /jaar) werkdagen]]/Ruimtestaat[[#This Row],[Norm (m2/uur) werkdagen]],0)</f>
        <v>0</v>
      </c>
      <c r="X777" s="88">
        <f>Ruimtestaat[[#This Row],[uren / jaar werkdagen]]*Tariefsopbouw!$E$35</f>
        <v>0</v>
      </c>
      <c r="Y777" s="85"/>
      <c r="Z777" s="89">
        <f>IF(Ruimtestaat[[#This Row],[Frequentie weekend]]&gt;0,VALUE(LEFT(Y777,1))*R777,0)</f>
        <v>0</v>
      </c>
      <c r="AA777" s="85">
        <f>IF($Z777&gt;0,VLOOKUP($J777,Ruimtegroepen[],3,FALSE)*VLOOKUP($L777,Vloersoorten[],3,FALSE)*VLOOKUP($Y777,Frequenties[],3,FALSE)*VLOOKUP(#REF!,Locaties[],3,FALSE),0)</f>
        <v>0</v>
      </c>
      <c r="AB777" s="87">
        <f>Ruimtestaat[[#This Row],[Uitvoeringen weekend]]*Ruimtestaat[[#This Row],[Oppervlak (netto)]]</f>
        <v>0</v>
      </c>
      <c r="AC777" s="90">
        <f>IF(AB777&gt;0,Ruimtestaat[[#This Row],[Prest. (m2 /jaar) weekend]]/Ruimtestaat[[#This Row],[Norm (m2/uur) weekend]],0)</f>
        <v>0</v>
      </c>
      <c r="AD777" s="91">
        <f>Ruimtestaat[[#This Row],[uren / jaar weekend]]*Tariefsopbouw!$D$40</f>
        <v>0</v>
      </c>
      <c r="AE777" s="60">
        <f>Ruimtestaat[[#This Row],[Prest. (m2 /jaar) weekend]]+Ruimtestaat[[#This Row],[Prest. (m2 /jaar) werkdagen]]</f>
        <v>3427.2</v>
      </c>
      <c r="AF777" s="60">
        <f>Ruimtestaat[[#This Row],[uren / jaar weekend]]+Ruimtestaat[[#This Row],[uren / jaar werkdagen]]</f>
        <v>0</v>
      </c>
      <c r="AG777" s="61">
        <f>Ruimtestaat[[#This Row],[kosten / jaar weekend]]+Ruimtestaat[[#This Row],[kosten / jaar werkdagen]]</f>
        <v>0</v>
      </c>
      <c r="AH777" s="92"/>
      <c r="HL777" s="59"/>
    </row>
    <row r="778" spans="1:220">
      <c r="A778" s="24">
        <v>5</v>
      </c>
      <c r="B778" s="24" t="str">
        <f>VLOOKUP(Ruimtestaat[[#This Row],[Code]],Locaties[#All],2,FALSE)</f>
        <v>Marke Zuid</v>
      </c>
      <c r="C778" s="24" t="str">
        <f>VLOOKUP(Ruimtestaat[[#This Row],[Code]],Locaties[#All],4,FALSE)</f>
        <v>Ludgerstraat 1</v>
      </c>
      <c r="D778" s="24" t="str">
        <f>VLOOKUP(Ruimtestaat[[#This Row],[Code]],Locaties[#All],5,FALSE)</f>
        <v>7415 DV</v>
      </c>
      <c r="E778" s="24" t="str">
        <f>VLOOKUP(Ruimtestaat[[#This Row],[Code]],Locaties[#All],6,FALSE)</f>
        <v>Deventer</v>
      </c>
      <c r="F778" s="54"/>
      <c r="G778" s="24" t="s">
        <v>512</v>
      </c>
      <c r="H778" s="24" t="s">
        <v>544</v>
      </c>
      <c r="I778" s="4" t="s">
        <v>1239</v>
      </c>
      <c r="J778" s="24">
        <v>5</v>
      </c>
      <c r="K778" s="54" t="str">
        <f>VLOOKUP(J778,Ruimtegroepen[],2,FALSE)</f>
        <v>Sanitair</v>
      </c>
      <c r="L778" s="24" t="s">
        <v>305</v>
      </c>
      <c r="M778" s="24" t="s">
        <v>1008</v>
      </c>
      <c r="N778" s="83">
        <v>22.06</v>
      </c>
      <c r="O778" s="83"/>
      <c r="P778" s="93" t="str">
        <f>LEFT(VLOOKUP(Ruimtestaat[[#This Row],[Ruimte code]],Ruimtegroepen[#All],4,1),2)</f>
        <v>Sa</v>
      </c>
      <c r="Q778" s="93"/>
      <c r="R778" s="84">
        <v>42</v>
      </c>
      <c r="S778" s="84" t="s">
        <v>316</v>
      </c>
      <c r="T778" s="85">
        <f>IF(R778&gt;0,IF(RIGHT(Ruimtestaat[[#This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78" s="85">
        <f>IF(T778&gt;0,VLOOKUP($J778,Ruimtegroepen[],3,FALSE)*VLOOKUP($L778,Vloersoorten[],3,FALSE)*VLOOKUP($S778,Frequenties[],3,FALSE)*VLOOKUP($A778,Locaties[],3,FALSE),0)</f>
        <v>0</v>
      </c>
      <c r="V778" s="86">
        <f>Ruimtestaat[[#This Row],[Uitvoeringen werkdagen]]*Ruimtestaat[[#This Row],[Oppervlak (netto)]]</f>
        <v>9265.1999999999989</v>
      </c>
      <c r="W778" s="87">
        <f>IF(U778&gt;0,Ruimtestaat[[#This Row],[Prest. (m2 /jaar) werkdagen]]/Ruimtestaat[[#This Row],[Norm (m2/uur) werkdagen]],0)</f>
        <v>0</v>
      </c>
      <c r="X778" s="88">
        <f>Ruimtestaat[[#This Row],[uren / jaar werkdagen]]*Tariefsopbouw!$E$35</f>
        <v>0</v>
      </c>
      <c r="Y778" s="85"/>
      <c r="Z778" s="89">
        <f>IF(Ruimtestaat[[#This Row],[Frequentie weekend]]&gt;0,VALUE(LEFT(Y778,1))*R778,0)</f>
        <v>0</v>
      </c>
      <c r="AA778" s="85">
        <f>IF($Z778&gt;0,VLOOKUP($J778,Ruimtegroepen[],3,FALSE)*VLOOKUP($L778,Vloersoorten[],3,FALSE)*VLOOKUP($Y778,Frequenties[],3,FALSE)*VLOOKUP(#REF!,Locaties[],3,FALSE),0)</f>
        <v>0</v>
      </c>
      <c r="AB778" s="87">
        <f>Ruimtestaat[[#This Row],[Uitvoeringen weekend]]*Ruimtestaat[[#This Row],[Oppervlak (netto)]]</f>
        <v>0</v>
      </c>
      <c r="AC778" s="90">
        <f>IF(AB778&gt;0,Ruimtestaat[[#This Row],[Prest. (m2 /jaar) weekend]]/Ruimtestaat[[#This Row],[Norm (m2/uur) weekend]],0)</f>
        <v>0</v>
      </c>
      <c r="AD778" s="91">
        <f>Ruimtestaat[[#This Row],[uren / jaar weekend]]*Tariefsopbouw!$D$40</f>
        <v>0</v>
      </c>
      <c r="AE778" s="60">
        <f>Ruimtestaat[[#This Row],[Prest. (m2 /jaar) weekend]]+Ruimtestaat[[#This Row],[Prest. (m2 /jaar) werkdagen]]</f>
        <v>9265.1999999999989</v>
      </c>
      <c r="AF778" s="60">
        <f>Ruimtestaat[[#This Row],[uren / jaar weekend]]+Ruimtestaat[[#This Row],[uren / jaar werkdagen]]</f>
        <v>0</v>
      </c>
      <c r="AG778" s="61">
        <f>Ruimtestaat[[#This Row],[kosten / jaar weekend]]+Ruimtestaat[[#This Row],[kosten / jaar werkdagen]]</f>
        <v>0</v>
      </c>
      <c r="AH778" s="92"/>
      <c r="HL778" s="59"/>
    </row>
    <row r="779" spans="1:220">
      <c r="A779" s="24">
        <v>5</v>
      </c>
      <c r="B779" s="24" t="str">
        <f>VLOOKUP(Ruimtestaat[[#This Row],[Code]],Locaties[#All],2,FALSE)</f>
        <v>Marke Zuid</v>
      </c>
      <c r="C779" s="24" t="str">
        <f>VLOOKUP(Ruimtestaat[[#This Row],[Code]],Locaties[#All],4,FALSE)</f>
        <v>Ludgerstraat 1</v>
      </c>
      <c r="D779" s="24" t="str">
        <f>VLOOKUP(Ruimtestaat[[#This Row],[Code]],Locaties[#All],5,FALSE)</f>
        <v>7415 DV</v>
      </c>
      <c r="E779" s="24" t="str">
        <f>VLOOKUP(Ruimtestaat[[#This Row],[Code]],Locaties[#All],6,FALSE)</f>
        <v>Deventer</v>
      </c>
      <c r="F779" s="54"/>
      <c r="G779" s="24" t="s">
        <v>512</v>
      </c>
      <c r="H779" s="24" t="s">
        <v>1240</v>
      </c>
      <c r="I779" s="4" t="s">
        <v>691</v>
      </c>
      <c r="J779" s="24">
        <v>22</v>
      </c>
      <c r="K779" s="54" t="str">
        <f>VLOOKUP(J779,Ruimtegroepen[],2,FALSE)</f>
        <v>Niet in onderhoud</v>
      </c>
      <c r="L779" s="24" t="s">
        <v>305</v>
      </c>
      <c r="M779" s="24" t="s">
        <v>1008</v>
      </c>
      <c r="N779" s="83"/>
      <c r="O779" s="83">
        <v>2.19</v>
      </c>
      <c r="P779" s="93" t="str">
        <f>LEFT(VLOOKUP(Ruimtestaat[[#This Row],[Ruimte code]],Ruimtegroepen[#All],4,1),2)</f>
        <v/>
      </c>
      <c r="Q779" s="93"/>
      <c r="R779" s="84"/>
      <c r="S779" s="84"/>
      <c r="T779" s="85">
        <f>IF(R779&gt;0,IF(RIGHT(Ruimtestaat[[#This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79" s="85">
        <f>IF(T779&gt;0,VLOOKUP($J779,Ruimtegroepen[],3,FALSE)*VLOOKUP($L779,Vloersoorten[],3,FALSE)*VLOOKUP($S779,Frequenties[],3,FALSE)*VLOOKUP($A779,Locaties[],3,FALSE),0)</f>
        <v>0</v>
      </c>
      <c r="V779" s="86">
        <f>Ruimtestaat[[#This Row],[Uitvoeringen werkdagen]]*Ruimtestaat[[#This Row],[Oppervlak (netto)]]</f>
        <v>0</v>
      </c>
      <c r="W779" s="87">
        <f>IF(U779&gt;0,Ruimtestaat[[#This Row],[Prest. (m2 /jaar) werkdagen]]/Ruimtestaat[[#This Row],[Norm (m2/uur) werkdagen]],0)</f>
        <v>0</v>
      </c>
      <c r="X779" s="88">
        <f>Ruimtestaat[[#This Row],[uren / jaar werkdagen]]*Tariefsopbouw!$E$35</f>
        <v>0</v>
      </c>
      <c r="Y779" s="85"/>
      <c r="Z779" s="89">
        <f>IF(Ruimtestaat[[#This Row],[Frequentie weekend]]&gt;0,VALUE(LEFT(Y779,1))*R779,0)</f>
        <v>0</v>
      </c>
      <c r="AA779" s="85">
        <f>IF($Z779&gt;0,VLOOKUP($J779,Ruimtegroepen[],3,FALSE)*VLOOKUP($L779,Vloersoorten[],3,FALSE)*VLOOKUP($Y779,Frequenties[],3,FALSE)*VLOOKUP(#REF!,Locaties[],3,FALSE),0)</f>
        <v>0</v>
      </c>
      <c r="AB779" s="87">
        <f>Ruimtestaat[[#This Row],[Uitvoeringen weekend]]*Ruimtestaat[[#This Row],[Oppervlak (netto)]]</f>
        <v>0</v>
      </c>
      <c r="AC779" s="90">
        <f>IF(AB779&gt;0,Ruimtestaat[[#This Row],[Prest. (m2 /jaar) weekend]]/Ruimtestaat[[#This Row],[Norm (m2/uur) weekend]],0)</f>
        <v>0</v>
      </c>
      <c r="AD779" s="91">
        <f>Ruimtestaat[[#This Row],[uren / jaar weekend]]*Tariefsopbouw!$D$40</f>
        <v>0</v>
      </c>
      <c r="AE779" s="60">
        <f>Ruimtestaat[[#This Row],[Prest. (m2 /jaar) weekend]]+Ruimtestaat[[#This Row],[Prest. (m2 /jaar) werkdagen]]</f>
        <v>0</v>
      </c>
      <c r="AF779" s="60">
        <f>Ruimtestaat[[#This Row],[uren / jaar weekend]]+Ruimtestaat[[#This Row],[uren / jaar werkdagen]]</f>
        <v>0</v>
      </c>
      <c r="AG779" s="61">
        <f>Ruimtestaat[[#This Row],[kosten / jaar weekend]]+Ruimtestaat[[#This Row],[kosten / jaar werkdagen]]</f>
        <v>0</v>
      </c>
      <c r="AH779" s="92"/>
      <c r="HL779" s="59"/>
    </row>
    <row r="780" spans="1:220">
      <c r="A780" s="24">
        <v>5</v>
      </c>
      <c r="B780" s="24" t="str">
        <f>VLOOKUP(Ruimtestaat[[#This Row],[Code]],Locaties[#All],2,FALSE)</f>
        <v>Marke Zuid</v>
      </c>
      <c r="C780" s="24" t="str">
        <f>VLOOKUP(Ruimtestaat[[#This Row],[Code]],Locaties[#All],4,FALSE)</f>
        <v>Ludgerstraat 1</v>
      </c>
      <c r="D780" s="24" t="str">
        <f>VLOOKUP(Ruimtestaat[[#This Row],[Code]],Locaties[#All],5,FALSE)</f>
        <v>7415 DV</v>
      </c>
      <c r="E780" s="24" t="str">
        <f>VLOOKUP(Ruimtestaat[[#This Row],[Code]],Locaties[#All],6,FALSE)</f>
        <v>Deventer</v>
      </c>
      <c r="F780" s="54"/>
      <c r="G780" s="24" t="s">
        <v>512</v>
      </c>
      <c r="H780" s="24" t="s">
        <v>1241</v>
      </c>
      <c r="I780" s="4" t="s">
        <v>691</v>
      </c>
      <c r="J780" s="24">
        <v>22</v>
      </c>
      <c r="K780" s="54" t="str">
        <f>VLOOKUP(J780,Ruimtegroepen[],2,FALSE)</f>
        <v>Niet in onderhoud</v>
      </c>
      <c r="L780" s="24" t="s">
        <v>305</v>
      </c>
      <c r="M780" s="24" t="s">
        <v>1008</v>
      </c>
      <c r="N780" s="83"/>
      <c r="O780" s="83">
        <v>1.5</v>
      </c>
      <c r="P780" s="93" t="str">
        <f>LEFT(VLOOKUP(Ruimtestaat[[#This Row],[Ruimte code]],Ruimtegroepen[#All],4,1),2)</f>
        <v/>
      </c>
      <c r="Q780" s="93"/>
      <c r="R780" s="84"/>
      <c r="S780" s="84"/>
      <c r="T780" s="85">
        <f>IF(R780&gt;0,IF(RIGHT(Ruimtestaat[[#This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80" s="85">
        <f>IF(T780&gt;0,VLOOKUP($J780,Ruimtegroepen[],3,FALSE)*VLOOKUP($L780,Vloersoorten[],3,FALSE)*VLOOKUP($S780,Frequenties[],3,FALSE)*VLOOKUP($A780,Locaties[],3,FALSE),0)</f>
        <v>0</v>
      </c>
      <c r="V780" s="86">
        <f>Ruimtestaat[[#This Row],[Uitvoeringen werkdagen]]*Ruimtestaat[[#This Row],[Oppervlak (netto)]]</f>
        <v>0</v>
      </c>
      <c r="W780" s="87">
        <f>IF(U780&gt;0,Ruimtestaat[[#This Row],[Prest. (m2 /jaar) werkdagen]]/Ruimtestaat[[#This Row],[Norm (m2/uur) werkdagen]],0)</f>
        <v>0</v>
      </c>
      <c r="X780" s="88">
        <f>Ruimtestaat[[#This Row],[uren / jaar werkdagen]]*Tariefsopbouw!$E$35</f>
        <v>0</v>
      </c>
      <c r="Y780" s="85"/>
      <c r="Z780" s="89">
        <f>IF(Ruimtestaat[[#This Row],[Frequentie weekend]]&gt;0,VALUE(LEFT(Y780,1))*R780,0)</f>
        <v>0</v>
      </c>
      <c r="AA780" s="85">
        <f>IF($Z780&gt;0,VLOOKUP($J780,Ruimtegroepen[],3,FALSE)*VLOOKUP($L780,Vloersoorten[],3,FALSE)*VLOOKUP($Y780,Frequenties[],3,FALSE)*VLOOKUP(#REF!,Locaties[],3,FALSE),0)</f>
        <v>0</v>
      </c>
      <c r="AB780" s="87">
        <f>Ruimtestaat[[#This Row],[Uitvoeringen weekend]]*Ruimtestaat[[#This Row],[Oppervlak (netto)]]</f>
        <v>0</v>
      </c>
      <c r="AC780" s="90">
        <f>IF(AB780&gt;0,Ruimtestaat[[#This Row],[Prest. (m2 /jaar) weekend]]/Ruimtestaat[[#This Row],[Norm (m2/uur) weekend]],0)</f>
        <v>0</v>
      </c>
      <c r="AD780" s="91">
        <f>Ruimtestaat[[#This Row],[uren / jaar weekend]]*Tariefsopbouw!$D$40</f>
        <v>0</v>
      </c>
      <c r="AE780" s="60">
        <f>Ruimtestaat[[#This Row],[Prest. (m2 /jaar) weekend]]+Ruimtestaat[[#This Row],[Prest. (m2 /jaar) werkdagen]]</f>
        <v>0</v>
      </c>
      <c r="AF780" s="60">
        <f>Ruimtestaat[[#This Row],[uren / jaar weekend]]+Ruimtestaat[[#This Row],[uren / jaar werkdagen]]</f>
        <v>0</v>
      </c>
      <c r="AG780" s="61">
        <f>Ruimtestaat[[#This Row],[kosten / jaar weekend]]+Ruimtestaat[[#This Row],[kosten / jaar werkdagen]]</f>
        <v>0</v>
      </c>
      <c r="AH780" s="92"/>
      <c r="HL780" s="59"/>
    </row>
    <row r="781" spans="1:220">
      <c r="A781" s="24">
        <v>5</v>
      </c>
      <c r="B781" s="24" t="str">
        <f>VLOOKUP(Ruimtestaat[[#This Row],[Code]],Locaties[#All],2,FALSE)</f>
        <v>Marke Zuid</v>
      </c>
      <c r="C781" s="24" t="str">
        <f>VLOOKUP(Ruimtestaat[[#This Row],[Code]],Locaties[#All],4,FALSE)</f>
        <v>Ludgerstraat 1</v>
      </c>
      <c r="D781" s="24" t="str">
        <f>VLOOKUP(Ruimtestaat[[#This Row],[Code]],Locaties[#All],5,FALSE)</f>
        <v>7415 DV</v>
      </c>
      <c r="E781" s="24" t="str">
        <f>VLOOKUP(Ruimtestaat[[#This Row],[Code]],Locaties[#All],6,FALSE)</f>
        <v>Deventer</v>
      </c>
      <c r="F781" s="54"/>
      <c r="G781" s="24" t="s">
        <v>512</v>
      </c>
      <c r="H781" s="24" t="s">
        <v>1242</v>
      </c>
      <c r="I781" s="4" t="s">
        <v>535</v>
      </c>
      <c r="J781" s="24">
        <v>22</v>
      </c>
      <c r="K781" s="54" t="str">
        <f>VLOOKUP(J781,Ruimtegroepen[],2,FALSE)</f>
        <v>Niet in onderhoud</v>
      </c>
      <c r="L781" s="24" t="s">
        <v>305</v>
      </c>
      <c r="M781" s="24" t="s">
        <v>376</v>
      </c>
      <c r="N781" s="83"/>
      <c r="O781" s="83">
        <v>1.51</v>
      </c>
      <c r="P781" s="93" t="str">
        <f>LEFT(VLOOKUP(Ruimtestaat[[#This Row],[Ruimte code]],Ruimtegroepen[#All],4,1),2)</f>
        <v/>
      </c>
      <c r="Q781" s="93"/>
      <c r="R781" s="84"/>
      <c r="S781" s="84"/>
      <c r="T781" s="85">
        <f>IF(R781&gt;0,IF(RIGHT(Ruimtestaat[[#This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81" s="85">
        <f>IF(T781&gt;0,VLOOKUP($J781,Ruimtegroepen[],3,FALSE)*VLOOKUP($L781,Vloersoorten[],3,FALSE)*VLOOKUP($S781,Frequenties[],3,FALSE)*VLOOKUP($A781,Locaties[],3,FALSE),0)</f>
        <v>0</v>
      </c>
      <c r="V781" s="86">
        <f>Ruimtestaat[[#This Row],[Uitvoeringen werkdagen]]*Ruimtestaat[[#This Row],[Oppervlak (netto)]]</f>
        <v>0</v>
      </c>
      <c r="W781" s="87">
        <f>IF(U781&gt;0,Ruimtestaat[[#This Row],[Prest. (m2 /jaar) werkdagen]]/Ruimtestaat[[#This Row],[Norm (m2/uur) werkdagen]],0)</f>
        <v>0</v>
      </c>
      <c r="X781" s="88">
        <f>Ruimtestaat[[#This Row],[uren / jaar werkdagen]]*Tariefsopbouw!$E$35</f>
        <v>0</v>
      </c>
      <c r="Y781" s="85"/>
      <c r="Z781" s="89">
        <f>IF(Ruimtestaat[[#This Row],[Frequentie weekend]]&gt;0,VALUE(LEFT(Y781,1))*R781,0)</f>
        <v>0</v>
      </c>
      <c r="AA781" s="85">
        <f>IF($Z781&gt;0,VLOOKUP($J781,Ruimtegroepen[],3,FALSE)*VLOOKUP($L781,Vloersoorten[],3,FALSE)*VLOOKUP($Y781,Frequenties[],3,FALSE)*VLOOKUP(#REF!,Locaties[],3,FALSE),0)</f>
        <v>0</v>
      </c>
      <c r="AB781" s="87">
        <f>Ruimtestaat[[#This Row],[Uitvoeringen weekend]]*Ruimtestaat[[#This Row],[Oppervlak (netto)]]</f>
        <v>0</v>
      </c>
      <c r="AC781" s="90">
        <f>IF(AB781&gt;0,Ruimtestaat[[#This Row],[Prest. (m2 /jaar) weekend]]/Ruimtestaat[[#This Row],[Norm (m2/uur) weekend]],0)</f>
        <v>0</v>
      </c>
      <c r="AD781" s="91">
        <f>Ruimtestaat[[#This Row],[uren / jaar weekend]]*Tariefsopbouw!$D$40</f>
        <v>0</v>
      </c>
      <c r="AE781" s="60">
        <f>Ruimtestaat[[#This Row],[Prest. (m2 /jaar) weekend]]+Ruimtestaat[[#This Row],[Prest. (m2 /jaar) werkdagen]]</f>
        <v>0</v>
      </c>
      <c r="AF781" s="60">
        <f>Ruimtestaat[[#This Row],[uren / jaar weekend]]+Ruimtestaat[[#This Row],[uren / jaar werkdagen]]</f>
        <v>0</v>
      </c>
      <c r="AG781" s="61">
        <f>Ruimtestaat[[#This Row],[kosten / jaar weekend]]+Ruimtestaat[[#This Row],[kosten / jaar werkdagen]]</f>
        <v>0</v>
      </c>
      <c r="AH781" s="92"/>
      <c r="HL781" s="59"/>
    </row>
    <row r="782" spans="1:220">
      <c r="A782" s="24">
        <v>5</v>
      </c>
      <c r="B782" s="24" t="str">
        <f>VLOOKUP(Ruimtestaat[[#This Row],[Code]],Locaties[#All],2,FALSE)</f>
        <v>Marke Zuid</v>
      </c>
      <c r="C782" s="24" t="str">
        <f>VLOOKUP(Ruimtestaat[[#This Row],[Code]],Locaties[#All],4,FALSE)</f>
        <v>Ludgerstraat 1</v>
      </c>
      <c r="D782" s="24" t="str">
        <f>VLOOKUP(Ruimtestaat[[#This Row],[Code]],Locaties[#All],5,FALSE)</f>
        <v>7415 DV</v>
      </c>
      <c r="E782" s="24" t="str">
        <f>VLOOKUP(Ruimtestaat[[#This Row],[Code]],Locaties[#All],6,FALSE)</f>
        <v>Deventer</v>
      </c>
      <c r="F782" s="54"/>
      <c r="G782" s="24" t="s">
        <v>512</v>
      </c>
      <c r="H782" s="24" t="s">
        <v>558</v>
      </c>
      <c r="I782" s="4" t="s">
        <v>1243</v>
      </c>
      <c r="J782" s="24">
        <v>10</v>
      </c>
      <c r="K782" s="54" t="str">
        <f>VLOOKUP(J782,Ruimtegroepen[],2,FALSE)</f>
        <v>Trappenhuizen/lift</v>
      </c>
      <c r="L782" s="24" t="s">
        <v>300</v>
      </c>
      <c r="M782" s="24" t="s">
        <v>997</v>
      </c>
      <c r="N782" s="83">
        <v>13.88</v>
      </c>
      <c r="O782" s="83"/>
      <c r="P782" s="93" t="str">
        <f>LEFT(VLOOKUP(Ruimtestaat[[#This Row],[Ruimte code]],Ruimtegroepen[#All],4,1),2)</f>
        <v>Ve</v>
      </c>
      <c r="Q782" s="93"/>
      <c r="R782" s="84">
        <v>40</v>
      </c>
      <c r="S782" s="84" t="s">
        <v>318</v>
      </c>
      <c r="T782" s="85">
        <f>IF(R782&gt;0,IF(RIGHT(Ruimtestaat[[#This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2" s="85">
        <f>IF(T782&gt;0,VLOOKUP($J782,Ruimtegroepen[],3,FALSE)*VLOOKUP($L782,Vloersoorten[],3,FALSE)*VLOOKUP($S782,Frequenties[],3,FALSE)*VLOOKUP($A782,Locaties[],3,FALSE),0)</f>
        <v>0</v>
      </c>
      <c r="V782" s="86">
        <f>Ruimtestaat[[#This Row],[Uitvoeringen werkdagen]]*Ruimtestaat[[#This Row],[Oppervlak (netto)]]</f>
        <v>2776</v>
      </c>
      <c r="W782" s="87">
        <f>IF(U782&gt;0,Ruimtestaat[[#This Row],[Prest. (m2 /jaar) werkdagen]]/Ruimtestaat[[#This Row],[Norm (m2/uur) werkdagen]],0)</f>
        <v>0</v>
      </c>
      <c r="X782" s="88">
        <f>Ruimtestaat[[#This Row],[uren / jaar werkdagen]]*Tariefsopbouw!$E$35</f>
        <v>0</v>
      </c>
      <c r="Y782" s="85"/>
      <c r="Z782" s="89">
        <f>IF(Ruimtestaat[[#This Row],[Frequentie weekend]]&gt;0,VALUE(LEFT(Y782,1))*R782,0)</f>
        <v>0</v>
      </c>
      <c r="AA782" s="85">
        <f>IF($Z782&gt;0,VLOOKUP($J782,Ruimtegroepen[],3,FALSE)*VLOOKUP($L782,Vloersoorten[],3,FALSE)*VLOOKUP($Y782,Frequenties[],3,FALSE)*VLOOKUP(#REF!,Locaties[],3,FALSE),0)</f>
        <v>0</v>
      </c>
      <c r="AB782" s="87">
        <f>Ruimtestaat[[#This Row],[Uitvoeringen weekend]]*Ruimtestaat[[#This Row],[Oppervlak (netto)]]</f>
        <v>0</v>
      </c>
      <c r="AC782" s="90">
        <f>IF(AB782&gt;0,Ruimtestaat[[#This Row],[Prest. (m2 /jaar) weekend]]/Ruimtestaat[[#This Row],[Norm (m2/uur) weekend]],0)</f>
        <v>0</v>
      </c>
      <c r="AD782" s="91">
        <f>Ruimtestaat[[#This Row],[uren / jaar weekend]]*Tariefsopbouw!$D$40</f>
        <v>0</v>
      </c>
      <c r="AE782" s="60">
        <f>Ruimtestaat[[#This Row],[Prest. (m2 /jaar) weekend]]+Ruimtestaat[[#This Row],[Prest. (m2 /jaar) werkdagen]]</f>
        <v>2776</v>
      </c>
      <c r="AF782" s="60">
        <f>Ruimtestaat[[#This Row],[uren / jaar weekend]]+Ruimtestaat[[#This Row],[uren / jaar werkdagen]]</f>
        <v>0</v>
      </c>
      <c r="AG782" s="61">
        <f>Ruimtestaat[[#This Row],[kosten / jaar weekend]]+Ruimtestaat[[#This Row],[kosten / jaar werkdagen]]</f>
        <v>0</v>
      </c>
      <c r="AH782" s="92"/>
      <c r="HL782" s="59"/>
    </row>
    <row r="783" spans="1:220">
      <c r="A783" s="24">
        <v>5</v>
      </c>
      <c r="B783" s="24" t="str">
        <f>VLOOKUP(Ruimtestaat[[#This Row],[Code]],Locaties[#All],2,FALSE)</f>
        <v>Marke Zuid</v>
      </c>
      <c r="C783" s="24" t="str">
        <f>VLOOKUP(Ruimtestaat[[#This Row],[Code]],Locaties[#All],4,FALSE)</f>
        <v>Ludgerstraat 1</v>
      </c>
      <c r="D783" s="24" t="str">
        <f>VLOOKUP(Ruimtestaat[[#This Row],[Code]],Locaties[#All],5,FALSE)</f>
        <v>7415 DV</v>
      </c>
      <c r="E783" s="24" t="str">
        <f>VLOOKUP(Ruimtestaat[[#This Row],[Code]],Locaties[#All],6,FALSE)</f>
        <v>Deventer</v>
      </c>
      <c r="F783" s="54"/>
      <c r="G783" s="24" t="s">
        <v>512</v>
      </c>
      <c r="H783" s="24" t="s">
        <v>737</v>
      </c>
      <c r="I783" s="4" t="s">
        <v>487</v>
      </c>
      <c r="J783" s="24">
        <v>6</v>
      </c>
      <c r="K783" s="54" t="str">
        <f>VLOOKUP(J783,Ruimtegroepen[],2,FALSE)</f>
        <v>Gangen/hallen</v>
      </c>
      <c r="L783" s="24" t="s">
        <v>300</v>
      </c>
      <c r="M783" s="24" t="s">
        <v>997</v>
      </c>
      <c r="N783" s="83">
        <v>208.23</v>
      </c>
      <c r="O783" s="83"/>
      <c r="P783" s="93" t="str">
        <f>LEFT(VLOOKUP(Ruimtestaat[[#This Row],[Ruimte code]],Ruimtegroepen[#All],4,1),2)</f>
        <v>Ve</v>
      </c>
      <c r="Q783" s="93"/>
      <c r="R783" s="84">
        <v>40</v>
      </c>
      <c r="S783" s="84" t="s">
        <v>318</v>
      </c>
      <c r="T783" s="85">
        <f>IF(R783&gt;0,IF(RIGHT(Ruimtestaat[[#This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3" s="85">
        <f>IF(T783&gt;0,VLOOKUP($J783,Ruimtegroepen[],3,FALSE)*VLOOKUP($L783,Vloersoorten[],3,FALSE)*VLOOKUP($S783,Frequenties[],3,FALSE)*VLOOKUP($A783,Locaties[],3,FALSE),0)</f>
        <v>0</v>
      </c>
      <c r="V783" s="86">
        <f>Ruimtestaat[[#This Row],[Uitvoeringen werkdagen]]*Ruimtestaat[[#This Row],[Oppervlak (netto)]]</f>
        <v>41646</v>
      </c>
      <c r="W783" s="87">
        <f>IF(U783&gt;0,Ruimtestaat[[#This Row],[Prest. (m2 /jaar) werkdagen]]/Ruimtestaat[[#This Row],[Norm (m2/uur) werkdagen]],0)</f>
        <v>0</v>
      </c>
      <c r="X783" s="88">
        <f>Ruimtestaat[[#This Row],[uren / jaar werkdagen]]*Tariefsopbouw!$E$35</f>
        <v>0</v>
      </c>
      <c r="Y783" s="85"/>
      <c r="Z783" s="89">
        <f>IF(Ruimtestaat[[#This Row],[Frequentie weekend]]&gt;0,VALUE(LEFT(Y783,1))*R783,0)</f>
        <v>0</v>
      </c>
      <c r="AA783" s="85">
        <f>IF($Z783&gt;0,VLOOKUP($J783,Ruimtegroepen[],3,FALSE)*VLOOKUP($L783,Vloersoorten[],3,FALSE)*VLOOKUP($Y783,Frequenties[],3,FALSE)*VLOOKUP(#REF!,Locaties[],3,FALSE),0)</f>
        <v>0</v>
      </c>
      <c r="AB783" s="87">
        <f>Ruimtestaat[[#This Row],[Uitvoeringen weekend]]*Ruimtestaat[[#This Row],[Oppervlak (netto)]]</f>
        <v>0</v>
      </c>
      <c r="AC783" s="90">
        <f>IF(AB783&gt;0,Ruimtestaat[[#This Row],[Prest. (m2 /jaar) weekend]]/Ruimtestaat[[#This Row],[Norm (m2/uur) weekend]],0)</f>
        <v>0</v>
      </c>
      <c r="AD783" s="91">
        <f>Ruimtestaat[[#This Row],[uren / jaar weekend]]*Tariefsopbouw!$D$40</f>
        <v>0</v>
      </c>
      <c r="AE783" s="60">
        <f>Ruimtestaat[[#This Row],[Prest. (m2 /jaar) weekend]]+Ruimtestaat[[#This Row],[Prest. (m2 /jaar) werkdagen]]</f>
        <v>41646</v>
      </c>
      <c r="AF783" s="60">
        <f>Ruimtestaat[[#This Row],[uren / jaar weekend]]+Ruimtestaat[[#This Row],[uren / jaar werkdagen]]</f>
        <v>0</v>
      </c>
      <c r="AG783" s="61">
        <f>Ruimtestaat[[#This Row],[kosten / jaar weekend]]+Ruimtestaat[[#This Row],[kosten / jaar werkdagen]]</f>
        <v>0</v>
      </c>
      <c r="AH783" s="92"/>
      <c r="HL783" s="59"/>
    </row>
    <row r="784" spans="1:220">
      <c r="A784" s="24">
        <v>5</v>
      </c>
      <c r="B784" s="24" t="str">
        <f>VLOOKUP(Ruimtestaat[[#This Row],[Code]],Locaties[#All],2,FALSE)</f>
        <v>Marke Zuid</v>
      </c>
      <c r="C784" s="24" t="str">
        <f>VLOOKUP(Ruimtestaat[[#This Row],[Code]],Locaties[#All],4,FALSE)</f>
        <v>Ludgerstraat 1</v>
      </c>
      <c r="D784" s="24" t="str">
        <f>VLOOKUP(Ruimtestaat[[#This Row],[Code]],Locaties[#All],5,FALSE)</f>
        <v>7415 DV</v>
      </c>
      <c r="E784" s="24" t="str">
        <f>VLOOKUP(Ruimtestaat[[#This Row],[Code]],Locaties[#All],6,FALSE)</f>
        <v>Deventer</v>
      </c>
      <c r="F784" s="54"/>
      <c r="G784" s="24" t="s">
        <v>512</v>
      </c>
      <c r="H784" s="24" t="s">
        <v>738</v>
      </c>
      <c r="I784" s="4" t="s">
        <v>487</v>
      </c>
      <c r="J784" s="24">
        <v>6</v>
      </c>
      <c r="K784" s="54" t="str">
        <f>VLOOKUP(J784,Ruimtegroepen[],2,FALSE)</f>
        <v>Gangen/hallen</v>
      </c>
      <c r="L784" s="24" t="s">
        <v>300</v>
      </c>
      <c r="M784" s="24" t="s">
        <v>997</v>
      </c>
      <c r="N784" s="83">
        <v>171.24</v>
      </c>
      <c r="O784" s="83"/>
      <c r="P784" s="93" t="str">
        <f>LEFT(VLOOKUP(Ruimtestaat[[#This Row],[Ruimte code]],Ruimtegroepen[#All],4,1),2)</f>
        <v>Ve</v>
      </c>
      <c r="Q784" s="93"/>
      <c r="R784" s="84">
        <v>40</v>
      </c>
      <c r="S784" s="84" t="s">
        <v>318</v>
      </c>
      <c r="T784" s="85">
        <f>IF(R784&gt;0,IF(RIGHT(Ruimtestaat[[#This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4" s="85">
        <f>IF(T784&gt;0,VLOOKUP($J784,Ruimtegroepen[],3,FALSE)*VLOOKUP($L784,Vloersoorten[],3,FALSE)*VLOOKUP($S784,Frequenties[],3,FALSE)*VLOOKUP($A784,Locaties[],3,FALSE),0)</f>
        <v>0</v>
      </c>
      <c r="V784" s="86">
        <f>Ruimtestaat[[#This Row],[Uitvoeringen werkdagen]]*Ruimtestaat[[#This Row],[Oppervlak (netto)]]</f>
        <v>34248</v>
      </c>
      <c r="W784" s="87">
        <f>IF(U784&gt;0,Ruimtestaat[[#This Row],[Prest. (m2 /jaar) werkdagen]]/Ruimtestaat[[#This Row],[Norm (m2/uur) werkdagen]],0)</f>
        <v>0</v>
      </c>
      <c r="X784" s="88">
        <f>Ruimtestaat[[#This Row],[uren / jaar werkdagen]]*Tariefsopbouw!$E$35</f>
        <v>0</v>
      </c>
      <c r="Y784" s="85"/>
      <c r="Z784" s="89">
        <f>IF(Ruimtestaat[[#This Row],[Frequentie weekend]]&gt;0,VALUE(LEFT(Y784,1))*R784,0)</f>
        <v>0</v>
      </c>
      <c r="AA784" s="85">
        <f>IF($Z784&gt;0,VLOOKUP($J784,Ruimtegroepen[],3,FALSE)*VLOOKUP($L784,Vloersoorten[],3,FALSE)*VLOOKUP($Y784,Frequenties[],3,FALSE)*VLOOKUP(#REF!,Locaties[],3,FALSE),0)</f>
        <v>0</v>
      </c>
      <c r="AB784" s="87">
        <f>Ruimtestaat[[#This Row],[Uitvoeringen weekend]]*Ruimtestaat[[#This Row],[Oppervlak (netto)]]</f>
        <v>0</v>
      </c>
      <c r="AC784" s="90">
        <f>IF(AB784&gt;0,Ruimtestaat[[#This Row],[Prest. (m2 /jaar) weekend]]/Ruimtestaat[[#This Row],[Norm (m2/uur) weekend]],0)</f>
        <v>0</v>
      </c>
      <c r="AD784" s="91">
        <f>Ruimtestaat[[#This Row],[uren / jaar weekend]]*Tariefsopbouw!$D$40</f>
        <v>0</v>
      </c>
      <c r="AE784" s="60">
        <f>Ruimtestaat[[#This Row],[Prest. (m2 /jaar) weekend]]+Ruimtestaat[[#This Row],[Prest. (m2 /jaar) werkdagen]]</f>
        <v>34248</v>
      </c>
      <c r="AF784" s="60">
        <f>Ruimtestaat[[#This Row],[uren / jaar weekend]]+Ruimtestaat[[#This Row],[uren / jaar werkdagen]]</f>
        <v>0</v>
      </c>
      <c r="AG784" s="61">
        <f>Ruimtestaat[[#This Row],[kosten / jaar weekend]]+Ruimtestaat[[#This Row],[kosten / jaar werkdagen]]</f>
        <v>0</v>
      </c>
      <c r="AH784" s="92"/>
      <c r="HL784" s="59"/>
    </row>
    <row r="785" spans="1:220">
      <c r="A785" s="24">
        <v>5</v>
      </c>
      <c r="B785" s="24" t="str">
        <f>VLOOKUP(Ruimtestaat[[#This Row],[Code]],Locaties[#All],2,FALSE)</f>
        <v>Marke Zuid</v>
      </c>
      <c r="C785" s="24" t="str">
        <f>VLOOKUP(Ruimtestaat[[#This Row],[Code]],Locaties[#All],4,FALSE)</f>
        <v>Ludgerstraat 1</v>
      </c>
      <c r="D785" s="24" t="str">
        <f>VLOOKUP(Ruimtestaat[[#This Row],[Code]],Locaties[#All],5,FALSE)</f>
        <v>7415 DV</v>
      </c>
      <c r="E785" s="24" t="str">
        <f>VLOOKUP(Ruimtestaat[[#This Row],[Code]],Locaties[#All],6,FALSE)</f>
        <v>Deventer</v>
      </c>
      <c r="F785" s="54"/>
      <c r="G785" s="24" t="s">
        <v>512</v>
      </c>
      <c r="H785" s="24" t="s">
        <v>741</v>
      </c>
      <c r="I785" s="4" t="s">
        <v>103</v>
      </c>
      <c r="J785" s="24">
        <v>10</v>
      </c>
      <c r="K785" s="54" t="str">
        <f>VLOOKUP(J785,Ruimtegroepen[],2,FALSE)</f>
        <v>Trappenhuizen/lift</v>
      </c>
      <c r="L785" s="24" t="s">
        <v>300</v>
      </c>
      <c r="M785" s="24" t="s">
        <v>997</v>
      </c>
      <c r="N785" s="83">
        <v>4.2699999999999996</v>
      </c>
      <c r="O785" s="83"/>
      <c r="P785" s="93" t="str">
        <f>LEFT(VLOOKUP(Ruimtestaat[[#This Row],[Ruimte code]],Ruimtegroepen[#All],4,1),2)</f>
        <v>Ve</v>
      </c>
      <c r="Q785" s="93"/>
      <c r="R785" s="84">
        <v>40</v>
      </c>
      <c r="S785" s="84" t="s">
        <v>318</v>
      </c>
      <c r="T785" s="85">
        <f>IF(R785&gt;0,IF(RIGHT(Ruimtestaat[[#This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5" s="85">
        <f>IF(T785&gt;0,VLOOKUP($J785,Ruimtegroepen[],3,FALSE)*VLOOKUP($L785,Vloersoorten[],3,FALSE)*VLOOKUP($S785,Frequenties[],3,FALSE)*VLOOKUP($A785,Locaties[],3,FALSE),0)</f>
        <v>0</v>
      </c>
      <c r="V785" s="86">
        <f>Ruimtestaat[[#This Row],[Uitvoeringen werkdagen]]*Ruimtestaat[[#This Row],[Oppervlak (netto)]]</f>
        <v>853.99999999999989</v>
      </c>
      <c r="W785" s="87">
        <f>IF(U785&gt;0,Ruimtestaat[[#This Row],[Prest. (m2 /jaar) werkdagen]]/Ruimtestaat[[#This Row],[Norm (m2/uur) werkdagen]],0)</f>
        <v>0</v>
      </c>
      <c r="X785" s="88">
        <f>Ruimtestaat[[#This Row],[uren / jaar werkdagen]]*Tariefsopbouw!$E$35</f>
        <v>0</v>
      </c>
      <c r="Y785" s="85"/>
      <c r="Z785" s="89">
        <f>IF(Ruimtestaat[[#This Row],[Frequentie weekend]]&gt;0,VALUE(LEFT(Y785,1))*R785,0)</f>
        <v>0</v>
      </c>
      <c r="AA785" s="85">
        <f>IF($Z785&gt;0,VLOOKUP($J785,Ruimtegroepen[],3,FALSE)*VLOOKUP($L785,Vloersoorten[],3,FALSE)*VLOOKUP($Y785,Frequenties[],3,FALSE)*VLOOKUP(#REF!,Locaties[],3,FALSE),0)</f>
        <v>0</v>
      </c>
      <c r="AB785" s="87">
        <f>Ruimtestaat[[#This Row],[Uitvoeringen weekend]]*Ruimtestaat[[#This Row],[Oppervlak (netto)]]</f>
        <v>0</v>
      </c>
      <c r="AC785" s="90">
        <f>IF(AB785&gt;0,Ruimtestaat[[#This Row],[Prest. (m2 /jaar) weekend]]/Ruimtestaat[[#This Row],[Norm (m2/uur) weekend]],0)</f>
        <v>0</v>
      </c>
      <c r="AD785" s="91">
        <f>Ruimtestaat[[#This Row],[uren / jaar weekend]]*Tariefsopbouw!$D$40</f>
        <v>0</v>
      </c>
      <c r="AE785" s="60">
        <f>Ruimtestaat[[#This Row],[Prest. (m2 /jaar) weekend]]+Ruimtestaat[[#This Row],[Prest. (m2 /jaar) werkdagen]]</f>
        <v>853.99999999999989</v>
      </c>
      <c r="AF785" s="60">
        <f>Ruimtestaat[[#This Row],[uren / jaar weekend]]+Ruimtestaat[[#This Row],[uren / jaar werkdagen]]</f>
        <v>0</v>
      </c>
      <c r="AG785" s="61">
        <f>Ruimtestaat[[#This Row],[kosten / jaar weekend]]+Ruimtestaat[[#This Row],[kosten / jaar werkdagen]]</f>
        <v>0</v>
      </c>
      <c r="AH785" s="92"/>
      <c r="HL785" s="59"/>
    </row>
    <row r="786" spans="1:220">
      <c r="A786" s="24">
        <v>5</v>
      </c>
      <c r="B786" s="24" t="str">
        <f>VLOOKUP(Ruimtestaat[[#This Row],[Code]],Locaties[#All],2,FALSE)</f>
        <v>Marke Zuid</v>
      </c>
      <c r="C786" s="24" t="str">
        <f>VLOOKUP(Ruimtestaat[[#This Row],[Code]],Locaties[#All],4,FALSE)</f>
        <v>Ludgerstraat 1</v>
      </c>
      <c r="D786" s="24" t="str">
        <f>VLOOKUP(Ruimtestaat[[#This Row],[Code]],Locaties[#All],5,FALSE)</f>
        <v>7415 DV</v>
      </c>
      <c r="E786" s="24" t="str">
        <f>VLOOKUP(Ruimtestaat[[#This Row],[Code]],Locaties[#All],6,FALSE)</f>
        <v>Deventer</v>
      </c>
      <c r="F786" s="54"/>
      <c r="G786" s="24" t="s">
        <v>512</v>
      </c>
      <c r="H786" s="24" t="s">
        <v>1244</v>
      </c>
      <c r="I786" s="4" t="s">
        <v>1202</v>
      </c>
      <c r="J786" s="24">
        <v>10</v>
      </c>
      <c r="K786" s="54" t="str">
        <f>VLOOKUP(J786,Ruimtegroepen[],2,FALSE)</f>
        <v>Trappenhuizen/lift</v>
      </c>
      <c r="M786" s="24"/>
      <c r="N786" s="83"/>
      <c r="O786" s="83">
        <v>2.02</v>
      </c>
      <c r="P786" s="93" t="str">
        <f>LEFT(VLOOKUP(Ruimtestaat[[#This Row],[Ruimte code]],Ruimtegroepen[#All],4,1),2)</f>
        <v>Ve</v>
      </c>
      <c r="Q786" s="93"/>
      <c r="R786" s="84"/>
      <c r="S786" s="84"/>
      <c r="T786" s="85">
        <f>IF(R786&gt;0,IF(RIGHT(Ruimtestaat[[#This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86" s="85">
        <f>IF(T786&gt;0,VLOOKUP($J786,Ruimtegroepen[],3,FALSE)*VLOOKUP($L786,Vloersoorten[],3,FALSE)*VLOOKUP($S786,Frequenties[],3,FALSE)*VLOOKUP($A786,Locaties[],3,FALSE),0)</f>
        <v>0</v>
      </c>
      <c r="V786" s="86">
        <f>Ruimtestaat[[#This Row],[Uitvoeringen werkdagen]]*Ruimtestaat[[#This Row],[Oppervlak (netto)]]</f>
        <v>0</v>
      </c>
      <c r="W786" s="87">
        <f>IF(U786&gt;0,Ruimtestaat[[#This Row],[Prest. (m2 /jaar) werkdagen]]/Ruimtestaat[[#This Row],[Norm (m2/uur) werkdagen]],0)</f>
        <v>0</v>
      </c>
      <c r="X786" s="88">
        <f>Ruimtestaat[[#This Row],[uren / jaar werkdagen]]*Tariefsopbouw!$E$35</f>
        <v>0</v>
      </c>
      <c r="Y786" s="85"/>
      <c r="Z786" s="89">
        <f>IF(Ruimtestaat[[#This Row],[Frequentie weekend]]&gt;0,VALUE(LEFT(Y786,1))*R786,0)</f>
        <v>0</v>
      </c>
      <c r="AA786" s="85">
        <f>IF($Z786&gt;0,VLOOKUP($J786,Ruimtegroepen[],3,FALSE)*VLOOKUP($L786,Vloersoorten[],3,FALSE)*VLOOKUP($Y786,Frequenties[],3,FALSE)*VLOOKUP(#REF!,Locaties[],3,FALSE),0)</f>
        <v>0</v>
      </c>
      <c r="AB786" s="87">
        <f>Ruimtestaat[[#This Row],[Uitvoeringen weekend]]*Ruimtestaat[[#This Row],[Oppervlak (netto)]]</f>
        <v>0</v>
      </c>
      <c r="AC786" s="90">
        <f>IF(AB786&gt;0,Ruimtestaat[[#This Row],[Prest. (m2 /jaar) weekend]]/Ruimtestaat[[#This Row],[Norm (m2/uur) weekend]],0)</f>
        <v>0</v>
      </c>
      <c r="AD786" s="91">
        <f>Ruimtestaat[[#This Row],[uren / jaar weekend]]*Tariefsopbouw!$D$40</f>
        <v>0</v>
      </c>
      <c r="AE786" s="60">
        <f>Ruimtestaat[[#This Row],[Prest. (m2 /jaar) weekend]]+Ruimtestaat[[#This Row],[Prest. (m2 /jaar) werkdagen]]</f>
        <v>0</v>
      </c>
      <c r="AF786" s="60">
        <f>Ruimtestaat[[#This Row],[uren / jaar weekend]]+Ruimtestaat[[#This Row],[uren / jaar werkdagen]]</f>
        <v>0</v>
      </c>
      <c r="AG786" s="61">
        <f>Ruimtestaat[[#This Row],[kosten / jaar weekend]]+Ruimtestaat[[#This Row],[kosten / jaar werkdagen]]</f>
        <v>0</v>
      </c>
      <c r="AH786" s="92"/>
      <c r="HL786" s="59"/>
    </row>
    <row r="787" spans="1:220">
      <c r="A787" s="24">
        <v>5</v>
      </c>
      <c r="B787" s="24" t="str">
        <f>VLOOKUP(Ruimtestaat[[#This Row],[Code]],Locaties[#All],2,FALSE)</f>
        <v>Marke Zuid</v>
      </c>
      <c r="C787" s="24" t="str">
        <f>VLOOKUP(Ruimtestaat[[#This Row],[Code]],Locaties[#All],4,FALSE)</f>
        <v>Ludgerstraat 1</v>
      </c>
      <c r="D787" s="24" t="str">
        <f>VLOOKUP(Ruimtestaat[[#This Row],[Code]],Locaties[#All],5,FALSE)</f>
        <v>7415 DV</v>
      </c>
      <c r="E787" s="24" t="str">
        <f>VLOOKUP(Ruimtestaat[[#This Row],[Code]],Locaties[#All],6,FALSE)</f>
        <v>Deventer</v>
      </c>
      <c r="F787" s="54"/>
      <c r="G787" s="24" t="s">
        <v>512</v>
      </c>
      <c r="H787" s="24" t="s">
        <v>956</v>
      </c>
      <c r="I787" s="4" t="s">
        <v>716</v>
      </c>
      <c r="J787" s="24">
        <v>10</v>
      </c>
      <c r="K787" s="54" t="str">
        <f>VLOOKUP(J787,Ruimtegroepen[],2,FALSE)</f>
        <v>Trappenhuizen/lift</v>
      </c>
      <c r="L787" s="24" t="s">
        <v>305</v>
      </c>
      <c r="M787" s="24" t="s">
        <v>376</v>
      </c>
      <c r="N787" s="83">
        <v>46.63</v>
      </c>
      <c r="O787" s="83"/>
      <c r="P787" s="93" t="str">
        <f>LEFT(VLOOKUP(Ruimtestaat[[#This Row],[Ruimte code]],Ruimtegroepen[#All],4,1),2)</f>
        <v>Ve</v>
      </c>
      <c r="Q787" s="93"/>
      <c r="R787" s="84">
        <v>40</v>
      </c>
      <c r="S787" s="84" t="s">
        <v>318</v>
      </c>
      <c r="T787" s="85">
        <f>IF(R787&gt;0,IF(RIGHT(Ruimtestaat[[#This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7" s="85">
        <f>IF(T787&gt;0,VLOOKUP($J787,Ruimtegroepen[],3,FALSE)*VLOOKUP($L787,Vloersoorten[],3,FALSE)*VLOOKUP($S787,Frequenties[],3,FALSE)*VLOOKUP($A787,Locaties[],3,FALSE),0)</f>
        <v>0</v>
      </c>
      <c r="V787" s="86">
        <f>Ruimtestaat[[#This Row],[Uitvoeringen werkdagen]]*Ruimtestaat[[#This Row],[Oppervlak (netto)]]</f>
        <v>9326</v>
      </c>
      <c r="W787" s="87">
        <f>IF(U787&gt;0,Ruimtestaat[[#This Row],[Prest. (m2 /jaar) werkdagen]]/Ruimtestaat[[#This Row],[Norm (m2/uur) werkdagen]],0)</f>
        <v>0</v>
      </c>
      <c r="X787" s="88">
        <f>Ruimtestaat[[#This Row],[uren / jaar werkdagen]]*Tariefsopbouw!$E$35</f>
        <v>0</v>
      </c>
      <c r="Y787" s="85"/>
      <c r="Z787" s="89">
        <f>IF(Ruimtestaat[[#This Row],[Frequentie weekend]]&gt;0,VALUE(LEFT(Y787,1))*R787,0)</f>
        <v>0</v>
      </c>
      <c r="AA787" s="85">
        <f>IF($Z787&gt;0,VLOOKUP($J787,Ruimtegroepen[],3,FALSE)*VLOOKUP($L787,Vloersoorten[],3,FALSE)*VLOOKUP($Y787,Frequenties[],3,FALSE)*VLOOKUP(#REF!,Locaties[],3,FALSE),0)</f>
        <v>0</v>
      </c>
      <c r="AB787" s="87">
        <f>Ruimtestaat[[#This Row],[Uitvoeringen weekend]]*Ruimtestaat[[#This Row],[Oppervlak (netto)]]</f>
        <v>0</v>
      </c>
      <c r="AC787" s="90">
        <f>IF(AB787&gt;0,Ruimtestaat[[#This Row],[Prest. (m2 /jaar) weekend]]/Ruimtestaat[[#This Row],[Norm (m2/uur) weekend]],0)</f>
        <v>0</v>
      </c>
      <c r="AD787" s="91">
        <f>Ruimtestaat[[#This Row],[uren / jaar weekend]]*Tariefsopbouw!$D$40</f>
        <v>0</v>
      </c>
      <c r="AE787" s="60">
        <f>Ruimtestaat[[#This Row],[Prest. (m2 /jaar) weekend]]+Ruimtestaat[[#This Row],[Prest. (m2 /jaar) werkdagen]]</f>
        <v>9326</v>
      </c>
      <c r="AF787" s="60">
        <f>Ruimtestaat[[#This Row],[uren / jaar weekend]]+Ruimtestaat[[#This Row],[uren / jaar werkdagen]]</f>
        <v>0</v>
      </c>
      <c r="AG787" s="61">
        <f>Ruimtestaat[[#This Row],[kosten / jaar weekend]]+Ruimtestaat[[#This Row],[kosten / jaar werkdagen]]</f>
        <v>0</v>
      </c>
      <c r="AH787" s="92"/>
      <c r="HL787" s="59"/>
    </row>
    <row r="788" spans="1:220">
      <c r="A788" s="24">
        <v>5</v>
      </c>
      <c r="B788" s="24" t="str">
        <f>VLOOKUP(Ruimtestaat[[#This Row],[Code]],Locaties[#All],2,FALSE)</f>
        <v>Marke Zuid</v>
      </c>
      <c r="C788" s="24" t="str">
        <f>VLOOKUP(Ruimtestaat[[#This Row],[Code]],Locaties[#All],4,FALSE)</f>
        <v>Ludgerstraat 1</v>
      </c>
      <c r="D788" s="24" t="str">
        <f>VLOOKUP(Ruimtestaat[[#This Row],[Code]],Locaties[#All],5,FALSE)</f>
        <v>7415 DV</v>
      </c>
      <c r="E788" s="24" t="str">
        <f>VLOOKUP(Ruimtestaat[[#This Row],[Code]],Locaties[#All],6,FALSE)</f>
        <v>Deventer</v>
      </c>
      <c r="F788" s="54"/>
      <c r="G788" s="24" t="s">
        <v>512</v>
      </c>
      <c r="H788" s="24" t="s">
        <v>958</v>
      </c>
      <c r="I788" s="4" t="s">
        <v>716</v>
      </c>
      <c r="J788" s="24">
        <v>10</v>
      </c>
      <c r="K788" s="54" t="str">
        <f>VLOOKUP(J788,Ruimtegroepen[],2,FALSE)</f>
        <v>Trappenhuizen/lift</v>
      </c>
      <c r="L788" s="24" t="s">
        <v>305</v>
      </c>
      <c r="M788" s="24" t="s">
        <v>376</v>
      </c>
      <c r="N788" s="83">
        <v>35.94</v>
      </c>
      <c r="O788" s="83"/>
      <c r="P788" s="93" t="str">
        <f>LEFT(VLOOKUP(Ruimtestaat[[#This Row],[Ruimte code]],Ruimtegroepen[#All],4,1),2)</f>
        <v>Ve</v>
      </c>
      <c r="Q788" s="93"/>
      <c r="R788" s="84">
        <v>40</v>
      </c>
      <c r="S788" s="84" t="s">
        <v>318</v>
      </c>
      <c r="T788" s="85">
        <f>IF(R788&gt;0,IF(RIGHT(Ruimtestaat[[#This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8" s="85">
        <f>IF(T788&gt;0,VLOOKUP($J788,Ruimtegroepen[],3,FALSE)*VLOOKUP($L788,Vloersoorten[],3,FALSE)*VLOOKUP($S788,Frequenties[],3,FALSE)*VLOOKUP($A788,Locaties[],3,FALSE),0)</f>
        <v>0</v>
      </c>
      <c r="V788" s="86">
        <f>Ruimtestaat[[#This Row],[Uitvoeringen werkdagen]]*Ruimtestaat[[#This Row],[Oppervlak (netto)]]</f>
        <v>7188</v>
      </c>
      <c r="W788" s="87">
        <f>IF(U788&gt;0,Ruimtestaat[[#This Row],[Prest. (m2 /jaar) werkdagen]]/Ruimtestaat[[#This Row],[Norm (m2/uur) werkdagen]],0)</f>
        <v>0</v>
      </c>
      <c r="X788" s="88">
        <f>Ruimtestaat[[#This Row],[uren / jaar werkdagen]]*Tariefsopbouw!$E$35</f>
        <v>0</v>
      </c>
      <c r="Y788" s="85"/>
      <c r="Z788" s="89">
        <f>IF(Ruimtestaat[[#This Row],[Frequentie weekend]]&gt;0,VALUE(LEFT(Y788,1))*R788,0)</f>
        <v>0</v>
      </c>
      <c r="AA788" s="85">
        <f>IF($Z788&gt;0,VLOOKUP($J788,Ruimtegroepen[],3,FALSE)*VLOOKUP($L788,Vloersoorten[],3,FALSE)*VLOOKUP($Y788,Frequenties[],3,FALSE)*VLOOKUP(#REF!,Locaties[],3,FALSE),0)</f>
        <v>0</v>
      </c>
      <c r="AB788" s="87">
        <f>Ruimtestaat[[#This Row],[Uitvoeringen weekend]]*Ruimtestaat[[#This Row],[Oppervlak (netto)]]</f>
        <v>0</v>
      </c>
      <c r="AC788" s="90">
        <f>IF(AB788&gt;0,Ruimtestaat[[#This Row],[Prest. (m2 /jaar) weekend]]/Ruimtestaat[[#This Row],[Norm (m2/uur) weekend]],0)</f>
        <v>0</v>
      </c>
      <c r="AD788" s="91">
        <f>Ruimtestaat[[#This Row],[uren / jaar weekend]]*Tariefsopbouw!$D$40</f>
        <v>0</v>
      </c>
      <c r="AE788" s="60">
        <f>Ruimtestaat[[#This Row],[Prest. (m2 /jaar) weekend]]+Ruimtestaat[[#This Row],[Prest. (m2 /jaar) werkdagen]]</f>
        <v>7188</v>
      </c>
      <c r="AF788" s="60">
        <f>Ruimtestaat[[#This Row],[uren / jaar weekend]]+Ruimtestaat[[#This Row],[uren / jaar werkdagen]]</f>
        <v>0</v>
      </c>
      <c r="AG788" s="61">
        <f>Ruimtestaat[[#This Row],[kosten / jaar weekend]]+Ruimtestaat[[#This Row],[kosten / jaar werkdagen]]</f>
        <v>0</v>
      </c>
      <c r="AH788" s="92"/>
      <c r="HL788" s="59"/>
    </row>
    <row r="789" spans="1:220">
      <c r="A789" s="24">
        <v>5</v>
      </c>
      <c r="B789" s="24" t="str">
        <f>VLOOKUP(Ruimtestaat[[#This Row],[Code]],Locaties[#All],2,FALSE)</f>
        <v>Marke Zuid</v>
      </c>
      <c r="C789" s="24" t="str">
        <f>VLOOKUP(Ruimtestaat[[#This Row],[Code]],Locaties[#All],4,FALSE)</f>
        <v>Ludgerstraat 1</v>
      </c>
      <c r="D789" s="24" t="str">
        <f>VLOOKUP(Ruimtestaat[[#This Row],[Code]],Locaties[#All],5,FALSE)</f>
        <v>7415 DV</v>
      </c>
      <c r="E789" s="24" t="str">
        <f>VLOOKUP(Ruimtestaat[[#This Row],[Code]],Locaties[#All],6,FALSE)</f>
        <v>Deventer</v>
      </c>
      <c r="F789" s="54"/>
      <c r="G789" s="24" t="s">
        <v>512</v>
      </c>
      <c r="H789" s="24" t="s">
        <v>1245</v>
      </c>
      <c r="I789" s="4" t="s">
        <v>716</v>
      </c>
      <c r="J789" s="24">
        <v>10</v>
      </c>
      <c r="K789" s="54" t="str">
        <f>VLOOKUP(J789,Ruimtegroepen[],2,FALSE)</f>
        <v>Trappenhuizen/lift</v>
      </c>
      <c r="L789" s="24" t="s">
        <v>305</v>
      </c>
      <c r="M789" s="24" t="s">
        <v>376</v>
      </c>
      <c r="N789" s="83">
        <v>14.66</v>
      </c>
      <c r="O789" s="83"/>
      <c r="P789" s="93" t="str">
        <f>LEFT(VLOOKUP(Ruimtestaat[[#This Row],[Ruimte code]],Ruimtegroepen[#All],4,1),2)</f>
        <v>Ve</v>
      </c>
      <c r="Q789" s="93"/>
      <c r="R789" s="84">
        <v>40</v>
      </c>
      <c r="S789" s="84" t="s">
        <v>318</v>
      </c>
      <c r="T789" s="85">
        <f>IF(R789&gt;0,IF(RIGHT(Ruimtestaat[[#This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9" s="85">
        <f>IF(T789&gt;0,VLOOKUP($J789,Ruimtegroepen[],3,FALSE)*VLOOKUP($L789,Vloersoorten[],3,FALSE)*VLOOKUP($S789,Frequenties[],3,FALSE)*VLOOKUP($A789,Locaties[],3,FALSE),0)</f>
        <v>0</v>
      </c>
      <c r="V789" s="86">
        <f>Ruimtestaat[[#This Row],[Uitvoeringen werkdagen]]*Ruimtestaat[[#This Row],[Oppervlak (netto)]]</f>
        <v>2932</v>
      </c>
      <c r="W789" s="87">
        <f>IF(U789&gt;0,Ruimtestaat[[#This Row],[Prest. (m2 /jaar) werkdagen]]/Ruimtestaat[[#This Row],[Norm (m2/uur) werkdagen]],0)</f>
        <v>0</v>
      </c>
      <c r="X789" s="88">
        <f>Ruimtestaat[[#This Row],[uren / jaar werkdagen]]*Tariefsopbouw!$E$35</f>
        <v>0</v>
      </c>
      <c r="Y789" s="85"/>
      <c r="Z789" s="89">
        <f>IF(Ruimtestaat[[#This Row],[Frequentie weekend]]&gt;0,VALUE(LEFT(Y789,1))*R789,0)</f>
        <v>0</v>
      </c>
      <c r="AA789" s="85">
        <f>IF($Z789&gt;0,VLOOKUP($J789,Ruimtegroepen[],3,FALSE)*VLOOKUP($L789,Vloersoorten[],3,FALSE)*VLOOKUP($Y789,Frequenties[],3,FALSE)*VLOOKUP(#REF!,Locaties[],3,FALSE),0)</f>
        <v>0</v>
      </c>
      <c r="AB789" s="87">
        <f>Ruimtestaat[[#This Row],[Uitvoeringen weekend]]*Ruimtestaat[[#This Row],[Oppervlak (netto)]]</f>
        <v>0</v>
      </c>
      <c r="AC789" s="90">
        <f>IF(AB789&gt;0,Ruimtestaat[[#This Row],[Prest. (m2 /jaar) weekend]]/Ruimtestaat[[#This Row],[Norm (m2/uur) weekend]],0)</f>
        <v>0</v>
      </c>
      <c r="AD789" s="91">
        <f>Ruimtestaat[[#This Row],[uren / jaar weekend]]*Tariefsopbouw!$D$40</f>
        <v>0</v>
      </c>
      <c r="AE789" s="60">
        <f>Ruimtestaat[[#This Row],[Prest. (m2 /jaar) weekend]]+Ruimtestaat[[#This Row],[Prest. (m2 /jaar) werkdagen]]</f>
        <v>2932</v>
      </c>
      <c r="AF789" s="60">
        <f>Ruimtestaat[[#This Row],[uren / jaar weekend]]+Ruimtestaat[[#This Row],[uren / jaar werkdagen]]</f>
        <v>0</v>
      </c>
      <c r="AG789" s="61">
        <f>Ruimtestaat[[#This Row],[kosten / jaar weekend]]+Ruimtestaat[[#This Row],[kosten / jaar werkdagen]]</f>
        <v>0</v>
      </c>
      <c r="AH789" s="92"/>
      <c r="HL789" s="59"/>
    </row>
    <row r="790" spans="1:220">
      <c r="A790" s="24">
        <v>5</v>
      </c>
      <c r="B790" s="24" t="str">
        <f>VLOOKUP(Ruimtestaat[[#This Row],[Code]],Locaties[#All],2,FALSE)</f>
        <v>Marke Zuid</v>
      </c>
      <c r="C790" s="24" t="str">
        <f>VLOOKUP(Ruimtestaat[[#This Row],[Code]],Locaties[#All],4,FALSE)</f>
        <v>Ludgerstraat 1</v>
      </c>
      <c r="D790" s="24" t="str">
        <f>VLOOKUP(Ruimtestaat[[#This Row],[Code]],Locaties[#All],5,FALSE)</f>
        <v>7415 DV</v>
      </c>
      <c r="E790" s="24" t="str">
        <f>VLOOKUP(Ruimtestaat[[#This Row],[Code]],Locaties[#All],6,FALSE)</f>
        <v>Deventer</v>
      </c>
      <c r="F790" s="54"/>
      <c r="G790" s="24" t="s">
        <v>512</v>
      </c>
      <c r="H790" s="24" t="s">
        <v>1246</v>
      </c>
      <c r="I790" s="4" t="s">
        <v>1247</v>
      </c>
      <c r="J790" s="24">
        <v>10</v>
      </c>
      <c r="K790" s="54" t="str">
        <f>VLOOKUP(J790,Ruimtegroepen[],2,FALSE)</f>
        <v>Trappenhuizen/lift</v>
      </c>
      <c r="L790" s="24" t="s">
        <v>305</v>
      </c>
      <c r="M790" s="24" t="s">
        <v>376</v>
      </c>
      <c r="N790" s="83">
        <v>14.66</v>
      </c>
      <c r="O790" s="83"/>
      <c r="P790" s="93" t="str">
        <f>LEFT(VLOOKUP(Ruimtestaat[[#This Row],[Ruimte code]],Ruimtegroepen[#All],4,1),2)</f>
        <v>Ve</v>
      </c>
      <c r="Q790" s="93"/>
      <c r="R790" s="84">
        <v>40</v>
      </c>
      <c r="S790" s="84" t="s">
        <v>318</v>
      </c>
      <c r="T790" s="85">
        <f>IF(R790&gt;0,IF(RIGHT(Ruimtestaat[[#This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0" s="85">
        <f>IF(T790&gt;0,VLOOKUP($J790,Ruimtegroepen[],3,FALSE)*VLOOKUP($L790,Vloersoorten[],3,FALSE)*VLOOKUP($S790,Frequenties[],3,FALSE)*VLOOKUP($A790,Locaties[],3,FALSE),0)</f>
        <v>0</v>
      </c>
      <c r="V790" s="86">
        <f>Ruimtestaat[[#This Row],[Uitvoeringen werkdagen]]*Ruimtestaat[[#This Row],[Oppervlak (netto)]]</f>
        <v>2932</v>
      </c>
      <c r="W790" s="87">
        <f>IF(U790&gt;0,Ruimtestaat[[#This Row],[Prest. (m2 /jaar) werkdagen]]/Ruimtestaat[[#This Row],[Norm (m2/uur) werkdagen]],0)</f>
        <v>0</v>
      </c>
      <c r="X790" s="88">
        <f>Ruimtestaat[[#This Row],[uren / jaar werkdagen]]*Tariefsopbouw!$E$35</f>
        <v>0</v>
      </c>
      <c r="Y790" s="85"/>
      <c r="Z790" s="89">
        <f>IF(Ruimtestaat[[#This Row],[Frequentie weekend]]&gt;0,VALUE(LEFT(Y790,1))*R790,0)</f>
        <v>0</v>
      </c>
      <c r="AA790" s="85">
        <f>IF($Z790&gt;0,VLOOKUP($J790,Ruimtegroepen[],3,FALSE)*VLOOKUP($L790,Vloersoorten[],3,FALSE)*VLOOKUP($Y790,Frequenties[],3,FALSE)*VLOOKUP(#REF!,Locaties[],3,FALSE),0)</f>
        <v>0</v>
      </c>
      <c r="AB790" s="87">
        <f>Ruimtestaat[[#This Row],[Uitvoeringen weekend]]*Ruimtestaat[[#This Row],[Oppervlak (netto)]]</f>
        <v>0</v>
      </c>
      <c r="AC790" s="90">
        <f>IF(AB790&gt;0,Ruimtestaat[[#This Row],[Prest. (m2 /jaar) weekend]]/Ruimtestaat[[#This Row],[Norm (m2/uur) weekend]],0)</f>
        <v>0</v>
      </c>
      <c r="AD790" s="91">
        <f>Ruimtestaat[[#This Row],[uren / jaar weekend]]*Tariefsopbouw!$D$40</f>
        <v>0</v>
      </c>
      <c r="AE790" s="60">
        <f>Ruimtestaat[[#This Row],[Prest. (m2 /jaar) weekend]]+Ruimtestaat[[#This Row],[Prest. (m2 /jaar) werkdagen]]</f>
        <v>2932</v>
      </c>
      <c r="AF790" s="60">
        <f>Ruimtestaat[[#This Row],[uren / jaar weekend]]+Ruimtestaat[[#This Row],[uren / jaar werkdagen]]</f>
        <v>0</v>
      </c>
      <c r="AG790" s="61">
        <f>Ruimtestaat[[#This Row],[kosten / jaar weekend]]+Ruimtestaat[[#This Row],[kosten / jaar werkdagen]]</f>
        <v>0</v>
      </c>
      <c r="AH790" s="92"/>
      <c r="HL790" s="59"/>
    </row>
    <row r="791" spans="1:220">
      <c r="A791" s="24">
        <v>5</v>
      </c>
      <c r="B791" s="24" t="str">
        <f>VLOOKUP(Ruimtestaat[[#This Row],[Code]],Locaties[#All],2,FALSE)</f>
        <v>Marke Zuid</v>
      </c>
      <c r="C791" s="24" t="str">
        <f>VLOOKUP(Ruimtestaat[[#This Row],[Code]],Locaties[#All],4,FALSE)</f>
        <v>Ludgerstraat 1</v>
      </c>
      <c r="D791" s="24" t="str">
        <f>VLOOKUP(Ruimtestaat[[#This Row],[Code]],Locaties[#All],5,FALSE)</f>
        <v>7415 DV</v>
      </c>
      <c r="E791" s="24" t="str">
        <f>VLOOKUP(Ruimtestaat[[#This Row],[Code]],Locaties[#All],6,FALSE)</f>
        <v>Deventer</v>
      </c>
      <c r="F791" s="54"/>
      <c r="G791" s="24" t="s">
        <v>569</v>
      </c>
      <c r="H791" s="24" t="s">
        <v>546</v>
      </c>
      <c r="I791" s="4" t="s">
        <v>289</v>
      </c>
      <c r="J791" s="24">
        <v>18</v>
      </c>
      <c r="K791" s="54" t="str">
        <f>VLOOKUP(J791,Ruimtegroepen[],2,FALSE)</f>
        <v>Gymzaal</v>
      </c>
      <c r="L791" s="24" t="s">
        <v>311</v>
      </c>
      <c r="M791" s="24" t="s">
        <v>452</v>
      </c>
      <c r="N791" s="83">
        <v>286.93</v>
      </c>
      <c r="O791" s="83"/>
      <c r="P791" s="93" t="str">
        <f>LEFT(VLOOKUP(Ruimtestaat[[#This Row],[Ruimte code]],Ruimtegroepen[#All],4,1),2)</f>
        <v>Sp</v>
      </c>
      <c r="Q791" s="93"/>
      <c r="R791" s="84">
        <v>40</v>
      </c>
      <c r="S791" s="84" t="s">
        <v>318</v>
      </c>
      <c r="T791" s="85">
        <f>IF(R791&gt;0,IF(RIGHT(Ruimtestaat[[#This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1" s="85">
        <f>IF(T791&gt;0,VLOOKUP($J791,Ruimtegroepen[],3,FALSE)*VLOOKUP($L791,Vloersoorten[],3,FALSE)*VLOOKUP($S791,Frequenties[],3,FALSE)*VLOOKUP($A791,Locaties[],3,FALSE),0)</f>
        <v>0</v>
      </c>
      <c r="V791" s="86">
        <f>Ruimtestaat[[#This Row],[Uitvoeringen werkdagen]]*Ruimtestaat[[#This Row],[Oppervlak (netto)]]</f>
        <v>57386</v>
      </c>
      <c r="W791" s="87">
        <f>IF(U791&gt;0,Ruimtestaat[[#This Row],[Prest. (m2 /jaar) werkdagen]]/Ruimtestaat[[#This Row],[Norm (m2/uur) werkdagen]],0)</f>
        <v>0</v>
      </c>
      <c r="X791" s="88">
        <f>Ruimtestaat[[#This Row],[uren / jaar werkdagen]]*Tariefsopbouw!$E$35</f>
        <v>0</v>
      </c>
      <c r="Y791" s="85"/>
      <c r="Z791" s="89">
        <f>IF(Ruimtestaat[[#This Row],[Frequentie weekend]]&gt;0,VALUE(LEFT(Y791,1))*R791,0)</f>
        <v>0</v>
      </c>
      <c r="AA791" s="85">
        <f>IF($Z791&gt;0,VLOOKUP($J791,Ruimtegroepen[],3,FALSE)*VLOOKUP($L791,Vloersoorten[],3,FALSE)*VLOOKUP($Y791,Frequenties[],3,FALSE)*VLOOKUP(#REF!,Locaties[],3,FALSE),0)</f>
        <v>0</v>
      </c>
      <c r="AB791" s="87">
        <f>Ruimtestaat[[#This Row],[Uitvoeringen weekend]]*Ruimtestaat[[#This Row],[Oppervlak (netto)]]</f>
        <v>0</v>
      </c>
      <c r="AC791" s="90">
        <f>IF(AB791&gt;0,Ruimtestaat[[#This Row],[Prest. (m2 /jaar) weekend]]/Ruimtestaat[[#This Row],[Norm (m2/uur) weekend]],0)</f>
        <v>0</v>
      </c>
      <c r="AD791" s="91">
        <f>Ruimtestaat[[#This Row],[uren / jaar weekend]]*Tariefsopbouw!$D$40</f>
        <v>0</v>
      </c>
      <c r="AE791" s="60">
        <f>Ruimtestaat[[#This Row],[Prest. (m2 /jaar) weekend]]+Ruimtestaat[[#This Row],[Prest. (m2 /jaar) werkdagen]]</f>
        <v>57386</v>
      </c>
      <c r="AF791" s="60">
        <f>Ruimtestaat[[#This Row],[uren / jaar weekend]]+Ruimtestaat[[#This Row],[uren / jaar werkdagen]]</f>
        <v>0</v>
      </c>
      <c r="AG791" s="61">
        <f>Ruimtestaat[[#This Row],[kosten / jaar weekend]]+Ruimtestaat[[#This Row],[kosten / jaar werkdagen]]</f>
        <v>0</v>
      </c>
      <c r="AH791" s="92"/>
      <c r="HL791" s="59"/>
    </row>
    <row r="792" spans="1:220">
      <c r="A792" s="24">
        <v>5</v>
      </c>
      <c r="B792" s="24" t="str">
        <f>VLOOKUP(Ruimtestaat[[#This Row],[Code]],Locaties[#All],2,FALSE)</f>
        <v>Marke Zuid</v>
      </c>
      <c r="C792" s="24" t="str">
        <f>VLOOKUP(Ruimtestaat[[#This Row],[Code]],Locaties[#All],4,FALSE)</f>
        <v>Ludgerstraat 1</v>
      </c>
      <c r="D792" s="24" t="str">
        <f>VLOOKUP(Ruimtestaat[[#This Row],[Code]],Locaties[#All],5,FALSE)</f>
        <v>7415 DV</v>
      </c>
      <c r="E792" s="24" t="str">
        <f>VLOOKUP(Ruimtestaat[[#This Row],[Code]],Locaties[#All],6,FALSE)</f>
        <v>Deventer</v>
      </c>
      <c r="F792" s="54"/>
      <c r="G792" s="24" t="s">
        <v>569</v>
      </c>
      <c r="H792" s="24" t="s">
        <v>1248</v>
      </c>
      <c r="I792" s="4" t="s">
        <v>1044</v>
      </c>
      <c r="J792" s="24">
        <v>19</v>
      </c>
      <c r="K792" s="54" t="str">
        <f>VLOOKUP(J792,Ruimtegroepen[],2,FALSE)</f>
        <v>Kleedruimten</v>
      </c>
      <c r="L792" s="24" t="s">
        <v>305</v>
      </c>
      <c r="M792" s="24" t="s">
        <v>373</v>
      </c>
      <c r="N792" s="83">
        <v>19.329999999999998</v>
      </c>
      <c r="O792" s="83"/>
      <c r="P792" s="93" t="str">
        <f>LEFT(VLOOKUP(Ruimtestaat[[#This Row],[Ruimte code]],Ruimtegroepen[#All],4,1),2)</f>
        <v>Ve</v>
      </c>
      <c r="Q792" s="93"/>
      <c r="R792" s="84">
        <v>40</v>
      </c>
      <c r="S792" s="84" t="s">
        <v>318</v>
      </c>
      <c r="T792" s="85">
        <f>IF(R792&gt;0,IF(RIGHT(Ruimtestaat[[#This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2" s="85">
        <f>IF(T792&gt;0,VLOOKUP($J792,Ruimtegroepen[],3,FALSE)*VLOOKUP($L792,Vloersoorten[],3,FALSE)*VLOOKUP($S792,Frequenties[],3,FALSE)*VLOOKUP($A792,Locaties[],3,FALSE),0)</f>
        <v>0</v>
      </c>
      <c r="V792" s="86">
        <f>Ruimtestaat[[#This Row],[Uitvoeringen werkdagen]]*Ruimtestaat[[#This Row],[Oppervlak (netto)]]</f>
        <v>3865.9999999999995</v>
      </c>
      <c r="W792" s="87">
        <f>IF(U792&gt;0,Ruimtestaat[[#This Row],[Prest. (m2 /jaar) werkdagen]]/Ruimtestaat[[#This Row],[Norm (m2/uur) werkdagen]],0)</f>
        <v>0</v>
      </c>
      <c r="X792" s="88">
        <f>Ruimtestaat[[#This Row],[uren / jaar werkdagen]]*Tariefsopbouw!$E$35</f>
        <v>0</v>
      </c>
      <c r="Y792" s="85"/>
      <c r="Z792" s="89">
        <f>IF(Ruimtestaat[[#This Row],[Frequentie weekend]]&gt;0,VALUE(LEFT(Y792,1))*R792,0)</f>
        <v>0</v>
      </c>
      <c r="AA792" s="85">
        <f>IF($Z792&gt;0,VLOOKUP($J792,Ruimtegroepen[],3,FALSE)*VLOOKUP($L792,Vloersoorten[],3,FALSE)*VLOOKUP($Y792,Frequenties[],3,FALSE)*VLOOKUP(#REF!,Locaties[],3,FALSE),0)</f>
        <v>0</v>
      </c>
      <c r="AB792" s="87">
        <f>Ruimtestaat[[#This Row],[Uitvoeringen weekend]]*Ruimtestaat[[#This Row],[Oppervlak (netto)]]</f>
        <v>0</v>
      </c>
      <c r="AC792" s="90">
        <f>IF(AB792&gt;0,Ruimtestaat[[#This Row],[Prest. (m2 /jaar) weekend]]/Ruimtestaat[[#This Row],[Norm (m2/uur) weekend]],0)</f>
        <v>0</v>
      </c>
      <c r="AD792" s="91">
        <f>Ruimtestaat[[#This Row],[uren / jaar weekend]]*Tariefsopbouw!$D$40</f>
        <v>0</v>
      </c>
      <c r="AE792" s="60">
        <f>Ruimtestaat[[#This Row],[Prest. (m2 /jaar) weekend]]+Ruimtestaat[[#This Row],[Prest. (m2 /jaar) werkdagen]]</f>
        <v>3865.9999999999995</v>
      </c>
      <c r="AF792" s="60">
        <f>Ruimtestaat[[#This Row],[uren / jaar weekend]]+Ruimtestaat[[#This Row],[uren / jaar werkdagen]]</f>
        <v>0</v>
      </c>
      <c r="AG792" s="61">
        <f>Ruimtestaat[[#This Row],[kosten / jaar weekend]]+Ruimtestaat[[#This Row],[kosten / jaar werkdagen]]</f>
        <v>0</v>
      </c>
      <c r="AH792" s="92"/>
      <c r="HL792" s="59"/>
    </row>
    <row r="793" spans="1:220">
      <c r="A793" s="24">
        <v>5</v>
      </c>
      <c r="B793" s="24" t="str">
        <f>VLOOKUP(Ruimtestaat[[#This Row],[Code]],Locaties[#All],2,FALSE)</f>
        <v>Marke Zuid</v>
      </c>
      <c r="C793" s="24" t="str">
        <f>VLOOKUP(Ruimtestaat[[#This Row],[Code]],Locaties[#All],4,FALSE)</f>
        <v>Ludgerstraat 1</v>
      </c>
      <c r="D793" s="24" t="str">
        <f>VLOOKUP(Ruimtestaat[[#This Row],[Code]],Locaties[#All],5,FALSE)</f>
        <v>7415 DV</v>
      </c>
      <c r="E793" s="24" t="str">
        <f>VLOOKUP(Ruimtestaat[[#This Row],[Code]],Locaties[#All],6,FALSE)</f>
        <v>Deventer</v>
      </c>
      <c r="F793" s="54"/>
      <c r="G793" s="24" t="s">
        <v>569</v>
      </c>
      <c r="H793" s="24" t="s">
        <v>1249</v>
      </c>
      <c r="I793" s="4" t="s">
        <v>1158</v>
      </c>
      <c r="J793" s="24">
        <v>5</v>
      </c>
      <c r="K793" s="54" t="str">
        <f>VLOOKUP(J793,Ruimtegroepen[],2,FALSE)</f>
        <v>Sanitair</v>
      </c>
      <c r="L793" s="24" t="s">
        <v>305</v>
      </c>
      <c r="M793" s="24" t="s">
        <v>373</v>
      </c>
      <c r="N793" s="83">
        <v>15.27</v>
      </c>
      <c r="O793" s="83"/>
      <c r="P793" s="93" t="str">
        <f>LEFT(VLOOKUP(Ruimtestaat[[#This Row],[Ruimte code]],Ruimtegroepen[#All],4,1),2)</f>
        <v>Sa</v>
      </c>
      <c r="Q793" s="93"/>
      <c r="R793" s="84">
        <v>40</v>
      </c>
      <c r="S793" s="84" t="s">
        <v>316</v>
      </c>
      <c r="T793" s="85">
        <f>IF(R793&gt;0,IF(RIGHT(Ruimtestaat[[#This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793" s="85">
        <f>IF(T793&gt;0,VLOOKUP($J793,Ruimtegroepen[],3,FALSE)*VLOOKUP($L793,Vloersoorten[],3,FALSE)*VLOOKUP($S793,Frequenties[],3,FALSE)*VLOOKUP($A793,Locaties[],3,FALSE),0)</f>
        <v>0</v>
      </c>
      <c r="V793" s="86">
        <f>Ruimtestaat[[#This Row],[Uitvoeringen werkdagen]]*Ruimtestaat[[#This Row],[Oppervlak (netto)]]</f>
        <v>6108</v>
      </c>
      <c r="W793" s="87">
        <f>IF(U793&gt;0,Ruimtestaat[[#This Row],[Prest. (m2 /jaar) werkdagen]]/Ruimtestaat[[#This Row],[Norm (m2/uur) werkdagen]],0)</f>
        <v>0</v>
      </c>
      <c r="X793" s="88">
        <f>Ruimtestaat[[#This Row],[uren / jaar werkdagen]]*Tariefsopbouw!$E$35</f>
        <v>0</v>
      </c>
      <c r="Y793" s="85"/>
      <c r="Z793" s="89">
        <f>IF(Ruimtestaat[[#This Row],[Frequentie weekend]]&gt;0,VALUE(LEFT(Y793,1))*R793,0)</f>
        <v>0</v>
      </c>
      <c r="AA793" s="85">
        <f>IF($Z793&gt;0,VLOOKUP($J793,Ruimtegroepen[],3,FALSE)*VLOOKUP($L793,Vloersoorten[],3,FALSE)*VLOOKUP($Y793,Frequenties[],3,FALSE)*VLOOKUP(#REF!,Locaties[],3,FALSE),0)</f>
        <v>0</v>
      </c>
      <c r="AB793" s="87">
        <f>Ruimtestaat[[#This Row],[Uitvoeringen weekend]]*Ruimtestaat[[#This Row],[Oppervlak (netto)]]</f>
        <v>0</v>
      </c>
      <c r="AC793" s="90">
        <f>IF(AB793&gt;0,Ruimtestaat[[#This Row],[Prest. (m2 /jaar) weekend]]/Ruimtestaat[[#This Row],[Norm (m2/uur) weekend]],0)</f>
        <v>0</v>
      </c>
      <c r="AD793" s="91">
        <f>Ruimtestaat[[#This Row],[uren / jaar weekend]]*Tariefsopbouw!$D$40</f>
        <v>0</v>
      </c>
      <c r="AE793" s="60">
        <f>Ruimtestaat[[#This Row],[Prest. (m2 /jaar) weekend]]+Ruimtestaat[[#This Row],[Prest. (m2 /jaar) werkdagen]]</f>
        <v>6108</v>
      </c>
      <c r="AF793" s="60">
        <f>Ruimtestaat[[#This Row],[uren / jaar weekend]]+Ruimtestaat[[#This Row],[uren / jaar werkdagen]]</f>
        <v>0</v>
      </c>
      <c r="AG793" s="61">
        <f>Ruimtestaat[[#This Row],[kosten / jaar weekend]]+Ruimtestaat[[#This Row],[kosten / jaar werkdagen]]</f>
        <v>0</v>
      </c>
      <c r="AH793" s="92"/>
      <c r="HL793" s="59"/>
    </row>
    <row r="794" spans="1:220">
      <c r="A794" s="24">
        <v>5</v>
      </c>
      <c r="B794" s="24" t="str">
        <f>VLOOKUP(Ruimtestaat[[#This Row],[Code]],Locaties[#All],2,FALSE)</f>
        <v>Marke Zuid</v>
      </c>
      <c r="C794" s="24" t="str">
        <f>VLOOKUP(Ruimtestaat[[#This Row],[Code]],Locaties[#All],4,FALSE)</f>
        <v>Ludgerstraat 1</v>
      </c>
      <c r="D794" s="24" t="str">
        <f>VLOOKUP(Ruimtestaat[[#This Row],[Code]],Locaties[#All],5,FALSE)</f>
        <v>7415 DV</v>
      </c>
      <c r="E794" s="24" t="str">
        <f>VLOOKUP(Ruimtestaat[[#This Row],[Code]],Locaties[#All],6,FALSE)</f>
        <v>Deventer</v>
      </c>
      <c r="F794" s="54"/>
      <c r="G794" s="24" t="s">
        <v>569</v>
      </c>
      <c r="H794" s="24" t="s">
        <v>1250</v>
      </c>
      <c r="I794" s="4" t="s">
        <v>1251</v>
      </c>
      <c r="J794" s="24">
        <v>2</v>
      </c>
      <c r="K794" s="54" t="str">
        <f>VLOOKUP(J794,Ruimtegroepen[],2,FALSE)</f>
        <v>Kantoren</v>
      </c>
      <c r="L794" s="24" t="s">
        <v>305</v>
      </c>
      <c r="M794" s="24" t="s">
        <v>373</v>
      </c>
      <c r="N794" s="83">
        <v>4.8899999999999997</v>
      </c>
      <c r="O794" s="83"/>
      <c r="P794" s="93" t="str">
        <f>LEFT(VLOOKUP(Ruimtestaat[[#This Row],[Ruimte code]],Ruimtegroepen[#All],4,1),2)</f>
        <v>Bu</v>
      </c>
      <c r="Q794" s="93"/>
      <c r="R794" s="84">
        <v>42</v>
      </c>
      <c r="S794" s="84" t="s">
        <v>322</v>
      </c>
      <c r="T794" s="85">
        <f>IF(R794&gt;0,IF(RIGHT(Ruimtestaat[[#This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94" s="85">
        <f>IF(T794&gt;0,VLOOKUP($J794,Ruimtegroepen[],3,FALSE)*VLOOKUP($L794,Vloersoorten[],3,FALSE)*VLOOKUP($S794,Frequenties[],3,FALSE)*VLOOKUP($A794,Locaties[],3,FALSE),0)</f>
        <v>0</v>
      </c>
      <c r="V794" s="86">
        <f>Ruimtestaat[[#This Row],[Uitvoeringen werkdagen]]*Ruimtestaat[[#This Row],[Oppervlak (netto)]]</f>
        <v>616.14</v>
      </c>
      <c r="W794" s="87">
        <f>IF(U794&gt;0,Ruimtestaat[[#This Row],[Prest. (m2 /jaar) werkdagen]]/Ruimtestaat[[#This Row],[Norm (m2/uur) werkdagen]],0)</f>
        <v>0</v>
      </c>
      <c r="X794" s="88">
        <f>Ruimtestaat[[#This Row],[uren / jaar werkdagen]]*Tariefsopbouw!$E$35</f>
        <v>0</v>
      </c>
      <c r="Y794" s="85"/>
      <c r="Z794" s="89">
        <f>IF(Ruimtestaat[[#This Row],[Frequentie weekend]]&gt;0,VALUE(LEFT(Y794,1))*R794,0)</f>
        <v>0</v>
      </c>
      <c r="AA794" s="85">
        <f>IF($Z794&gt;0,VLOOKUP($J794,Ruimtegroepen[],3,FALSE)*VLOOKUP($L794,Vloersoorten[],3,FALSE)*VLOOKUP($Y794,Frequenties[],3,FALSE)*VLOOKUP(#REF!,Locaties[],3,FALSE),0)</f>
        <v>0</v>
      </c>
      <c r="AB794" s="87">
        <f>Ruimtestaat[[#This Row],[Uitvoeringen weekend]]*Ruimtestaat[[#This Row],[Oppervlak (netto)]]</f>
        <v>0</v>
      </c>
      <c r="AC794" s="90">
        <f>IF(AB794&gt;0,Ruimtestaat[[#This Row],[Prest. (m2 /jaar) weekend]]/Ruimtestaat[[#This Row],[Norm (m2/uur) weekend]],0)</f>
        <v>0</v>
      </c>
      <c r="AD794" s="91">
        <f>Ruimtestaat[[#This Row],[uren / jaar weekend]]*Tariefsopbouw!$D$40</f>
        <v>0</v>
      </c>
      <c r="AE794" s="60">
        <f>Ruimtestaat[[#This Row],[Prest. (m2 /jaar) weekend]]+Ruimtestaat[[#This Row],[Prest. (m2 /jaar) werkdagen]]</f>
        <v>616.14</v>
      </c>
      <c r="AF794" s="60">
        <f>Ruimtestaat[[#This Row],[uren / jaar weekend]]+Ruimtestaat[[#This Row],[uren / jaar werkdagen]]</f>
        <v>0</v>
      </c>
      <c r="AG794" s="61">
        <f>Ruimtestaat[[#This Row],[kosten / jaar weekend]]+Ruimtestaat[[#This Row],[kosten / jaar werkdagen]]</f>
        <v>0</v>
      </c>
      <c r="AH794" s="92"/>
      <c r="HL794" s="59"/>
    </row>
    <row r="795" spans="1:220">
      <c r="A795" s="24">
        <v>5</v>
      </c>
      <c r="B795" s="24" t="str">
        <f>VLOOKUP(Ruimtestaat[[#This Row],[Code]],Locaties[#All],2,FALSE)</f>
        <v>Marke Zuid</v>
      </c>
      <c r="C795" s="24" t="str">
        <f>VLOOKUP(Ruimtestaat[[#This Row],[Code]],Locaties[#All],4,FALSE)</f>
        <v>Ludgerstraat 1</v>
      </c>
      <c r="D795" s="24" t="str">
        <f>VLOOKUP(Ruimtestaat[[#This Row],[Code]],Locaties[#All],5,FALSE)</f>
        <v>7415 DV</v>
      </c>
      <c r="E795" s="24" t="str">
        <f>VLOOKUP(Ruimtestaat[[#This Row],[Code]],Locaties[#All],6,FALSE)</f>
        <v>Deventer</v>
      </c>
      <c r="F795" s="54"/>
      <c r="G795" s="24" t="s">
        <v>569</v>
      </c>
      <c r="H795" s="24" t="s">
        <v>1252</v>
      </c>
      <c r="I795" s="4" t="s">
        <v>1042</v>
      </c>
      <c r="J795" s="24">
        <v>19</v>
      </c>
      <c r="K795" s="54" t="str">
        <f>VLOOKUP(J795,Ruimtegroepen[],2,FALSE)</f>
        <v>Kleedruimten</v>
      </c>
      <c r="L795" s="24" t="s">
        <v>305</v>
      </c>
      <c r="M795" s="24" t="s">
        <v>373</v>
      </c>
      <c r="N795" s="83">
        <v>20.73</v>
      </c>
      <c r="O795" s="83"/>
      <c r="P795" s="93" t="str">
        <f>LEFT(VLOOKUP(Ruimtestaat[[#This Row],[Ruimte code]],Ruimtegroepen[#All],4,1),2)</f>
        <v>Ve</v>
      </c>
      <c r="Q795" s="93"/>
      <c r="R795" s="84">
        <v>40</v>
      </c>
      <c r="S795" s="84" t="s">
        <v>318</v>
      </c>
      <c r="T795" s="85">
        <f>IF(R795&gt;0,IF(RIGHT(Ruimtestaat[[#This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5" s="85">
        <f>IF(T795&gt;0,VLOOKUP($J795,Ruimtegroepen[],3,FALSE)*VLOOKUP($L795,Vloersoorten[],3,FALSE)*VLOOKUP($S795,Frequenties[],3,FALSE)*VLOOKUP($A795,Locaties[],3,FALSE),0)</f>
        <v>0</v>
      </c>
      <c r="V795" s="86">
        <f>Ruimtestaat[[#This Row],[Uitvoeringen werkdagen]]*Ruimtestaat[[#This Row],[Oppervlak (netto)]]</f>
        <v>4146</v>
      </c>
      <c r="W795" s="87">
        <f>IF(U795&gt;0,Ruimtestaat[[#This Row],[Prest. (m2 /jaar) werkdagen]]/Ruimtestaat[[#This Row],[Norm (m2/uur) werkdagen]],0)</f>
        <v>0</v>
      </c>
      <c r="X795" s="88">
        <f>Ruimtestaat[[#This Row],[uren / jaar werkdagen]]*Tariefsopbouw!$E$35</f>
        <v>0</v>
      </c>
      <c r="Y795" s="85"/>
      <c r="Z795" s="89">
        <f>IF(Ruimtestaat[[#This Row],[Frequentie weekend]]&gt;0,VALUE(LEFT(Y795,1))*R795,0)</f>
        <v>0</v>
      </c>
      <c r="AA795" s="85">
        <f>IF($Z795&gt;0,VLOOKUP($J795,Ruimtegroepen[],3,FALSE)*VLOOKUP($L795,Vloersoorten[],3,FALSE)*VLOOKUP($Y795,Frequenties[],3,FALSE)*VLOOKUP(#REF!,Locaties[],3,FALSE),0)</f>
        <v>0</v>
      </c>
      <c r="AB795" s="87">
        <f>Ruimtestaat[[#This Row],[Uitvoeringen weekend]]*Ruimtestaat[[#This Row],[Oppervlak (netto)]]</f>
        <v>0</v>
      </c>
      <c r="AC795" s="90">
        <f>IF(AB795&gt;0,Ruimtestaat[[#This Row],[Prest. (m2 /jaar) weekend]]/Ruimtestaat[[#This Row],[Norm (m2/uur) weekend]],0)</f>
        <v>0</v>
      </c>
      <c r="AD795" s="91">
        <f>Ruimtestaat[[#This Row],[uren / jaar weekend]]*Tariefsopbouw!$D$40</f>
        <v>0</v>
      </c>
      <c r="AE795" s="60">
        <f>Ruimtestaat[[#This Row],[Prest. (m2 /jaar) weekend]]+Ruimtestaat[[#This Row],[Prest. (m2 /jaar) werkdagen]]</f>
        <v>4146</v>
      </c>
      <c r="AF795" s="60">
        <f>Ruimtestaat[[#This Row],[uren / jaar weekend]]+Ruimtestaat[[#This Row],[uren / jaar werkdagen]]</f>
        <v>0</v>
      </c>
      <c r="AG795" s="61">
        <f>Ruimtestaat[[#This Row],[kosten / jaar weekend]]+Ruimtestaat[[#This Row],[kosten / jaar werkdagen]]</f>
        <v>0</v>
      </c>
      <c r="AH795" s="92"/>
      <c r="HL795" s="59"/>
    </row>
    <row r="796" spans="1:220">
      <c r="A796" s="24">
        <v>5</v>
      </c>
      <c r="B796" s="24" t="str">
        <f>VLOOKUP(Ruimtestaat[[#This Row],[Code]],Locaties[#All],2,FALSE)</f>
        <v>Marke Zuid</v>
      </c>
      <c r="C796" s="24" t="str">
        <f>VLOOKUP(Ruimtestaat[[#This Row],[Code]],Locaties[#All],4,FALSE)</f>
        <v>Ludgerstraat 1</v>
      </c>
      <c r="D796" s="24" t="str">
        <f>VLOOKUP(Ruimtestaat[[#This Row],[Code]],Locaties[#All],5,FALSE)</f>
        <v>7415 DV</v>
      </c>
      <c r="E796" s="24" t="str">
        <f>VLOOKUP(Ruimtestaat[[#This Row],[Code]],Locaties[#All],6,FALSE)</f>
        <v>Deventer</v>
      </c>
      <c r="F796" s="54"/>
      <c r="G796" s="24" t="s">
        <v>569</v>
      </c>
      <c r="H796" s="24" t="s">
        <v>1253</v>
      </c>
      <c r="I796" s="4" t="s">
        <v>1156</v>
      </c>
      <c r="J796" s="24">
        <v>5</v>
      </c>
      <c r="K796" s="54" t="str">
        <f>VLOOKUP(J796,Ruimtegroepen[],2,FALSE)</f>
        <v>Sanitair</v>
      </c>
      <c r="L796" s="24" t="s">
        <v>305</v>
      </c>
      <c r="M796" s="24" t="s">
        <v>373</v>
      </c>
      <c r="N796" s="83">
        <v>13.18</v>
      </c>
      <c r="O796" s="83"/>
      <c r="P796" s="93" t="str">
        <f>LEFT(VLOOKUP(Ruimtestaat[[#This Row],[Ruimte code]],Ruimtegroepen[#All],4,1),2)</f>
        <v>Sa</v>
      </c>
      <c r="Q796" s="93"/>
      <c r="R796" s="84">
        <v>40</v>
      </c>
      <c r="S796" s="84" t="s">
        <v>316</v>
      </c>
      <c r="T796" s="85">
        <f>IF(R796&gt;0,IF(RIGHT(Ruimtestaat[[#This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796" s="85">
        <f>IF(T796&gt;0,VLOOKUP($J796,Ruimtegroepen[],3,FALSE)*VLOOKUP($L796,Vloersoorten[],3,FALSE)*VLOOKUP($S796,Frequenties[],3,FALSE)*VLOOKUP($A796,Locaties[],3,FALSE),0)</f>
        <v>0</v>
      </c>
      <c r="V796" s="86">
        <f>Ruimtestaat[[#This Row],[Uitvoeringen werkdagen]]*Ruimtestaat[[#This Row],[Oppervlak (netto)]]</f>
        <v>5272</v>
      </c>
      <c r="W796" s="87">
        <f>IF(U796&gt;0,Ruimtestaat[[#This Row],[Prest. (m2 /jaar) werkdagen]]/Ruimtestaat[[#This Row],[Norm (m2/uur) werkdagen]],0)</f>
        <v>0</v>
      </c>
      <c r="X796" s="88">
        <f>Ruimtestaat[[#This Row],[uren / jaar werkdagen]]*Tariefsopbouw!$E$35</f>
        <v>0</v>
      </c>
      <c r="Y796" s="85"/>
      <c r="Z796" s="89">
        <f>IF(Ruimtestaat[[#This Row],[Frequentie weekend]]&gt;0,VALUE(LEFT(Y796,1))*R796,0)</f>
        <v>0</v>
      </c>
      <c r="AA796" s="85">
        <f>IF($Z796&gt;0,VLOOKUP($J796,Ruimtegroepen[],3,FALSE)*VLOOKUP($L796,Vloersoorten[],3,FALSE)*VLOOKUP($Y796,Frequenties[],3,FALSE)*VLOOKUP(#REF!,Locaties[],3,FALSE),0)</f>
        <v>0</v>
      </c>
      <c r="AB796" s="87">
        <f>Ruimtestaat[[#This Row],[Uitvoeringen weekend]]*Ruimtestaat[[#This Row],[Oppervlak (netto)]]</f>
        <v>0</v>
      </c>
      <c r="AC796" s="90">
        <f>IF(AB796&gt;0,Ruimtestaat[[#This Row],[Prest. (m2 /jaar) weekend]]/Ruimtestaat[[#This Row],[Norm (m2/uur) weekend]],0)</f>
        <v>0</v>
      </c>
      <c r="AD796" s="91">
        <f>Ruimtestaat[[#This Row],[uren / jaar weekend]]*Tariefsopbouw!$D$40</f>
        <v>0</v>
      </c>
      <c r="AE796" s="60">
        <f>Ruimtestaat[[#This Row],[Prest. (m2 /jaar) weekend]]+Ruimtestaat[[#This Row],[Prest. (m2 /jaar) werkdagen]]</f>
        <v>5272</v>
      </c>
      <c r="AF796" s="60">
        <f>Ruimtestaat[[#This Row],[uren / jaar weekend]]+Ruimtestaat[[#This Row],[uren / jaar werkdagen]]</f>
        <v>0</v>
      </c>
      <c r="AG796" s="61">
        <f>Ruimtestaat[[#This Row],[kosten / jaar weekend]]+Ruimtestaat[[#This Row],[kosten / jaar werkdagen]]</f>
        <v>0</v>
      </c>
      <c r="AH796" s="92"/>
      <c r="HL796" s="59"/>
    </row>
    <row r="797" spans="1:220">
      <c r="A797" s="24">
        <v>5</v>
      </c>
      <c r="B797" s="24" t="str">
        <f>VLOOKUP(Ruimtestaat[[#This Row],[Code]],Locaties[#All],2,FALSE)</f>
        <v>Marke Zuid</v>
      </c>
      <c r="C797" s="24" t="str">
        <f>VLOOKUP(Ruimtestaat[[#This Row],[Code]],Locaties[#All],4,FALSE)</f>
        <v>Ludgerstraat 1</v>
      </c>
      <c r="D797" s="24" t="str">
        <f>VLOOKUP(Ruimtestaat[[#This Row],[Code]],Locaties[#All],5,FALSE)</f>
        <v>7415 DV</v>
      </c>
      <c r="E797" s="24" t="str">
        <f>VLOOKUP(Ruimtestaat[[#This Row],[Code]],Locaties[#All],6,FALSE)</f>
        <v>Deventer</v>
      </c>
      <c r="F797" s="54"/>
      <c r="G797" s="24" t="s">
        <v>569</v>
      </c>
      <c r="H797" s="24" t="s">
        <v>1254</v>
      </c>
      <c r="I797" s="4" t="s">
        <v>394</v>
      </c>
      <c r="J797" s="24">
        <v>22</v>
      </c>
      <c r="K797" s="54" t="str">
        <f>VLOOKUP(J797,Ruimtegroepen[],2,FALSE)</f>
        <v>Niet in onderhoud</v>
      </c>
      <c r="L797" s="24" t="s">
        <v>311</v>
      </c>
      <c r="M797" s="24" t="s">
        <v>452</v>
      </c>
      <c r="N797" s="83"/>
      <c r="O797" s="83">
        <v>12.26</v>
      </c>
      <c r="P797" s="93" t="str">
        <f>LEFT(VLOOKUP(Ruimtestaat[[#This Row],[Ruimte code]],Ruimtegroepen[#All],4,1),2)</f>
        <v/>
      </c>
      <c r="Q797" s="93"/>
      <c r="R797" s="84"/>
      <c r="S797" s="84"/>
      <c r="T797" s="85">
        <f>IF(R797&gt;0,IF(RIGHT(Ruimtestaat[[#This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97" s="85">
        <f>IF(T797&gt;0,VLOOKUP($J797,Ruimtegroepen[],3,FALSE)*VLOOKUP($L797,Vloersoorten[],3,FALSE)*VLOOKUP($S797,Frequenties[],3,FALSE)*VLOOKUP($A797,Locaties[],3,FALSE),0)</f>
        <v>0</v>
      </c>
      <c r="V797" s="86">
        <f>Ruimtestaat[[#This Row],[Uitvoeringen werkdagen]]*Ruimtestaat[[#This Row],[Oppervlak (netto)]]</f>
        <v>0</v>
      </c>
      <c r="W797" s="87">
        <f>IF(U797&gt;0,Ruimtestaat[[#This Row],[Prest. (m2 /jaar) werkdagen]]/Ruimtestaat[[#This Row],[Norm (m2/uur) werkdagen]],0)</f>
        <v>0</v>
      </c>
      <c r="X797" s="88">
        <f>Ruimtestaat[[#This Row],[uren / jaar werkdagen]]*Tariefsopbouw!$E$35</f>
        <v>0</v>
      </c>
      <c r="Y797" s="85"/>
      <c r="Z797" s="89">
        <f>IF(Ruimtestaat[[#This Row],[Frequentie weekend]]&gt;0,VALUE(LEFT(Y797,1))*R797,0)</f>
        <v>0</v>
      </c>
      <c r="AA797" s="85">
        <f>IF($Z797&gt;0,VLOOKUP($J797,Ruimtegroepen[],3,FALSE)*VLOOKUP($L797,Vloersoorten[],3,FALSE)*VLOOKUP($Y797,Frequenties[],3,FALSE)*VLOOKUP(#REF!,Locaties[],3,FALSE),0)</f>
        <v>0</v>
      </c>
      <c r="AB797" s="87">
        <f>Ruimtestaat[[#This Row],[Uitvoeringen weekend]]*Ruimtestaat[[#This Row],[Oppervlak (netto)]]</f>
        <v>0</v>
      </c>
      <c r="AC797" s="90">
        <f>IF(AB797&gt;0,Ruimtestaat[[#This Row],[Prest. (m2 /jaar) weekend]]/Ruimtestaat[[#This Row],[Norm (m2/uur) weekend]],0)</f>
        <v>0</v>
      </c>
      <c r="AD797" s="91">
        <f>Ruimtestaat[[#This Row],[uren / jaar weekend]]*Tariefsopbouw!$D$40</f>
        <v>0</v>
      </c>
      <c r="AE797" s="60">
        <f>Ruimtestaat[[#This Row],[Prest. (m2 /jaar) weekend]]+Ruimtestaat[[#This Row],[Prest. (m2 /jaar) werkdagen]]</f>
        <v>0</v>
      </c>
      <c r="AF797" s="60">
        <f>Ruimtestaat[[#This Row],[uren / jaar weekend]]+Ruimtestaat[[#This Row],[uren / jaar werkdagen]]</f>
        <v>0</v>
      </c>
      <c r="AG797" s="61">
        <f>Ruimtestaat[[#This Row],[kosten / jaar weekend]]+Ruimtestaat[[#This Row],[kosten / jaar werkdagen]]</f>
        <v>0</v>
      </c>
      <c r="AH797" s="92"/>
      <c r="HL797" s="59"/>
    </row>
    <row r="798" spans="1:220">
      <c r="A798" s="24">
        <v>5</v>
      </c>
      <c r="B798" s="24" t="str">
        <f>VLOOKUP(Ruimtestaat[[#This Row],[Code]],Locaties[#All],2,FALSE)</f>
        <v>Marke Zuid</v>
      </c>
      <c r="C798" s="24" t="str">
        <f>VLOOKUP(Ruimtestaat[[#This Row],[Code]],Locaties[#All],4,FALSE)</f>
        <v>Ludgerstraat 1</v>
      </c>
      <c r="D798" s="24" t="str">
        <f>VLOOKUP(Ruimtestaat[[#This Row],[Code]],Locaties[#All],5,FALSE)</f>
        <v>7415 DV</v>
      </c>
      <c r="E798" s="24" t="str">
        <f>VLOOKUP(Ruimtestaat[[#This Row],[Code]],Locaties[#All],6,FALSE)</f>
        <v>Deventer</v>
      </c>
      <c r="F798" s="54"/>
      <c r="G798" s="24" t="s">
        <v>569</v>
      </c>
      <c r="H798" s="24" t="s">
        <v>1255</v>
      </c>
      <c r="I798" s="4" t="s">
        <v>535</v>
      </c>
      <c r="J798" s="24">
        <v>22</v>
      </c>
      <c r="K798" s="54" t="str">
        <f>VLOOKUP(J798,Ruimtegroepen[],2,FALSE)</f>
        <v>Niet in onderhoud</v>
      </c>
      <c r="L798" s="24" t="s">
        <v>305</v>
      </c>
      <c r="M798" s="24" t="s">
        <v>373</v>
      </c>
      <c r="N798" s="83"/>
      <c r="O798" s="83">
        <v>1.51</v>
      </c>
      <c r="P798" s="93" t="str">
        <f>LEFT(VLOOKUP(Ruimtestaat[[#This Row],[Ruimte code]],Ruimtegroepen[#All],4,1),2)</f>
        <v/>
      </c>
      <c r="Q798" s="93"/>
      <c r="R798" s="84"/>
      <c r="S798" s="84"/>
      <c r="T798" s="85">
        <f>IF(R798&gt;0,IF(RIGHT(Ruimtestaat[[#This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98" s="85">
        <f>IF(T798&gt;0,VLOOKUP($J798,Ruimtegroepen[],3,FALSE)*VLOOKUP($L798,Vloersoorten[],3,FALSE)*VLOOKUP($S798,Frequenties[],3,FALSE)*VLOOKUP($A798,Locaties[],3,FALSE),0)</f>
        <v>0</v>
      </c>
      <c r="V798" s="86">
        <f>Ruimtestaat[[#This Row],[Uitvoeringen werkdagen]]*Ruimtestaat[[#This Row],[Oppervlak (netto)]]</f>
        <v>0</v>
      </c>
      <c r="W798" s="87">
        <f>IF(U798&gt;0,Ruimtestaat[[#This Row],[Prest. (m2 /jaar) werkdagen]]/Ruimtestaat[[#This Row],[Norm (m2/uur) werkdagen]],0)</f>
        <v>0</v>
      </c>
      <c r="X798" s="88">
        <f>Ruimtestaat[[#This Row],[uren / jaar werkdagen]]*Tariefsopbouw!$E$35</f>
        <v>0</v>
      </c>
      <c r="Y798" s="85"/>
      <c r="Z798" s="89">
        <f>IF(Ruimtestaat[[#This Row],[Frequentie weekend]]&gt;0,VALUE(LEFT(Y798,1))*R798,0)</f>
        <v>0</v>
      </c>
      <c r="AA798" s="85">
        <f>IF($Z798&gt;0,VLOOKUP($J798,Ruimtegroepen[],3,FALSE)*VLOOKUP($L798,Vloersoorten[],3,FALSE)*VLOOKUP($Y798,Frequenties[],3,FALSE)*VLOOKUP(#REF!,Locaties[],3,FALSE),0)</f>
        <v>0</v>
      </c>
      <c r="AB798" s="87">
        <f>Ruimtestaat[[#This Row],[Uitvoeringen weekend]]*Ruimtestaat[[#This Row],[Oppervlak (netto)]]</f>
        <v>0</v>
      </c>
      <c r="AC798" s="90">
        <f>IF(AB798&gt;0,Ruimtestaat[[#This Row],[Prest. (m2 /jaar) weekend]]/Ruimtestaat[[#This Row],[Norm (m2/uur) weekend]],0)</f>
        <v>0</v>
      </c>
      <c r="AD798" s="91">
        <f>Ruimtestaat[[#This Row],[uren / jaar weekend]]*Tariefsopbouw!$D$40</f>
        <v>0</v>
      </c>
      <c r="AE798" s="60">
        <f>Ruimtestaat[[#This Row],[Prest. (m2 /jaar) weekend]]+Ruimtestaat[[#This Row],[Prest. (m2 /jaar) werkdagen]]</f>
        <v>0</v>
      </c>
      <c r="AF798" s="60">
        <f>Ruimtestaat[[#This Row],[uren / jaar weekend]]+Ruimtestaat[[#This Row],[uren / jaar werkdagen]]</f>
        <v>0</v>
      </c>
      <c r="AG798" s="61">
        <f>Ruimtestaat[[#This Row],[kosten / jaar weekend]]+Ruimtestaat[[#This Row],[kosten / jaar werkdagen]]</f>
        <v>0</v>
      </c>
      <c r="AH798" s="92"/>
      <c r="HL798" s="59"/>
    </row>
    <row r="799" spans="1:220">
      <c r="A799" s="24">
        <v>5</v>
      </c>
      <c r="B799" s="24" t="str">
        <f>VLOOKUP(Ruimtestaat[[#This Row],[Code]],Locaties[#All],2,FALSE)</f>
        <v>Marke Zuid</v>
      </c>
      <c r="C799" s="24" t="str">
        <f>VLOOKUP(Ruimtestaat[[#This Row],[Code]],Locaties[#All],4,FALSE)</f>
        <v>Ludgerstraat 1</v>
      </c>
      <c r="D799" s="24" t="str">
        <f>VLOOKUP(Ruimtestaat[[#This Row],[Code]],Locaties[#All],5,FALSE)</f>
        <v>7415 DV</v>
      </c>
      <c r="E799" s="24" t="str">
        <f>VLOOKUP(Ruimtestaat[[#This Row],[Code]],Locaties[#All],6,FALSE)</f>
        <v>Deventer</v>
      </c>
      <c r="F799" s="54"/>
      <c r="G799" s="24" t="s">
        <v>569</v>
      </c>
      <c r="H799" s="24" t="s">
        <v>1256</v>
      </c>
      <c r="I799" s="4" t="s">
        <v>1163</v>
      </c>
      <c r="J799" s="24">
        <v>6</v>
      </c>
      <c r="K799" s="54" t="str">
        <f>VLOOKUP(J799,Ruimtegroepen[],2,FALSE)</f>
        <v>Gangen/hallen</v>
      </c>
      <c r="L799" s="24" t="s">
        <v>305</v>
      </c>
      <c r="M799" s="24" t="s">
        <v>373</v>
      </c>
      <c r="N799" s="83">
        <v>26.1</v>
      </c>
      <c r="O799" s="83"/>
      <c r="P799" s="93" t="str">
        <f>LEFT(VLOOKUP(Ruimtestaat[[#This Row],[Ruimte code]],Ruimtegroepen[#All],4,1),2)</f>
        <v>Ve</v>
      </c>
      <c r="Q799" s="93"/>
      <c r="R799" s="84">
        <v>40</v>
      </c>
      <c r="S799" s="84" t="s">
        <v>318</v>
      </c>
      <c r="T799" s="85">
        <f>IF(R799&gt;0,IF(RIGHT(Ruimtestaat[[#This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9" s="85">
        <f>IF(T799&gt;0,VLOOKUP($J799,Ruimtegroepen[],3,FALSE)*VLOOKUP($L799,Vloersoorten[],3,FALSE)*VLOOKUP($S799,Frequenties[],3,FALSE)*VLOOKUP($A799,Locaties[],3,FALSE),0)</f>
        <v>0</v>
      </c>
      <c r="V799" s="86">
        <f>Ruimtestaat[[#This Row],[Uitvoeringen werkdagen]]*Ruimtestaat[[#This Row],[Oppervlak (netto)]]</f>
        <v>5220</v>
      </c>
      <c r="W799" s="87">
        <f>IF(U799&gt;0,Ruimtestaat[[#This Row],[Prest. (m2 /jaar) werkdagen]]/Ruimtestaat[[#This Row],[Norm (m2/uur) werkdagen]],0)</f>
        <v>0</v>
      </c>
      <c r="X799" s="88">
        <f>Ruimtestaat[[#This Row],[uren / jaar werkdagen]]*Tariefsopbouw!$E$35</f>
        <v>0</v>
      </c>
      <c r="Y799" s="85"/>
      <c r="Z799" s="89">
        <f>IF(Ruimtestaat[[#This Row],[Frequentie weekend]]&gt;0,VALUE(LEFT(Y799,1))*R799,0)</f>
        <v>0</v>
      </c>
      <c r="AA799" s="85">
        <f>IF($Z799&gt;0,VLOOKUP($J799,Ruimtegroepen[],3,FALSE)*VLOOKUP($L799,Vloersoorten[],3,FALSE)*VLOOKUP($Y799,Frequenties[],3,FALSE)*VLOOKUP(#REF!,Locaties[],3,FALSE),0)</f>
        <v>0</v>
      </c>
      <c r="AB799" s="87">
        <f>Ruimtestaat[[#This Row],[Uitvoeringen weekend]]*Ruimtestaat[[#This Row],[Oppervlak (netto)]]</f>
        <v>0</v>
      </c>
      <c r="AC799" s="90">
        <f>IF(AB799&gt;0,Ruimtestaat[[#This Row],[Prest. (m2 /jaar) weekend]]/Ruimtestaat[[#This Row],[Norm (m2/uur) weekend]],0)</f>
        <v>0</v>
      </c>
      <c r="AD799" s="91">
        <f>Ruimtestaat[[#This Row],[uren / jaar weekend]]*Tariefsopbouw!$D$40</f>
        <v>0</v>
      </c>
      <c r="AE799" s="60">
        <f>Ruimtestaat[[#This Row],[Prest. (m2 /jaar) weekend]]+Ruimtestaat[[#This Row],[Prest. (m2 /jaar) werkdagen]]</f>
        <v>5220</v>
      </c>
      <c r="AF799" s="60">
        <f>Ruimtestaat[[#This Row],[uren / jaar weekend]]+Ruimtestaat[[#This Row],[uren / jaar werkdagen]]</f>
        <v>0</v>
      </c>
      <c r="AG799" s="61">
        <f>Ruimtestaat[[#This Row],[kosten / jaar weekend]]+Ruimtestaat[[#This Row],[kosten / jaar werkdagen]]</f>
        <v>0</v>
      </c>
      <c r="AH799" s="92"/>
      <c r="HL799" s="59"/>
    </row>
    <row r="800" spans="1:220">
      <c r="A800" s="24">
        <v>5</v>
      </c>
      <c r="B800" s="24" t="str">
        <f>VLOOKUP(Ruimtestaat[[#This Row],[Code]],Locaties[#All],2,FALSE)</f>
        <v>Marke Zuid</v>
      </c>
      <c r="C800" s="24" t="str">
        <f>VLOOKUP(Ruimtestaat[[#This Row],[Code]],Locaties[#All],4,FALSE)</f>
        <v>Ludgerstraat 1</v>
      </c>
      <c r="D800" s="24" t="str">
        <f>VLOOKUP(Ruimtestaat[[#This Row],[Code]],Locaties[#All],5,FALSE)</f>
        <v>7415 DV</v>
      </c>
      <c r="E800" s="24" t="str">
        <f>VLOOKUP(Ruimtestaat[[#This Row],[Code]],Locaties[#All],6,FALSE)</f>
        <v>Deventer</v>
      </c>
      <c r="F800" s="54"/>
      <c r="G800" s="24" t="s">
        <v>569</v>
      </c>
      <c r="H800" s="24" t="s">
        <v>1257</v>
      </c>
      <c r="I800" s="4" t="s">
        <v>530</v>
      </c>
      <c r="J800" s="24">
        <v>16</v>
      </c>
      <c r="K800" s="54" t="str">
        <f>VLOOKUP(J800,Ruimtegroepen[],2,FALSE)</f>
        <v>Leslokalen theorie</v>
      </c>
      <c r="L800" s="24" t="s">
        <v>303</v>
      </c>
      <c r="M800" s="252" t="s">
        <v>1095</v>
      </c>
      <c r="N800" s="83">
        <v>25.77</v>
      </c>
      <c r="O800" s="83"/>
      <c r="P800" s="93" t="str">
        <f>LEFT(VLOOKUP(Ruimtestaat[[#This Row],[Ruimte code]],Ruimtegroepen[#All],4,1),2)</f>
        <v>Le</v>
      </c>
      <c r="Q800" s="93"/>
      <c r="R800" s="84">
        <v>40</v>
      </c>
      <c r="S800" s="84" t="s">
        <v>318</v>
      </c>
      <c r="T800" s="85">
        <f>IF(R800&gt;0,IF(RIGHT(Ruimtestaat[[#This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0" s="85">
        <f>IF(T800&gt;0,VLOOKUP($J800,Ruimtegroepen[],3,FALSE)*VLOOKUP($L800,Vloersoorten[],3,FALSE)*VLOOKUP($S800,Frequenties[],3,FALSE)*VLOOKUP($A800,Locaties[],3,FALSE),0)</f>
        <v>0</v>
      </c>
      <c r="V800" s="86">
        <f>Ruimtestaat[[#This Row],[Uitvoeringen werkdagen]]*Ruimtestaat[[#This Row],[Oppervlak (netto)]]</f>
        <v>5154</v>
      </c>
      <c r="W800" s="87">
        <f>IF(U800&gt;0,Ruimtestaat[[#This Row],[Prest. (m2 /jaar) werkdagen]]/Ruimtestaat[[#This Row],[Norm (m2/uur) werkdagen]],0)</f>
        <v>0</v>
      </c>
      <c r="X800" s="88">
        <f>Ruimtestaat[[#This Row],[uren / jaar werkdagen]]*Tariefsopbouw!$E$35</f>
        <v>0</v>
      </c>
      <c r="Y800" s="85"/>
      <c r="Z800" s="89">
        <f>IF(Ruimtestaat[[#This Row],[Frequentie weekend]]&gt;0,VALUE(LEFT(Y800,1))*R800,0)</f>
        <v>0</v>
      </c>
      <c r="AA800" s="85">
        <f>IF($Z800&gt;0,VLOOKUP($J800,Ruimtegroepen[],3,FALSE)*VLOOKUP($L800,Vloersoorten[],3,FALSE)*VLOOKUP($Y800,Frequenties[],3,FALSE)*VLOOKUP(#REF!,Locaties[],3,FALSE),0)</f>
        <v>0</v>
      </c>
      <c r="AB800" s="87">
        <f>Ruimtestaat[[#This Row],[Uitvoeringen weekend]]*Ruimtestaat[[#This Row],[Oppervlak (netto)]]</f>
        <v>0</v>
      </c>
      <c r="AC800" s="90">
        <f>IF(AB800&gt;0,Ruimtestaat[[#This Row],[Prest. (m2 /jaar) weekend]]/Ruimtestaat[[#This Row],[Norm (m2/uur) weekend]],0)</f>
        <v>0</v>
      </c>
      <c r="AD800" s="91">
        <f>Ruimtestaat[[#This Row],[uren / jaar weekend]]*Tariefsopbouw!$D$40</f>
        <v>0</v>
      </c>
      <c r="AE800" s="60">
        <f>Ruimtestaat[[#This Row],[Prest. (m2 /jaar) weekend]]+Ruimtestaat[[#This Row],[Prest. (m2 /jaar) werkdagen]]</f>
        <v>5154</v>
      </c>
      <c r="AF800" s="60">
        <f>Ruimtestaat[[#This Row],[uren / jaar weekend]]+Ruimtestaat[[#This Row],[uren / jaar werkdagen]]</f>
        <v>0</v>
      </c>
      <c r="AG800" s="61">
        <f>Ruimtestaat[[#This Row],[kosten / jaar weekend]]+Ruimtestaat[[#This Row],[kosten / jaar werkdagen]]</f>
        <v>0</v>
      </c>
      <c r="AH800" s="92"/>
      <c r="HL800" s="59"/>
    </row>
    <row r="801" spans="1:220">
      <c r="A801" s="24">
        <v>5</v>
      </c>
      <c r="B801" s="24" t="str">
        <f>VLOOKUP(Ruimtestaat[[#This Row],[Code]],Locaties[#All],2,FALSE)</f>
        <v>Marke Zuid</v>
      </c>
      <c r="C801" s="24" t="str">
        <f>VLOOKUP(Ruimtestaat[[#This Row],[Code]],Locaties[#All],4,FALSE)</f>
        <v>Ludgerstraat 1</v>
      </c>
      <c r="D801" s="24" t="str">
        <f>VLOOKUP(Ruimtestaat[[#This Row],[Code]],Locaties[#All],5,FALSE)</f>
        <v>7415 DV</v>
      </c>
      <c r="E801" s="24" t="str">
        <f>VLOOKUP(Ruimtestaat[[#This Row],[Code]],Locaties[#All],6,FALSE)</f>
        <v>Deventer</v>
      </c>
      <c r="F801" s="54"/>
      <c r="G801" s="24" t="s">
        <v>569</v>
      </c>
      <c r="H801" s="24" t="s">
        <v>1258</v>
      </c>
      <c r="I801" s="4" t="s">
        <v>1010</v>
      </c>
      <c r="J801" s="24">
        <v>5</v>
      </c>
      <c r="K801" s="54" t="str">
        <f>VLOOKUP(J801,Ruimtegroepen[],2,FALSE)</f>
        <v>Sanitair</v>
      </c>
      <c r="L801" s="24" t="s">
        <v>305</v>
      </c>
      <c r="M801" s="24" t="s">
        <v>1008</v>
      </c>
      <c r="N801" s="83">
        <v>1.64</v>
      </c>
      <c r="O801" s="83"/>
      <c r="P801" s="93" t="str">
        <f>LEFT(VLOOKUP(Ruimtestaat[[#This Row],[Ruimte code]],Ruimtegroepen[#All],4,1),2)</f>
        <v>Sa</v>
      </c>
      <c r="Q801" s="93"/>
      <c r="R801" s="84">
        <v>42</v>
      </c>
      <c r="S801" s="84" t="s">
        <v>316</v>
      </c>
      <c r="T801" s="85">
        <f>IF(R801&gt;0,IF(RIGHT(Ruimtestaat[[#This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01" s="85">
        <f>IF(T801&gt;0,VLOOKUP($J801,Ruimtegroepen[],3,FALSE)*VLOOKUP($L801,Vloersoorten[],3,FALSE)*VLOOKUP($S801,Frequenties[],3,FALSE)*VLOOKUP($A801,Locaties[],3,FALSE),0)</f>
        <v>0</v>
      </c>
      <c r="V801" s="86">
        <f>Ruimtestaat[[#This Row],[Uitvoeringen werkdagen]]*Ruimtestaat[[#This Row],[Oppervlak (netto)]]</f>
        <v>688.8</v>
      </c>
      <c r="W801" s="87">
        <f>IF(U801&gt;0,Ruimtestaat[[#This Row],[Prest. (m2 /jaar) werkdagen]]/Ruimtestaat[[#This Row],[Norm (m2/uur) werkdagen]],0)</f>
        <v>0</v>
      </c>
      <c r="X801" s="88">
        <f>Ruimtestaat[[#This Row],[uren / jaar werkdagen]]*Tariefsopbouw!$E$35</f>
        <v>0</v>
      </c>
      <c r="Y801" s="85"/>
      <c r="Z801" s="89">
        <f>IF(Ruimtestaat[[#This Row],[Frequentie weekend]]&gt;0,VALUE(LEFT(Y801,1))*R801,0)</f>
        <v>0</v>
      </c>
      <c r="AA801" s="85">
        <f>IF($Z801&gt;0,VLOOKUP($J801,Ruimtegroepen[],3,FALSE)*VLOOKUP($L801,Vloersoorten[],3,FALSE)*VLOOKUP($Y801,Frequenties[],3,FALSE)*VLOOKUP(#REF!,Locaties[],3,FALSE),0)</f>
        <v>0</v>
      </c>
      <c r="AB801" s="87">
        <f>Ruimtestaat[[#This Row],[Uitvoeringen weekend]]*Ruimtestaat[[#This Row],[Oppervlak (netto)]]</f>
        <v>0</v>
      </c>
      <c r="AC801" s="90">
        <f>IF(AB801&gt;0,Ruimtestaat[[#This Row],[Prest. (m2 /jaar) weekend]]/Ruimtestaat[[#This Row],[Norm (m2/uur) weekend]],0)</f>
        <v>0</v>
      </c>
      <c r="AD801" s="91">
        <f>Ruimtestaat[[#This Row],[uren / jaar weekend]]*Tariefsopbouw!$D$40</f>
        <v>0</v>
      </c>
      <c r="AE801" s="60">
        <f>Ruimtestaat[[#This Row],[Prest. (m2 /jaar) weekend]]+Ruimtestaat[[#This Row],[Prest. (m2 /jaar) werkdagen]]</f>
        <v>688.8</v>
      </c>
      <c r="AF801" s="60">
        <f>Ruimtestaat[[#This Row],[uren / jaar weekend]]+Ruimtestaat[[#This Row],[uren / jaar werkdagen]]</f>
        <v>0</v>
      </c>
      <c r="AG801" s="61">
        <f>Ruimtestaat[[#This Row],[kosten / jaar weekend]]+Ruimtestaat[[#This Row],[kosten / jaar werkdagen]]</f>
        <v>0</v>
      </c>
      <c r="AH801" s="92"/>
      <c r="HL801" s="59"/>
    </row>
    <row r="802" spans="1:220">
      <c r="A802" s="24">
        <v>5</v>
      </c>
      <c r="B802" s="24" t="str">
        <f>VLOOKUP(Ruimtestaat[[#This Row],[Code]],Locaties[#All],2,FALSE)</f>
        <v>Marke Zuid</v>
      </c>
      <c r="C802" s="24" t="str">
        <f>VLOOKUP(Ruimtestaat[[#This Row],[Code]],Locaties[#All],4,FALSE)</f>
        <v>Ludgerstraat 1</v>
      </c>
      <c r="D802" s="24" t="str">
        <f>VLOOKUP(Ruimtestaat[[#This Row],[Code]],Locaties[#All],5,FALSE)</f>
        <v>7415 DV</v>
      </c>
      <c r="E802" s="24" t="str">
        <f>VLOOKUP(Ruimtestaat[[#This Row],[Code]],Locaties[#All],6,FALSE)</f>
        <v>Deventer</v>
      </c>
      <c r="F802" s="54"/>
      <c r="G802" s="24" t="s">
        <v>569</v>
      </c>
      <c r="H802" s="24" t="s">
        <v>1259</v>
      </c>
      <c r="I802" s="4" t="s">
        <v>1010</v>
      </c>
      <c r="J802" s="24">
        <v>5</v>
      </c>
      <c r="K802" s="54" t="str">
        <f>VLOOKUP(J802,Ruimtegroepen[],2,FALSE)</f>
        <v>Sanitair</v>
      </c>
      <c r="L802" s="24" t="s">
        <v>305</v>
      </c>
      <c r="M802" s="24" t="s">
        <v>1008</v>
      </c>
      <c r="N802" s="83">
        <v>1.74</v>
      </c>
      <c r="O802" s="83"/>
      <c r="P802" s="93" t="str">
        <f>LEFT(VLOOKUP(Ruimtestaat[[#This Row],[Ruimte code]],Ruimtegroepen[#All],4,1),2)</f>
        <v>Sa</v>
      </c>
      <c r="Q802" s="93"/>
      <c r="R802" s="84">
        <v>42</v>
      </c>
      <c r="S802" s="84" t="s">
        <v>316</v>
      </c>
      <c r="T802" s="85">
        <f>IF(R802&gt;0,IF(RIGHT(Ruimtestaat[[#This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02" s="85">
        <f>IF(T802&gt;0,VLOOKUP($J802,Ruimtegroepen[],3,FALSE)*VLOOKUP($L802,Vloersoorten[],3,FALSE)*VLOOKUP($S802,Frequenties[],3,FALSE)*VLOOKUP($A802,Locaties[],3,FALSE),0)</f>
        <v>0</v>
      </c>
      <c r="V802" s="86">
        <f>Ruimtestaat[[#This Row],[Uitvoeringen werkdagen]]*Ruimtestaat[[#This Row],[Oppervlak (netto)]]</f>
        <v>730.8</v>
      </c>
      <c r="W802" s="87">
        <f>IF(U802&gt;0,Ruimtestaat[[#This Row],[Prest. (m2 /jaar) werkdagen]]/Ruimtestaat[[#This Row],[Norm (m2/uur) werkdagen]],0)</f>
        <v>0</v>
      </c>
      <c r="X802" s="88">
        <f>Ruimtestaat[[#This Row],[uren / jaar werkdagen]]*Tariefsopbouw!$E$35</f>
        <v>0</v>
      </c>
      <c r="Y802" s="85"/>
      <c r="Z802" s="89">
        <f>IF(Ruimtestaat[[#This Row],[Frequentie weekend]]&gt;0,VALUE(LEFT(Y802,1))*R802,0)</f>
        <v>0</v>
      </c>
      <c r="AA802" s="85">
        <f>IF($Z802&gt;0,VLOOKUP($J802,Ruimtegroepen[],3,FALSE)*VLOOKUP($L802,Vloersoorten[],3,FALSE)*VLOOKUP($Y802,Frequenties[],3,FALSE)*VLOOKUP(#REF!,Locaties[],3,FALSE),0)</f>
        <v>0</v>
      </c>
      <c r="AB802" s="87">
        <f>Ruimtestaat[[#This Row],[Uitvoeringen weekend]]*Ruimtestaat[[#This Row],[Oppervlak (netto)]]</f>
        <v>0</v>
      </c>
      <c r="AC802" s="90">
        <f>IF(AB802&gt;0,Ruimtestaat[[#This Row],[Prest. (m2 /jaar) weekend]]/Ruimtestaat[[#This Row],[Norm (m2/uur) weekend]],0)</f>
        <v>0</v>
      </c>
      <c r="AD802" s="91">
        <f>Ruimtestaat[[#This Row],[uren / jaar weekend]]*Tariefsopbouw!$D$40</f>
        <v>0</v>
      </c>
      <c r="AE802" s="60">
        <f>Ruimtestaat[[#This Row],[Prest. (m2 /jaar) weekend]]+Ruimtestaat[[#This Row],[Prest. (m2 /jaar) werkdagen]]</f>
        <v>730.8</v>
      </c>
      <c r="AF802" s="60">
        <f>Ruimtestaat[[#This Row],[uren / jaar weekend]]+Ruimtestaat[[#This Row],[uren / jaar werkdagen]]</f>
        <v>0</v>
      </c>
      <c r="AG802" s="61">
        <f>Ruimtestaat[[#This Row],[kosten / jaar weekend]]+Ruimtestaat[[#This Row],[kosten / jaar werkdagen]]</f>
        <v>0</v>
      </c>
      <c r="AH802" s="92"/>
      <c r="HL802" s="59"/>
    </row>
    <row r="803" spans="1:220">
      <c r="A803" s="24">
        <v>5</v>
      </c>
      <c r="B803" s="24" t="str">
        <f>VLOOKUP(Ruimtestaat[[#This Row],[Code]],Locaties[#All],2,FALSE)</f>
        <v>Marke Zuid</v>
      </c>
      <c r="C803" s="24" t="str">
        <f>VLOOKUP(Ruimtestaat[[#This Row],[Code]],Locaties[#All],4,FALSE)</f>
        <v>Ludgerstraat 1</v>
      </c>
      <c r="D803" s="24" t="str">
        <f>VLOOKUP(Ruimtestaat[[#This Row],[Code]],Locaties[#All],5,FALSE)</f>
        <v>7415 DV</v>
      </c>
      <c r="E803" s="24" t="str">
        <f>VLOOKUP(Ruimtestaat[[#This Row],[Code]],Locaties[#All],6,FALSE)</f>
        <v>Deventer</v>
      </c>
      <c r="F803" s="54"/>
      <c r="G803" s="24" t="s">
        <v>569</v>
      </c>
      <c r="H803" s="24" t="s">
        <v>1260</v>
      </c>
      <c r="I803" s="4" t="s">
        <v>375</v>
      </c>
      <c r="J803" s="24">
        <v>22</v>
      </c>
      <c r="K803" s="54" t="str">
        <f>VLOOKUP(J803,Ruimtegroepen[],2,FALSE)</f>
        <v>Niet in onderhoud</v>
      </c>
      <c r="L803" s="24" t="s">
        <v>305</v>
      </c>
      <c r="M803" s="24" t="s">
        <v>373</v>
      </c>
      <c r="N803" s="83"/>
      <c r="O803" s="83">
        <v>1.32</v>
      </c>
      <c r="P803" s="93" t="str">
        <f>LEFT(VLOOKUP(Ruimtestaat[[#This Row],[Ruimte code]],Ruimtegroepen[#All],4,1),2)</f>
        <v/>
      </c>
      <c r="Q803" s="93"/>
      <c r="R803" s="84"/>
      <c r="S803" s="84"/>
      <c r="T803" s="85">
        <f>IF(R803&gt;0,IF(RIGHT(Ruimtestaat[[#This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03" s="85">
        <f>IF(T803&gt;0,VLOOKUP($J803,Ruimtegroepen[],3,FALSE)*VLOOKUP($L803,Vloersoorten[],3,FALSE)*VLOOKUP($S803,Frequenties[],3,FALSE)*VLOOKUP($A803,Locaties[],3,FALSE),0)</f>
        <v>0</v>
      </c>
      <c r="V803" s="86">
        <f>Ruimtestaat[[#This Row],[Uitvoeringen werkdagen]]*Ruimtestaat[[#This Row],[Oppervlak (netto)]]</f>
        <v>0</v>
      </c>
      <c r="W803" s="87">
        <f>IF(U803&gt;0,Ruimtestaat[[#This Row],[Prest. (m2 /jaar) werkdagen]]/Ruimtestaat[[#This Row],[Norm (m2/uur) werkdagen]],0)</f>
        <v>0</v>
      </c>
      <c r="X803" s="88">
        <f>Ruimtestaat[[#This Row],[uren / jaar werkdagen]]*Tariefsopbouw!$E$35</f>
        <v>0</v>
      </c>
      <c r="Y803" s="85"/>
      <c r="Z803" s="89">
        <f>IF(Ruimtestaat[[#This Row],[Frequentie weekend]]&gt;0,VALUE(LEFT(Y803,1))*R803,0)</f>
        <v>0</v>
      </c>
      <c r="AA803" s="85">
        <f>IF($Z803&gt;0,VLOOKUP($J803,Ruimtegroepen[],3,FALSE)*VLOOKUP($L803,Vloersoorten[],3,FALSE)*VLOOKUP($Y803,Frequenties[],3,FALSE)*VLOOKUP(#REF!,Locaties[],3,FALSE),0)</f>
        <v>0</v>
      </c>
      <c r="AB803" s="87">
        <f>Ruimtestaat[[#This Row],[Uitvoeringen weekend]]*Ruimtestaat[[#This Row],[Oppervlak (netto)]]</f>
        <v>0</v>
      </c>
      <c r="AC803" s="90">
        <f>IF(AB803&gt;0,Ruimtestaat[[#This Row],[Prest. (m2 /jaar) weekend]]/Ruimtestaat[[#This Row],[Norm (m2/uur) weekend]],0)</f>
        <v>0</v>
      </c>
      <c r="AD803" s="91">
        <f>Ruimtestaat[[#This Row],[uren / jaar weekend]]*Tariefsopbouw!$D$40</f>
        <v>0</v>
      </c>
      <c r="AE803" s="60">
        <f>Ruimtestaat[[#This Row],[Prest. (m2 /jaar) weekend]]+Ruimtestaat[[#This Row],[Prest. (m2 /jaar) werkdagen]]</f>
        <v>0</v>
      </c>
      <c r="AF803" s="60">
        <f>Ruimtestaat[[#This Row],[uren / jaar weekend]]+Ruimtestaat[[#This Row],[uren / jaar werkdagen]]</f>
        <v>0</v>
      </c>
      <c r="AG803" s="61">
        <f>Ruimtestaat[[#This Row],[kosten / jaar weekend]]+Ruimtestaat[[#This Row],[kosten / jaar werkdagen]]</f>
        <v>0</v>
      </c>
      <c r="AH803" s="92"/>
      <c r="HL803" s="59"/>
    </row>
    <row r="804" spans="1:220">
      <c r="A804" s="24">
        <v>5</v>
      </c>
      <c r="B804" s="24" t="str">
        <f>VLOOKUP(Ruimtestaat[[#This Row],[Code]],Locaties[#All],2,FALSE)</f>
        <v>Marke Zuid</v>
      </c>
      <c r="C804" s="24" t="str">
        <f>VLOOKUP(Ruimtestaat[[#This Row],[Code]],Locaties[#All],4,FALSE)</f>
        <v>Ludgerstraat 1</v>
      </c>
      <c r="D804" s="24" t="str">
        <f>VLOOKUP(Ruimtestaat[[#This Row],[Code]],Locaties[#All],5,FALSE)</f>
        <v>7415 DV</v>
      </c>
      <c r="E804" s="24" t="str">
        <f>VLOOKUP(Ruimtestaat[[#This Row],[Code]],Locaties[#All],6,FALSE)</f>
        <v>Deventer</v>
      </c>
      <c r="F804" s="54"/>
      <c r="G804" s="24" t="s">
        <v>569</v>
      </c>
      <c r="H804" s="24" t="s">
        <v>1261</v>
      </c>
      <c r="I804" s="4" t="s">
        <v>691</v>
      </c>
      <c r="J804" s="24">
        <v>22</v>
      </c>
      <c r="K804" s="54" t="str">
        <f>VLOOKUP(J804,Ruimtegroepen[],2,FALSE)</f>
        <v>Niet in onderhoud</v>
      </c>
      <c r="L804" s="24" t="s">
        <v>305</v>
      </c>
      <c r="M804" s="24" t="s">
        <v>373</v>
      </c>
      <c r="N804" s="83"/>
      <c r="O804" s="83">
        <v>1.59</v>
      </c>
      <c r="P804" s="93" t="str">
        <f>LEFT(VLOOKUP(Ruimtestaat[[#This Row],[Ruimte code]],Ruimtegroepen[#All],4,1),2)</f>
        <v/>
      </c>
      <c r="Q804" s="93"/>
      <c r="R804" s="84"/>
      <c r="S804" s="84"/>
      <c r="T804" s="85">
        <f>IF(R804&gt;0,IF(RIGHT(Ruimtestaat[[#This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04" s="85">
        <f>IF(T804&gt;0,VLOOKUP($J804,Ruimtegroepen[],3,FALSE)*VLOOKUP($L804,Vloersoorten[],3,FALSE)*VLOOKUP($S804,Frequenties[],3,FALSE)*VLOOKUP($A804,Locaties[],3,FALSE),0)</f>
        <v>0</v>
      </c>
      <c r="V804" s="86">
        <f>Ruimtestaat[[#This Row],[Uitvoeringen werkdagen]]*Ruimtestaat[[#This Row],[Oppervlak (netto)]]</f>
        <v>0</v>
      </c>
      <c r="W804" s="87">
        <f>IF(U804&gt;0,Ruimtestaat[[#This Row],[Prest. (m2 /jaar) werkdagen]]/Ruimtestaat[[#This Row],[Norm (m2/uur) werkdagen]],0)</f>
        <v>0</v>
      </c>
      <c r="X804" s="88">
        <f>Ruimtestaat[[#This Row],[uren / jaar werkdagen]]*Tariefsopbouw!$E$35</f>
        <v>0</v>
      </c>
      <c r="Y804" s="85"/>
      <c r="Z804" s="89">
        <f>IF(Ruimtestaat[[#This Row],[Frequentie weekend]]&gt;0,VALUE(LEFT(Y804,1))*R804,0)</f>
        <v>0</v>
      </c>
      <c r="AA804" s="85">
        <f>IF($Z804&gt;0,VLOOKUP($J804,Ruimtegroepen[],3,FALSE)*VLOOKUP($L804,Vloersoorten[],3,FALSE)*VLOOKUP($Y804,Frequenties[],3,FALSE)*VLOOKUP(#REF!,Locaties[],3,FALSE),0)</f>
        <v>0</v>
      </c>
      <c r="AB804" s="87">
        <f>Ruimtestaat[[#This Row],[Uitvoeringen weekend]]*Ruimtestaat[[#This Row],[Oppervlak (netto)]]</f>
        <v>0</v>
      </c>
      <c r="AC804" s="90">
        <f>IF(AB804&gt;0,Ruimtestaat[[#This Row],[Prest. (m2 /jaar) weekend]]/Ruimtestaat[[#This Row],[Norm (m2/uur) weekend]],0)</f>
        <v>0</v>
      </c>
      <c r="AD804" s="91">
        <f>Ruimtestaat[[#This Row],[uren / jaar weekend]]*Tariefsopbouw!$D$40</f>
        <v>0</v>
      </c>
      <c r="AE804" s="60">
        <f>Ruimtestaat[[#This Row],[Prest. (m2 /jaar) weekend]]+Ruimtestaat[[#This Row],[Prest. (m2 /jaar) werkdagen]]</f>
        <v>0</v>
      </c>
      <c r="AF804" s="60">
        <f>Ruimtestaat[[#This Row],[uren / jaar weekend]]+Ruimtestaat[[#This Row],[uren / jaar werkdagen]]</f>
        <v>0</v>
      </c>
      <c r="AG804" s="61">
        <f>Ruimtestaat[[#This Row],[kosten / jaar weekend]]+Ruimtestaat[[#This Row],[kosten / jaar werkdagen]]</f>
        <v>0</v>
      </c>
      <c r="AH804" s="92"/>
      <c r="HL804" s="59"/>
    </row>
    <row r="805" spans="1:220">
      <c r="A805" s="24">
        <v>5</v>
      </c>
      <c r="B805" s="24" t="str">
        <f>VLOOKUP(Ruimtestaat[[#This Row],[Code]],Locaties[#All],2,FALSE)</f>
        <v>Marke Zuid</v>
      </c>
      <c r="C805" s="24" t="str">
        <f>VLOOKUP(Ruimtestaat[[#This Row],[Code]],Locaties[#All],4,FALSE)</f>
        <v>Ludgerstraat 1</v>
      </c>
      <c r="D805" s="24" t="str">
        <f>VLOOKUP(Ruimtestaat[[#This Row],[Code]],Locaties[#All],5,FALSE)</f>
        <v>7415 DV</v>
      </c>
      <c r="E805" s="24" t="str">
        <f>VLOOKUP(Ruimtestaat[[#This Row],[Code]],Locaties[#All],6,FALSE)</f>
        <v>Deventer</v>
      </c>
      <c r="F805" s="54"/>
      <c r="G805" s="24" t="s">
        <v>569</v>
      </c>
      <c r="H805" s="24" t="s">
        <v>570</v>
      </c>
      <c r="I805" s="4" t="s">
        <v>941</v>
      </c>
      <c r="J805" s="24">
        <v>2</v>
      </c>
      <c r="K805" s="54" t="str">
        <f>VLOOKUP(J805,Ruimtegroepen[],2,FALSE)</f>
        <v>Kantoren</v>
      </c>
      <c r="L805" s="24" t="s">
        <v>300</v>
      </c>
      <c r="M805" s="24" t="s">
        <v>997</v>
      </c>
      <c r="N805" s="83">
        <v>49.79</v>
      </c>
      <c r="O805" s="83"/>
      <c r="P805" s="93" t="str">
        <f>LEFT(VLOOKUP(Ruimtestaat[[#This Row],[Ruimte code]],Ruimtegroepen[#All],4,1),2)</f>
        <v>Bu</v>
      </c>
      <c r="Q805" s="93"/>
      <c r="R805" s="84">
        <v>42</v>
      </c>
      <c r="S805" s="84" t="s">
        <v>322</v>
      </c>
      <c r="T805" s="85">
        <f>IF(R805&gt;0,IF(RIGHT(Ruimtestaat[[#This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05" s="85">
        <f>IF(T805&gt;0,VLOOKUP($J805,Ruimtegroepen[],3,FALSE)*VLOOKUP($L805,Vloersoorten[],3,FALSE)*VLOOKUP($S805,Frequenties[],3,FALSE)*VLOOKUP($A805,Locaties[],3,FALSE),0)</f>
        <v>0</v>
      </c>
      <c r="V805" s="86">
        <f>Ruimtestaat[[#This Row],[Uitvoeringen werkdagen]]*Ruimtestaat[[#This Row],[Oppervlak (netto)]]</f>
        <v>6273.54</v>
      </c>
      <c r="W805" s="87">
        <f>IF(U805&gt;0,Ruimtestaat[[#This Row],[Prest. (m2 /jaar) werkdagen]]/Ruimtestaat[[#This Row],[Norm (m2/uur) werkdagen]],0)</f>
        <v>0</v>
      </c>
      <c r="X805" s="88">
        <f>Ruimtestaat[[#This Row],[uren / jaar werkdagen]]*Tariefsopbouw!$E$35</f>
        <v>0</v>
      </c>
      <c r="Y805" s="85"/>
      <c r="Z805" s="89">
        <f>IF(Ruimtestaat[[#This Row],[Frequentie weekend]]&gt;0,VALUE(LEFT(Y805,1))*R805,0)</f>
        <v>0</v>
      </c>
      <c r="AA805" s="85">
        <f>IF($Z805&gt;0,VLOOKUP($J805,Ruimtegroepen[],3,FALSE)*VLOOKUP($L805,Vloersoorten[],3,FALSE)*VLOOKUP($Y805,Frequenties[],3,FALSE)*VLOOKUP(#REF!,Locaties[],3,FALSE),0)</f>
        <v>0</v>
      </c>
      <c r="AB805" s="87">
        <f>Ruimtestaat[[#This Row],[Uitvoeringen weekend]]*Ruimtestaat[[#This Row],[Oppervlak (netto)]]</f>
        <v>0</v>
      </c>
      <c r="AC805" s="90">
        <f>IF(AB805&gt;0,Ruimtestaat[[#This Row],[Prest. (m2 /jaar) weekend]]/Ruimtestaat[[#This Row],[Norm (m2/uur) weekend]],0)</f>
        <v>0</v>
      </c>
      <c r="AD805" s="91">
        <f>Ruimtestaat[[#This Row],[uren / jaar weekend]]*Tariefsopbouw!$D$40</f>
        <v>0</v>
      </c>
      <c r="AE805" s="60">
        <f>Ruimtestaat[[#This Row],[Prest. (m2 /jaar) weekend]]+Ruimtestaat[[#This Row],[Prest. (m2 /jaar) werkdagen]]</f>
        <v>6273.54</v>
      </c>
      <c r="AF805" s="60">
        <f>Ruimtestaat[[#This Row],[uren / jaar weekend]]+Ruimtestaat[[#This Row],[uren / jaar werkdagen]]</f>
        <v>0</v>
      </c>
      <c r="AG805" s="61">
        <f>Ruimtestaat[[#This Row],[kosten / jaar weekend]]+Ruimtestaat[[#This Row],[kosten / jaar werkdagen]]</f>
        <v>0</v>
      </c>
      <c r="AH805" s="92"/>
      <c r="HL805" s="59"/>
    </row>
    <row r="806" spans="1:220">
      <c r="A806" s="24">
        <v>5</v>
      </c>
      <c r="B806" s="24" t="str">
        <f>VLOOKUP(Ruimtestaat[[#This Row],[Code]],Locaties[#All],2,FALSE)</f>
        <v>Marke Zuid</v>
      </c>
      <c r="C806" s="24" t="str">
        <f>VLOOKUP(Ruimtestaat[[#This Row],[Code]],Locaties[#All],4,FALSE)</f>
        <v>Ludgerstraat 1</v>
      </c>
      <c r="D806" s="24" t="str">
        <f>VLOOKUP(Ruimtestaat[[#This Row],[Code]],Locaties[#All],5,FALSE)</f>
        <v>7415 DV</v>
      </c>
      <c r="E806" s="24" t="str">
        <f>VLOOKUP(Ruimtestaat[[#This Row],[Code]],Locaties[#All],6,FALSE)</f>
        <v>Deventer</v>
      </c>
      <c r="F806" s="54"/>
      <c r="G806" s="24" t="s">
        <v>569</v>
      </c>
      <c r="H806" s="24" t="s">
        <v>571</v>
      </c>
      <c r="I806" s="4" t="s">
        <v>1098</v>
      </c>
      <c r="J806" s="24">
        <v>16</v>
      </c>
      <c r="K806" s="54" t="str">
        <f>VLOOKUP(J806,Ruimtegroepen[],2,FALSE)</f>
        <v>Leslokalen theorie</v>
      </c>
      <c r="L806" s="24" t="s">
        <v>300</v>
      </c>
      <c r="M806" s="24" t="s">
        <v>997</v>
      </c>
      <c r="N806" s="83">
        <v>49.34</v>
      </c>
      <c r="O806" s="83"/>
      <c r="P806" s="93" t="str">
        <f>LEFT(VLOOKUP(Ruimtestaat[[#This Row],[Ruimte code]],Ruimtegroepen[#All],4,1),2)</f>
        <v>Le</v>
      </c>
      <c r="Q806" s="93"/>
      <c r="R806" s="84">
        <v>40</v>
      </c>
      <c r="S806" s="84" t="s">
        <v>318</v>
      </c>
      <c r="T806" s="85">
        <f>IF(R806&gt;0,IF(RIGHT(Ruimtestaat[[#This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6" s="85">
        <f>IF(T806&gt;0,VLOOKUP($J806,Ruimtegroepen[],3,FALSE)*VLOOKUP($L806,Vloersoorten[],3,FALSE)*VLOOKUP($S806,Frequenties[],3,FALSE)*VLOOKUP($A806,Locaties[],3,FALSE),0)</f>
        <v>0</v>
      </c>
      <c r="V806" s="86">
        <f>Ruimtestaat[[#This Row],[Uitvoeringen werkdagen]]*Ruimtestaat[[#This Row],[Oppervlak (netto)]]</f>
        <v>9868</v>
      </c>
      <c r="W806" s="87">
        <f>IF(U806&gt;0,Ruimtestaat[[#This Row],[Prest. (m2 /jaar) werkdagen]]/Ruimtestaat[[#This Row],[Norm (m2/uur) werkdagen]],0)</f>
        <v>0</v>
      </c>
      <c r="X806" s="88">
        <f>Ruimtestaat[[#This Row],[uren / jaar werkdagen]]*Tariefsopbouw!$E$35</f>
        <v>0</v>
      </c>
      <c r="Y806" s="85"/>
      <c r="Z806" s="89">
        <f>IF(Ruimtestaat[[#This Row],[Frequentie weekend]]&gt;0,VALUE(LEFT(Y806,1))*R806,0)</f>
        <v>0</v>
      </c>
      <c r="AA806" s="85">
        <f>IF($Z806&gt;0,VLOOKUP($J806,Ruimtegroepen[],3,FALSE)*VLOOKUP($L806,Vloersoorten[],3,FALSE)*VLOOKUP($Y806,Frequenties[],3,FALSE)*VLOOKUP(#REF!,Locaties[],3,FALSE),0)</f>
        <v>0</v>
      </c>
      <c r="AB806" s="87">
        <f>Ruimtestaat[[#This Row],[Uitvoeringen weekend]]*Ruimtestaat[[#This Row],[Oppervlak (netto)]]</f>
        <v>0</v>
      </c>
      <c r="AC806" s="90">
        <f>IF(AB806&gt;0,Ruimtestaat[[#This Row],[Prest. (m2 /jaar) weekend]]/Ruimtestaat[[#This Row],[Norm (m2/uur) weekend]],0)</f>
        <v>0</v>
      </c>
      <c r="AD806" s="91">
        <f>Ruimtestaat[[#This Row],[uren / jaar weekend]]*Tariefsopbouw!$D$40</f>
        <v>0</v>
      </c>
      <c r="AE806" s="60">
        <f>Ruimtestaat[[#This Row],[Prest. (m2 /jaar) weekend]]+Ruimtestaat[[#This Row],[Prest. (m2 /jaar) werkdagen]]</f>
        <v>9868</v>
      </c>
      <c r="AF806" s="60">
        <f>Ruimtestaat[[#This Row],[uren / jaar weekend]]+Ruimtestaat[[#This Row],[uren / jaar werkdagen]]</f>
        <v>0</v>
      </c>
      <c r="AG806" s="61">
        <f>Ruimtestaat[[#This Row],[kosten / jaar weekend]]+Ruimtestaat[[#This Row],[kosten / jaar werkdagen]]</f>
        <v>0</v>
      </c>
      <c r="AH806" s="92"/>
      <c r="HL806" s="59"/>
    </row>
    <row r="807" spans="1:220">
      <c r="A807" s="24">
        <v>5</v>
      </c>
      <c r="B807" s="24" t="str">
        <f>VLOOKUP(Ruimtestaat[[#This Row],[Code]],Locaties[#All],2,FALSE)</f>
        <v>Marke Zuid</v>
      </c>
      <c r="C807" s="24" t="str">
        <f>VLOOKUP(Ruimtestaat[[#This Row],[Code]],Locaties[#All],4,FALSE)</f>
        <v>Ludgerstraat 1</v>
      </c>
      <c r="D807" s="24" t="str">
        <f>VLOOKUP(Ruimtestaat[[#This Row],[Code]],Locaties[#All],5,FALSE)</f>
        <v>7415 DV</v>
      </c>
      <c r="E807" s="24" t="str">
        <f>VLOOKUP(Ruimtestaat[[#This Row],[Code]],Locaties[#All],6,FALSE)</f>
        <v>Deventer</v>
      </c>
      <c r="F807" s="54"/>
      <c r="G807" s="24" t="s">
        <v>569</v>
      </c>
      <c r="H807" s="24" t="s">
        <v>572</v>
      </c>
      <c r="I807" s="4" t="s">
        <v>1098</v>
      </c>
      <c r="J807" s="24">
        <v>16</v>
      </c>
      <c r="K807" s="54" t="str">
        <f>VLOOKUP(J807,Ruimtegroepen[],2,FALSE)</f>
        <v>Leslokalen theorie</v>
      </c>
      <c r="L807" s="24" t="s">
        <v>305</v>
      </c>
      <c r="M807" s="24" t="s">
        <v>1018</v>
      </c>
      <c r="N807" s="83">
        <v>82.79</v>
      </c>
      <c r="O807" s="83"/>
      <c r="P807" s="93" t="str">
        <f>LEFT(VLOOKUP(Ruimtestaat[[#This Row],[Ruimte code]],Ruimtegroepen[#All],4,1),2)</f>
        <v>Le</v>
      </c>
      <c r="Q807" s="93"/>
      <c r="R807" s="84">
        <v>40</v>
      </c>
      <c r="S807" s="84" t="s">
        <v>318</v>
      </c>
      <c r="T807" s="85">
        <f>IF(R807&gt;0,IF(RIGHT(Ruimtestaat[[#This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7" s="85">
        <f>IF(T807&gt;0,VLOOKUP($J807,Ruimtegroepen[],3,FALSE)*VLOOKUP($L807,Vloersoorten[],3,FALSE)*VLOOKUP($S807,Frequenties[],3,FALSE)*VLOOKUP($A807,Locaties[],3,FALSE),0)</f>
        <v>0</v>
      </c>
      <c r="V807" s="86">
        <f>Ruimtestaat[[#This Row],[Uitvoeringen werkdagen]]*Ruimtestaat[[#This Row],[Oppervlak (netto)]]</f>
        <v>16558</v>
      </c>
      <c r="W807" s="87">
        <f>IF(U807&gt;0,Ruimtestaat[[#This Row],[Prest. (m2 /jaar) werkdagen]]/Ruimtestaat[[#This Row],[Norm (m2/uur) werkdagen]],0)</f>
        <v>0</v>
      </c>
      <c r="X807" s="88">
        <f>Ruimtestaat[[#This Row],[uren / jaar werkdagen]]*Tariefsopbouw!$E$35</f>
        <v>0</v>
      </c>
      <c r="Y807" s="85"/>
      <c r="Z807" s="89">
        <f>IF(Ruimtestaat[[#This Row],[Frequentie weekend]]&gt;0,VALUE(LEFT(Y807,1))*R807,0)</f>
        <v>0</v>
      </c>
      <c r="AA807" s="85">
        <f>IF($Z807&gt;0,VLOOKUP($J807,Ruimtegroepen[],3,FALSE)*VLOOKUP($L807,Vloersoorten[],3,FALSE)*VLOOKUP($Y807,Frequenties[],3,FALSE)*VLOOKUP(#REF!,Locaties[],3,FALSE),0)</f>
        <v>0</v>
      </c>
      <c r="AB807" s="87">
        <f>Ruimtestaat[[#This Row],[Uitvoeringen weekend]]*Ruimtestaat[[#This Row],[Oppervlak (netto)]]</f>
        <v>0</v>
      </c>
      <c r="AC807" s="90">
        <f>IF(AB807&gt;0,Ruimtestaat[[#This Row],[Prest. (m2 /jaar) weekend]]/Ruimtestaat[[#This Row],[Norm (m2/uur) weekend]],0)</f>
        <v>0</v>
      </c>
      <c r="AD807" s="91">
        <f>Ruimtestaat[[#This Row],[uren / jaar weekend]]*Tariefsopbouw!$D$40</f>
        <v>0</v>
      </c>
      <c r="AE807" s="60">
        <f>Ruimtestaat[[#This Row],[Prest. (m2 /jaar) weekend]]+Ruimtestaat[[#This Row],[Prest. (m2 /jaar) werkdagen]]</f>
        <v>16558</v>
      </c>
      <c r="AF807" s="60">
        <f>Ruimtestaat[[#This Row],[uren / jaar weekend]]+Ruimtestaat[[#This Row],[uren / jaar werkdagen]]</f>
        <v>0</v>
      </c>
      <c r="AG807" s="61">
        <f>Ruimtestaat[[#This Row],[kosten / jaar weekend]]+Ruimtestaat[[#This Row],[kosten / jaar werkdagen]]</f>
        <v>0</v>
      </c>
      <c r="AH807" s="92"/>
      <c r="HL807" s="59"/>
    </row>
    <row r="808" spans="1:220">
      <c r="A808" s="24">
        <v>5</v>
      </c>
      <c r="B808" s="24" t="str">
        <f>VLOOKUP(Ruimtestaat[[#This Row],[Code]],Locaties[#All],2,FALSE)</f>
        <v>Marke Zuid</v>
      </c>
      <c r="C808" s="24" t="str">
        <f>VLOOKUP(Ruimtestaat[[#This Row],[Code]],Locaties[#All],4,FALSE)</f>
        <v>Ludgerstraat 1</v>
      </c>
      <c r="D808" s="24" t="str">
        <f>VLOOKUP(Ruimtestaat[[#This Row],[Code]],Locaties[#All],5,FALSE)</f>
        <v>7415 DV</v>
      </c>
      <c r="E808" s="24" t="str">
        <f>VLOOKUP(Ruimtestaat[[#This Row],[Code]],Locaties[#All],6,FALSE)</f>
        <v>Deventer</v>
      </c>
      <c r="F808" s="54"/>
      <c r="G808" s="24" t="s">
        <v>569</v>
      </c>
      <c r="H808" s="24" t="s">
        <v>1262</v>
      </c>
      <c r="I808" s="4" t="s">
        <v>1263</v>
      </c>
      <c r="J808" s="24">
        <v>16</v>
      </c>
      <c r="K808" s="54" t="str">
        <f>VLOOKUP(J808,Ruimtegroepen[],2,FALSE)</f>
        <v>Leslokalen theorie</v>
      </c>
      <c r="L808" s="24" t="s">
        <v>305</v>
      </c>
      <c r="M808" s="24" t="s">
        <v>1018</v>
      </c>
      <c r="N808" s="83">
        <v>25.46</v>
      </c>
      <c r="O808" s="83"/>
      <c r="P808" s="93" t="str">
        <f>LEFT(VLOOKUP(Ruimtestaat[[#This Row],[Ruimte code]],Ruimtegroepen[#All],4,1),2)</f>
        <v>Le</v>
      </c>
      <c r="Q808" s="93"/>
      <c r="R808" s="84">
        <v>40</v>
      </c>
      <c r="S808" s="84" t="s">
        <v>318</v>
      </c>
      <c r="T808" s="85">
        <f>IF(R808&gt;0,IF(RIGHT(Ruimtestaat[[#This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8" s="85">
        <f>IF(T808&gt;0,VLOOKUP($J808,Ruimtegroepen[],3,FALSE)*VLOOKUP($L808,Vloersoorten[],3,FALSE)*VLOOKUP($S808,Frequenties[],3,FALSE)*VLOOKUP($A808,Locaties[],3,FALSE),0)</f>
        <v>0</v>
      </c>
      <c r="V808" s="86">
        <f>Ruimtestaat[[#This Row],[Uitvoeringen werkdagen]]*Ruimtestaat[[#This Row],[Oppervlak (netto)]]</f>
        <v>5092</v>
      </c>
      <c r="W808" s="87">
        <f>IF(U808&gt;0,Ruimtestaat[[#This Row],[Prest. (m2 /jaar) werkdagen]]/Ruimtestaat[[#This Row],[Norm (m2/uur) werkdagen]],0)</f>
        <v>0</v>
      </c>
      <c r="X808" s="88">
        <f>Ruimtestaat[[#This Row],[uren / jaar werkdagen]]*Tariefsopbouw!$E$35</f>
        <v>0</v>
      </c>
      <c r="Y808" s="85"/>
      <c r="Z808" s="89">
        <f>IF(Ruimtestaat[[#This Row],[Frequentie weekend]]&gt;0,VALUE(LEFT(Y808,1))*R808,0)</f>
        <v>0</v>
      </c>
      <c r="AA808" s="85">
        <f>IF($Z808&gt;0,VLOOKUP($J808,Ruimtegroepen[],3,FALSE)*VLOOKUP($L808,Vloersoorten[],3,FALSE)*VLOOKUP($Y808,Frequenties[],3,FALSE)*VLOOKUP(#REF!,Locaties[],3,FALSE),0)</f>
        <v>0</v>
      </c>
      <c r="AB808" s="87">
        <f>Ruimtestaat[[#This Row],[Uitvoeringen weekend]]*Ruimtestaat[[#This Row],[Oppervlak (netto)]]</f>
        <v>0</v>
      </c>
      <c r="AC808" s="90">
        <f>IF(AB808&gt;0,Ruimtestaat[[#This Row],[Prest. (m2 /jaar) weekend]]/Ruimtestaat[[#This Row],[Norm (m2/uur) weekend]],0)</f>
        <v>0</v>
      </c>
      <c r="AD808" s="91">
        <f>Ruimtestaat[[#This Row],[uren / jaar weekend]]*Tariefsopbouw!$D$40</f>
        <v>0</v>
      </c>
      <c r="AE808" s="60">
        <f>Ruimtestaat[[#This Row],[Prest. (m2 /jaar) weekend]]+Ruimtestaat[[#This Row],[Prest. (m2 /jaar) werkdagen]]</f>
        <v>5092</v>
      </c>
      <c r="AF808" s="60">
        <f>Ruimtestaat[[#This Row],[uren / jaar weekend]]+Ruimtestaat[[#This Row],[uren / jaar werkdagen]]</f>
        <v>0</v>
      </c>
      <c r="AG808" s="61">
        <f>Ruimtestaat[[#This Row],[kosten / jaar weekend]]+Ruimtestaat[[#This Row],[kosten / jaar werkdagen]]</f>
        <v>0</v>
      </c>
      <c r="AH808" s="92"/>
      <c r="HL808" s="59"/>
    </row>
    <row r="809" spans="1:220">
      <c r="A809" s="24">
        <v>5</v>
      </c>
      <c r="B809" s="24" t="str">
        <f>VLOOKUP(Ruimtestaat[[#This Row],[Code]],Locaties[#All],2,FALSE)</f>
        <v>Marke Zuid</v>
      </c>
      <c r="C809" s="24" t="str">
        <f>VLOOKUP(Ruimtestaat[[#This Row],[Code]],Locaties[#All],4,FALSE)</f>
        <v>Ludgerstraat 1</v>
      </c>
      <c r="D809" s="24" t="str">
        <f>VLOOKUP(Ruimtestaat[[#This Row],[Code]],Locaties[#All],5,FALSE)</f>
        <v>7415 DV</v>
      </c>
      <c r="E809" s="24" t="str">
        <f>VLOOKUP(Ruimtestaat[[#This Row],[Code]],Locaties[#All],6,FALSE)</f>
        <v>Deventer</v>
      </c>
      <c r="F809" s="54"/>
      <c r="G809" s="24" t="s">
        <v>569</v>
      </c>
      <c r="H809" s="24" t="s">
        <v>573</v>
      </c>
      <c r="I809" s="4" t="s">
        <v>1098</v>
      </c>
      <c r="J809" s="24">
        <v>16</v>
      </c>
      <c r="K809" s="54" t="str">
        <f>VLOOKUP(J809,Ruimtegroepen[],2,FALSE)</f>
        <v>Leslokalen theorie</v>
      </c>
      <c r="L809" s="24" t="s">
        <v>300</v>
      </c>
      <c r="M809" s="24" t="s">
        <v>997</v>
      </c>
      <c r="N809" s="83">
        <v>83.53</v>
      </c>
      <c r="O809" s="83"/>
      <c r="P809" s="93" t="str">
        <f>LEFT(VLOOKUP(Ruimtestaat[[#This Row],[Ruimte code]],Ruimtegroepen[#All],4,1),2)</f>
        <v>Le</v>
      </c>
      <c r="Q809" s="93"/>
      <c r="R809" s="84">
        <v>40</v>
      </c>
      <c r="S809" s="84" t="s">
        <v>318</v>
      </c>
      <c r="T809" s="85">
        <f>IF(R809&gt;0,IF(RIGHT(Ruimtestaat[[#This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9" s="85">
        <f>IF(T809&gt;0,VLOOKUP($J809,Ruimtegroepen[],3,FALSE)*VLOOKUP($L809,Vloersoorten[],3,FALSE)*VLOOKUP($S809,Frequenties[],3,FALSE)*VLOOKUP($A809,Locaties[],3,FALSE),0)</f>
        <v>0</v>
      </c>
      <c r="V809" s="86">
        <f>Ruimtestaat[[#This Row],[Uitvoeringen werkdagen]]*Ruimtestaat[[#This Row],[Oppervlak (netto)]]</f>
        <v>16706</v>
      </c>
      <c r="W809" s="87">
        <f>IF(U809&gt;0,Ruimtestaat[[#This Row],[Prest. (m2 /jaar) werkdagen]]/Ruimtestaat[[#This Row],[Norm (m2/uur) werkdagen]],0)</f>
        <v>0</v>
      </c>
      <c r="X809" s="88">
        <f>Ruimtestaat[[#This Row],[uren / jaar werkdagen]]*Tariefsopbouw!$E$35</f>
        <v>0</v>
      </c>
      <c r="Y809" s="85"/>
      <c r="Z809" s="89">
        <f>IF(Ruimtestaat[[#This Row],[Frequentie weekend]]&gt;0,VALUE(LEFT(Y809,1))*R809,0)</f>
        <v>0</v>
      </c>
      <c r="AA809" s="85">
        <f>IF($Z809&gt;0,VLOOKUP($J809,Ruimtegroepen[],3,FALSE)*VLOOKUP($L809,Vloersoorten[],3,FALSE)*VLOOKUP($Y809,Frequenties[],3,FALSE)*VLOOKUP(#REF!,Locaties[],3,FALSE),0)</f>
        <v>0</v>
      </c>
      <c r="AB809" s="87">
        <f>Ruimtestaat[[#This Row],[Uitvoeringen weekend]]*Ruimtestaat[[#This Row],[Oppervlak (netto)]]</f>
        <v>0</v>
      </c>
      <c r="AC809" s="90">
        <f>IF(AB809&gt;0,Ruimtestaat[[#This Row],[Prest. (m2 /jaar) weekend]]/Ruimtestaat[[#This Row],[Norm (m2/uur) weekend]],0)</f>
        <v>0</v>
      </c>
      <c r="AD809" s="91">
        <f>Ruimtestaat[[#This Row],[uren / jaar weekend]]*Tariefsopbouw!$D$40</f>
        <v>0</v>
      </c>
      <c r="AE809" s="60">
        <f>Ruimtestaat[[#This Row],[Prest. (m2 /jaar) weekend]]+Ruimtestaat[[#This Row],[Prest. (m2 /jaar) werkdagen]]</f>
        <v>16706</v>
      </c>
      <c r="AF809" s="60">
        <f>Ruimtestaat[[#This Row],[uren / jaar weekend]]+Ruimtestaat[[#This Row],[uren / jaar werkdagen]]</f>
        <v>0</v>
      </c>
      <c r="AG809" s="61">
        <f>Ruimtestaat[[#This Row],[kosten / jaar weekend]]+Ruimtestaat[[#This Row],[kosten / jaar werkdagen]]</f>
        <v>0</v>
      </c>
      <c r="AH809" s="92"/>
      <c r="HL809" s="59"/>
    </row>
    <row r="810" spans="1:220">
      <c r="A810" s="24">
        <v>5</v>
      </c>
      <c r="B810" s="24" t="str">
        <f>VLOOKUP(Ruimtestaat[[#This Row],[Code]],Locaties[#All],2,FALSE)</f>
        <v>Marke Zuid</v>
      </c>
      <c r="C810" s="24" t="str">
        <f>VLOOKUP(Ruimtestaat[[#This Row],[Code]],Locaties[#All],4,FALSE)</f>
        <v>Ludgerstraat 1</v>
      </c>
      <c r="D810" s="24" t="str">
        <f>VLOOKUP(Ruimtestaat[[#This Row],[Code]],Locaties[#All],5,FALSE)</f>
        <v>7415 DV</v>
      </c>
      <c r="E810" s="24" t="str">
        <f>VLOOKUP(Ruimtestaat[[#This Row],[Code]],Locaties[#All],6,FALSE)</f>
        <v>Deventer</v>
      </c>
      <c r="F810" s="54"/>
      <c r="G810" s="24" t="s">
        <v>569</v>
      </c>
      <c r="H810" s="24" t="s">
        <v>574</v>
      </c>
      <c r="I810" s="4" t="s">
        <v>1264</v>
      </c>
      <c r="J810" s="24">
        <v>11</v>
      </c>
      <c r="K810" s="54" t="str">
        <f>VLOOKUP(J810,Ruimtegroepen[],2,FALSE)</f>
        <v>Kooklokaal/leskeuken</v>
      </c>
      <c r="L810" s="24" t="s">
        <v>305</v>
      </c>
      <c r="M810" s="24" t="s">
        <v>1018</v>
      </c>
      <c r="N810" s="83">
        <v>150.63999999999999</v>
      </c>
      <c r="O810" s="83"/>
      <c r="P810" s="93" t="str">
        <f>LEFT(VLOOKUP(Ruimtestaat[[#This Row],[Ruimte code]],Ruimtegroepen[#All],4,1),2)</f>
        <v>Le</v>
      </c>
      <c r="Q810" s="93"/>
      <c r="R810" s="84">
        <v>40</v>
      </c>
      <c r="S810" s="84" t="s">
        <v>318</v>
      </c>
      <c r="T810" s="85">
        <f>IF(R810&gt;0,IF(RIGHT(Ruimtestaat[[#This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0" s="85">
        <f>IF(T810&gt;0,VLOOKUP($J810,Ruimtegroepen[],3,FALSE)*VLOOKUP($L810,Vloersoorten[],3,FALSE)*VLOOKUP($S810,Frequenties[],3,FALSE)*VLOOKUP($A810,Locaties[],3,FALSE),0)</f>
        <v>0</v>
      </c>
      <c r="V810" s="86">
        <f>Ruimtestaat[[#This Row],[Uitvoeringen werkdagen]]*Ruimtestaat[[#This Row],[Oppervlak (netto)]]</f>
        <v>30127.999999999996</v>
      </c>
      <c r="W810" s="87">
        <f>IF(U810&gt;0,Ruimtestaat[[#This Row],[Prest. (m2 /jaar) werkdagen]]/Ruimtestaat[[#This Row],[Norm (m2/uur) werkdagen]],0)</f>
        <v>0</v>
      </c>
      <c r="X810" s="88">
        <f>Ruimtestaat[[#This Row],[uren / jaar werkdagen]]*Tariefsopbouw!$E$35</f>
        <v>0</v>
      </c>
      <c r="Y810" s="85"/>
      <c r="Z810" s="89">
        <f>IF(Ruimtestaat[[#This Row],[Frequentie weekend]]&gt;0,VALUE(LEFT(Y810,1))*R810,0)</f>
        <v>0</v>
      </c>
      <c r="AA810" s="85">
        <f>IF($Z810&gt;0,VLOOKUP($J810,Ruimtegroepen[],3,FALSE)*VLOOKUP($L810,Vloersoorten[],3,FALSE)*VLOOKUP($Y810,Frequenties[],3,FALSE)*VLOOKUP(#REF!,Locaties[],3,FALSE),0)</f>
        <v>0</v>
      </c>
      <c r="AB810" s="87">
        <f>Ruimtestaat[[#This Row],[Uitvoeringen weekend]]*Ruimtestaat[[#This Row],[Oppervlak (netto)]]</f>
        <v>0</v>
      </c>
      <c r="AC810" s="90">
        <f>IF(AB810&gt;0,Ruimtestaat[[#This Row],[Prest. (m2 /jaar) weekend]]/Ruimtestaat[[#This Row],[Norm (m2/uur) weekend]],0)</f>
        <v>0</v>
      </c>
      <c r="AD810" s="91">
        <f>Ruimtestaat[[#This Row],[uren / jaar weekend]]*Tariefsopbouw!$D$40</f>
        <v>0</v>
      </c>
      <c r="AE810" s="60">
        <f>Ruimtestaat[[#This Row],[Prest. (m2 /jaar) weekend]]+Ruimtestaat[[#This Row],[Prest. (m2 /jaar) werkdagen]]</f>
        <v>30127.999999999996</v>
      </c>
      <c r="AF810" s="60">
        <f>Ruimtestaat[[#This Row],[uren / jaar weekend]]+Ruimtestaat[[#This Row],[uren / jaar werkdagen]]</f>
        <v>0</v>
      </c>
      <c r="AG810" s="61">
        <f>Ruimtestaat[[#This Row],[kosten / jaar weekend]]+Ruimtestaat[[#This Row],[kosten / jaar werkdagen]]</f>
        <v>0</v>
      </c>
      <c r="AH810" s="92"/>
      <c r="HL810" s="59"/>
    </row>
    <row r="811" spans="1:220">
      <c r="A811" s="24">
        <v>5</v>
      </c>
      <c r="B811" s="24" t="str">
        <f>VLOOKUP(Ruimtestaat[[#This Row],[Code]],Locaties[#All],2,FALSE)</f>
        <v>Marke Zuid</v>
      </c>
      <c r="C811" s="24" t="str">
        <f>VLOOKUP(Ruimtestaat[[#This Row],[Code]],Locaties[#All],4,FALSE)</f>
        <v>Ludgerstraat 1</v>
      </c>
      <c r="D811" s="24" t="str">
        <f>VLOOKUP(Ruimtestaat[[#This Row],[Code]],Locaties[#All],5,FALSE)</f>
        <v>7415 DV</v>
      </c>
      <c r="E811" s="24" t="str">
        <f>VLOOKUP(Ruimtestaat[[#This Row],[Code]],Locaties[#All],6,FALSE)</f>
        <v>Deventer</v>
      </c>
      <c r="F811" s="54"/>
      <c r="G811" s="24" t="s">
        <v>569</v>
      </c>
      <c r="H811" s="24" t="s">
        <v>1265</v>
      </c>
      <c r="I811" s="4" t="s">
        <v>1266</v>
      </c>
      <c r="J811" s="24">
        <v>7</v>
      </c>
      <c r="K811" s="54" t="str">
        <f>VLOOKUP(J811,Ruimtegroepen[],2,FALSE)</f>
        <v>Entree</v>
      </c>
      <c r="L811" s="24" t="s">
        <v>300</v>
      </c>
      <c r="M811" s="24" t="s">
        <v>997</v>
      </c>
      <c r="N811" s="83">
        <v>12.04</v>
      </c>
      <c r="O811" s="83"/>
      <c r="P811" s="93" t="str">
        <f>LEFT(VLOOKUP(Ruimtestaat[[#This Row],[Ruimte code]],Ruimtegroepen[#All],4,1),2)</f>
        <v>Ve</v>
      </c>
      <c r="Q811" s="93"/>
      <c r="R811" s="84">
        <v>40</v>
      </c>
      <c r="S811" s="84" t="s">
        <v>318</v>
      </c>
      <c r="T811" s="85">
        <f>IF(R811&gt;0,IF(RIGHT(Ruimtestaat[[#This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1" s="85">
        <f>IF(T811&gt;0,VLOOKUP($J811,Ruimtegroepen[],3,FALSE)*VLOOKUP($L811,Vloersoorten[],3,FALSE)*VLOOKUP($S811,Frequenties[],3,FALSE)*VLOOKUP($A811,Locaties[],3,FALSE),0)</f>
        <v>0</v>
      </c>
      <c r="V811" s="86">
        <f>Ruimtestaat[[#This Row],[Uitvoeringen werkdagen]]*Ruimtestaat[[#This Row],[Oppervlak (netto)]]</f>
        <v>2408</v>
      </c>
      <c r="W811" s="87">
        <f>IF(U811&gt;0,Ruimtestaat[[#This Row],[Prest. (m2 /jaar) werkdagen]]/Ruimtestaat[[#This Row],[Norm (m2/uur) werkdagen]],0)</f>
        <v>0</v>
      </c>
      <c r="X811" s="88">
        <f>Ruimtestaat[[#This Row],[uren / jaar werkdagen]]*Tariefsopbouw!$E$35</f>
        <v>0</v>
      </c>
      <c r="Y811" s="85"/>
      <c r="Z811" s="89">
        <f>IF(Ruimtestaat[[#This Row],[Frequentie weekend]]&gt;0,VALUE(LEFT(Y811,1))*R811,0)</f>
        <v>0</v>
      </c>
      <c r="AA811" s="85">
        <f>IF($Z811&gt;0,VLOOKUP($J811,Ruimtegroepen[],3,FALSE)*VLOOKUP($L811,Vloersoorten[],3,FALSE)*VLOOKUP($Y811,Frequenties[],3,FALSE)*VLOOKUP(#REF!,Locaties[],3,FALSE),0)</f>
        <v>0</v>
      </c>
      <c r="AB811" s="87">
        <f>Ruimtestaat[[#This Row],[Uitvoeringen weekend]]*Ruimtestaat[[#This Row],[Oppervlak (netto)]]</f>
        <v>0</v>
      </c>
      <c r="AC811" s="90">
        <f>IF(AB811&gt;0,Ruimtestaat[[#This Row],[Prest. (m2 /jaar) weekend]]/Ruimtestaat[[#This Row],[Norm (m2/uur) weekend]],0)</f>
        <v>0</v>
      </c>
      <c r="AD811" s="91">
        <f>Ruimtestaat[[#This Row],[uren / jaar weekend]]*Tariefsopbouw!$D$40</f>
        <v>0</v>
      </c>
      <c r="AE811" s="60">
        <f>Ruimtestaat[[#This Row],[Prest. (m2 /jaar) weekend]]+Ruimtestaat[[#This Row],[Prest. (m2 /jaar) werkdagen]]</f>
        <v>2408</v>
      </c>
      <c r="AF811" s="60">
        <f>Ruimtestaat[[#This Row],[uren / jaar weekend]]+Ruimtestaat[[#This Row],[uren / jaar werkdagen]]</f>
        <v>0</v>
      </c>
      <c r="AG811" s="61">
        <f>Ruimtestaat[[#This Row],[kosten / jaar weekend]]+Ruimtestaat[[#This Row],[kosten / jaar werkdagen]]</f>
        <v>0</v>
      </c>
      <c r="AH811" s="92"/>
      <c r="HL811" s="59"/>
    </row>
    <row r="812" spans="1:220">
      <c r="A812" s="24">
        <v>5</v>
      </c>
      <c r="B812" s="24" t="str">
        <f>VLOOKUP(Ruimtestaat[[#This Row],[Code]],Locaties[#All],2,FALSE)</f>
        <v>Marke Zuid</v>
      </c>
      <c r="C812" s="24" t="str">
        <f>VLOOKUP(Ruimtestaat[[#This Row],[Code]],Locaties[#All],4,FALSE)</f>
        <v>Ludgerstraat 1</v>
      </c>
      <c r="D812" s="24" t="str">
        <f>VLOOKUP(Ruimtestaat[[#This Row],[Code]],Locaties[#All],5,FALSE)</f>
        <v>7415 DV</v>
      </c>
      <c r="E812" s="24" t="str">
        <f>VLOOKUP(Ruimtestaat[[#This Row],[Code]],Locaties[#All],6,FALSE)</f>
        <v>Deventer</v>
      </c>
      <c r="F812" s="54"/>
      <c r="G812" s="24" t="s">
        <v>569</v>
      </c>
      <c r="H812" s="24" t="s">
        <v>1267</v>
      </c>
      <c r="I812" s="4" t="s">
        <v>1268</v>
      </c>
      <c r="J812" s="24">
        <v>22</v>
      </c>
      <c r="K812" s="54" t="str">
        <f>VLOOKUP(J812,Ruimtegroepen[],2,FALSE)</f>
        <v>Niet in onderhoud</v>
      </c>
      <c r="L812" s="24" t="s">
        <v>305</v>
      </c>
      <c r="M812" s="24" t="s">
        <v>376</v>
      </c>
      <c r="N812" s="83"/>
      <c r="O812" s="83">
        <v>7.15</v>
      </c>
      <c r="P812" s="93" t="str">
        <f>LEFT(VLOOKUP(Ruimtestaat[[#This Row],[Ruimte code]],Ruimtegroepen[#All],4,1),2)</f>
        <v/>
      </c>
      <c r="Q812" s="93"/>
      <c r="R812" s="84"/>
      <c r="S812" s="84"/>
      <c r="T812" s="85">
        <f>IF(R812&gt;0,IF(RIGHT(Ruimtestaat[[#This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12" s="85">
        <f>IF(T812&gt;0,VLOOKUP($J812,Ruimtegroepen[],3,FALSE)*VLOOKUP($L812,Vloersoorten[],3,FALSE)*VLOOKUP($S812,Frequenties[],3,FALSE)*VLOOKUP($A812,Locaties[],3,FALSE),0)</f>
        <v>0</v>
      </c>
      <c r="V812" s="86">
        <f>Ruimtestaat[[#This Row],[Uitvoeringen werkdagen]]*Ruimtestaat[[#This Row],[Oppervlak (netto)]]</f>
        <v>0</v>
      </c>
      <c r="W812" s="87">
        <f>IF(U812&gt;0,Ruimtestaat[[#This Row],[Prest. (m2 /jaar) werkdagen]]/Ruimtestaat[[#This Row],[Norm (m2/uur) werkdagen]],0)</f>
        <v>0</v>
      </c>
      <c r="X812" s="88">
        <f>Ruimtestaat[[#This Row],[uren / jaar werkdagen]]*Tariefsopbouw!$E$35</f>
        <v>0</v>
      </c>
      <c r="Y812" s="85"/>
      <c r="Z812" s="89">
        <f>IF(Ruimtestaat[[#This Row],[Frequentie weekend]]&gt;0,VALUE(LEFT(Y812,1))*R812,0)</f>
        <v>0</v>
      </c>
      <c r="AA812" s="85">
        <f>IF($Z812&gt;0,VLOOKUP($J812,Ruimtegroepen[],3,FALSE)*VLOOKUP($L812,Vloersoorten[],3,FALSE)*VLOOKUP($Y812,Frequenties[],3,FALSE)*VLOOKUP(#REF!,Locaties[],3,FALSE),0)</f>
        <v>0</v>
      </c>
      <c r="AB812" s="87">
        <f>Ruimtestaat[[#This Row],[Uitvoeringen weekend]]*Ruimtestaat[[#This Row],[Oppervlak (netto)]]</f>
        <v>0</v>
      </c>
      <c r="AC812" s="90">
        <f>IF(AB812&gt;0,Ruimtestaat[[#This Row],[Prest. (m2 /jaar) weekend]]/Ruimtestaat[[#This Row],[Norm (m2/uur) weekend]],0)</f>
        <v>0</v>
      </c>
      <c r="AD812" s="91">
        <f>Ruimtestaat[[#This Row],[uren / jaar weekend]]*Tariefsopbouw!$D$40</f>
        <v>0</v>
      </c>
      <c r="AE812" s="60">
        <f>Ruimtestaat[[#This Row],[Prest. (m2 /jaar) weekend]]+Ruimtestaat[[#This Row],[Prest. (m2 /jaar) werkdagen]]</f>
        <v>0</v>
      </c>
      <c r="AF812" s="60">
        <f>Ruimtestaat[[#This Row],[uren / jaar weekend]]+Ruimtestaat[[#This Row],[uren / jaar werkdagen]]</f>
        <v>0</v>
      </c>
      <c r="AG812" s="61">
        <f>Ruimtestaat[[#This Row],[kosten / jaar weekend]]+Ruimtestaat[[#This Row],[kosten / jaar werkdagen]]</f>
        <v>0</v>
      </c>
      <c r="AH812" s="92"/>
      <c r="HL812" s="59"/>
    </row>
    <row r="813" spans="1:220">
      <c r="A813" s="24">
        <v>5</v>
      </c>
      <c r="B813" s="24" t="str">
        <f>VLOOKUP(Ruimtestaat[[#This Row],[Code]],Locaties[#All],2,FALSE)</f>
        <v>Marke Zuid</v>
      </c>
      <c r="C813" s="24" t="str">
        <f>VLOOKUP(Ruimtestaat[[#This Row],[Code]],Locaties[#All],4,FALSE)</f>
        <v>Ludgerstraat 1</v>
      </c>
      <c r="D813" s="24" t="str">
        <f>VLOOKUP(Ruimtestaat[[#This Row],[Code]],Locaties[#All],5,FALSE)</f>
        <v>7415 DV</v>
      </c>
      <c r="E813" s="24" t="str">
        <f>VLOOKUP(Ruimtestaat[[#This Row],[Code]],Locaties[#All],6,FALSE)</f>
        <v>Deventer</v>
      </c>
      <c r="F813" s="54"/>
      <c r="G813" s="24" t="s">
        <v>569</v>
      </c>
      <c r="H813" s="24" t="s">
        <v>1269</v>
      </c>
      <c r="I813" s="4" t="s">
        <v>375</v>
      </c>
      <c r="J813" s="24">
        <v>22</v>
      </c>
      <c r="K813" s="54" t="str">
        <f>VLOOKUP(J813,Ruimtegroepen[],2,FALSE)</f>
        <v>Niet in onderhoud</v>
      </c>
      <c r="L813" s="24" t="s">
        <v>305</v>
      </c>
      <c r="M813" s="24" t="s">
        <v>1018</v>
      </c>
      <c r="N813" s="83"/>
      <c r="O813" s="83">
        <v>3.51</v>
      </c>
      <c r="P813" s="93" t="str">
        <f>LEFT(VLOOKUP(Ruimtestaat[[#This Row],[Ruimte code]],Ruimtegroepen[#All],4,1),2)</f>
        <v/>
      </c>
      <c r="Q813" s="93"/>
      <c r="R813" s="84"/>
      <c r="S813" s="84"/>
      <c r="T813" s="85">
        <f>IF(R813&gt;0,IF(RIGHT(Ruimtestaat[[#This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13" s="85">
        <f>IF(T813&gt;0,VLOOKUP($J813,Ruimtegroepen[],3,FALSE)*VLOOKUP($L813,Vloersoorten[],3,FALSE)*VLOOKUP($S813,Frequenties[],3,FALSE)*VLOOKUP($A813,Locaties[],3,FALSE),0)</f>
        <v>0</v>
      </c>
      <c r="V813" s="86">
        <f>Ruimtestaat[[#This Row],[Uitvoeringen werkdagen]]*Ruimtestaat[[#This Row],[Oppervlak (netto)]]</f>
        <v>0</v>
      </c>
      <c r="W813" s="87">
        <f>IF(U813&gt;0,Ruimtestaat[[#This Row],[Prest. (m2 /jaar) werkdagen]]/Ruimtestaat[[#This Row],[Norm (m2/uur) werkdagen]],0)</f>
        <v>0</v>
      </c>
      <c r="X813" s="88">
        <f>Ruimtestaat[[#This Row],[uren / jaar werkdagen]]*Tariefsopbouw!$E$35</f>
        <v>0</v>
      </c>
      <c r="Y813" s="85"/>
      <c r="Z813" s="89">
        <f>IF(Ruimtestaat[[#This Row],[Frequentie weekend]]&gt;0,VALUE(LEFT(Y813,1))*R813,0)</f>
        <v>0</v>
      </c>
      <c r="AA813" s="85">
        <f>IF($Z813&gt;0,VLOOKUP($J813,Ruimtegroepen[],3,FALSE)*VLOOKUP($L813,Vloersoorten[],3,FALSE)*VLOOKUP($Y813,Frequenties[],3,FALSE)*VLOOKUP(#REF!,Locaties[],3,FALSE),0)</f>
        <v>0</v>
      </c>
      <c r="AB813" s="87">
        <f>Ruimtestaat[[#This Row],[Uitvoeringen weekend]]*Ruimtestaat[[#This Row],[Oppervlak (netto)]]</f>
        <v>0</v>
      </c>
      <c r="AC813" s="90">
        <f>IF(AB813&gt;0,Ruimtestaat[[#This Row],[Prest. (m2 /jaar) weekend]]/Ruimtestaat[[#This Row],[Norm (m2/uur) weekend]],0)</f>
        <v>0</v>
      </c>
      <c r="AD813" s="91">
        <f>Ruimtestaat[[#This Row],[uren / jaar weekend]]*Tariefsopbouw!$D$40</f>
        <v>0</v>
      </c>
      <c r="AE813" s="60">
        <f>Ruimtestaat[[#This Row],[Prest. (m2 /jaar) weekend]]+Ruimtestaat[[#This Row],[Prest. (m2 /jaar) werkdagen]]</f>
        <v>0</v>
      </c>
      <c r="AF813" s="60">
        <f>Ruimtestaat[[#This Row],[uren / jaar weekend]]+Ruimtestaat[[#This Row],[uren / jaar werkdagen]]</f>
        <v>0</v>
      </c>
      <c r="AG813" s="61">
        <f>Ruimtestaat[[#This Row],[kosten / jaar weekend]]+Ruimtestaat[[#This Row],[kosten / jaar werkdagen]]</f>
        <v>0</v>
      </c>
      <c r="AH813" s="92"/>
      <c r="HL813" s="59"/>
    </row>
    <row r="814" spans="1:220">
      <c r="A814" s="24">
        <v>5</v>
      </c>
      <c r="B814" s="24" t="str">
        <f>VLOOKUP(Ruimtestaat[[#This Row],[Code]],Locaties[#All],2,FALSE)</f>
        <v>Marke Zuid</v>
      </c>
      <c r="C814" s="24" t="str">
        <f>VLOOKUP(Ruimtestaat[[#This Row],[Code]],Locaties[#All],4,FALSE)</f>
        <v>Ludgerstraat 1</v>
      </c>
      <c r="D814" s="24" t="str">
        <f>VLOOKUP(Ruimtestaat[[#This Row],[Code]],Locaties[#All],5,FALSE)</f>
        <v>7415 DV</v>
      </c>
      <c r="E814" s="24" t="str">
        <f>VLOOKUP(Ruimtestaat[[#This Row],[Code]],Locaties[#All],6,FALSE)</f>
        <v>Deventer</v>
      </c>
      <c r="F814" s="54"/>
      <c r="G814" s="24" t="s">
        <v>569</v>
      </c>
      <c r="H814" s="24" t="s">
        <v>575</v>
      </c>
      <c r="I814" s="4" t="s">
        <v>1098</v>
      </c>
      <c r="J814" s="24">
        <v>16</v>
      </c>
      <c r="K814" s="54" t="str">
        <f>VLOOKUP(J814,Ruimtegroepen[],2,FALSE)</f>
        <v>Leslokalen theorie</v>
      </c>
      <c r="L814" s="24" t="s">
        <v>300</v>
      </c>
      <c r="M814" s="24" t="s">
        <v>997</v>
      </c>
      <c r="N814" s="83">
        <v>100.22</v>
      </c>
      <c r="O814" s="83"/>
      <c r="P814" s="93" t="str">
        <f>LEFT(VLOOKUP(Ruimtestaat[[#This Row],[Ruimte code]],Ruimtegroepen[#All],4,1),2)</f>
        <v>Le</v>
      </c>
      <c r="Q814" s="93"/>
      <c r="R814" s="84">
        <v>40</v>
      </c>
      <c r="S814" s="84" t="s">
        <v>318</v>
      </c>
      <c r="T814" s="85">
        <f>IF(R814&gt;0,IF(RIGHT(Ruimtestaat[[#This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4" s="85">
        <f>IF(T814&gt;0,VLOOKUP($J814,Ruimtegroepen[],3,FALSE)*VLOOKUP($L814,Vloersoorten[],3,FALSE)*VLOOKUP($S814,Frequenties[],3,FALSE)*VLOOKUP($A814,Locaties[],3,FALSE),0)</f>
        <v>0</v>
      </c>
      <c r="V814" s="86">
        <f>Ruimtestaat[[#This Row],[Uitvoeringen werkdagen]]*Ruimtestaat[[#This Row],[Oppervlak (netto)]]</f>
        <v>20044</v>
      </c>
      <c r="W814" s="87">
        <f>IF(U814&gt;0,Ruimtestaat[[#This Row],[Prest. (m2 /jaar) werkdagen]]/Ruimtestaat[[#This Row],[Norm (m2/uur) werkdagen]],0)</f>
        <v>0</v>
      </c>
      <c r="X814" s="88">
        <f>Ruimtestaat[[#This Row],[uren / jaar werkdagen]]*Tariefsopbouw!$E$35</f>
        <v>0</v>
      </c>
      <c r="Y814" s="85"/>
      <c r="Z814" s="89">
        <f>IF(Ruimtestaat[[#This Row],[Frequentie weekend]]&gt;0,VALUE(LEFT(Y814,1))*R814,0)</f>
        <v>0</v>
      </c>
      <c r="AA814" s="85">
        <f>IF($Z814&gt;0,VLOOKUP($J814,Ruimtegroepen[],3,FALSE)*VLOOKUP($L814,Vloersoorten[],3,FALSE)*VLOOKUP($Y814,Frequenties[],3,FALSE)*VLOOKUP(#REF!,Locaties[],3,FALSE),0)</f>
        <v>0</v>
      </c>
      <c r="AB814" s="87">
        <f>Ruimtestaat[[#This Row],[Uitvoeringen weekend]]*Ruimtestaat[[#This Row],[Oppervlak (netto)]]</f>
        <v>0</v>
      </c>
      <c r="AC814" s="90">
        <f>IF(AB814&gt;0,Ruimtestaat[[#This Row],[Prest. (m2 /jaar) weekend]]/Ruimtestaat[[#This Row],[Norm (m2/uur) weekend]],0)</f>
        <v>0</v>
      </c>
      <c r="AD814" s="91">
        <f>Ruimtestaat[[#This Row],[uren / jaar weekend]]*Tariefsopbouw!$D$40</f>
        <v>0</v>
      </c>
      <c r="AE814" s="60">
        <f>Ruimtestaat[[#This Row],[Prest. (m2 /jaar) weekend]]+Ruimtestaat[[#This Row],[Prest. (m2 /jaar) werkdagen]]</f>
        <v>20044</v>
      </c>
      <c r="AF814" s="60">
        <f>Ruimtestaat[[#This Row],[uren / jaar weekend]]+Ruimtestaat[[#This Row],[uren / jaar werkdagen]]</f>
        <v>0</v>
      </c>
      <c r="AG814" s="61">
        <f>Ruimtestaat[[#This Row],[kosten / jaar weekend]]+Ruimtestaat[[#This Row],[kosten / jaar werkdagen]]</f>
        <v>0</v>
      </c>
      <c r="AH814" s="92"/>
      <c r="HL814" s="59"/>
    </row>
    <row r="815" spans="1:220">
      <c r="A815" s="24">
        <v>5</v>
      </c>
      <c r="B815" s="24" t="str">
        <f>VLOOKUP(Ruimtestaat[[#This Row],[Code]],Locaties[#All],2,FALSE)</f>
        <v>Marke Zuid</v>
      </c>
      <c r="C815" s="24" t="str">
        <f>VLOOKUP(Ruimtestaat[[#This Row],[Code]],Locaties[#All],4,FALSE)</f>
        <v>Ludgerstraat 1</v>
      </c>
      <c r="D815" s="24" t="str">
        <f>VLOOKUP(Ruimtestaat[[#This Row],[Code]],Locaties[#All],5,FALSE)</f>
        <v>7415 DV</v>
      </c>
      <c r="E815" s="24" t="str">
        <f>VLOOKUP(Ruimtestaat[[#This Row],[Code]],Locaties[#All],6,FALSE)</f>
        <v>Deventer</v>
      </c>
      <c r="F815" s="54"/>
      <c r="G815" s="24" t="s">
        <v>569</v>
      </c>
      <c r="H815" s="24" t="s">
        <v>576</v>
      </c>
      <c r="I815" s="4" t="s">
        <v>1097</v>
      </c>
      <c r="J815" s="24">
        <v>2</v>
      </c>
      <c r="K815" s="54" t="str">
        <f>VLOOKUP(J815,Ruimtegroepen[],2,FALSE)</f>
        <v>Kantoren</v>
      </c>
      <c r="L815" s="24" t="s">
        <v>300</v>
      </c>
      <c r="M815" s="24" t="s">
        <v>997</v>
      </c>
      <c r="N815" s="83">
        <v>15.62</v>
      </c>
      <c r="O815" s="83"/>
      <c r="P815" s="93" t="str">
        <f>LEFT(VLOOKUP(Ruimtestaat[[#This Row],[Ruimte code]],Ruimtegroepen[#All],4,1),2)</f>
        <v>Bu</v>
      </c>
      <c r="Q815" s="93"/>
      <c r="R815" s="84">
        <v>42</v>
      </c>
      <c r="S815" s="84" t="s">
        <v>322</v>
      </c>
      <c r="T815" s="85">
        <f>IF(R815&gt;0,IF(RIGHT(Ruimtestaat[[#This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15" s="85">
        <f>IF(T815&gt;0,VLOOKUP($J815,Ruimtegroepen[],3,FALSE)*VLOOKUP($L815,Vloersoorten[],3,FALSE)*VLOOKUP($S815,Frequenties[],3,FALSE)*VLOOKUP($A815,Locaties[],3,FALSE),0)</f>
        <v>0</v>
      </c>
      <c r="V815" s="86">
        <f>Ruimtestaat[[#This Row],[Uitvoeringen werkdagen]]*Ruimtestaat[[#This Row],[Oppervlak (netto)]]</f>
        <v>1968.12</v>
      </c>
      <c r="W815" s="87">
        <f>IF(U815&gt;0,Ruimtestaat[[#This Row],[Prest. (m2 /jaar) werkdagen]]/Ruimtestaat[[#This Row],[Norm (m2/uur) werkdagen]],0)</f>
        <v>0</v>
      </c>
      <c r="X815" s="88">
        <f>Ruimtestaat[[#This Row],[uren / jaar werkdagen]]*Tariefsopbouw!$E$35</f>
        <v>0</v>
      </c>
      <c r="Y815" s="85"/>
      <c r="Z815" s="89">
        <f>IF(Ruimtestaat[[#This Row],[Frequentie weekend]]&gt;0,VALUE(LEFT(Y815,1))*R815,0)</f>
        <v>0</v>
      </c>
      <c r="AA815" s="85">
        <f>IF($Z815&gt;0,VLOOKUP($J815,Ruimtegroepen[],3,FALSE)*VLOOKUP($L815,Vloersoorten[],3,FALSE)*VLOOKUP($Y815,Frequenties[],3,FALSE)*VLOOKUP(#REF!,Locaties[],3,FALSE),0)</f>
        <v>0</v>
      </c>
      <c r="AB815" s="87">
        <f>Ruimtestaat[[#This Row],[Uitvoeringen weekend]]*Ruimtestaat[[#This Row],[Oppervlak (netto)]]</f>
        <v>0</v>
      </c>
      <c r="AC815" s="90">
        <f>IF(AB815&gt;0,Ruimtestaat[[#This Row],[Prest. (m2 /jaar) weekend]]/Ruimtestaat[[#This Row],[Norm (m2/uur) weekend]],0)</f>
        <v>0</v>
      </c>
      <c r="AD815" s="91">
        <f>Ruimtestaat[[#This Row],[uren / jaar weekend]]*Tariefsopbouw!$D$40</f>
        <v>0</v>
      </c>
      <c r="AE815" s="60">
        <f>Ruimtestaat[[#This Row],[Prest. (m2 /jaar) weekend]]+Ruimtestaat[[#This Row],[Prest. (m2 /jaar) werkdagen]]</f>
        <v>1968.12</v>
      </c>
      <c r="AF815" s="60">
        <f>Ruimtestaat[[#This Row],[uren / jaar weekend]]+Ruimtestaat[[#This Row],[uren / jaar werkdagen]]</f>
        <v>0</v>
      </c>
      <c r="AG815" s="61">
        <f>Ruimtestaat[[#This Row],[kosten / jaar weekend]]+Ruimtestaat[[#This Row],[kosten / jaar werkdagen]]</f>
        <v>0</v>
      </c>
      <c r="AH815" s="92"/>
      <c r="HL815" s="59"/>
    </row>
    <row r="816" spans="1:220">
      <c r="A816" s="24">
        <v>5</v>
      </c>
      <c r="B816" s="24" t="str">
        <f>VLOOKUP(Ruimtestaat[[#This Row],[Code]],Locaties[#All],2,FALSE)</f>
        <v>Marke Zuid</v>
      </c>
      <c r="C816" s="24" t="str">
        <f>VLOOKUP(Ruimtestaat[[#This Row],[Code]],Locaties[#All],4,FALSE)</f>
        <v>Ludgerstraat 1</v>
      </c>
      <c r="D816" s="24" t="str">
        <f>VLOOKUP(Ruimtestaat[[#This Row],[Code]],Locaties[#All],5,FALSE)</f>
        <v>7415 DV</v>
      </c>
      <c r="E816" s="24" t="str">
        <f>VLOOKUP(Ruimtestaat[[#This Row],[Code]],Locaties[#All],6,FALSE)</f>
        <v>Deventer</v>
      </c>
      <c r="F816" s="54"/>
      <c r="G816" s="24" t="s">
        <v>569</v>
      </c>
      <c r="H816" s="24" t="s">
        <v>577</v>
      </c>
      <c r="I816" s="4" t="s">
        <v>1101</v>
      </c>
      <c r="J816" s="24">
        <v>5</v>
      </c>
      <c r="K816" s="54" t="str">
        <f>VLOOKUP(J816,Ruimtegroepen[],2,FALSE)</f>
        <v>Sanitair</v>
      </c>
      <c r="L816" s="24" t="s">
        <v>305</v>
      </c>
      <c r="M816" s="24" t="s">
        <v>1008</v>
      </c>
      <c r="N816" s="83">
        <v>7.61</v>
      </c>
      <c r="O816" s="83"/>
      <c r="P816" s="93" t="str">
        <f>LEFT(VLOOKUP(Ruimtestaat[[#This Row],[Ruimte code]],Ruimtegroepen[#All],4,1),2)</f>
        <v>Sa</v>
      </c>
      <c r="Q816" s="93"/>
      <c r="R816" s="84">
        <v>42</v>
      </c>
      <c r="S816" s="84" t="s">
        <v>316</v>
      </c>
      <c r="T816" s="85">
        <f>IF(R816&gt;0,IF(RIGHT(Ruimtestaat[[#This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16" s="85">
        <f>IF(T816&gt;0,VLOOKUP($J816,Ruimtegroepen[],3,FALSE)*VLOOKUP($L816,Vloersoorten[],3,FALSE)*VLOOKUP($S816,Frequenties[],3,FALSE)*VLOOKUP($A816,Locaties[],3,FALSE),0)</f>
        <v>0</v>
      </c>
      <c r="V816" s="86">
        <f>Ruimtestaat[[#This Row],[Uitvoeringen werkdagen]]*Ruimtestaat[[#This Row],[Oppervlak (netto)]]</f>
        <v>3196.2000000000003</v>
      </c>
      <c r="W816" s="87">
        <f>IF(U816&gt;0,Ruimtestaat[[#This Row],[Prest. (m2 /jaar) werkdagen]]/Ruimtestaat[[#This Row],[Norm (m2/uur) werkdagen]],0)</f>
        <v>0</v>
      </c>
      <c r="X816" s="88">
        <f>Ruimtestaat[[#This Row],[uren / jaar werkdagen]]*Tariefsopbouw!$E$35</f>
        <v>0</v>
      </c>
      <c r="Y816" s="85"/>
      <c r="Z816" s="89">
        <f>IF(Ruimtestaat[[#This Row],[Frequentie weekend]]&gt;0,VALUE(LEFT(Y816,1))*R816,0)</f>
        <v>0</v>
      </c>
      <c r="AA816" s="85">
        <f>IF($Z816&gt;0,VLOOKUP($J816,Ruimtegroepen[],3,FALSE)*VLOOKUP($L816,Vloersoorten[],3,FALSE)*VLOOKUP($Y816,Frequenties[],3,FALSE)*VLOOKUP(#REF!,Locaties[],3,FALSE),0)</f>
        <v>0</v>
      </c>
      <c r="AB816" s="87">
        <f>Ruimtestaat[[#This Row],[Uitvoeringen weekend]]*Ruimtestaat[[#This Row],[Oppervlak (netto)]]</f>
        <v>0</v>
      </c>
      <c r="AC816" s="90">
        <f>IF(AB816&gt;0,Ruimtestaat[[#This Row],[Prest. (m2 /jaar) weekend]]/Ruimtestaat[[#This Row],[Norm (m2/uur) weekend]],0)</f>
        <v>0</v>
      </c>
      <c r="AD816" s="91">
        <f>Ruimtestaat[[#This Row],[uren / jaar weekend]]*Tariefsopbouw!$D$40</f>
        <v>0</v>
      </c>
      <c r="AE816" s="60">
        <f>Ruimtestaat[[#This Row],[Prest. (m2 /jaar) weekend]]+Ruimtestaat[[#This Row],[Prest. (m2 /jaar) werkdagen]]</f>
        <v>3196.2000000000003</v>
      </c>
      <c r="AF816" s="60">
        <f>Ruimtestaat[[#This Row],[uren / jaar weekend]]+Ruimtestaat[[#This Row],[uren / jaar werkdagen]]</f>
        <v>0</v>
      </c>
      <c r="AG816" s="61">
        <f>Ruimtestaat[[#This Row],[kosten / jaar weekend]]+Ruimtestaat[[#This Row],[kosten / jaar werkdagen]]</f>
        <v>0</v>
      </c>
      <c r="AH816" s="92"/>
      <c r="HL816" s="59"/>
    </row>
    <row r="817" spans="1:220">
      <c r="A817" s="24">
        <v>5</v>
      </c>
      <c r="B817" s="24" t="str">
        <f>VLOOKUP(Ruimtestaat[[#This Row],[Code]],Locaties[#All],2,FALSE)</f>
        <v>Marke Zuid</v>
      </c>
      <c r="C817" s="24" t="str">
        <f>VLOOKUP(Ruimtestaat[[#This Row],[Code]],Locaties[#All],4,FALSE)</f>
        <v>Ludgerstraat 1</v>
      </c>
      <c r="D817" s="24" t="str">
        <f>VLOOKUP(Ruimtestaat[[#This Row],[Code]],Locaties[#All],5,FALSE)</f>
        <v>7415 DV</v>
      </c>
      <c r="E817" s="24" t="str">
        <f>VLOOKUP(Ruimtestaat[[#This Row],[Code]],Locaties[#All],6,FALSE)</f>
        <v>Deventer</v>
      </c>
      <c r="F817" s="54"/>
      <c r="G817" s="24" t="s">
        <v>569</v>
      </c>
      <c r="H817" s="24" t="s">
        <v>1270</v>
      </c>
      <c r="I817" s="4" t="s">
        <v>1010</v>
      </c>
      <c r="J817" s="24">
        <v>5</v>
      </c>
      <c r="K817" s="54" t="str">
        <f>VLOOKUP(J817,Ruimtegroepen[],2,FALSE)</f>
        <v>Sanitair</v>
      </c>
      <c r="L817" s="24" t="s">
        <v>305</v>
      </c>
      <c r="M817" s="24" t="s">
        <v>1008</v>
      </c>
      <c r="N817" s="83">
        <v>1.17</v>
      </c>
      <c r="O817" s="83"/>
      <c r="P817" s="93" t="str">
        <f>LEFT(VLOOKUP(Ruimtestaat[[#This Row],[Ruimte code]],Ruimtegroepen[#All],4,1),2)</f>
        <v>Sa</v>
      </c>
      <c r="Q817" s="93"/>
      <c r="R817" s="84">
        <v>42</v>
      </c>
      <c r="S817" s="84" t="s">
        <v>316</v>
      </c>
      <c r="T817" s="85">
        <f>IF(R817&gt;0,IF(RIGHT(Ruimtestaat[[#This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17" s="85">
        <f>IF(T817&gt;0,VLOOKUP($J817,Ruimtegroepen[],3,FALSE)*VLOOKUP($L817,Vloersoorten[],3,FALSE)*VLOOKUP($S817,Frequenties[],3,FALSE)*VLOOKUP($A817,Locaties[],3,FALSE),0)</f>
        <v>0</v>
      </c>
      <c r="V817" s="86">
        <f>Ruimtestaat[[#This Row],[Uitvoeringen werkdagen]]*Ruimtestaat[[#This Row],[Oppervlak (netto)]]</f>
        <v>491.4</v>
      </c>
      <c r="W817" s="87">
        <f>IF(U817&gt;0,Ruimtestaat[[#This Row],[Prest. (m2 /jaar) werkdagen]]/Ruimtestaat[[#This Row],[Norm (m2/uur) werkdagen]],0)</f>
        <v>0</v>
      </c>
      <c r="X817" s="88">
        <f>Ruimtestaat[[#This Row],[uren / jaar werkdagen]]*Tariefsopbouw!$E$35</f>
        <v>0</v>
      </c>
      <c r="Y817" s="85"/>
      <c r="Z817" s="89">
        <f>IF(Ruimtestaat[[#This Row],[Frequentie weekend]]&gt;0,VALUE(LEFT(Y817,1))*R817,0)</f>
        <v>0</v>
      </c>
      <c r="AA817" s="85">
        <f>IF($Z817&gt;0,VLOOKUP($J817,Ruimtegroepen[],3,FALSE)*VLOOKUP($L817,Vloersoorten[],3,FALSE)*VLOOKUP($Y817,Frequenties[],3,FALSE)*VLOOKUP(#REF!,Locaties[],3,FALSE),0)</f>
        <v>0</v>
      </c>
      <c r="AB817" s="87">
        <f>Ruimtestaat[[#This Row],[Uitvoeringen weekend]]*Ruimtestaat[[#This Row],[Oppervlak (netto)]]</f>
        <v>0</v>
      </c>
      <c r="AC817" s="90">
        <f>IF(AB817&gt;0,Ruimtestaat[[#This Row],[Prest. (m2 /jaar) weekend]]/Ruimtestaat[[#This Row],[Norm (m2/uur) weekend]],0)</f>
        <v>0</v>
      </c>
      <c r="AD817" s="91">
        <f>Ruimtestaat[[#This Row],[uren / jaar weekend]]*Tariefsopbouw!$D$40</f>
        <v>0</v>
      </c>
      <c r="AE817" s="60">
        <f>Ruimtestaat[[#This Row],[Prest. (m2 /jaar) weekend]]+Ruimtestaat[[#This Row],[Prest. (m2 /jaar) werkdagen]]</f>
        <v>491.4</v>
      </c>
      <c r="AF817" s="60">
        <f>Ruimtestaat[[#This Row],[uren / jaar weekend]]+Ruimtestaat[[#This Row],[uren / jaar werkdagen]]</f>
        <v>0</v>
      </c>
      <c r="AG817" s="61">
        <f>Ruimtestaat[[#This Row],[kosten / jaar weekend]]+Ruimtestaat[[#This Row],[kosten / jaar werkdagen]]</f>
        <v>0</v>
      </c>
      <c r="AH817" s="92"/>
      <c r="HL817" s="59"/>
    </row>
    <row r="818" spans="1:220">
      <c r="A818" s="24">
        <v>5</v>
      </c>
      <c r="B818" s="24" t="str">
        <f>VLOOKUP(Ruimtestaat[[#This Row],[Code]],Locaties[#All],2,FALSE)</f>
        <v>Marke Zuid</v>
      </c>
      <c r="C818" s="24" t="str">
        <f>VLOOKUP(Ruimtestaat[[#This Row],[Code]],Locaties[#All],4,FALSE)</f>
        <v>Ludgerstraat 1</v>
      </c>
      <c r="D818" s="24" t="str">
        <f>VLOOKUP(Ruimtestaat[[#This Row],[Code]],Locaties[#All],5,FALSE)</f>
        <v>7415 DV</v>
      </c>
      <c r="E818" s="24" t="str">
        <f>VLOOKUP(Ruimtestaat[[#This Row],[Code]],Locaties[#All],6,FALSE)</f>
        <v>Deventer</v>
      </c>
      <c r="F818" s="54"/>
      <c r="G818" s="24" t="s">
        <v>569</v>
      </c>
      <c r="H818" s="24" t="s">
        <v>1271</v>
      </c>
      <c r="I818" s="4" t="s">
        <v>691</v>
      </c>
      <c r="J818" s="24">
        <v>22</v>
      </c>
      <c r="K818" s="54" t="str">
        <f>VLOOKUP(J818,Ruimtegroepen[],2,FALSE)</f>
        <v>Niet in onderhoud</v>
      </c>
      <c r="L818" s="24" t="s">
        <v>305</v>
      </c>
      <c r="M818" s="24" t="s">
        <v>1008</v>
      </c>
      <c r="N818" s="83"/>
      <c r="O818" s="83">
        <v>0.9</v>
      </c>
      <c r="P818" s="93" t="str">
        <f>LEFT(VLOOKUP(Ruimtestaat[[#This Row],[Ruimte code]],Ruimtegroepen[#All],4,1),2)</f>
        <v/>
      </c>
      <c r="Q818" s="93"/>
      <c r="R818" s="84"/>
      <c r="S818" s="84"/>
      <c r="T818" s="85">
        <f>IF(R818&gt;0,IF(RIGHT(Ruimtestaat[[#This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18" s="85">
        <f>IF(T818&gt;0,VLOOKUP($J818,Ruimtegroepen[],3,FALSE)*VLOOKUP($L818,Vloersoorten[],3,FALSE)*VLOOKUP($S818,Frequenties[],3,FALSE)*VLOOKUP($A818,Locaties[],3,FALSE),0)</f>
        <v>0</v>
      </c>
      <c r="V818" s="86">
        <f>Ruimtestaat[[#This Row],[Uitvoeringen werkdagen]]*Ruimtestaat[[#This Row],[Oppervlak (netto)]]</f>
        <v>0</v>
      </c>
      <c r="W818" s="87">
        <f>IF(U818&gt;0,Ruimtestaat[[#This Row],[Prest. (m2 /jaar) werkdagen]]/Ruimtestaat[[#This Row],[Norm (m2/uur) werkdagen]],0)</f>
        <v>0</v>
      </c>
      <c r="X818" s="88">
        <f>Ruimtestaat[[#This Row],[uren / jaar werkdagen]]*Tariefsopbouw!$E$35</f>
        <v>0</v>
      </c>
      <c r="Y818" s="85"/>
      <c r="Z818" s="89">
        <f>IF(Ruimtestaat[[#This Row],[Frequentie weekend]]&gt;0,VALUE(LEFT(Y818,1))*R818,0)</f>
        <v>0</v>
      </c>
      <c r="AA818" s="85">
        <f>IF($Z818&gt;0,VLOOKUP($J818,Ruimtegroepen[],3,FALSE)*VLOOKUP($L818,Vloersoorten[],3,FALSE)*VLOOKUP($Y818,Frequenties[],3,FALSE)*VLOOKUP(#REF!,Locaties[],3,FALSE),0)</f>
        <v>0</v>
      </c>
      <c r="AB818" s="87">
        <f>Ruimtestaat[[#This Row],[Uitvoeringen weekend]]*Ruimtestaat[[#This Row],[Oppervlak (netto)]]</f>
        <v>0</v>
      </c>
      <c r="AC818" s="90">
        <f>IF(AB818&gt;0,Ruimtestaat[[#This Row],[Prest. (m2 /jaar) weekend]]/Ruimtestaat[[#This Row],[Norm (m2/uur) weekend]],0)</f>
        <v>0</v>
      </c>
      <c r="AD818" s="91">
        <f>Ruimtestaat[[#This Row],[uren / jaar weekend]]*Tariefsopbouw!$D$40</f>
        <v>0</v>
      </c>
      <c r="AE818" s="60">
        <f>Ruimtestaat[[#This Row],[Prest. (m2 /jaar) weekend]]+Ruimtestaat[[#This Row],[Prest. (m2 /jaar) werkdagen]]</f>
        <v>0</v>
      </c>
      <c r="AF818" s="60">
        <f>Ruimtestaat[[#This Row],[uren / jaar weekend]]+Ruimtestaat[[#This Row],[uren / jaar werkdagen]]</f>
        <v>0</v>
      </c>
      <c r="AG818" s="61">
        <f>Ruimtestaat[[#This Row],[kosten / jaar weekend]]+Ruimtestaat[[#This Row],[kosten / jaar werkdagen]]</f>
        <v>0</v>
      </c>
      <c r="AH818" s="92"/>
      <c r="HL818" s="59"/>
    </row>
    <row r="819" spans="1:220">
      <c r="A819" s="24">
        <v>5</v>
      </c>
      <c r="B819" s="24" t="str">
        <f>VLOOKUP(Ruimtestaat[[#This Row],[Code]],Locaties[#All],2,FALSE)</f>
        <v>Marke Zuid</v>
      </c>
      <c r="C819" s="24" t="str">
        <f>VLOOKUP(Ruimtestaat[[#This Row],[Code]],Locaties[#All],4,FALSE)</f>
        <v>Ludgerstraat 1</v>
      </c>
      <c r="D819" s="24" t="str">
        <f>VLOOKUP(Ruimtestaat[[#This Row],[Code]],Locaties[#All],5,FALSE)</f>
        <v>7415 DV</v>
      </c>
      <c r="E819" s="24" t="str">
        <f>VLOOKUP(Ruimtestaat[[#This Row],[Code]],Locaties[#All],6,FALSE)</f>
        <v>Deventer</v>
      </c>
      <c r="F819" s="54"/>
      <c r="G819" s="24" t="s">
        <v>569</v>
      </c>
      <c r="H819" s="24" t="s">
        <v>579</v>
      </c>
      <c r="I819" s="4" t="s">
        <v>1272</v>
      </c>
      <c r="J819" s="24">
        <v>2</v>
      </c>
      <c r="K819" s="54" t="str">
        <f>VLOOKUP(J819,Ruimtegroepen[],2,FALSE)</f>
        <v>Kantoren</v>
      </c>
      <c r="L819" s="24" t="s">
        <v>303</v>
      </c>
      <c r="M819" s="252" t="s">
        <v>1095</v>
      </c>
      <c r="N819" s="83">
        <v>42.58</v>
      </c>
      <c r="O819" s="83"/>
      <c r="P819" s="93" t="str">
        <f>LEFT(VLOOKUP(Ruimtestaat[[#This Row],[Ruimte code]],Ruimtegroepen[#All],4,1),2)</f>
        <v>Bu</v>
      </c>
      <c r="Q819" s="93"/>
      <c r="R819" s="84">
        <v>42</v>
      </c>
      <c r="S819" s="84" t="s">
        <v>322</v>
      </c>
      <c r="T819" s="85">
        <f>IF(R819&gt;0,IF(RIGHT(Ruimtestaat[[#This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19" s="85">
        <f>IF(T819&gt;0,VLOOKUP($J819,Ruimtegroepen[],3,FALSE)*VLOOKUP($L819,Vloersoorten[],3,FALSE)*VLOOKUP($S819,Frequenties[],3,FALSE)*VLOOKUP($A819,Locaties[],3,FALSE),0)</f>
        <v>0</v>
      </c>
      <c r="V819" s="86">
        <f>Ruimtestaat[[#This Row],[Uitvoeringen werkdagen]]*Ruimtestaat[[#This Row],[Oppervlak (netto)]]</f>
        <v>5365.08</v>
      </c>
      <c r="W819" s="87">
        <f>IF(U819&gt;0,Ruimtestaat[[#This Row],[Prest. (m2 /jaar) werkdagen]]/Ruimtestaat[[#This Row],[Norm (m2/uur) werkdagen]],0)</f>
        <v>0</v>
      </c>
      <c r="X819" s="88">
        <f>Ruimtestaat[[#This Row],[uren / jaar werkdagen]]*Tariefsopbouw!$E$35</f>
        <v>0</v>
      </c>
      <c r="Y819" s="85"/>
      <c r="Z819" s="89">
        <f>IF(Ruimtestaat[[#This Row],[Frequentie weekend]]&gt;0,VALUE(LEFT(Y819,1))*R819,0)</f>
        <v>0</v>
      </c>
      <c r="AA819" s="85">
        <f>IF($Z819&gt;0,VLOOKUP($J819,Ruimtegroepen[],3,FALSE)*VLOOKUP($L819,Vloersoorten[],3,FALSE)*VLOOKUP($Y819,Frequenties[],3,FALSE)*VLOOKUP(#REF!,Locaties[],3,FALSE),0)</f>
        <v>0</v>
      </c>
      <c r="AB819" s="87">
        <f>Ruimtestaat[[#This Row],[Uitvoeringen weekend]]*Ruimtestaat[[#This Row],[Oppervlak (netto)]]</f>
        <v>0</v>
      </c>
      <c r="AC819" s="90">
        <f>IF(AB819&gt;0,Ruimtestaat[[#This Row],[Prest. (m2 /jaar) weekend]]/Ruimtestaat[[#This Row],[Norm (m2/uur) weekend]],0)</f>
        <v>0</v>
      </c>
      <c r="AD819" s="91">
        <f>Ruimtestaat[[#This Row],[uren / jaar weekend]]*Tariefsopbouw!$D$40</f>
        <v>0</v>
      </c>
      <c r="AE819" s="60">
        <f>Ruimtestaat[[#This Row],[Prest. (m2 /jaar) weekend]]+Ruimtestaat[[#This Row],[Prest. (m2 /jaar) werkdagen]]</f>
        <v>5365.08</v>
      </c>
      <c r="AF819" s="60">
        <f>Ruimtestaat[[#This Row],[uren / jaar weekend]]+Ruimtestaat[[#This Row],[uren / jaar werkdagen]]</f>
        <v>0</v>
      </c>
      <c r="AG819" s="61">
        <f>Ruimtestaat[[#This Row],[kosten / jaar weekend]]+Ruimtestaat[[#This Row],[kosten / jaar werkdagen]]</f>
        <v>0</v>
      </c>
      <c r="AH819" s="92"/>
      <c r="HL819" s="59"/>
    </row>
    <row r="820" spans="1:220">
      <c r="A820" s="24">
        <v>5</v>
      </c>
      <c r="B820" s="24" t="str">
        <f>VLOOKUP(Ruimtestaat[[#This Row],[Code]],Locaties[#All],2,FALSE)</f>
        <v>Marke Zuid</v>
      </c>
      <c r="C820" s="24" t="str">
        <f>VLOOKUP(Ruimtestaat[[#This Row],[Code]],Locaties[#All],4,FALSE)</f>
        <v>Ludgerstraat 1</v>
      </c>
      <c r="D820" s="24" t="str">
        <f>VLOOKUP(Ruimtestaat[[#This Row],[Code]],Locaties[#All],5,FALSE)</f>
        <v>7415 DV</v>
      </c>
      <c r="E820" s="24" t="str">
        <f>VLOOKUP(Ruimtestaat[[#This Row],[Code]],Locaties[#All],6,FALSE)</f>
        <v>Deventer</v>
      </c>
      <c r="F820" s="54"/>
      <c r="G820" s="24" t="s">
        <v>569</v>
      </c>
      <c r="H820" s="24" t="s">
        <v>580</v>
      </c>
      <c r="I820" s="4" t="s">
        <v>1272</v>
      </c>
      <c r="J820" s="24">
        <v>2</v>
      </c>
      <c r="K820" s="54" t="str">
        <f>VLOOKUP(J820,Ruimtegroepen[],2,FALSE)</f>
        <v>Kantoren</v>
      </c>
      <c r="L820" s="24" t="s">
        <v>303</v>
      </c>
      <c r="M820" s="252" t="s">
        <v>1095</v>
      </c>
      <c r="N820" s="83">
        <v>41.71</v>
      </c>
      <c r="O820" s="83"/>
      <c r="P820" s="93" t="str">
        <f>LEFT(VLOOKUP(Ruimtestaat[[#This Row],[Ruimte code]],Ruimtegroepen[#All],4,1),2)</f>
        <v>Bu</v>
      </c>
      <c r="Q820" s="93"/>
      <c r="R820" s="84">
        <v>42</v>
      </c>
      <c r="S820" s="84" t="s">
        <v>322</v>
      </c>
      <c r="T820" s="85">
        <f>IF(R820&gt;0,IF(RIGHT(Ruimtestaat[[#This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0" s="85">
        <f>IF(T820&gt;0,VLOOKUP($J820,Ruimtegroepen[],3,FALSE)*VLOOKUP($L820,Vloersoorten[],3,FALSE)*VLOOKUP($S820,Frequenties[],3,FALSE)*VLOOKUP($A820,Locaties[],3,FALSE),0)</f>
        <v>0</v>
      </c>
      <c r="V820" s="86">
        <f>Ruimtestaat[[#This Row],[Uitvoeringen werkdagen]]*Ruimtestaat[[#This Row],[Oppervlak (netto)]]</f>
        <v>5255.46</v>
      </c>
      <c r="W820" s="87">
        <f>IF(U820&gt;0,Ruimtestaat[[#This Row],[Prest. (m2 /jaar) werkdagen]]/Ruimtestaat[[#This Row],[Norm (m2/uur) werkdagen]],0)</f>
        <v>0</v>
      </c>
      <c r="X820" s="88">
        <f>Ruimtestaat[[#This Row],[uren / jaar werkdagen]]*Tariefsopbouw!$E$35</f>
        <v>0</v>
      </c>
      <c r="Y820" s="85"/>
      <c r="Z820" s="89">
        <f>IF(Ruimtestaat[[#This Row],[Frequentie weekend]]&gt;0,VALUE(LEFT(Y820,1))*R820,0)</f>
        <v>0</v>
      </c>
      <c r="AA820" s="85">
        <f>IF($Z820&gt;0,VLOOKUP($J820,Ruimtegroepen[],3,FALSE)*VLOOKUP($L820,Vloersoorten[],3,FALSE)*VLOOKUP($Y820,Frequenties[],3,FALSE)*VLOOKUP(#REF!,Locaties[],3,FALSE),0)</f>
        <v>0</v>
      </c>
      <c r="AB820" s="87">
        <f>Ruimtestaat[[#This Row],[Uitvoeringen weekend]]*Ruimtestaat[[#This Row],[Oppervlak (netto)]]</f>
        <v>0</v>
      </c>
      <c r="AC820" s="90">
        <f>IF(AB820&gt;0,Ruimtestaat[[#This Row],[Prest. (m2 /jaar) weekend]]/Ruimtestaat[[#This Row],[Norm (m2/uur) weekend]],0)</f>
        <v>0</v>
      </c>
      <c r="AD820" s="91">
        <f>Ruimtestaat[[#This Row],[uren / jaar weekend]]*Tariefsopbouw!$D$40</f>
        <v>0</v>
      </c>
      <c r="AE820" s="60">
        <f>Ruimtestaat[[#This Row],[Prest. (m2 /jaar) weekend]]+Ruimtestaat[[#This Row],[Prest. (m2 /jaar) werkdagen]]</f>
        <v>5255.46</v>
      </c>
      <c r="AF820" s="60">
        <f>Ruimtestaat[[#This Row],[uren / jaar weekend]]+Ruimtestaat[[#This Row],[uren / jaar werkdagen]]</f>
        <v>0</v>
      </c>
      <c r="AG820" s="61">
        <f>Ruimtestaat[[#This Row],[kosten / jaar weekend]]+Ruimtestaat[[#This Row],[kosten / jaar werkdagen]]</f>
        <v>0</v>
      </c>
      <c r="AH820" s="92"/>
      <c r="HL820" s="59"/>
    </row>
    <row r="821" spans="1:220">
      <c r="A821" s="24">
        <v>5</v>
      </c>
      <c r="B821" s="24" t="str">
        <f>VLOOKUP(Ruimtestaat[[#This Row],[Code]],Locaties[#All],2,FALSE)</f>
        <v>Marke Zuid</v>
      </c>
      <c r="C821" s="24" t="str">
        <f>VLOOKUP(Ruimtestaat[[#This Row],[Code]],Locaties[#All],4,FALSE)</f>
        <v>Ludgerstraat 1</v>
      </c>
      <c r="D821" s="24" t="str">
        <f>VLOOKUP(Ruimtestaat[[#This Row],[Code]],Locaties[#All],5,FALSE)</f>
        <v>7415 DV</v>
      </c>
      <c r="E821" s="24" t="str">
        <f>VLOOKUP(Ruimtestaat[[#This Row],[Code]],Locaties[#All],6,FALSE)</f>
        <v>Deventer</v>
      </c>
      <c r="F821" s="54"/>
      <c r="G821" s="24" t="s">
        <v>569</v>
      </c>
      <c r="H821" s="24" t="s">
        <v>581</v>
      </c>
      <c r="I821" s="4" t="s">
        <v>1273</v>
      </c>
      <c r="J821" s="24">
        <v>22</v>
      </c>
      <c r="K821" s="54" t="str">
        <f>VLOOKUP(J821,Ruimtegroepen[],2,FALSE)</f>
        <v>Niet in onderhoud</v>
      </c>
      <c r="L821" s="24" t="s">
        <v>300</v>
      </c>
      <c r="M821" s="24" t="s">
        <v>997</v>
      </c>
      <c r="N821" s="83"/>
      <c r="O821" s="83">
        <v>27.69</v>
      </c>
      <c r="P821" s="93" t="str">
        <f>LEFT(VLOOKUP(Ruimtestaat[[#This Row],[Ruimte code]],Ruimtegroepen[#All],4,1),2)</f>
        <v/>
      </c>
      <c r="Q821" s="93"/>
      <c r="R821" s="84"/>
      <c r="S821" s="84"/>
      <c r="T821" s="85">
        <f>IF(R821&gt;0,IF(RIGHT(Ruimtestaat[[#This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21" s="85">
        <f>IF(T821&gt;0,VLOOKUP($J821,Ruimtegroepen[],3,FALSE)*VLOOKUP($L821,Vloersoorten[],3,FALSE)*VLOOKUP($S821,Frequenties[],3,FALSE)*VLOOKUP($A821,Locaties[],3,FALSE),0)</f>
        <v>0</v>
      </c>
      <c r="V821" s="86">
        <f>Ruimtestaat[[#This Row],[Uitvoeringen werkdagen]]*Ruimtestaat[[#This Row],[Oppervlak (netto)]]</f>
        <v>0</v>
      </c>
      <c r="W821" s="87">
        <f>IF(U821&gt;0,Ruimtestaat[[#This Row],[Prest. (m2 /jaar) werkdagen]]/Ruimtestaat[[#This Row],[Norm (m2/uur) werkdagen]],0)</f>
        <v>0</v>
      </c>
      <c r="X821" s="88">
        <f>Ruimtestaat[[#This Row],[uren / jaar werkdagen]]*Tariefsopbouw!$E$35</f>
        <v>0</v>
      </c>
      <c r="Y821" s="85"/>
      <c r="Z821" s="89">
        <f>IF(Ruimtestaat[[#This Row],[Frequentie weekend]]&gt;0,VALUE(LEFT(Y821,1))*R821,0)</f>
        <v>0</v>
      </c>
      <c r="AA821" s="85">
        <f>IF($Z821&gt;0,VLOOKUP($J821,Ruimtegroepen[],3,FALSE)*VLOOKUP($L821,Vloersoorten[],3,FALSE)*VLOOKUP($Y821,Frequenties[],3,FALSE)*VLOOKUP(#REF!,Locaties[],3,FALSE),0)</f>
        <v>0</v>
      </c>
      <c r="AB821" s="87">
        <f>Ruimtestaat[[#This Row],[Uitvoeringen weekend]]*Ruimtestaat[[#This Row],[Oppervlak (netto)]]</f>
        <v>0</v>
      </c>
      <c r="AC821" s="90">
        <f>IF(AB821&gt;0,Ruimtestaat[[#This Row],[Prest. (m2 /jaar) weekend]]/Ruimtestaat[[#This Row],[Norm (m2/uur) weekend]],0)</f>
        <v>0</v>
      </c>
      <c r="AD821" s="91">
        <f>Ruimtestaat[[#This Row],[uren / jaar weekend]]*Tariefsopbouw!$D$40</f>
        <v>0</v>
      </c>
      <c r="AE821" s="60">
        <f>Ruimtestaat[[#This Row],[Prest. (m2 /jaar) weekend]]+Ruimtestaat[[#This Row],[Prest. (m2 /jaar) werkdagen]]</f>
        <v>0</v>
      </c>
      <c r="AF821" s="60">
        <f>Ruimtestaat[[#This Row],[uren / jaar weekend]]+Ruimtestaat[[#This Row],[uren / jaar werkdagen]]</f>
        <v>0</v>
      </c>
      <c r="AG821" s="61">
        <f>Ruimtestaat[[#This Row],[kosten / jaar weekend]]+Ruimtestaat[[#This Row],[kosten / jaar werkdagen]]</f>
        <v>0</v>
      </c>
      <c r="AH821" s="92"/>
      <c r="HL821" s="59"/>
    </row>
    <row r="822" spans="1:220">
      <c r="A822" s="24">
        <v>5</v>
      </c>
      <c r="B822" s="24" t="str">
        <f>VLOOKUP(Ruimtestaat[[#This Row],[Code]],Locaties[#All],2,FALSE)</f>
        <v>Marke Zuid</v>
      </c>
      <c r="C822" s="24" t="str">
        <f>VLOOKUP(Ruimtestaat[[#This Row],[Code]],Locaties[#All],4,FALSE)</f>
        <v>Ludgerstraat 1</v>
      </c>
      <c r="D822" s="24" t="str">
        <f>VLOOKUP(Ruimtestaat[[#This Row],[Code]],Locaties[#All],5,FALSE)</f>
        <v>7415 DV</v>
      </c>
      <c r="E822" s="24" t="str">
        <f>VLOOKUP(Ruimtestaat[[#This Row],[Code]],Locaties[#All],6,FALSE)</f>
        <v>Deventer</v>
      </c>
      <c r="F822" s="54"/>
      <c r="G822" s="24" t="s">
        <v>569</v>
      </c>
      <c r="H822" s="24" t="s">
        <v>582</v>
      </c>
      <c r="I822" s="4" t="s">
        <v>1272</v>
      </c>
      <c r="J822" s="24">
        <v>2</v>
      </c>
      <c r="K822" s="54" t="str">
        <f>VLOOKUP(J822,Ruimtegroepen[],2,FALSE)</f>
        <v>Kantoren</v>
      </c>
      <c r="L822" s="24" t="s">
        <v>303</v>
      </c>
      <c r="M822" s="252" t="s">
        <v>1095</v>
      </c>
      <c r="N822" s="83">
        <v>55.5</v>
      </c>
      <c r="O822" s="83"/>
      <c r="P822" s="93" t="str">
        <f>LEFT(VLOOKUP(Ruimtestaat[[#This Row],[Ruimte code]],Ruimtegroepen[#All],4,1),2)</f>
        <v>Bu</v>
      </c>
      <c r="Q822" s="93"/>
      <c r="R822" s="84">
        <v>42</v>
      </c>
      <c r="S822" s="84" t="s">
        <v>322</v>
      </c>
      <c r="T822" s="85">
        <f>IF(R822&gt;0,IF(RIGHT(Ruimtestaat[[#This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2" s="85">
        <f>IF(T822&gt;0,VLOOKUP($J822,Ruimtegroepen[],3,FALSE)*VLOOKUP($L822,Vloersoorten[],3,FALSE)*VLOOKUP($S822,Frequenties[],3,FALSE)*VLOOKUP($A822,Locaties[],3,FALSE),0)</f>
        <v>0</v>
      </c>
      <c r="V822" s="86">
        <f>Ruimtestaat[[#This Row],[Uitvoeringen werkdagen]]*Ruimtestaat[[#This Row],[Oppervlak (netto)]]</f>
        <v>6993</v>
      </c>
      <c r="W822" s="87">
        <f>IF(U822&gt;0,Ruimtestaat[[#This Row],[Prest. (m2 /jaar) werkdagen]]/Ruimtestaat[[#This Row],[Norm (m2/uur) werkdagen]],0)</f>
        <v>0</v>
      </c>
      <c r="X822" s="88">
        <f>Ruimtestaat[[#This Row],[uren / jaar werkdagen]]*Tariefsopbouw!$E$35</f>
        <v>0</v>
      </c>
      <c r="Y822" s="85"/>
      <c r="Z822" s="89">
        <f>IF(Ruimtestaat[[#This Row],[Frequentie weekend]]&gt;0,VALUE(LEFT(Y822,1))*R822,0)</f>
        <v>0</v>
      </c>
      <c r="AA822" s="85">
        <f>IF($Z822&gt;0,VLOOKUP($J822,Ruimtegroepen[],3,FALSE)*VLOOKUP($L822,Vloersoorten[],3,FALSE)*VLOOKUP($Y822,Frequenties[],3,FALSE)*VLOOKUP(#REF!,Locaties[],3,FALSE),0)</f>
        <v>0</v>
      </c>
      <c r="AB822" s="87">
        <f>Ruimtestaat[[#This Row],[Uitvoeringen weekend]]*Ruimtestaat[[#This Row],[Oppervlak (netto)]]</f>
        <v>0</v>
      </c>
      <c r="AC822" s="90">
        <f>IF(AB822&gt;0,Ruimtestaat[[#This Row],[Prest. (m2 /jaar) weekend]]/Ruimtestaat[[#This Row],[Norm (m2/uur) weekend]],0)</f>
        <v>0</v>
      </c>
      <c r="AD822" s="91">
        <f>Ruimtestaat[[#This Row],[uren / jaar weekend]]*Tariefsopbouw!$D$40</f>
        <v>0</v>
      </c>
      <c r="AE822" s="60">
        <f>Ruimtestaat[[#This Row],[Prest. (m2 /jaar) weekend]]+Ruimtestaat[[#This Row],[Prest. (m2 /jaar) werkdagen]]</f>
        <v>6993</v>
      </c>
      <c r="AF822" s="60">
        <f>Ruimtestaat[[#This Row],[uren / jaar weekend]]+Ruimtestaat[[#This Row],[uren / jaar werkdagen]]</f>
        <v>0</v>
      </c>
      <c r="AG822" s="61">
        <f>Ruimtestaat[[#This Row],[kosten / jaar weekend]]+Ruimtestaat[[#This Row],[kosten / jaar werkdagen]]</f>
        <v>0</v>
      </c>
      <c r="AH822" s="92"/>
      <c r="HL822" s="59"/>
    </row>
    <row r="823" spans="1:220">
      <c r="A823" s="24">
        <v>5</v>
      </c>
      <c r="B823" s="24" t="str">
        <f>VLOOKUP(Ruimtestaat[[#This Row],[Code]],Locaties[#All],2,FALSE)</f>
        <v>Marke Zuid</v>
      </c>
      <c r="C823" s="24" t="str">
        <f>VLOOKUP(Ruimtestaat[[#This Row],[Code]],Locaties[#All],4,FALSE)</f>
        <v>Ludgerstraat 1</v>
      </c>
      <c r="D823" s="24" t="str">
        <f>VLOOKUP(Ruimtestaat[[#This Row],[Code]],Locaties[#All],5,FALSE)</f>
        <v>7415 DV</v>
      </c>
      <c r="E823" s="24" t="str">
        <f>VLOOKUP(Ruimtestaat[[#This Row],[Code]],Locaties[#All],6,FALSE)</f>
        <v>Deventer</v>
      </c>
      <c r="F823" s="54"/>
      <c r="G823" s="24" t="s">
        <v>569</v>
      </c>
      <c r="H823" s="24" t="s">
        <v>585</v>
      </c>
      <c r="I823" s="4" t="s">
        <v>1098</v>
      </c>
      <c r="J823" s="24">
        <v>16</v>
      </c>
      <c r="K823" s="54" t="str">
        <f>VLOOKUP(J823,Ruimtegroepen[],2,FALSE)</f>
        <v>Leslokalen theorie</v>
      </c>
      <c r="L823" s="24" t="s">
        <v>300</v>
      </c>
      <c r="M823" s="24" t="s">
        <v>997</v>
      </c>
      <c r="N823" s="83">
        <v>55.13</v>
      </c>
      <c r="O823" s="83"/>
      <c r="P823" s="93" t="str">
        <f>LEFT(VLOOKUP(Ruimtestaat[[#This Row],[Ruimte code]],Ruimtegroepen[#All],4,1),2)</f>
        <v>Le</v>
      </c>
      <c r="Q823" s="93"/>
      <c r="R823" s="84">
        <v>40</v>
      </c>
      <c r="S823" s="84" t="s">
        <v>318</v>
      </c>
      <c r="T823" s="85">
        <f>IF(R823&gt;0,IF(RIGHT(Ruimtestaat[[#This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3" s="85">
        <f>IF(T823&gt;0,VLOOKUP($J823,Ruimtegroepen[],3,FALSE)*VLOOKUP($L823,Vloersoorten[],3,FALSE)*VLOOKUP($S823,Frequenties[],3,FALSE)*VLOOKUP($A823,Locaties[],3,FALSE),0)</f>
        <v>0</v>
      </c>
      <c r="V823" s="86">
        <f>Ruimtestaat[[#This Row],[Uitvoeringen werkdagen]]*Ruimtestaat[[#This Row],[Oppervlak (netto)]]</f>
        <v>11026</v>
      </c>
      <c r="W823" s="87">
        <f>IF(U823&gt;0,Ruimtestaat[[#This Row],[Prest. (m2 /jaar) werkdagen]]/Ruimtestaat[[#This Row],[Norm (m2/uur) werkdagen]],0)</f>
        <v>0</v>
      </c>
      <c r="X823" s="88">
        <f>Ruimtestaat[[#This Row],[uren / jaar werkdagen]]*Tariefsopbouw!$E$35</f>
        <v>0</v>
      </c>
      <c r="Y823" s="85"/>
      <c r="Z823" s="89">
        <f>IF(Ruimtestaat[[#This Row],[Frequentie weekend]]&gt;0,VALUE(LEFT(Y823,1))*R823,0)</f>
        <v>0</v>
      </c>
      <c r="AA823" s="85">
        <f>IF($Z823&gt;0,VLOOKUP($J823,Ruimtegroepen[],3,FALSE)*VLOOKUP($L823,Vloersoorten[],3,FALSE)*VLOOKUP($Y823,Frequenties[],3,FALSE)*VLOOKUP(#REF!,Locaties[],3,FALSE),0)</f>
        <v>0</v>
      </c>
      <c r="AB823" s="87">
        <f>Ruimtestaat[[#This Row],[Uitvoeringen weekend]]*Ruimtestaat[[#This Row],[Oppervlak (netto)]]</f>
        <v>0</v>
      </c>
      <c r="AC823" s="90">
        <f>IF(AB823&gt;0,Ruimtestaat[[#This Row],[Prest. (m2 /jaar) weekend]]/Ruimtestaat[[#This Row],[Norm (m2/uur) weekend]],0)</f>
        <v>0</v>
      </c>
      <c r="AD823" s="91">
        <f>Ruimtestaat[[#This Row],[uren / jaar weekend]]*Tariefsopbouw!$D$40</f>
        <v>0</v>
      </c>
      <c r="AE823" s="60">
        <f>Ruimtestaat[[#This Row],[Prest. (m2 /jaar) weekend]]+Ruimtestaat[[#This Row],[Prest. (m2 /jaar) werkdagen]]</f>
        <v>11026</v>
      </c>
      <c r="AF823" s="60">
        <f>Ruimtestaat[[#This Row],[uren / jaar weekend]]+Ruimtestaat[[#This Row],[uren / jaar werkdagen]]</f>
        <v>0</v>
      </c>
      <c r="AG823" s="61">
        <f>Ruimtestaat[[#This Row],[kosten / jaar weekend]]+Ruimtestaat[[#This Row],[kosten / jaar werkdagen]]</f>
        <v>0</v>
      </c>
      <c r="AH823" s="92"/>
      <c r="HL823" s="59"/>
    </row>
    <row r="824" spans="1:220">
      <c r="A824" s="24">
        <v>5</v>
      </c>
      <c r="B824" s="24" t="str">
        <f>VLOOKUP(Ruimtestaat[[#This Row],[Code]],Locaties[#All],2,FALSE)</f>
        <v>Marke Zuid</v>
      </c>
      <c r="C824" s="24" t="str">
        <f>VLOOKUP(Ruimtestaat[[#This Row],[Code]],Locaties[#All],4,FALSE)</f>
        <v>Ludgerstraat 1</v>
      </c>
      <c r="D824" s="24" t="str">
        <f>VLOOKUP(Ruimtestaat[[#This Row],[Code]],Locaties[#All],5,FALSE)</f>
        <v>7415 DV</v>
      </c>
      <c r="E824" s="24" t="str">
        <f>VLOOKUP(Ruimtestaat[[#This Row],[Code]],Locaties[#All],6,FALSE)</f>
        <v>Deventer</v>
      </c>
      <c r="F824" s="54"/>
      <c r="G824" s="24" t="s">
        <v>569</v>
      </c>
      <c r="H824" s="24" t="s">
        <v>586</v>
      </c>
      <c r="I824" s="4" t="s">
        <v>941</v>
      </c>
      <c r="J824" s="24">
        <v>2</v>
      </c>
      <c r="K824" s="54" t="str">
        <f>VLOOKUP(J824,Ruimtegroepen[],2,FALSE)</f>
        <v>Kantoren</v>
      </c>
      <c r="L824" s="24" t="s">
        <v>300</v>
      </c>
      <c r="M824" s="24" t="s">
        <v>997</v>
      </c>
      <c r="N824" s="83">
        <v>26.8</v>
      </c>
      <c r="O824" s="83"/>
      <c r="P824" s="93" t="str">
        <f>LEFT(VLOOKUP(Ruimtestaat[[#This Row],[Ruimte code]],Ruimtegroepen[#All],4,1),2)</f>
        <v>Bu</v>
      </c>
      <c r="Q824" s="93"/>
      <c r="R824" s="84">
        <v>42</v>
      </c>
      <c r="S824" s="84" t="s">
        <v>322</v>
      </c>
      <c r="T824" s="85">
        <f>IF(R824&gt;0,IF(RIGHT(Ruimtestaat[[#This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4" s="85">
        <f>IF(T824&gt;0,VLOOKUP($J824,Ruimtegroepen[],3,FALSE)*VLOOKUP($L824,Vloersoorten[],3,FALSE)*VLOOKUP($S824,Frequenties[],3,FALSE)*VLOOKUP($A824,Locaties[],3,FALSE),0)</f>
        <v>0</v>
      </c>
      <c r="V824" s="86">
        <f>Ruimtestaat[[#This Row],[Uitvoeringen werkdagen]]*Ruimtestaat[[#This Row],[Oppervlak (netto)]]</f>
        <v>3376.8</v>
      </c>
      <c r="W824" s="87">
        <f>IF(U824&gt;0,Ruimtestaat[[#This Row],[Prest. (m2 /jaar) werkdagen]]/Ruimtestaat[[#This Row],[Norm (m2/uur) werkdagen]],0)</f>
        <v>0</v>
      </c>
      <c r="X824" s="88">
        <f>Ruimtestaat[[#This Row],[uren / jaar werkdagen]]*Tariefsopbouw!$E$35</f>
        <v>0</v>
      </c>
      <c r="Y824" s="85"/>
      <c r="Z824" s="89">
        <f>IF(Ruimtestaat[[#This Row],[Frequentie weekend]]&gt;0,VALUE(LEFT(Y824,1))*R824,0)</f>
        <v>0</v>
      </c>
      <c r="AA824" s="85">
        <f>IF($Z824&gt;0,VLOOKUP($J824,Ruimtegroepen[],3,FALSE)*VLOOKUP($L824,Vloersoorten[],3,FALSE)*VLOOKUP($Y824,Frequenties[],3,FALSE)*VLOOKUP(#REF!,Locaties[],3,FALSE),0)</f>
        <v>0</v>
      </c>
      <c r="AB824" s="87">
        <f>Ruimtestaat[[#This Row],[Uitvoeringen weekend]]*Ruimtestaat[[#This Row],[Oppervlak (netto)]]</f>
        <v>0</v>
      </c>
      <c r="AC824" s="90">
        <f>IF(AB824&gt;0,Ruimtestaat[[#This Row],[Prest. (m2 /jaar) weekend]]/Ruimtestaat[[#This Row],[Norm (m2/uur) weekend]],0)</f>
        <v>0</v>
      </c>
      <c r="AD824" s="91">
        <f>Ruimtestaat[[#This Row],[uren / jaar weekend]]*Tariefsopbouw!$D$40</f>
        <v>0</v>
      </c>
      <c r="AE824" s="60">
        <f>Ruimtestaat[[#This Row],[Prest. (m2 /jaar) weekend]]+Ruimtestaat[[#This Row],[Prest. (m2 /jaar) werkdagen]]</f>
        <v>3376.8</v>
      </c>
      <c r="AF824" s="60">
        <f>Ruimtestaat[[#This Row],[uren / jaar weekend]]+Ruimtestaat[[#This Row],[uren / jaar werkdagen]]</f>
        <v>0</v>
      </c>
      <c r="AG824" s="61">
        <f>Ruimtestaat[[#This Row],[kosten / jaar weekend]]+Ruimtestaat[[#This Row],[kosten / jaar werkdagen]]</f>
        <v>0</v>
      </c>
      <c r="AH824" s="92"/>
      <c r="HL824" s="59"/>
    </row>
    <row r="825" spans="1:220">
      <c r="A825" s="24">
        <v>5</v>
      </c>
      <c r="B825" s="24" t="str">
        <f>VLOOKUP(Ruimtestaat[[#This Row],[Code]],Locaties[#All],2,FALSE)</f>
        <v>Marke Zuid</v>
      </c>
      <c r="C825" s="24" t="str">
        <f>VLOOKUP(Ruimtestaat[[#This Row],[Code]],Locaties[#All],4,FALSE)</f>
        <v>Ludgerstraat 1</v>
      </c>
      <c r="D825" s="24" t="str">
        <f>VLOOKUP(Ruimtestaat[[#This Row],[Code]],Locaties[#All],5,FALSE)</f>
        <v>7415 DV</v>
      </c>
      <c r="E825" s="24" t="str">
        <f>VLOOKUP(Ruimtestaat[[#This Row],[Code]],Locaties[#All],6,FALSE)</f>
        <v>Deventer</v>
      </c>
      <c r="F825" s="54"/>
      <c r="G825" s="24" t="s">
        <v>569</v>
      </c>
      <c r="H825" s="24" t="s">
        <v>1274</v>
      </c>
      <c r="I825" s="4" t="s">
        <v>941</v>
      </c>
      <c r="J825" s="24">
        <v>2</v>
      </c>
      <c r="K825" s="54" t="str">
        <f>VLOOKUP(J825,Ruimtegroepen[],2,FALSE)</f>
        <v>Kantoren</v>
      </c>
      <c r="L825" s="24" t="s">
        <v>300</v>
      </c>
      <c r="M825" s="24" t="s">
        <v>997</v>
      </c>
      <c r="N825" s="83">
        <v>26.8</v>
      </c>
      <c r="O825" s="83"/>
      <c r="P825" s="93" t="str">
        <f>LEFT(VLOOKUP(Ruimtestaat[[#This Row],[Ruimte code]],Ruimtegroepen[#All],4,1),2)</f>
        <v>Bu</v>
      </c>
      <c r="Q825" s="93"/>
      <c r="R825" s="84">
        <v>42</v>
      </c>
      <c r="S825" s="84" t="s">
        <v>322</v>
      </c>
      <c r="T825" s="85">
        <f>IF(R825&gt;0,IF(RIGHT(Ruimtestaat[[#This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5" s="85">
        <f>IF(T825&gt;0,VLOOKUP($J825,Ruimtegroepen[],3,FALSE)*VLOOKUP($L825,Vloersoorten[],3,FALSE)*VLOOKUP($S825,Frequenties[],3,FALSE)*VLOOKUP($A825,Locaties[],3,FALSE),0)</f>
        <v>0</v>
      </c>
      <c r="V825" s="86">
        <f>Ruimtestaat[[#This Row],[Uitvoeringen werkdagen]]*Ruimtestaat[[#This Row],[Oppervlak (netto)]]</f>
        <v>3376.8</v>
      </c>
      <c r="W825" s="87">
        <f>IF(U825&gt;0,Ruimtestaat[[#This Row],[Prest. (m2 /jaar) werkdagen]]/Ruimtestaat[[#This Row],[Norm (m2/uur) werkdagen]],0)</f>
        <v>0</v>
      </c>
      <c r="X825" s="88">
        <f>Ruimtestaat[[#This Row],[uren / jaar werkdagen]]*Tariefsopbouw!$E$35</f>
        <v>0</v>
      </c>
      <c r="Y825" s="85"/>
      <c r="Z825" s="89">
        <f>IF(Ruimtestaat[[#This Row],[Frequentie weekend]]&gt;0,VALUE(LEFT(Y825,1))*R825,0)</f>
        <v>0</v>
      </c>
      <c r="AA825" s="85">
        <f>IF($Z825&gt;0,VLOOKUP($J825,Ruimtegroepen[],3,FALSE)*VLOOKUP($L825,Vloersoorten[],3,FALSE)*VLOOKUP($Y825,Frequenties[],3,FALSE)*VLOOKUP(#REF!,Locaties[],3,FALSE),0)</f>
        <v>0</v>
      </c>
      <c r="AB825" s="87">
        <f>Ruimtestaat[[#This Row],[Uitvoeringen weekend]]*Ruimtestaat[[#This Row],[Oppervlak (netto)]]</f>
        <v>0</v>
      </c>
      <c r="AC825" s="90">
        <f>IF(AB825&gt;0,Ruimtestaat[[#This Row],[Prest. (m2 /jaar) weekend]]/Ruimtestaat[[#This Row],[Norm (m2/uur) weekend]],0)</f>
        <v>0</v>
      </c>
      <c r="AD825" s="91">
        <f>Ruimtestaat[[#This Row],[uren / jaar weekend]]*Tariefsopbouw!$D$40</f>
        <v>0</v>
      </c>
      <c r="AE825" s="60">
        <f>Ruimtestaat[[#This Row],[Prest. (m2 /jaar) weekend]]+Ruimtestaat[[#This Row],[Prest. (m2 /jaar) werkdagen]]</f>
        <v>3376.8</v>
      </c>
      <c r="AF825" s="60">
        <f>Ruimtestaat[[#This Row],[uren / jaar weekend]]+Ruimtestaat[[#This Row],[uren / jaar werkdagen]]</f>
        <v>0</v>
      </c>
      <c r="AG825" s="61">
        <f>Ruimtestaat[[#This Row],[kosten / jaar weekend]]+Ruimtestaat[[#This Row],[kosten / jaar werkdagen]]</f>
        <v>0</v>
      </c>
      <c r="AH825" s="92"/>
      <c r="HL825" s="59"/>
    </row>
    <row r="826" spans="1:220">
      <c r="A826" s="24">
        <v>5</v>
      </c>
      <c r="B826" s="24" t="str">
        <f>VLOOKUP(Ruimtestaat[[#This Row],[Code]],Locaties[#All],2,FALSE)</f>
        <v>Marke Zuid</v>
      </c>
      <c r="C826" s="24" t="str">
        <f>VLOOKUP(Ruimtestaat[[#This Row],[Code]],Locaties[#All],4,FALSE)</f>
        <v>Ludgerstraat 1</v>
      </c>
      <c r="D826" s="24" t="str">
        <f>VLOOKUP(Ruimtestaat[[#This Row],[Code]],Locaties[#All],5,FALSE)</f>
        <v>7415 DV</v>
      </c>
      <c r="E826" s="24" t="str">
        <f>VLOOKUP(Ruimtestaat[[#This Row],[Code]],Locaties[#All],6,FALSE)</f>
        <v>Deventer</v>
      </c>
      <c r="F826" s="54"/>
      <c r="G826" s="24" t="s">
        <v>569</v>
      </c>
      <c r="H826" s="24" t="s">
        <v>587</v>
      </c>
      <c r="I826" s="4" t="s">
        <v>941</v>
      </c>
      <c r="J826" s="24">
        <v>2</v>
      </c>
      <c r="K826" s="54" t="str">
        <f>VLOOKUP(J826,Ruimtegroepen[],2,FALSE)</f>
        <v>Kantoren</v>
      </c>
      <c r="L826" s="24" t="s">
        <v>300</v>
      </c>
      <c r="M826" s="24" t="s">
        <v>997</v>
      </c>
      <c r="N826" s="83">
        <v>26.8</v>
      </c>
      <c r="O826" s="83"/>
      <c r="P826" s="93" t="str">
        <f>LEFT(VLOOKUP(Ruimtestaat[[#This Row],[Ruimte code]],Ruimtegroepen[#All],4,1),2)</f>
        <v>Bu</v>
      </c>
      <c r="Q826" s="93"/>
      <c r="R826" s="84">
        <v>42</v>
      </c>
      <c r="S826" s="84" t="s">
        <v>322</v>
      </c>
      <c r="T826" s="85">
        <f>IF(R826&gt;0,IF(RIGHT(Ruimtestaat[[#This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6" s="85">
        <f>IF(T826&gt;0,VLOOKUP($J826,Ruimtegroepen[],3,FALSE)*VLOOKUP($L826,Vloersoorten[],3,FALSE)*VLOOKUP($S826,Frequenties[],3,FALSE)*VLOOKUP($A826,Locaties[],3,FALSE),0)</f>
        <v>0</v>
      </c>
      <c r="V826" s="86">
        <f>Ruimtestaat[[#This Row],[Uitvoeringen werkdagen]]*Ruimtestaat[[#This Row],[Oppervlak (netto)]]</f>
        <v>3376.8</v>
      </c>
      <c r="W826" s="87">
        <f>IF(U826&gt;0,Ruimtestaat[[#This Row],[Prest. (m2 /jaar) werkdagen]]/Ruimtestaat[[#This Row],[Norm (m2/uur) werkdagen]],0)</f>
        <v>0</v>
      </c>
      <c r="X826" s="88">
        <f>Ruimtestaat[[#This Row],[uren / jaar werkdagen]]*Tariefsopbouw!$E$35</f>
        <v>0</v>
      </c>
      <c r="Y826" s="85"/>
      <c r="Z826" s="89">
        <f>IF(Ruimtestaat[[#This Row],[Frequentie weekend]]&gt;0,VALUE(LEFT(Y826,1))*R826,0)</f>
        <v>0</v>
      </c>
      <c r="AA826" s="85">
        <f>IF($Z826&gt;0,VLOOKUP($J826,Ruimtegroepen[],3,FALSE)*VLOOKUP($L826,Vloersoorten[],3,FALSE)*VLOOKUP($Y826,Frequenties[],3,FALSE)*VLOOKUP(#REF!,Locaties[],3,FALSE),0)</f>
        <v>0</v>
      </c>
      <c r="AB826" s="87">
        <f>Ruimtestaat[[#This Row],[Uitvoeringen weekend]]*Ruimtestaat[[#This Row],[Oppervlak (netto)]]</f>
        <v>0</v>
      </c>
      <c r="AC826" s="90">
        <f>IF(AB826&gt;0,Ruimtestaat[[#This Row],[Prest. (m2 /jaar) weekend]]/Ruimtestaat[[#This Row],[Norm (m2/uur) weekend]],0)</f>
        <v>0</v>
      </c>
      <c r="AD826" s="91">
        <f>Ruimtestaat[[#This Row],[uren / jaar weekend]]*Tariefsopbouw!$D$40</f>
        <v>0</v>
      </c>
      <c r="AE826" s="60">
        <f>Ruimtestaat[[#This Row],[Prest. (m2 /jaar) weekend]]+Ruimtestaat[[#This Row],[Prest. (m2 /jaar) werkdagen]]</f>
        <v>3376.8</v>
      </c>
      <c r="AF826" s="60">
        <f>Ruimtestaat[[#This Row],[uren / jaar weekend]]+Ruimtestaat[[#This Row],[uren / jaar werkdagen]]</f>
        <v>0</v>
      </c>
      <c r="AG826" s="61">
        <f>Ruimtestaat[[#This Row],[kosten / jaar weekend]]+Ruimtestaat[[#This Row],[kosten / jaar werkdagen]]</f>
        <v>0</v>
      </c>
      <c r="AH826" s="92"/>
      <c r="HL826" s="59"/>
    </row>
    <row r="827" spans="1:220">
      <c r="A827" s="24">
        <v>5</v>
      </c>
      <c r="B827" s="24" t="str">
        <f>VLOOKUP(Ruimtestaat[[#This Row],[Code]],Locaties[#All],2,FALSE)</f>
        <v>Marke Zuid</v>
      </c>
      <c r="C827" s="24" t="str">
        <f>VLOOKUP(Ruimtestaat[[#This Row],[Code]],Locaties[#All],4,FALSE)</f>
        <v>Ludgerstraat 1</v>
      </c>
      <c r="D827" s="24" t="str">
        <f>VLOOKUP(Ruimtestaat[[#This Row],[Code]],Locaties[#All],5,FALSE)</f>
        <v>7415 DV</v>
      </c>
      <c r="E827" s="24" t="str">
        <f>VLOOKUP(Ruimtestaat[[#This Row],[Code]],Locaties[#All],6,FALSE)</f>
        <v>Deventer</v>
      </c>
      <c r="F827" s="54"/>
      <c r="G827" s="24" t="s">
        <v>569</v>
      </c>
      <c r="H827" s="24" t="s">
        <v>1275</v>
      </c>
      <c r="I827" s="4" t="s">
        <v>1098</v>
      </c>
      <c r="J827" s="24">
        <v>16</v>
      </c>
      <c r="K827" s="54" t="str">
        <f>VLOOKUP(J827,Ruimtegroepen[],2,FALSE)</f>
        <v>Leslokalen theorie</v>
      </c>
      <c r="L827" s="24" t="s">
        <v>300</v>
      </c>
      <c r="M827" s="24" t="s">
        <v>997</v>
      </c>
      <c r="N827" s="83">
        <v>55.5</v>
      </c>
      <c r="O827" s="83"/>
      <c r="P827" s="93" t="str">
        <f>LEFT(VLOOKUP(Ruimtestaat[[#This Row],[Ruimte code]],Ruimtegroepen[#All],4,1),2)</f>
        <v>Le</v>
      </c>
      <c r="Q827" s="93"/>
      <c r="R827" s="84">
        <v>40</v>
      </c>
      <c r="S827" s="84" t="s">
        <v>318</v>
      </c>
      <c r="T827" s="85">
        <f>IF(R827&gt;0,IF(RIGHT(Ruimtestaat[[#This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7" s="85">
        <f>IF(T827&gt;0,VLOOKUP($J827,Ruimtegroepen[],3,FALSE)*VLOOKUP($L827,Vloersoorten[],3,FALSE)*VLOOKUP($S827,Frequenties[],3,FALSE)*VLOOKUP($A827,Locaties[],3,FALSE),0)</f>
        <v>0</v>
      </c>
      <c r="V827" s="86">
        <f>Ruimtestaat[[#This Row],[Uitvoeringen werkdagen]]*Ruimtestaat[[#This Row],[Oppervlak (netto)]]</f>
        <v>11100</v>
      </c>
      <c r="W827" s="87">
        <f>IF(U827&gt;0,Ruimtestaat[[#This Row],[Prest. (m2 /jaar) werkdagen]]/Ruimtestaat[[#This Row],[Norm (m2/uur) werkdagen]],0)</f>
        <v>0</v>
      </c>
      <c r="X827" s="88">
        <f>Ruimtestaat[[#This Row],[uren / jaar werkdagen]]*Tariefsopbouw!$E$35</f>
        <v>0</v>
      </c>
      <c r="Y827" s="85"/>
      <c r="Z827" s="89">
        <f>IF(Ruimtestaat[[#This Row],[Frequentie weekend]]&gt;0,VALUE(LEFT(Y827,1))*R827,0)</f>
        <v>0</v>
      </c>
      <c r="AA827" s="85">
        <f>IF($Z827&gt;0,VLOOKUP($J827,Ruimtegroepen[],3,FALSE)*VLOOKUP($L827,Vloersoorten[],3,FALSE)*VLOOKUP($Y827,Frequenties[],3,FALSE)*VLOOKUP(#REF!,Locaties[],3,FALSE),0)</f>
        <v>0</v>
      </c>
      <c r="AB827" s="87">
        <f>Ruimtestaat[[#This Row],[Uitvoeringen weekend]]*Ruimtestaat[[#This Row],[Oppervlak (netto)]]</f>
        <v>0</v>
      </c>
      <c r="AC827" s="90">
        <f>IF(AB827&gt;0,Ruimtestaat[[#This Row],[Prest. (m2 /jaar) weekend]]/Ruimtestaat[[#This Row],[Norm (m2/uur) weekend]],0)</f>
        <v>0</v>
      </c>
      <c r="AD827" s="91">
        <f>Ruimtestaat[[#This Row],[uren / jaar weekend]]*Tariefsopbouw!$D$40</f>
        <v>0</v>
      </c>
      <c r="AE827" s="60">
        <f>Ruimtestaat[[#This Row],[Prest. (m2 /jaar) weekend]]+Ruimtestaat[[#This Row],[Prest. (m2 /jaar) werkdagen]]</f>
        <v>11100</v>
      </c>
      <c r="AF827" s="60">
        <f>Ruimtestaat[[#This Row],[uren / jaar weekend]]+Ruimtestaat[[#This Row],[uren / jaar werkdagen]]</f>
        <v>0</v>
      </c>
      <c r="AG827" s="61">
        <f>Ruimtestaat[[#This Row],[kosten / jaar weekend]]+Ruimtestaat[[#This Row],[kosten / jaar werkdagen]]</f>
        <v>0</v>
      </c>
      <c r="AH827" s="92"/>
      <c r="HL827" s="59"/>
    </row>
    <row r="828" spans="1:220">
      <c r="A828" s="24">
        <v>5</v>
      </c>
      <c r="B828" s="24" t="str">
        <f>VLOOKUP(Ruimtestaat[[#This Row],[Code]],Locaties[#All],2,FALSE)</f>
        <v>Marke Zuid</v>
      </c>
      <c r="C828" s="24" t="str">
        <f>VLOOKUP(Ruimtestaat[[#This Row],[Code]],Locaties[#All],4,FALSE)</f>
        <v>Ludgerstraat 1</v>
      </c>
      <c r="D828" s="24" t="str">
        <f>VLOOKUP(Ruimtestaat[[#This Row],[Code]],Locaties[#All],5,FALSE)</f>
        <v>7415 DV</v>
      </c>
      <c r="E828" s="24" t="str">
        <f>VLOOKUP(Ruimtestaat[[#This Row],[Code]],Locaties[#All],6,FALSE)</f>
        <v>Deventer</v>
      </c>
      <c r="F828" s="54"/>
      <c r="G828" s="24" t="s">
        <v>569</v>
      </c>
      <c r="H828" s="24" t="s">
        <v>1276</v>
      </c>
      <c r="I828" s="4" t="s">
        <v>941</v>
      </c>
      <c r="J828" s="24">
        <v>2</v>
      </c>
      <c r="K828" s="54" t="str">
        <f>VLOOKUP(J828,Ruimtegroepen[],2,FALSE)</f>
        <v>Kantoren</v>
      </c>
      <c r="L828" s="24" t="s">
        <v>300</v>
      </c>
      <c r="M828" s="24" t="s">
        <v>997</v>
      </c>
      <c r="N828" s="83">
        <v>14.93</v>
      </c>
      <c r="O828" s="83"/>
      <c r="P828" s="93" t="str">
        <f>LEFT(VLOOKUP(Ruimtestaat[[#This Row],[Ruimte code]],Ruimtegroepen[#All],4,1),2)</f>
        <v>Bu</v>
      </c>
      <c r="Q828" s="93"/>
      <c r="R828" s="84">
        <v>42</v>
      </c>
      <c r="S828" s="84" t="s">
        <v>322</v>
      </c>
      <c r="T828" s="85">
        <f>IF(R828&gt;0,IF(RIGHT(Ruimtestaat[[#This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8" s="85">
        <f>IF(T828&gt;0,VLOOKUP($J828,Ruimtegroepen[],3,FALSE)*VLOOKUP($L828,Vloersoorten[],3,FALSE)*VLOOKUP($S828,Frequenties[],3,FALSE)*VLOOKUP($A828,Locaties[],3,FALSE),0)</f>
        <v>0</v>
      </c>
      <c r="V828" s="86">
        <f>Ruimtestaat[[#This Row],[Uitvoeringen werkdagen]]*Ruimtestaat[[#This Row],[Oppervlak (netto)]]</f>
        <v>1881.18</v>
      </c>
      <c r="W828" s="87">
        <f>IF(U828&gt;0,Ruimtestaat[[#This Row],[Prest. (m2 /jaar) werkdagen]]/Ruimtestaat[[#This Row],[Norm (m2/uur) werkdagen]],0)</f>
        <v>0</v>
      </c>
      <c r="X828" s="88">
        <f>Ruimtestaat[[#This Row],[uren / jaar werkdagen]]*Tariefsopbouw!$E$35</f>
        <v>0</v>
      </c>
      <c r="Y828" s="85"/>
      <c r="Z828" s="89">
        <f>IF(Ruimtestaat[[#This Row],[Frequentie weekend]]&gt;0,VALUE(LEFT(Y828,1))*R828,0)</f>
        <v>0</v>
      </c>
      <c r="AA828" s="85">
        <f>IF($Z828&gt;0,VLOOKUP($J828,Ruimtegroepen[],3,FALSE)*VLOOKUP($L828,Vloersoorten[],3,FALSE)*VLOOKUP($Y828,Frequenties[],3,FALSE)*VLOOKUP(#REF!,Locaties[],3,FALSE),0)</f>
        <v>0</v>
      </c>
      <c r="AB828" s="87">
        <f>Ruimtestaat[[#This Row],[Uitvoeringen weekend]]*Ruimtestaat[[#This Row],[Oppervlak (netto)]]</f>
        <v>0</v>
      </c>
      <c r="AC828" s="90">
        <f>IF(AB828&gt;0,Ruimtestaat[[#This Row],[Prest. (m2 /jaar) weekend]]/Ruimtestaat[[#This Row],[Norm (m2/uur) weekend]],0)</f>
        <v>0</v>
      </c>
      <c r="AD828" s="91">
        <f>Ruimtestaat[[#This Row],[uren / jaar weekend]]*Tariefsopbouw!$D$40</f>
        <v>0</v>
      </c>
      <c r="AE828" s="60">
        <f>Ruimtestaat[[#This Row],[Prest. (m2 /jaar) weekend]]+Ruimtestaat[[#This Row],[Prest. (m2 /jaar) werkdagen]]</f>
        <v>1881.18</v>
      </c>
      <c r="AF828" s="60">
        <f>Ruimtestaat[[#This Row],[uren / jaar weekend]]+Ruimtestaat[[#This Row],[uren / jaar werkdagen]]</f>
        <v>0</v>
      </c>
      <c r="AG828" s="61">
        <f>Ruimtestaat[[#This Row],[kosten / jaar weekend]]+Ruimtestaat[[#This Row],[kosten / jaar werkdagen]]</f>
        <v>0</v>
      </c>
      <c r="AH828" s="92"/>
      <c r="HL828" s="59"/>
    </row>
    <row r="829" spans="1:220">
      <c r="A829" s="24">
        <v>5</v>
      </c>
      <c r="B829" s="24" t="str">
        <f>VLOOKUP(Ruimtestaat[[#This Row],[Code]],Locaties[#All],2,FALSE)</f>
        <v>Marke Zuid</v>
      </c>
      <c r="C829" s="24" t="str">
        <f>VLOOKUP(Ruimtestaat[[#This Row],[Code]],Locaties[#All],4,FALSE)</f>
        <v>Ludgerstraat 1</v>
      </c>
      <c r="D829" s="24" t="str">
        <f>VLOOKUP(Ruimtestaat[[#This Row],[Code]],Locaties[#All],5,FALSE)</f>
        <v>7415 DV</v>
      </c>
      <c r="E829" s="24" t="str">
        <f>VLOOKUP(Ruimtestaat[[#This Row],[Code]],Locaties[#All],6,FALSE)</f>
        <v>Deventer</v>
      </c>
      <c r="F829" s="54"/>
      <c r="G829" s="24" t="s">
        <v>569</v>
      </c>
      <c r="H829" s="24" t="s">
        <v>1277</v>
      </c>
      <c r="I829" s="4" t="s">
        <v>394</v>
      </c>
      <c r="J829" s="24">
        <v>22</v>
      </c>
      <c r="K829" s="54" t="str">
        <f>VLOOKUP(J829,Ruimtegroepen[],2,FALSE)</f>
        <v>Niet in onderhoud</v>
      </c>
      <c r="L829" s="24" t="s">
        <v>300</v>
      </c>
      <c r="M829" s="24" t="s">
        <v>997</v>
      </c>
      <c r="N829" s="83"/>
      <c r="O829" s="83">
        <v>12.23</v>
      </c>
      <c r="P829" s="93" t="str">
        <f>LEFT(VLOOKUP(Ruimtestaat[[#This Row],[Ruimte code]],Ruimtegroepen[#All],4,1),2)</f>
        <v/>
      </c>
      <c r="Q829" s="93"/>
      <c r="R829" s="84"/>
      <c r="S829" s="84"/>
      <c r="T829" s="85">
        <f>IF(R829&gt;0,IF(RIGHT(Ruimtestaat[[#This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29" s="85">
        <f>IF(T829&gt;0,VLOOKUP($J829,Ruimtegroepen[],3,FALSE)*VLOOKUP($L829,Vloersoorten[],3,FALSE)*VLOOKUP($S829,Frequenties[],3,FALSE)*VLOOKUP($A829,Locaties[],3,FALSE),0)</f>
        <v>0</v>
      </c>
      <c r="V829" s="86">
        <f>Ruimtestaat[[#This Row],[Uitvoeringen werkdagen]]*Ruimtestaat[[#This Row],[Oppervlak (netto)]]</f>
        <v>0</v>
      </c>
      <c r="W829" s="87">
        <f>IF(U829&gt;0,Ruimtestaat[[#This Row],[Prest. (m2 /jaar) werkdagen]]/Ruimtestaat[[#This Row],[Norm (m2/uur) werkdagen]],0)</f>
        <v>0</v>
      </c>
      <c r="X829" s="88">
        <f>Ruimtestaat[[#This Row],[uren / jaar werkdagen]]*Tariefsopbouw!$E$35</f>
        <v>0</v>
      </c>
      <c r="Y829" s="85"/>
      <c r="Z829" s="89">
        <f>IF(Ruimtestaat[[#This Row],[Frequentie weekend]]&gt;0,VALUE(LEFT(Y829,1))*R829,0)</f>
        <v>0</v>
      </c>
      <c r="AA829" s="85">
        <f>IF($Z829&gt;0,VLOOKUP($J829,Ruimtegroepen[],3,FALSE)*VLOOKUP($L829,Vloersoorten[],3,FALSE)*VLOOKUP($Y829,Frequenties[],3,FALSE)*VLOOKUP(#REF!,Locaties[],3,FALSE),0)</f>
        <v>0</v>
      </c>
      <c r="AB829" s="87">
        <f>Ruimtestaat[[#This Row],[Uitvoeringen weekend]]*Ruimtestaat[[#This Row],[Oppervlak (netto)]]</f>
        <v>0</v>
      </c>
      <c r="AC829" s="90">
        <f>IF(AB829&gt;0,Ruimtestaat[[#This Row],[Prest. (m2 /jaar) weekend]]/Ruimtestaat[[#This Row],[Norm (m2/uur) weekend]],0)</f>
        <v>0</v>
      </c>
      <c r="AD829" s="91">
        <f>Ruimtestaat[[#This Row],[uren / jaar weekend]]*Tariefsopbouw!$D$40</f>
        <v>0</v>
      </c>
      <c r="AE829" s="60">
        <f>Ruimtestaat[[#This Row],[Prest. (m2 /jaar) weekend]]+Ruimtestaat[[#This Row],[Prest. (m2 /jaar) werkdagen]]</f>
        <v>0</v>
      </c>
      <c r="AF829" s="60">
        <f>Ruimtestaat[[#This Row],[uren / jaar weekend]]+Ruimtestaat[[#This Row],[uren / jaar werkdagen]]</f>
        <v>0</v>
      </c>
      <c r="AG829" s="61">
        <f>Ruimtestaat[[#This Row],[kosten / jaar weekend]]+Ruimtestaat[[#This Row],[kosten / jaar werkdagen]]</f>
        <v>0</v>
      </c>
      <c r="AH829" s="92"/>
      <c r="HL829" s="59"/>
    </row>
    <row r="830" spans="1:220">
      <c r="A830" s="24">
        <v>5</v>
      </c>
      <c r="B830" s="24" t="str">
        <f>VLOOKUP(Ruimtestaat[[#This Row],[Code]],Locaties[#All],2,FALSE)</f>
        <v>Marke Zuid</v>
      </c>
      <c r="C830" s="24" t="str">
        <f>VLOOKUP(Ruimtestaat[[#This Row],[Code]],Locaties[#All],4,FALSE)</f>
        <v>Ludgerstraat 1</v>
      </c>
      <c r="D830" s="24" t="str">
        <f>VLOOKUP(Ruimtestaat[[#This Row],[Code]],Locaties[#All],5,FALSE)</f>
        <v>7415 DV</v>
      </c>
      <c r="E830" s="24" t="str">
        <f>VLOOKUP(Ruimtestaat[[#This Row],[Code]],Locaties[#All],6,FALSE)</f>
        <v>Deventer</v>
      </c>
      <c r="F830" s="54"/>
      <c r="G830" s="24" t="s">
        <v>569</v>
      </c>
      <c r="H830" s="24" t="s">
        <v>768</v>
      </c>
      <c r="I830" s="4" t="s">
        <v>1101</v>
      </c>
      <c r="J830" s="24">
        <v>5</v>
      </c>
      <c r="K830" s="54" t="str">
        <f>VLOOKUP(J830,Ruimtegroepen[],2,FALSE)</f>
        <v>Sanitair</v>
      </c>
      <c r="L830" s="24" t="s">
        <v>305</v>
      </c>
      <c r="M830" s="24" t="s">
        <v>1008</v>
      </c>
      <c r="N830" s="83">
        <v>22.37</v>
      </c>
      <c r="O830" s="83"/>
      <c r="P830" s="93" t="str">
        <f>LEFT(VLOOKUP(Ruimtestaat[[#This Row],[Ruimte code]],Ruimtegroepen[#All],4,1),2)</f>
        <v>Sa</v>
      </c>
      <c r="Q830" s="93"/>
      <c r="R830" s="84">
        <v>42</v>
      </c>
      <c r="S830" s="84" t="s">
        <v>316</v>
      </c>
      <c r="T830" s="85">
        <f>IF(R830&gt;0,IF(RIGHT(Ruimtestaat[[#This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30" s="85">
        <f>IF(T830&gt;0,VLOOKUP($J830,Ruimtegroepen[],3,FALSE)*VLOOKUP($L830,Vloersoorten[],3,FALSE)*VLOOKUP($S830,Frequenties[],3,FALSE)*VLOOKUP($A830,Locaties[],3,FALSE),0)</f>
        <v>0</v>
      </c>
      <c r="V830" s="86">
        <f>Ruimtestaat[[#This Row],[Uitvoeringen werkdagen]]*Ruimtestaat[[#This Row],[Oppervlak (netto)]]</f>
        <v>9395.4</v>
      </c>
      <c r="W830" s="87">
        <f>IF(U830&gt;0,Ruimtestaat[[#This Row],[Prest. (m2 /jaar) werkdagen]]/Ruimtestaat[[#This Row],[Norm (m2/uur) werkdagen]],0)</f>
        <v>0</v>
      </c>
      <c r="X830" s="88">
        <f>Ruimtestaat[[#This Row],[uren / jaar werkdagen]]*Tariefsopbouw!$E$35</f>
        <v>0</v>
      </c>
      <c r="Y830" s="85"/>
      <c r="Z830" s="89">
        <f>IF(Ruimtestaat[[#This Row],[Frequentie weekend]]&gt;0,VALUE(LEFT(Y830,1))*R830,0)</f>
        <v>0</v>
      </c>
      <c r="AA830" s="85">
        <f>IF($Z830&gt;0,VLOOKUP($J830,Ruimtegroepen[],3,FALSE)*VLOOKUP($L830,Vloersoorten[],3,FALSE)*VLOOKUP($Y830,Frequenties[],3,FALSE)*VLOOKUP(#REF!,Locaties[],3,FALSE),0)</f>
        <v>0</v>
      </c>
      <c r="AB830" s="87">
        <f>Ruimtestaat[[#This Row],[Uitvoeringen weekend]]*Ruimtestaat[[#This Row],[Oppervlak (netto)]]</f>
        <v>0</v>
      </c>
      <c r="AC830" s="90">
        <f>IF(AB830&gt;0,Ruimtestaat[[#This Row],[Prest. (m2 /jaar) weekend]]/Ruimtestaat[[#This Row],[Norm (m2/uur) weekend]],0)</f>
        <v>0</v>
      </c>
      <c r="AD830" s="91">
        <f>Ruimtestaat[[#This Row],[uren / jaar weekend]]*Tariefsopbouw!$D$40</f>
        <v>0</v>
      </c>
      <c r="AE830" s="60">
        <f>Ruimtestaat[[#This Row],[Prest. (m2 /jaar) weekend]]+Ruimtestaat[[#This Row],[Prest. (m2 /jaar) werkdagen]]</f>
        <v>9395.4</v>
      </c>
      <c r="AF830" s="60">
        <f>Ruimtestaat[[#This Row],[uren / jaar weekend]]+Ruimtestaat[[#This Row],[uren / jaar werkdagen]]</f>
        <v>0</v>
      </c>
      <c r="AG830" s="61">
        <f>Ruimtestaat[[#This Row],[kosten / jaar weekend]]+Ruimtestaat[[#This Row],[kosten / jaar werkdagen]]</f>
        <v>0</v>
      </c>
      <c r="AH830" s="92"/>
      <c r="HL830" s="59"/>
    </row>
    <row r="831" spans="1:220">
      <c r="A831" s="24">
        <v>5</v>
      </c>
      <c r="B831" s="24" t="str">
        <f>VLOOKUP(Ruimtestaat[[#This Row],[Code]],Locaties[#All],2,FALSE)</f>
        <v>Marke Zuid</v>
      </c>
      <c r="C831" s="24" t="str">
        <f>VLOOKUP(Ruimtestaat[[#This Row],[Code]],Locaties[#All],4,FALSE)</f>
        <v>Ludgerstraat 1</v>
      </c>
      <c r="D831" s="24" t="str">
        <f>VLOOKUP(Ruimtestaat[[#This Row],[Code]],Locaties[#All],5,FALSE)</f>
        <v>7415 DV</v>
      </c>
      <c r="E831" s="24" t="str">
        <f>VLOOKUP(Ruimtestaat[[#This Row],[Code]],Locaties[#All],6,FALSE)</f>
        <v>Deventer</v>
      </c>
      <c r="F831" s="54"/>
      <c r="G831" s="24" t="s">
        <v>569</v>
      </c>
      <c r="H831" s="24" t="s">
        <v>1278</v>
      </c>
      <c r="I831" s="4" t="s">
        <v>691</v>
      </c>
      <c r="J831" s="24">
        <v>22</v>
      </c>
      <c r="K831" s="54" t="str">
        <f>VLOOKUP(J831,Ruimtegroepen[],2,FALSE)</f>
        <v>Niet in onderhoud</v>
      </c>
      <c r="L831" s="24" t="s">
        <v>305</v>
      </c>
      <c r="M831" s="24" t="s">
        <v>1008</v>
      </c>
      <c r="N831" s="83"/>
      <c r="O831" s="83">
        <v>1.89</v>
      </c>
      <c r="P831" s="93" t="str">
        <f>LEFT(VLOOKUP(Ruimtestaat[[#This Row],[Ruimte code]],Ruimtegroepen[#All],4,1),2)</f>
        <v/>
      </c>
      <c r="Q831" s="93"/>
      <c r="R831" s="84"/>
      <c r="S831" s="84"/>
      <c r="T831" s="85">
        <f>IF(R831&gt;0,IF(RIGHT(Ruimtestaat[[#This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31" s="85">
        <f>IF(T831&gt;0,VLOOKUP($J831,Ruimtegroepen[],3,FALSE)*VLOOKUP($L831,Vloersoorten[],3,FALSE)*VLOOKUP($S831,Frequenties[],3,FALSE)*VLOOKUP($A831,Locaties[],3,FALSE),0)</f>
        <v>0</v>
      </c>
      <c r="V831" s="86">
        <f>Ruimtestaat[[#This Row],[Uitvoeringen werkdagen]]*Ruimtestaat[[#This Row],[Oppervlak (netto)]]</f>
        <v>0</v>
      </c>
      <c r="W831" s="87">
        <f>IF(U831&gt;0,Ruimtestaat[[#This Row],[Prest. (m2 /jaar) werkdagen]]/Ruimtestaat[[#This Row],[Norm (m2/uur) werkdagen]],0)</f>
        <v>0</v>
      </c>
      <c r="X831" s="88">
        <f>Ruimtestaat[[#This Row],[uren / jaar werkdagen]]*Tariefsopbouw!$E$35</f>
        <v>0</v>
      </c>
      <c r="Y831" s="85"/>
      <c r="Z831" s="89">
        <f>IF(Ruimtestaat[[#This Row],[Frequentie weekend]]&gt;0,VALUE(LEFT(Y831,1))*R831,0)</f>
        <v>0</v>
      </c>
      <c r="AA831" s="85">
        <f>IF($Z831&gt;0,VLOOKUP($J831,Ruimtegroepen[],3,FALSE)*VLOOKUP($L831,Vloersoorten[],3,FALSE)*VLOOKUP($Y831,Frequenties[],3,FALSE)*VLOOKUP(#REF!,Locaties[],3,FALSE),0)</f>
        <v>0</v>
      </c>
      <c r="AB831" s="87">
        <f>Ruimtestaat[[#This Row],[Uitvoeringen weekend]]*Ruimtestaat[[#This Row],[Oppervlak (netto)]]</f>
        <v>0</v>
      </c>
      <c r="AC831" s="90">
        <f>IF(AB831&gt;0,Ruimtestaat[[#This Row],[Prest. (m2 /jaar) weekend]]/Ruimtestaat[[#This Row],[Norm (m2/uur) weekend]],0)</f>
        <v>0</v>
      </c>
      <c r="AD831" s="91">
        <f>Ruimtestaat[[#This Row],[uren / jaar weekend]]*Tariefsopbouw!$D$40</f>
        <v>0</v>
      </c>
      <c r="AE831" s="60">
        <f>Ruimtestaat[[#This Row],[Prest. (m2 /jaar) weekend]]+Ruimtestaat[[#This Row],[Prest. (m2 /jaar) werkdagen]]</f>
        <v>0</v>
      </c>
      <c r="AF831" s="60">
        <f>Ruimtestaat[[#This Row],[uren / jaar weekend]]+Ruimtestaat[[#This Row],[uren / jaar werkdagen]]</f>
        <v>0</v>
      </c>
      <c r="AG831" s="61">
        <f>Ruimtestaat[[#This Row],[kosten / jaar weekend]]+Ruimtestaat[[#This Row],[kosten / jaar werkdagen]]</f>
        <v>0</v>
      </c>
      <c r="AH831" s="92"/>
      <c r="HL831" s="59"/>
    </row>
    <row r="832" spans="1:220">
      <c r="A832" s="24">
        <v>5</v>
      </c>
      <c r="B832" s="24" t="str">
        <f>VLOOKUP(Ruimtestaat[[#This Row],[Code]],Locaties[#All],2,FALSE)</f>
        <v>Marke Zuid</v>
      </c>
      <c r="C832" s="24" t="str">
        <f>VLOOKUP(Ruimtestaat[[#This Row],[Code]],Locaties[#All],4,FALSE)</f>
        <v>Ludgerstraat 1</v>
      </c>
      <c r="D832" s="24" t="str">
        <f>VLOOKUP(Ruimtestaat[[#This Row],[Code]],Locaties[#All],5,FALSE)</f>
        <v>7415 DV</v>
      </c>
      <c r="E832" s="24" t="str">
        <f>VLOOKUP(Ruimtestaat[[#This Row],[Code]],Locaties[#All],6,FALSE)</f>
        <v>Deventer</v>
      </c>
      <c r="F832" s="54"/>
      <c r="G832" s="24" t="s">
        <v>569</v>
      </c>
      <c r="H832" s="24" t="s">
        <v>1279</v>
      </c>
      <c r="I832" s="4" t="s">
        <v>375</v>
      </c>
      <c r="J832" s="24">
        <v>22</v>
      </c>
      <c r="K832" s="54" t="str">
        <f>VLOOKUP(J832,Ruimtegroepen[],2,FALSE)</f>
        <v>Niet in onderhoud</v>
      </c>
      <c r="L832" s="24" t="s">
        <v>305</v>
      </c>
      <c r="M832" s="24" t="s">
        <v>1008</v>
      </c>
      <c r="N832" s="83"/>
      <c r="O832" s="83">
        <v>1.5</v>
      </c>
      <c r="P832" s="93" t="str">
        <f>LEFT(VLOOKUP(Ruimtestaat[[#This Row],[Ruimte code]],Ruimtegroepen[#All],4,1),2)</f>
        <v/>
      </c>
      <c r="Q832" s="93"/>
      <c r="R832" s="84"/>
      <c r="S832" s="84"/>
      <c r="T832" s="85">
        <f>IF(R832&gt;0,IF(RIGHT(Ruimtestaat[[#This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32" s="85">
        <f>IF(T832&gt;0,VLOOKUP($J832,Ruimtegroepen[],3,FALSE)*VLOOKUP($L832,Vloersoorten[],3,FALSE)*VLOOKUP($S832,Frequenties[],3,FALSE)*VLOOKUP($A832,Locaties[],3,FALSE),0)</f>
        <v>0</v>
      </c>
      <c r="V832" s="86">
        <f>Ruimtestaat[[#This Row],[Uitvoeringen werkdagen]]*Ruimtestaat[[#This Row],[Oppervlak (netto)]]</f>
        <v>0</v>
      </c>
      <c r="W832" s="87">
        <f>IF(U832&gt;0,Ruimtestaat[[#This Row],[Prest. (m2 /jaar) werkdagen]]/Ruimtestaat[[#This Row],[Norm (m2/uur) werkdagen]],0)</f>
        <v>0</v>
      </c>
      <c r="X832" s="88">
        <f>Ruimtestaat[[#This Row],[uren / jaar werkdagen]]*Tariefsopbouw!$E$35</f>
        <v>0</v>
      </c>
      <c r="Y832" s="85"/>
      <c r="Z832" s="89">
        <f>IF(Ruimtestaat[[#This Row],[Frequentie weekend]]&gt;0,VALUE(LEFT(Y832,1))*R832,0)</f>
        <v>0</v>
      </c>
      <c r="AA832" s="85">
        <f>IF($Z832&gt;0,VLOOKUP($J832,Ruimtegroepen[],3,FALSE)*VLOOKUP($L832,Vloersoorten[],3,FALSE)*VLOOKUP($Y832,Frequenties[],3,FALSE)*VLOOKUP(#REF!,Locaties[],3,FALSE),0)</f>
        <v>0</v>
      </c>
      <c r="AB832" s="87">
        <f>Ruimtestaat[[#This Row],[Uitvoeringen weekend]]*Ruimtestaat[[#This Row],[Oppervlak (netto)]]</f>
        <v>0</v>
      </c>
      <c r="AC832" s="90">
        <f>IF(AB832&gt;0,Ruimtestaat[[#This Row],[Prest. (m2 /jaar) weekend]]/Ruimtestaat[[#This Row],[Norm (m2/uur) weekend]],0)</f>
        <v>0</v>
      </c>
      <c r="AD832" s="91">
        <f>Ruimtestaat[[#This Row],[uren / jaar weekend]]*Tariefsopbouw!$D$40</f>
        <v>0</v>
      </c>
      <c r="AE832" s="60">
        <f>Ruimtestaat[[#This Row],[Prest. (m2 /jaar) weekend]]+Ruimtestaat[[#This Row],[Prest. (m2 /jaar) werkdagen]]</f>
        <v>0</v>
      </c>
      <c r="AF832" s="60">
        <f>Ruimtestaat[[#This Row],[uren / jaar weekend]]+Ruimtestaat[[#This Row],[uren / jaar werkdagen]]</f>
        <v>0</v>
      </c>
      <c r="AG832" s="61">
        <f>Ruimtestaat[[#This Row],[kosten / jaar weekend]]+Ruimtestaat[[#This Row],[kosten / jaar werkdagen]]</f>
        <v>0</v>
      </c>
      <c r="AH832" s="92"/>
      <c r="HL832" s="59"/>
    </row>
    <row r="833" spans="1:220">
      <c r="A833" s="24">
        <v>5</v>
      </c>
      <c r="B833" s="24" t="str">
        <f>VLOOKUP(Ruimtestaat[[#This Row],[Code]],Locaties[#All],2,FALSE)</f>
        <v>Marke Zuid</v>
      </c>
      <c r="C833" s="24" t="str">
        <f>VLOOKUP(Ruimtestaat[[#This Row],[Code]],Locaties[#All],4,FALSE)</f>
        <v>Ludgerstraat 1</v>
      </c>
      <c r="D833" s="24" t="str">
        <f>VLOOKUP(Ruimtestaat[[#This Row],[Code]],Locaties[#All],5,FALSE)</f>
        <v>7415 DV</v>
      </c>
      <c r="E833" s="24" t="str">
        <f>VLOOKUP(Ruimtestaat[[#This Row],[Code]],Locaties[#All],6,FALSE)</f>
        <v>Deventer</v>
      </c>
      <c r="F833" s="54"/>
      <c r="G833" s="24" t="s">
        <v>569</v>
      </c>
      <c r="H833" s="24" t="s">
        <v>588</v>
      </c>
      <c r="I833" s="4" t="s">
        <v>1098</v>
      </c>
      <c r="J833" s="24">
        <v>16</v>
      </c>
      <c r="K833" s="54" t="str">
        <f>VLOOKUP(J833,Ruimtegroepen[],2,FALSE)</f>
        <v>Leslokalen theorie</v>
      </c>
      <c r="L833" s="24" t="s">
        <v>300</v>
      </c>
      <c r="M833" s="24" t="s">
        <v>997</v>
      </c>
      <c r="N833" s="83">
        <v>83.87</v>
      </c>
      <c r="O833" s="83"/>
      <c r="P833" s="93" t="str">
        <f>LEFT(VLOOKUP(Ruimtestaat[[#This Row],[Ruimte code]],Ruimtegroepen[#All],4,1),2)</f>
        <v>Le</v>
      </c>
      <c r="Q833" s="93"/>
      <c r="R833" s="84">
        <v>40</v>
      </c>
      <c r="S833" s="84" t="s">
        <v>318</v>
      </c>
      <c r="T833" s="85">
        <f>IF(R833&gt;0,IF(RIGHT(Ruimtestaat[[#This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3" s="85">
        <f>IF(T833&gt;0,VLOOKUP($J833,Ruimtegroepen[],3,FALSE)*VLOOKUP($L833,Vloersoorten[],3,FALSE)*VLOOKUP($S833,Frequenties[],3,FALSE)*VLOOKUP($A833,Locaties[],3,FALSE),0)</f>
        <v>0</v>
      </c>
      <c r="V833" s="86">
        <f>Ruimtestaat[[#This Row],[Uitvoeringen werkdagen]]*Ruimtestaat[[#This Row],[Oppervlak (netto)]]</f>
        <v>16774</v>
      </c>
      <c r="W833" s="87">
        <f>IF(U833&gt;0,Ruimtestaat[[#This Row],[Prest. (m2 /jaar) werkdagen]]/Ruimtestaat[[#This Row],[Norm (m2/uur) werkdagen]],0)</f>
        <v>0</v>
      </c>
      <c r="X833" s="88">
        <f>Ruimtestaat[[#This Row],[uren / jaar werkdagen]]*Tariefsopbouw!$E$35</f>
        <v>0</v>
      </c>
      <c r="Y833" s="85"/>
      <c r="Z833" s="89">
        <f>IF(Ruimtestaat[[#This Row],[Frequentie weekend]]&gt;0,VALUE(LEFT(Y833,1))*R833,0)</f>
        <v>0</v>
      </c>
      <c r="AA833" s="85">
        <f>IF($Z833&gt;0,VLOOKUP($J833,Ruimtegroepen[],3,FALSE)*VLOOKUP($L833,Vloersoorten[],3,FALSE)*VLOOKUP($Y833,Frequenties[],3,FALSE)*VLOOKUP(#REF!,Locaties[],3,FALSE),0)</f>
        <v>0</v>
      </c>
      <c r="AB833" s="87">
        <f>Ruimtestaat[[#This Row],[Uitvoeringen weekend]]*Ruimtestaat[[#This Row],[Oppervlak (netto)]]</f>
        <v>0</v>
      </c>
      <c r="AC833" s="90">
        <f>IF(AB833&gt;0,Ruimtestaat[[#This Row],[Prest. (m2 /jaar) weekend]]/Ruimtestaat[[#This Row],[Norm (m2/uur) weekend]],0)</f>
        <v>0</v>
      </c>
      <c r="AD833" s="91">
        <f>Ruimtestaat[[#This Row],[uren / jaar weekend]]*Tariefsopbouw!$D$40</f>
        <v>0</v>
      </c>
      <c r="AE833" s="60">
        <f>Ruimtestaat[[#This Row],[Prest. (m2 /jaar) weekend]]+Ruimtestaat[[#This Row],[Prest. (m2 /jaar) werkdagen]]</f>
        <v>16774</v>
      </c>
      <c r="AF833" s="60">
        <f>Ruimtestaat[[#This Row],[uren / jaar weekend]]+Ruimtestaat[[#This Row],[uren / jaar werkdagen]]</f>
        <v>0</v>
      </c>
      <c r="AG833" s="61">
        <f>Ruimtestaat[[#This Row],[kosten / jaar weekend]]+Ruimtestaat[[#This Row],[kosten / jaar werkdagen]]</f>
        <v>0</v>
      </c>
      <c r="AH833" s="92"/>
      <c r="HL833" s="59"/>
    </row>
    <row r="834" spans="1:220">
      <c r="A834" s="24">
        <v>5</v>
      </c>
      <c r="B834" s="24" t="str">
        <f>VLOOKUP(Ruimtestaat[[#This Row],[Code]],Locaties[#All],2,FALSE)</f>
        <v>Marke Zuid</v>
      </c>
      <c r="C834" s="24" t="str">
        <f>VLOOKUP(Ruimtestaat[[#This Row],[Code]],Locaties[#All],4,FALSE)</f>
        <v>Ludgerstraat 1</v>
      </c>
      <c r="D834" s="24" t="str">
        <f>VLOOKUP(Ruimtestaat[[#This Row],[Code]],Locaties[#All],5,FALSE)</f>
        <v>7415 DV</v>
      </c>
      <c r="E834" s="24" t="str">
        <f>VLOOKUP(Ruimtestaat[[#This Row],[Code]],Locaties[#All],6,FALSE)</f>
        <v>Deventer</v>
      </c>
      <c r="F834" s="54"/>
      <c r="G834" s="24" t="s">
        <v>569</v>
      </c>
      <c r="H834" s="24" t="s">
        <v>591</v>
      </c>
      <c r="I834" s="4" t="s">
        <v>667</v>
      </c>
      <c r="J834" s="24">
        <v>22</v>
      </c>
      <c r="K834" s="54" t="str">
        <f>VLOOKUP(J834,Ruimtegroepen[],2,FALSE)</f>
        <v>Niet in onderhoud</v>
      </c>
      <c r="L834" s="24" t="s">
        <v>300</v>
      </c>
      <c r="M834" s="24" t="s">
        <v>997</v>
      </c>
      <c r="N834" s="83"/>
      <c r="O834" s="83">
        <v>18.37</v>
      </c>
      <c r="P834" s="93" t="str">
        <f>LEFT(VLOOKUP(Ruimtestaat[[#This Row],[Ruimte code]],Ruimtegroepen[#All],4,1),2)</f>
        <v/>
      </c>
      <c r="Q834" s="93"/>
      <c r="R834" s="84"/>
      <c r="S834" s="84"/>
      <c r="T834" s="85">
        <f>IF(R834&gt;0,IF(RIGHT(Ruimtestaat[[#This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34" s="85">
        <f>IF(T834&gt;0,VLOOKUP($J834,Ruimtegroepen[],3,FALSE)*VLOOKUP($L834,Vloersoorten[],3,FALSE)*VLOOKUP($S834,Frequenties[],3,FALSE)*VLOOKUP($A834,Locaties[],3,FALSE),0)</f>
        <v>0</v>
      </c>
      <c r="V834" s="86">
        <f>Ruimtestaat[[#This Row],[Uitvoeringen werkdagen]]*Ruimtestaat[[#This Row],[Oppervlak (netto)]]</f>
        <v>0</v>
      </c>
      <c r="W834" s="87">
        <f>IF(U834&gt;0,Ruimtestaat[[#This Row],[Prest. (m2 /jaar) werkdagen]]/Ruimtestaat[[#This Row],[Norm (m2/uur) werkdagen]],0)</f>
        <v>0</v>
      </c>
      <c r="X834" s="88">
        <f>Ruimtestaat[[#This Row],[uren / jaar werkdagen]]*Tariefsopbouw!$E$35</f>
        <v>0</v>
      </c>
      <c r="Y834" s="85"/>
      <c r="Z834" s="89">
        <f>IF(Ruimtestaat[[#This Row],[Frequentie weekend]]&gt;0,VALUE(LEFT(Y834,1))*R834,0)</f>
        <v>0</v>
      </c>
      <c r="AA834" s="85">
        <f>IF($Z834&gt;0,VLOOKUP($J834,Ruimtegroepen[],3,FALSE)*VLOOKUP($L834,Vloersoorten[],3,FALSE)*VLOOKUP($Y834,Frequenties[],3,FALSE)*VLOOKUP(#REF!,Locaties[],3,FALSE),0)</f>
        <v>0</v>
      </c>
      <c r="AB834" s="87">
        <f>Ruimtestaat[[#This Row],[Uitvoeringen weekend]]*Ruimtestaat[[#This Row],[Oppervlak (netto)]]</f>
        <v>0</v>
      </c>
      <c r="AC834" s="90">
        <f>IF(AB834&gt;0,Ruimtestaat[[#This Row],[Prest. (m2 /jaar) weekend]]/Ruimtestaat[[#This Row],[Norm (m2/uur) weekend]],0)</f>
        <v>0</v>
      </c>
      <c r="AD834" s="91">
        <f>Ruimtestaat[[#This Row],[uren / jaar weekend]]*Tariefsopbouw!$D$40</f>
        <v>0</v>
      </c>
      <c r="AE834" s="60">
        <f>Ruimtestaat[[#This Row],[Prest. (m2 /jaar) weekend]]+Ruimtestaat[[#This Row],[Prest. (m2 /jaar) werkdagen]]</f>
        <v>0</v>
      </c>
      <c r="AF834" s="60">
        <f>Ruimtestaat[[#This Row],[uren / jaar weekend]]+Ruimtestaat[[#This Row],[uren / jaar werkdagen]]</f>
        <v>0</v>
      </c>
      <c r="AG834" s="61">
        <f>Ruimtestaat[[#This Row],[kosten / jaar weekend]]+Ruimtestaat[[#This Row],[kosten / jaar werkdagen]]</f>
        <v>0</v>
      </c>
      <c r="AH834" s="92"/>
      <c r="HL834" s="59"/>
    </row>
    <row r="835" spans="1:220">
      <c r="A835" s="24">
        <v>5</v>
      </c>
      <c r="B835" s="24" t="str">
        <f>VLOOKUP(Ruimtestaat[[#This Row],[Code]],Locaties[#All],2,FALSE)</f>
        <v>Marke Zuid</v>
      </c>
      <c r="C835" s="24" t="str">
        <f>VLOOKUP(Ruimtestaat[[#This Row],[Code]],Locaties[#All],4,FALSE)</f>
        <v>Ludgerstraat 1</v>
      </c>
      <c r="D835" s="24" t="str">
        <f>VLOOKUP(Ruimtestaat[[#This Row],[Code]],Locaties[#All],5,FALSE)</f>
        <v>7415 DV</v>
      </c>
      <c r="E835" s="24" t="str">
        <f>VLOOKUP(Ruimtestaat[[#This Row],[Code]],Locaties[#All],6,FALSE)</f>
        <v>Deventer</v>
      </c>
      <c r="F835" s="54"/>
      <c r="G835" s="24" t="s">
        <v>569</v>
      </c>
      <c r="H835" s="24" t="s">
        <v>593</v>
      </c>
      <c r="I835" s="4" t="s">
        <v>667</v>
      </c>
      <c r="J835" s="24">
        <v>22</v>
      </c>
      <c r="K835" s="54" t="str">
        <f>VLOOKUP(J835,Ruimtegroepen[],2,FALSE)</f>
        <v>Niet in onderhoud</v>
      </c>
      <c r="L835" s="24" t="s">
        <v>300</v>
      </c>
      <c r="M835" s="24" t="s">
        <v>997</v>
      </c>
      <c r="N835" s="83"/>
      <c r="O835" s="83">
        <v>22.9</v>
      </c>
      <c r="P835" s="93" t="str">
        <f>LEFT(VLOOKUP(Ruimtestaat[[#This Row],[Ruimte code]],Ruimtegroepen[#All],4,1),2)</f>
        <v/>
      </c>
      <c r="Q835" s="93"/>
      <c r="R835" s="84"/>
      <c r="S835" s="84"/>
      <c r="T835" s="85">
        <f>IF(R835&gt;0,IF(RIGHT(Ruimtestaat[[#This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35" s="85">
        <f>IF(T835&gt;0,VLOOKUP($J835,Ruimtegroepen[],3,FALSE)*VLOOKUP($L835,Vloersoorten[],3,FALSE)*VLOOKUP($S835,Frequenties[],3,FALSE)*VLOOKUP($A835,Locaties[],3,FALSE),0)</f>
        <v>0</v>
      </c>
      <c r="V835" s="86">
        <f>Ruimtestaat[[#This Row],[Uitvoeringen werkdagen]]*Ruimtestaat[[#This Row],[Oppervlak (netto)]]</f>
        <v>0</v>
      </c>
      <c r="W835" s="87">
        <f>IF(U835&gt;0,Ruimtestaat[[#This Row],[Prest. (m2 /jaar) werkdagen]]/Ruimtestaat[[#This Row],[Norm (m2/uur) werkdagen]],0)</f>
        <v>0</v>
      </c>
      <c r="X835" s="88">
        <f>Ruimtestaat[[#This Row],[uren / jaar werkdagen]]*Tariefsopbouw!$E$35</f>
        <v>0</v>
      </c>
      <c r="Y835" s="85"/>
      <c r="Z835" s="89">
        <f>IF(Ruimtestaat[[#This Row],[Frequentie weekend]]&gt;0,VALUE(LEFT(Y835,1))*R835,0)</f>
        <v>0</v>
      </c>
      <c r="AA835" s="85">
        <f>IF($Z835&gt;0,VLOOKUP($J835,Ruimtegroepen[],3,FALSE)*VLOOKUP($L835,Vloersoorten[],3,FALSE)*VLOOKUP($Y835,Frequenties[],3,FALSE)*VLOOKUP(#REF!,Locaties[],3,FALSE),0)</f>
        <v>0</v>
      </c>
      <c r="AB835" s="87">
        <f>Ruimtestaat[[#This Row],[Uitvoeringen weekend]]*Ruimtestaat[[#This Row],[Oppervlak (netto)]]</f>
        <v>0</v>
      </c>
      <c r="AC835" s="90">
        <f>IF(AB835&gt;0,Ruimtestaat[[#This Row],[Prest. (m2 /jaar) weekend]]/Ruimtestaat[[#This Row],[Norm (m2/uur) weekend]],0)</f>
        <v>0</v>
      </c>
      <c r="AD835" s="91">
        <f>Ruimtestaat[[#This Row],[uren / jaar weekend]]*Tariefsopbouw!$D$40</f>
        <v>0</v>
      </c>
      <c r="AE835" s="60">
        <f>Ruimtestaat[[#This Row],[Prest. (m2 /jaar) weekend]]+Ruimtestaat[[#This Row],[Prest. (m2 /jaar) werkdagen]]</f>
        <v>0</v>
      </c>
      <c r="AF835" s="60">
        <f>Ruimtestaat[[#This Row],[uren / jaar weekend]]+Ruimtestaat[[#This Row],[uren / jaar werkdagen]]</f>
        <v>0</v>
      </c>
      <c r="AG835" s="61">
        <f>Ruimtestaat[[#This Row],[kosten / jaar weekend]]+Ruimtestaat[[#This Row],[kosten / jaar werkdagen]]</f>
        <v>0</v>
      </c>
      <c r="AH835" s="92"/>
      <c r="HL835" s="59"/>
    </row>
    <row r="836" spans="1:220">
      <c r="A836" s="24">
        <v>5</v>
      </c>
      <c r="B836" s="24" t="str">
        <f>VLOOKUP(Ruimtestaat[[#This Row],[Code]],Locaties[#All],2,FALSE)</f>
        <v>Marke Zuid</v>
      </c>
      <c r="C836" s="24" t="str">
        <f>VLOOKUP(Ruimtestaat[[#This Row],[Code]],Locaties[#All],4,FALSE)</f>
        <v>Ludgerstraat 1</v>
      </c>
      <c r="D836" s="24" t="str">
        <f>VLOOKUP(Ruimtestaat[[#This Row],[Code]],Locaties[#All],5,FALSE)</f>
        <v>7415 DV</v>
      </c>
      <c r="E836" s="24" t="str">
        <f>VLOOKUP(Ruimtestaat[[#This Row],[Code]],Locaties[#All],6,FALSE)</f>
        <v>Deventer</v>
      </c>
      <c r="F836" s="54"/>
      <c r="G836" s="24" t="s">
        <v>569</v>
      </c>
      <c r="H836" s="24" t="s">
        <v>595</v>
      </c>
      <c r="I836" s="4" t="s">
        <v>1243</v>
      </c>
      <c r="J836" s="24">
        <v>10</v>
      </c>
      <c r="K836" s="54" t="str">
        <f>VLOOKUP(J836,Ruimtegroepen[],2,FALSE)</f>
        <v>Trappenhuizen/lift</v>
      </c>
      <c r="L836" s="24" t="s">
        <v>300</v>
      </c>
      <c r="M836" s="24" t="s">
        <v>997</v>
      </c>
      <c r="N836" s="83">
        <v>15.11</v>
      </c>
      <c r="O836" s="83"/>
      <c r="P836" s="93" t="str">
        <f>LEFT(VLOOKUP(Ruimtestaat[[#This Row],[Ruimte code]],Ruimtegroepen[#All],4,1),2)</f>
        <v>Ve</v>
      </c>
      <c r="Q836" s="93"/>
      <c r="R836" s="84">
        <v>40</v>
      </c>
      <c r="S836" s="84" t="s">
        <v>318</v>
      </c>
      <c r="T836" s="85">
        <f>IF(R836&gt;0,IF(RIGHT(Ruimtestaat[[#This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6" s="85">
        <f>IF(T836&gt;0,VLOOKUP($J836,Ruimtegroepen[],3,FALSE)*VLOOKUP($L836,Vloersoorten[],3,FALSE)*VLOOKUP($S836,Frequenties[],3,FALSE)*VLOOKUP($A836,Locaties[],3,FALSE),0)</f>
        <v>0</v>
      </c>
      <c r="V836" s="86">
        <f>Ruimtestaat[[#This Row],[Uitvoeringen werkdagen]]*Ruimtestaat[[#This Row],[Oppervlak (netto)]]</f>
        <v>3022</v>
      </c>
      <c r="W836" s="87">
        <f>IF(U836&gt;0,Ruimtestaat[[#This Row],[Prest. (m2 /jaar) werkdagen]]/Ruimtestaat[[#This Row],[Norm (m2/uur) werkdagen]],0)</f>
        <v>0</v>
      </c>
      <c r="X836" s="88">
        <f>Ruimtestaat[[#This Row],[uren / jaar werkdagen]]*Tariefsopbouw!$E$35</f>
        <v>0</v>
      </c>
      <c r="Y836" s="85"/>
      <c r="Z836" s="89">
        <f>IF(Ruimtestaat[[#This Row],[Frequentie weekend]]&gt;0,VALUE(LEFT(Y836,1))*R836,0)</f>
        <v>0</v>
      </c>
      <c r="AA836" s="85">
        <f>IF($Z836&gt;0,VLOOKUP($J836,Ruimtegroepen[],3,FALSE)*VLOOKUP($L836,Vloersoorten[],3,FALSE)*VLOOKUP($Y836,Frequenties[],3,FALSE)*VLOOKUP(#REF!,Locaties[],3,FALSE),0)</f>
        <v>0</v>
      </c>
      <c r="AB836" s="87">
        <f>Ruimtestaat[[#This Row],[Uitvoeringen weekend]]*Ruimtestaat[[#This Row],[Oppervlak (netto)]]</f>
        <v>0</v>
      </c>
      <c r="AC836" s="90">
        <f>IF(AB836&gt;0,Ruimtestaat[[#This Row],[Prest. (m2 /jaar) weekend]]/Ruimtestaat[[#This Row],[Norm (m2/uur) weekend]],0)</f>
        <v>0</v>
      </c>
      <c r="AD836" s="91">
        <f>Ruimtestaat[[#This Row],[uren / jaar weekend]]*Tariefsopbouw!$D$40</f>
        <v>0</v>
      </c>
      <c r="AE836" s="60">
        <f>Ruimtestaat[[#This Row],[Prest. (m2 /jaar) weekend]]+Ruimtestaat[[#This Row],[Prest. (m2 /jaar) werkdagen]]</f>
        <v>3022</v>
      </c>
      <c r="AF836" s="60">
        <f>Ruimtestaat[[#This Row],[uren / jaar weekend]]+Ruimtestaat[[#This Row],[uren / jaar werkdagen]]</f>
        <v>0</v>
      </c>
      <c r="AG836" s="61">
        <f>Ruimtestaat[[#This Row],[kosten / jaar weekend]]+Ruimtestaat[[#This Row],[kosten / jaar werkdagen]]</f>
        <v>0</v>
      </c>
      <c r="AH836" s="92"/>
      <c r="HL836" s="59"/>
    </row>
    <row r="837" spans="1:220">
      <c r="A837" s="24">
        <v>5</v>
      </c>
      <c r="B837" s="24" t="str">
        <f>VLOOKUP(Ruimtestaat[[#This Row],[Code]],Locaties[#All],2,FALSE)</f>
        <v>Marke Zuid</v>
      </c>
      <c r="C837" s="24" t="str">
        <f>VLOOKUP(Ruimtestaat[[#This Row],[Code]],Locaties[#All],4,FALSE)</f>
        <v>Ludgerstraat 1</v>
      </c>
      <c r="D837" s="24" t="str">
        <f>VLOOKUP(Ruimtestaat[[#This Row],[Code]],Locaties[#All],5,FALSE)</f>
        <v>7415 DV</v>
      </c>
      <c r="E837" s="24" t="str">
        <f>VLOOKUP(Ruimtestaat[[#This Row],[Code]],Locaties[#All],6,FALSE)</f>
        <v>Deventer</v>
      </c>
      <c r="F837" s="54"/>
      <c r="G837" s="24" t="s">
        <v>569</v>
      </c>
      <c r="H837" s="24" t="s">
        <v>1280</v>
      </c>
      <c r="I837" s="4" t="s">
        <v>1243</v>
      </c>
      <c r="J837" s="24">
        <v>10</v>
      </c>
      <c r="K837" s="54" t="str">
        <f>VLOOKUP(J837,Ruimtegroepen[],2,FALSE)</f>
        <v>Trappenhuizen/lift</v>
      </c>
      <c r="L837" s="24" t="s">
        <v>300</v>
      </c>
      <c r="M837" s="24" t="s">
        <v>997</v>
      </c>
      <c r="N837" s="83">
        <v>14.98</v>
      </c>
      <c r="O837" s="83"/>
      <c r="P837" s="93" t="str">
        <f>LEFT(VLOOKUP(Ruimtestaat[[#This Row],[Ruimte code]],Ruimtegroepen[#All],4,1),2)</f>
        <v>Ve</v>
      </c>
      <c r="Q837" s="93"/>
      <c r="R837" s="84">
        <v>40</v>
      </c>
      <c r="S837" s="84" t="s">
        <v>318</v>
      </c>
      <c r="T837" s="85">
        <f>IF(R837&gt;0,IF(RIGHT(Ruimtestaat[[#This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7" s="85">
        <f>IF(T837&gt;0,VLOOKUP($J837,Ruimtegroepen[],3,FALSE)*VLOOKUP($L837,Vloersoorten[],3,FALSE)*VLOOKUP($S837,Frequenties[],3,FALSE)*VLOOKUP($A837,Locaties[],3,FALSE),0)</f>
        <v>0</v>
      </c>
      <c r="V837" s="86">
        <f>Ruimtestaat[[#This Row],[Uitvoeringen werkdagen]]*Ruimtestaat[[#This Row],[Oppervlak (netto)]]</f>
        <v>2996</v>
      </c>
      <c r="W837" s="87">
        <f>IF(U837&gt;0,Ruimtestaat[[#This Row],[Prest. (m2 /jaar) werkdagen]]/Ruimtestaat[[#This Row],[Norm (m2/uur) werkdagen]],0)</f>
        <v>0</v>
      </c>
      <c r="X837" s="88">
        <f>Ruimtestaat[[#This Row],[uren / jaar werkdagen]]*Tariefsopbouw!$E$35</f>
        <v>0</v>
      </c>
      <c r="Y837" s="85"/>
      <c r="Z837" s="89">
        <f>IF(Ruimtestaat[[#This Row],[Frequentie weekend]]&gt;0,VALUE(LEFT(Y837,1))*R837,0)</f>
        <v>0</v>
      </c>
      <c r="AA837" s="85">
        <f>IF($Z837&gt;0,VLOOKUP($J837,Ruimtegroepen[],3,FALSE)*VLOOKUP($L837,Vloersoorten[],3,FALSE)*VLOOKUP($Y837,Frequenties[],3,FALSE)*VLOOKUP(#REF!,Locaties[],3,FALSE),0)</f>
        <v>0</v>
      </c>
      <c r="AB837" s="87">
        <f>Ruimtestaat[[#This Row],[Uitvoeringen weekend]]*Ruimtestaat[[#This Row],[Oppervlak (netto)]]</f>
        <v>0</v>
      </c>
      <c r="AC837" s="90">
        <f>IF(AB837&gt;0,Ruimtestaat[[#This Row],[Prest. (m2 /jaar) weekend]]/Ruimtestaat[[#This Row],[Norm (m2/uur) weekend]],0)</f>
        <v>0</v>
      </c>
      <c r="AD837" s="91">
        <f>Ruimtestaat[[#This Row],[uren / jaar weekend]]*Tariefsopbouw!$D$40</f>
        <v>0</v>
      </c>
      <c r="AE837" s="60">
        <f>Ruimtestaat[[#This Row],[Prest. (m2 /jaar) weekend]]+Ruimtestaat[[#This Row],[Prest. (m2 /jaar) werkdagen]]</f>
        <v>2996</v>
      </c>
      <c r="AF837" s="60">
        <f>Ruimtestaat[[#This Row],[uren / jaar weekend]]+Ruimtestaat[[#This Row],[uren / jaar werkdagen]]</f>
        <v>0</v>
      </c>
      <c r="AG837" s="61">
        <f>Ruimtestaat[[#This Row],[kosten / jaar weekend]]+Ruimtestaat[[#This Row],[kosten / jaar werkdagen]]</f>
        <v>0</v>
      </c>
      <c r="AH837" s="92"/>
      <c r="HL837" s="59"/>
    </row>
    <row r="838" spans="1:220">
      <c r="A838" s="24">
        <v>5</v>
      </c>
      <c r="B838" s="24" t="str">
        <f>VLOOKUP(Ruimtestaat[[#This Row],[Code]],Locaties[#All],2,FALSE)</f>
        <v>Marke Zuid</v>
      </c>
      <c r="C838" s="24" t="str">
        <f>VLOOKUP(Ruimtestaat[[#This Row],[Code]],Locaties[#All],4,FALSE)</f>
        <v>Ludgerstraat 1</v>
      </c>
      <c r="D838" s="24" t="str">
        <f>VLOOKUP(Ruimtestaat[[#This Row],[Code]],Locaties[#All],5,FALSE)</f>
        <v>7415 DV</v>
      </c>
      <c r="E838" s="24" t="str">
        <f>VLOOKUP(Ruimtestaat[[#This Row],[Code]],Locaties[#All],6,FALSE)</f>
        <v>Deventer</v>
      </c>
      <c r="F838" s="54"/>
      <c r="G838" s="24" t="s">
        <v>569</v>
      </c>
      <c r="H838" s="24" t="s">
        <v>1281</v>
      </c>
      <c r="I838" s="4" t="s">
        <v>487</v>
      </c>
      <c r="J838" s="24">
        <v>6</v>
      </c>
      <c r="K838" s="54" t="str">
        <f>VLOOKUP(J838,Ruimtegroepen[],2,FALSE)</f>
        <v>Gangen/hallen</v>
      </c>
      <c r="L838" s="24" t="s">
        <v>300</v>
      </c>
      <c r="M838" s="24" t="s">
        <v>997</v>
      </c>
      <c r="N838" s="83">
        <v>177.75</v>
      </c>
      <c r="O838" s="83"/>
      <c r="P838" s="93" t="str">
        <f>LEFT(VLOOKUP(Ruimtestaat[[#This Row],[Ruimte code]],Ruimtegroepen[#All],4,1),2)</f>
        <v>Ve</v>
      </c>
      <c r="Q838" s="93"/>
      <c r="R838" s="84">
        <v>40</v>
      </c>
      <c r="S838" s="84" t="s">
        <v>318</v>
      </c>
      <c r="T838" s="85">
        <f>IF(R838&gt;0,IF(RIGHT(Ruimtestaat[[#This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8" s="85">
        <f>IF(T838&gt;0,VLOOKUP($J838,Ruimtegroepen[],3,FALSE)*VLOOKUP($L838,Vloersoorten[],3,FALSE)*VLOOKUP($S838,Frequenties[],3,FALSE)*VLOOKUP($A838,Locaties[],3,FALSE),0)</f>
        <v>0</v>
      </c>
      <c r="V838" s="86">
        <f>Ruimtestaat[[#This Row],[Uitvoeringen werkdagen]]*Ruimtestaat[[#This Row],[Oppervlak (netto)]]</f>
        <v>35550</v>
      </c>
      <c r="W838" s="87">
        <f>IF(U838&gt;0,Ruimtestaat[[#This Row],[Prest. (m2 /jaar) werkdagen]]/Ruimtestaat[[#This Row],[Norm (m2/uur) werkdagen]],0)</f>
        <v>0</v>
      </c>
      <c r="X838" s="88">
        <f>Ruimtestaat[[#This Row],[uren / jaar werkdagen]]*Tariefsopbouw!$E$35</f>
        <v>0</v>
      </c>
      <c r="Y838" s="85"/>
      <c r="Z838" s="89">
        <f>IF(Ruimtestaat[[#This Row],[Frequentie weekend]]&gt;0,VALUE(LEFT(Y838,1))*R838,0)</f>
        <v>0</v>
      </c>
      <c r="AA838" s="85">
        <f>IF($Z838&gt;0,VLOOKUP($J838,Ruimtegroepen[],3,FALSE)*VLOOKUP($L838,Vloersoorten[],3,FALSE)*VLOOKUP($Y838,Frequenties[],3,FALSE)*VLOOKUP(#REF!,Locaties[],3,FALSE),0)</f>
        <v>0</v>
      </c>
      <c r="AB838" s="87">
        <f>Ruimtestaat[[#This Row],[Uitvoeringen weekend]]*Ruimtestaat[[#This Row],[Oppervlak (netto)]]</f>
        <v>0</v>
      </c>
      <c r="AC838" s="90">
        <f>IF(AB838&gt;0,Ruimtestaat[[#This Row],[Prest. (m2 /jaar) weekend]]/Ruimtestaat[[#This Row],[Norm (m2/uur) weekend]],0)</f>
        <v>0</v>
      </c>
      <c r="AD838" s="91">
        <f>Ruimtestaat[[#This Row],[uren / jaar weekend]]*Tariefsopbouw!$D$40</f>
        <v>0</v>
      </c>
      <c r="AE838" s="60">
        <f>Ruimtestaat[[#This Row],[Prest. (m2 /jaar) weekend]]+Ruimtestaat[[#This Row],[Prest. (m2 /jaar) werkdagen]]</f>
        <v>35550</v>
      </c>
      <c r="AF838" s="60">
        <f>Ruimtestaat[[#This Row],[uren / jaar weekend]]+Ruimtestaat[[#This Row],[uren / jaar werkdagen]]</f>
        <v>0</v>
      </c>
      <c r="AG838" s="61">
        <f>Ruimtestaat[[#This Row],[kosten / jaar weekend]]+Ruimtestaat[[#This Row],[kosten / jaar werkdagen]]</f>
        <v>0</v>
      </c>
      <c r="AH838" s="92"/>
      <c r="HL838" s="59"/>
    </row>
    <row r="839" spans="1:220">
      <c r="A839" s="24">
        <v>5</v>
      </c>
      <c r="B839" s="24" t="str">
        <f>VLOOKUP(Ruimtestaat[[#This Row],[Code]],Locaties[#All],2,FALSE)</f>
        <v>Marke Zuid</v>
      </c>
      <c r="C839" s="24" t="str">
        <f>VLOOKUP(Ruimtestaat[[#This Row],[Code]],Locaties[#All],4,FALSE)</f>
        <v>Ludgerstraat 1</v>
      </c>
      <c r="D839" s="24" t="str">
        <f>VLOOKUP(Ruimtestaat[[#This Row],[Code]],Locaties[#All],5,FALSE)</f>
        <v>7415 DV</v>
      </c>
      <c r="E839" s="24" t="str">
        <f>VLOOKUP(Ruimtestaat[[#This Row],[Code]],Locaties[#All],6,FALSE)</f>
        <v>Deventer</v>
      </c>
      <c r="F839" s="54"/>
      <c r="G839" s="24" t="s">
        <v>569</v>
      </c>
      <c r="H839" s="24" t="s">
        <v>1282</v>
      </c>
      <c r="I839" s="4" t="s">
        <v>487</v>
      </c>
      <c r="J839" s="24">
        <v>6</v>
      </c>
      <c r="K839" s="54" t="str">
        <f>VLOOKUP(J839,Ruimtegroepen[],2,FALSE)</f>
        <v>Gangen/hallen</v>
      </c>
      <c r="L839" s="24" t="s">
        <v>300</v>
      </c>
      <c r="M839" s="24" t="s">
        <v>997</v>
      </c>
      <c r="N839" s="83">
        <v>171.31</v>
      </c>
      <c r="O839" s="83"/>
      <c r="P839" s="93" t="str">
        <f>LEFT(VLOOKUP(Ruimtestaat[[#This Row],[Ruimte code]],Ruimtegroepen[#All],4,1),2)</f>
        <v>Ve</v>
      </c>
      <c r="Q839" s="93"/>
      <c r="R839" s="84">
        <v>40</v>
      </c>
      <c r="S839" s="84" t="s">
        <v>318</v>
      </c>
      <c r="T839" s="85">
        <f>IF(R839&gt;0,IF(RIGHT(Ruimtestaat[[#This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9" s="85">
        <f>IF(T839&gt;0,VLOOKUP($J839,Ruimtegroepen[],3,FALSE)*VLOOKUP($L839,Vloersoorten[],3,FALSE)*VLOOKUP($S839,Frequenties[],3,FALSE)*VLOOKUP($A839,Locaties[],3,FALSE),0)</f>
        <v>0</v>
      </c>
      <c r="V839" s="86">
        <f>Ruimtestaat[[#This Row],[Uitvoeringen werkdagen]]*Ruimtestaat[[#This Row],[Oppervlak (netto)]]</f>
        <v>34262</v>
      </c>
      <c r="W839" s="87">
        <f>IF(U839&gt;0,Ruimtestaat[[#This Row],[Prest. (m2 /jaar) werkdagen]]/Ruimtestaat[[#This Row],[Norm (m2/uur) werkdagen]],0)</f>
        <v>0</v>
      </c>
      <c r="X839" s="88">
        <f>Ruimtestaat[[#This Row],[uren / jaar werkdagen]]*Tariefsopbouw!$E$35</f>
        <v>0</v>
      </c>
      <c r="Y839" s="85"/>
      <c r="Z839" s="89">
        <f>IF(Ruimtestaat[[#This Row],[Frequentie weekend]]&gt;0,VALUE(LEFT(Y839,1))*R839,0)</f>
        <v>0</v>
      </c>
      <c r="AA839" s="85">
        <f>IF($Z839&gt;0,VLOOKUP($J839,Ruimtegroepen[],3,FALSE)*VLOOKUP($L839,Vloersoorten[],3,FALSE)*VLOOKUP($Y839,Frequenties[],3,FALSE)*VLOOKUP(#REF!,Locaties[],3,FALSE),0)</f>
        <v>0</v>
      </c>
      <c r="AB839" s="87">
        <f>Ruimtestaat[[#This Row],[Uitvoeringen weekend]]*Ruimtestaat[[#This Row],[Oppervlak (netto)]]</f>
        <v>0</v>
      </c>
      <c r="AC839" s="90">
        <f>IF(AB839&gt;0,Ruimtestaat[[#This Row],[Prest. (m2 /jaar) weekend]]/Ruimtestaat[[#This Row],[Norm (m2/uur) weekend]],0)</f>
        <v>0</v>
      </c>
      <c r="AD839" s="91">
        <f>Ruimtestaat[[#This Row],[uren / jaar weekend]]*Tariefsopbouw!$D$40</f>
        <v>0</v>
      </c>
      <c r="AE839" s="60">
        <f>Ruimtestaat[[#This Row],[Prest. (m2 /jaar) weekend]]+Ruimtestaat[[#This Row],[Prest. (m2 /jaar) werkdagen]]</f>
        <v>34262</v>
      </c>
      <c r="AF839" s="60">
        <f>Ruimtestaat[[#This Row],[uren / jaar weekend]]+Ruimtestaat[[#This Row],[uren / jaar werkdagen]]</f>
        <v>0</v>
      </c>
      <c r="AG839" s="61">
        <f>Ruimtestaat[[#This Row],[kosten / jaar weekend]]+Ruimtestaat[[#This Row],[kosten / jaar werkdagen]]</f>
        <v>0</v>
      </c>
      <c r="AH839" s="92"/>
      <c r="HL839" s="59"/>
    </row>
    <row r="840" spans="1:220">
      <c r="A840" s="24">
        <v>5</v>
      </c>
      <c r="B840" s="24" t="str">
        <f>VLOOKUP(Ruimtestaat[[#This Row],[Code]],Locaties[#All],2,FALSE)</f>
        <v>Marke Zuid</v>
      </c>
      <c r="C840" s="24" t="str">
        <f>VLOOKUP(Ruimtestaat[[#This Row],[Code]],Locaties[#All],4,FALSE)</f>
        <v>Ludgerstraat 1</v>
      </c>
      <c r="D840" s="24" t="str">
        <f>VLOOKUP(Ruimtestaat[[#This Row],[Code]],Locaties[#All],5,FALSE)</f>
        <v>7415 DV</v>
      </c>
      <c r="E840" s="24" t="str">
        <f>VLOOKUP(Ruimtestaat[[#This Row],[Code]],Locaties[#All],6,FALSE)</f>
        <v>Deventer</v>
      </c>
      <c r="F840" s="54"/>
      <c r="G840" s="24" t="s">
        <v>569</v>
      </c>
      <c r="H840" s="24" t="s">
        <v>797</v>
      </c>
      <c r="I840" s="4" t="s">
        <v>103</v>
      </c>
      <c r="J840" s="24">
        <v>10</v>
      </c>
      <c r="K840" s="54" t="str">
        <f>VLOOKUP(J840,Ruimtegroepen[],2,FALSE)</f>
        <v>Trappenhuizen/lift</v>
      </c>
      <c r="L840" s="24" t="s">
        <v>300</v>
      </c>
      <c r="M840" s="24" t="s">
        <v>997</v>
      </c>
      <c r="N840" s="83">
        <v>4.2699999999999996</v>
      </c>
      <c r="O840" s="83"/>
      <c r="P840" s="93" t="str">
        <f>LEFT(VLOOKUP(Ruimtestaat[[#This Row],[Ruimte code]],Ruimtegroepen[#All],4,1),2)</f>
        <v>Ve</v>
      </c>
      <c r="Q840" s="93"/>
      <c r="R840" s="84">
        <v>40</v>
      </c>
      <c r="S840" s="84" t="s">
        <v>318</v>
      </c>
      <c r="T840" s="85">
        <f>IF(R840&gt;0,IF(RIGHT(Ruimtestaat[[#This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0" s="85">
        <f>IF(T840&gt;0,VLOOKUP($J840,Ruimtegroepen[],3,FALSE)*VLOOKUP($L840,Vloersoorten[],3,FALSE)*VLOOKUP($S840,Frequenties[],3,FALSE)*VLOOKUP($A840,Locaties[],3,FALSE),0)</f>
        <v>0</v>
      </c>
      <c r="V840" s="86">
        <f>Ruimtestaat[[#This Row],[Uitvoeringen werkdagen]]*Ruimtestaat[[#This Row],[Oppervlak (netto)]]</f>
        <v>853.99999999999989</v>
      </c>
      <c r="W840" s="87">
        <f>IF(U840&gt;0,Ruimtestaat[[#This Row],[Prest. (m2 /jaar) werkdagen]]/Ruimtestaat[[#This Row],[Norm (m2/uur) werkdagen]],0)</f>
        <v>0</v>
      </c>
      <c r="X840" s="88">
        <f>Ruimtestaat[[#This Row],[uren / jaar werkdagen]]*Tariefsopbouw!$E$35</f>
        <v>0</v>
      </c>
      <c r="Y840" s="85"/>
      <c r="Z840" s="89">
        <f>IF(Ruimtestaat[[#This Row],[Frequentie weekend]]&gt;0,VALUE(LEFT(Y840,1))*R840,0)</f>
        <v>0</v>
      </c>
      <c r="AA840" s="85">
        <f>IF($Z840&gt;0,VLOOKUP($J840,Ruimtegroepen[],3,FALSE)*VLOOKUP($L840,Vloersoorten[],3,FALSE)*VLOOKUP($Y840,Frequenties[],3,FALSE)*VLOOKUP(#REF!,Locaties[],3,FALSE),0)</f>
        <v>0</v>
      </c>
      <c r="AB840" s="87">
        <f>Ruimtestaat[[#This Row],[Uitvoeringen weekend]]*Ruimtestaat[[#This Row],[Oppervlak (netto)]]</f>
        <v>0</v>
      </c>
      <c r="AC840" s="90">
        <f>IF(AB840&gt;0,Ruimtestaat[[#This Row],[Prest. (m2 /jaar) weekend]]/Ruimtestaat[[#This Row],[Norm (m2/uur) weekend]],0)</f>
        <v>0</v>
      </c>
      <c r="AD840" s="91">
        <f>Ruimtestaat[[#This Row],[uren / jaar weekend]]*Tariefsopbouw!$D$40</f>
        <v>0</v>
      </c>
      <c r="AE840" s="60">
        <f>Ruimtestaat[[#This Row],[Prest. (m2 /jaar) weekend]]+Ruimtestaat[[#This Row],[Prest. (m2 /jaar) werkdagen]]</f>
        <v>853.99999999999989</v>
      </c>
      <c r="AF840" s="60">
        <f>Ruimtestaat[[#This Row],[uren / jaar weekend]]+Ruimtestaat[[#This Row],[uren / jaar werkdagen]]</f>
        <v>0</v>
      </c>
      <c r="AG840" s="61">
        <f>Ruimtestaat[[#This Row],[kosten / jaar weekend]]+Ruimtestaat[[#This Row],[kosten / jaar werkdagen]]</f>
        <v>0</v>
      </c>
      <c r="AH840" s="92"/>
      <c r="HL840" s="59"/>
    </row>
    <row r="841" spans="1:220">
      <c r="A841" s="24">
        <v>5</v>
      </c>
      <c r="B841" s="24" t="str">
        <f>VLOOKUP(Ruimtestaat[[#This Row],[Code]],Locaties[#All],2,FALSE)</f>
        <v>Marke Zuid</v>
      </c>
      <c r="C841" s="24" t="str">
        <f>VLOOKUP(Ruimtestaat[[#This Row],[Code]],Locaties[#All],4,FALSE)</f>
        <v>Ludgerstraat 1</v>
      </c>
      <c r="D841" s="24" t="str">
        <f>VLOOKUP(Ruimtestaat[[#This Row],[Code]],Locaties[#All],5,FALSE)</f>
        <v>7415 DV</v>
      </c>
      <c r="E841" s="24" t="str">
        <f>VLOOKUP(Ruimtestaat[[#This Row],[Code]],Locaties[#All],6,FALSE)</f>
        <v>Deventer</v>
      </c>
      <c r="F841" s="54"/>
      <c r="G841" s="24" t="s">
        <v>569</v>
      </c>
      <c r="H841" s="24" t="s">
        <v>1283</v>
      </c>
      <c r="I841" s="4" t="s">
        <v>1202</v>
      </c>
      <c r="J841" s="24">
        <v>10</v>
      </c>
      <c r="K841" s="54" t="str">
        <f>VLOOKUP(J841,Ruimtegroepen[],2,FALSE)</f>
        <v>Trappenhuizen/lift</v>
      </c>
      <c r="M841" s="24"/>
      <c r="N841" s="83"/>
      <c r="O841" s="83">
        <v>1.9</v>
      </c>
      <c r="P841" s="93" t="str">
        <f>LEFT(VLOOKUP(Ruimtestaat[[#This Row],[Ruimte code]],Ruimtegroepen[#All],4,1),2)</f>
        <v>Ve</v>
      </c>
      <c r="Q841" s="93"/>
      <c r="R841" s="84"/>
      <c r="S841" s="84"/>
      <c r="T841" s="85">
        <f>IF(R841&gt;0,IF(RIGHT(Ruimtestaat[[#This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41" s="85">
        <f>IF(T841&gt;0,VLOOKUP($J841,Ruimtegroepen[],3,FALSE)*VLOOKUP($L841,Vloersoorten[],3,FALSE)*VLOOKUP($S841,Frequenties[],3,FALSE)*VLOOKUP($A841,Locaties[],3,FALSE),0)</f>
        <v>0</v>
      </c>
      <c r="V841" s="86">
        <f>Ruimtestaat[[#This Row],[Uitvoeringen werkdagen]]*Ruimtestaat[[#This Row],[Oppervlak (netto)]]</f>
        <v>0</v>
      </c>
      <c r="W841" s="87">
        <f>IF(U841&gt;0,Ruimtestaat[[#This Row],[Prest. (m2 /jaar) werkdagen]]/Ruimtestaat[[#This Row],[Norm (m2/uur) werkdagen]],0)</f>
        <v>0</v>
      </c>
      <c r="X841" s="88">
        <f>Ruimtestaat[[#This Row],[uren / jaar werkdagen]]*Tariefsopbouw!$E$35</f>
        <v>0</v>
      </c>
      <c r="Y841" s="85"/>
      <c r="Z841" s="89">
        <f>IF(Ruimtestaat[[#This Row],[Frequentie weekend]]&gt;0,VALUE(LEFT(Y841,1))*R841,0)</f>
        <v>0</v>
      </c>
      <c r="AA841" s="85">
        <f>IF($Z841&gt;0,VLOOKUP($J841,Ruimtegroepen[],3,FALSE)*VLOOKUP($L841,Vloersoorten[],3,FALSE)*VLOOKUP($Y841,Frequenties[],3,FALSE)*VLOOKUP(#REF!,Locaties[],3,FALSE),0)</f>
        <v>0</v>
      </c>
      <c r="AB841" s="87">
        <f>Ruimtestaat[[#This Row],[Uitvoeringen weekend]]*Ruimtestaat[[#This Row],[Oppervlak (netto)]]</f>
        <v>0</v>
      </c>
      <c r="AC841" s="90">
        <f>IF(AB841&gt;0,Ruimtestaat[[#This Row],[Prest. (m2 /jaar) weekend]]/Ruimtestaat[[#This Row],[Norm (m2/uur) weekend]],0)</f>
        <v>0</v>
      </c>
      <c r="AD841" s="91">
        <f>Ruimtestaat[[#This Row],[uren / jaar weekend]]*Tariefsopbouw!$D$40</f>
        <v>0</v>
      </c>
      <c r="AE841" s="60">
        <f>Ruimtestaat[[#This Row],[Prest. (m2 /jaar) weekend]]+Ruimtestaat[[#This Row],[Prest. (m2 /jaar) werkdagen]]</f>
        <v>0</v>
      </c>
      <c r="AF841" s="60">
        <f>Ruimtestaat[[#This Row],[uren / jaar weekend]]+Ruimtestaat[[#This Row],[uren / jaar werkdagen]]</f>
        <v>0</v>
      </c>
      <c r="AG841" s="61">
        <f>Ruimtestaat[[#This Row],[kosten / jaar weekend]]+Ruimtestaat[[#This Row],[kosten / jaar werkdagen]]</f>
        <v>0</v>
      </c>
      <c r="AH841" s="92"/>
      <c r="HL841" s="59"/>
    </row>
    <row r="842" spans="1:220">
      <c r="A842" s="24">
        <v>5</v>
      </c>
      <c r="B842" s="24" t="str">
        <f>VLOOKUP(Ruimtestaat[[#This Row],[Code]],Locaties[#All],2,FALSE)</f>
        <v>Marke Zuid</v>
      </c>
      <c r="C842" s="24" t="str">
        <f>VLOOKUP(Ruimtestaat[[#This Row],[Code]],Locaties[#All],4,FALSE)</f>
        <v>Ludgerstraat 1</v>
      </c>
      <c r="D842" s="24" t="str">
        <f>VLOOKUP(Ruimtestaat[[#This Row],[Code]],Locaties[#All],5,FALSE)</f>
        <v>7415 DV</v>
      </c>
      <c r="E842" s="24" t="str">
        <f>VLOOKUP(Ruimtestaat[[#This Row],[Code]],Locaties[#All],6,FALSE)</f>
        <v>Deventer</v>
      </c>
      <c r="F842" s="54"/>
      <c r="G842" s="24" t="s">
        <v>569</v>
      </c>
      <c r="H842" s="24" t="s">
        <v>805</v>
      </c>
      <c r="I842" s="4" t="s">
        <v>716</v>
      </c>
      <c r="J842" s="24">
        <v>10</v>
      </c>
      <c r="K842" s="54" t="str">
        <f>VLOOKUP(J842,Ruimtegroepen[],2,FALSE)</f>
        <v>Trappenhuizen/lift</v>
      </c>
      <c r="L842" s="24" t="s">
        <v>305</v>
      </c>
      <c r="M842" s="24" t="s">
        <v>376</v>
      </c>
      <c r="N842" s="83">
        <v>27.44</v>
      </c>
      <c r="O842" s="83"/>
      <c r="P842" s="93" t="str">
        <f>LEFT(VLOOKUP(Ruimtestaat[[#This Row],[Ruimte code]],Ruimtegroepen[#All],4,1),2)</f>
        <v>Ve</v>
      </c>
      <c r="Q842" s="93"/>
      <c r="R842" s="84">
        <v>40</v>
      </c>
      <c r="S842" s="84" t="s">
        <v>318</v>
      </c>
      <c r="T842" s="85">
        <f>IF(R842&gt;0,IF(RIGHT(Ruimtestaat[[#This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2" s="85">
        <f>IF(T842&gt;0,VLOOKUP($J842,Ruimtegroepen[],3,FALSE)*VLOOKUP($L842,Vloersoorten[],3,FALSE)*VLOOKUP($S842,Frequenties[],3,FALSE)*VLOOKUP($A842,Locaties[],3,FALSE),0)</f>
        <v>0</v>
      </c>
      <c r="V842" s="86">
        <f>Ruimtestaat[[#This Row],[Uitvoeringen werkdagen]]*Ruimtestaat[[#This Row],[Oppervlak (netto)]]</f>
        <v>5488</v>
      </c>
      <c r="W842" s="87">
        <f>IF(U842&gt;0,Ruimtestaat[[#This Row],[Prest. (m2 /jaar) werkdagen]]/Ruimtestaat[[#This Row],[Norm (m2/uur) werkdagen]],0)</f>
        <v>0</v>
      </c>
      <c r="X842" s="88">
        <f>Ruimtestaat[[#This Row],[uren / jaar werkdagen]]*Tariefsopbouw!$E$35</f>
        <v>0</v>
      </c>
      <c r="Y842" s="85"/>
      <c r="Z842" s="89">
        <f>IF(Ruimtestaat[[#This Row],[Frequentie weekend]]&gt;0,VALUE(LEFT(Y842,1))*R842,0)</f>
        <v>0</v>
      </c>
      <c r="AA842" s="85">
        <f>IF($Z842&gt;0,VLOOKUP($J842,Ruimtegroepen[],3,FALSE)*VLOOKUP($L842,Vloersoorten[],3,FALSE)*VLOOKUP($Y842,Frequenties[],3,FALSE)*VLOOKUP(#REF!,Locaties[],3,FALSE),0)</f>
        <v>0</v>
      </c>
      <c r="AB842" s="87">
        <f>Ruimtestaat[[#This Row],[Uitvoeringen weekend]]*Ruimtestaat[[#This Row],[Oppervlak (netto)]]</f>
        <v>0</v>
      </c>
      <c r="AC842" s="90">
        <f>IF(AB842&gt;0,Ruimtestaat[[#This Row],[Prest. (m2 /jaar) weekend]]/Ruimtestaat[[#This Row],[Norm (m2/uur) weekend]],0)</f>
        <v>0</v>
      </c>
      <c r="AD842" s="91">
        <f>Ruimtestaat[[#This Row],[uren / jaar weekend]]*Tariefsopbouw!$D$40</f>
        <v>0</v>
      </c>
      <c r="AE842" s="60">
        <f>Ruimtestaat[[#This Row],[Prest. (m2 /jaar) weekend]]+Ruimtestaat[[#This Row],[Prest. (m2 /jaar) werkdagen]]</f>
        <v>5488</v>
      </c>
      <c r="AF842" s="60">
        <f>Ruimtestaat[[#This Row],[uren / jaar weekend]]+Ruimtestaat[[#This Row],[uren / jaar werkdagen]]</f>
        <v>0</v>
      </c>
      <c r="AG842" s="61">
        <f>Ruimtestaat[[#This Row],[kosten / jaar weekend]]+Ruimtestaat[[#This Row],[kosten / jaar werkdagen]]</f>
        <v>0</v>
      </c>
      <c r="AH842" s="92"/>
      <c r="HL842" s="59"/>
    </row>
    <row r="843" spans="1:220">
      <c r="A843" s="24">
        <v>5</v>
      </c>
      <c r="B843" s="24" t="str">
        <f>VLOOKUP(Ruimtestaat[[#This Row],[Code]],Locaties[#All],2,FALSE)</f>
        <v>Marke Zuid</v>
      </c>
      <c r="C843" s="24" t="str">
        <f>VLOOKUP(Ruimtestaat[[#This Row],[Code]],Locaties[#All],4,FALSE)</f>
        <v>Ludgerstraat 1</v>
      </c>
      <c r="D843" s="24" t="str">
        <f>VLOOKUP(Ruimtestaat[[#This Row],[Code]],Locaties[#All],5,FALSE)</f>
        <v>7415 DV</v>
      </c>
      <c r="E843" s="24" t="str">
        <f>VLOOKUP(Ruimtestaat[[#This Row],[Code]],Locaties[#All],6,FALSE)</f>
        <v>Deventer</v>
      </c>
      <c r="F843" s="54"/>
      <c r="G843" s="24" t="s">
        <v>569</v>
      </c>
      <c r="H843" s="24" t="s">
        <v>1284</v>
      </c>
      <c r="I843" s="4" t="s">
        <v>716</v>
      </c>
      <c r="J843" s="24">
        <v>10</v>
      </c>
      <c r="K843" s="54" t="str">
        <f>VLOOKUP(J843,Ruimtegroepen[],2,FALSE)</f>
        <v>Trappenhuizen/lift</v>
      </c>
      <c r="L843" s="24" t="s">
        <v>305</v>
      </c>
      <c r="M843" s="24" t="s">
        <v>376</v>
      </c>
      <c r="N843" s="83">
        <v>39.770000000000003</v>
      </c>
      <c r="O843" s="83"/>
      <c r="P843" s="93" t="str">
        <f>LEFT(VLOOKUP(Ruimtestaat[[#This Row],[Ruimte code]],Ruimtegroepen[#All],4,1),2)</f>
        <v>Ve</v>
      </c>
      <c r="Q843" s="93"/>
      <c r="R843" s="84">
        <v>40</v>
      </c>
      <c r="S843" s="84" t="s">
        <v>318</v>
      </c>
      <c r="T843" s="85">
        <f>IF(R843&gt;0,IF(RIGHT(Ruimtestaat[[#This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3" s="85">
        <f>IF(T843&gt;0,VLOOKUP($J843,Ruimtegroepen[],3,FALSE)*VLOOKUP($L843,Vloersoorten[],3,FALSE)*VLOOKUP($S843,Frequenties[],3,FALSE)*VLOOKUP($A843,Locaties[],3,FALSE),0)</f>
        <v>0</v>
      </c>
      <c r="V843" s="86">
        <f>Ruimtestaat[[#This Row],[Uitvoeringen werkdagen]]*Ruimtestaat[[#This Row],[Oppervlak (netto)]]</f>
        <v>7954.0000000000009</v>
      </c>
      <c r="W843" s="87">
        <f>IF(U843&gt;0,Ruimtestaat[[#This Row],[Prest. (m2 /jaar) werkdagen]]/Ruimtestaat[[#This Row],[Norm (m2/uur) werkdagen]],0)</f>
        <v>0</v>
      </c>
      <c r="X843" s="88">
        <f>Ruimtestaat[[#This Row],[uren / jaar werkdagen]]*Tariefsopbouw!$E$35</f>
        <v>0</v>
      </c>
      <c r="Y843" s="85"/>
      <c r="Z843" s="89">
        <f>IF(Ruimtestaat[[#This Row],[Frequentie weekend]]&gt;0,VALUE(LEFT(Y843,1))*R843,0)</f>
        <v>0</v>
      </c>
      <c r="AA843" s="85">
        <f>IF($Z843&gt;0,VLOOKUP($J843,Ruimtegroepen[],3,FALSE)*VLOOKUP($L843,Vloersoorten[],3,FALSE)*VLOOKUP($Y843,Frequenties[],3,FALSE)*VLOOKUP(#REF!,Locaties[],3,FALSE),0)</f>
        <v>0</v>
      </c>
      <c r="AB843" s="87">
        <f>Ruimtestaat[[#This Row],[Uitvoeringen weekend]]*Ruimtestaat[[#This Row],[Oppervlak (netto)]]</f>
        <v>0</v>
      </c>
      <c r="AC843" s="90">
        <f>IF(AB843&gt;0,Ruimtestaat[[#This Row],[Prest. (m2 /jaar) weekend]]/Ruimtestaat[[#This Row],[Norm (m2/uur) weekend]],0)</f>
        <v>0</v>
      </c>
      <c r="AD843" s="91">
        <f>Ruimtestaat[[#This Row],[uren / jaar weekend]]*Tariefsopbouw!$D$40</f>
        <v>0</v>
      </c>
      <c r="AE843" s="60">
        <f>Ruimtestaat[[#This Row],[Prest. (m2 /jaar) weekend]]+Ruimtestaat[[#This Row],[Prest. (m2 /jaar) werkdagen]]</f>
        <v>7954.0000000000009</v>
      </c>
      <c r="AF843" s="60">
        <f>Ruimtestaat[[#This Row],[uren / jaar weekend]]+Ruimtestaat[[#This Row],[uren / jaar werkdagen]]</f>
        <v>0</v>
      </c>
      <c r="AG843" s="61">
        <f>Ruimtestaat[[#This Row],[kosten / jaar weekend]]+Ruimtestaat[[#This Row],[kosten / jaar werkdagen]]</f>
        <v>0</v>
      </c>
      <c r="AH843" s="92"/>
      <c r="HL843" s="59"/>
    </row>
    <row r="844" spans="1:220">
      <c r="A844" s="24">
        <v>5</v>
      </c>
      <c r="B844" s="24" t="str">
        <f>VLOOKUP(Ruimtestaat[[#This Row],[Code]],Locaties[#All],2,FALSE)</f>
        <v>Marke Zuid</v>
      </c>
      <c r="C844" s="24" t="str">
        <f>VLOOKUP(Ruimtestaat[[#This Row],[Code]],Locaties[#All],4,FALSE)</f>
        <v>Ludgerstraat 1</v>
      </c>
      <c r="D844" s="24" t="str">
        <f>VLOOKUP(Ruimtestaat[[#This Row],[Code]],Locaties[#All],5,FALSE)</f>
        <v>7415 DV</v>
      </c>
      <c r="E844" s="24" t="str">
        <f>VLOOKUP(Ruimtestaat[[#This Row],[Code]],Locaties[#All],6,FALSE)</f>
        <v>Deventer</v>
      </c>
      <c r="F844" s="54"/>
      <c r="G844" s="24" t="s">
        <v>569</v>
      </c>
      <c r="H844" s="24" t="s">
        <v>1285</v>
      </c>
      <c r="I844" s="4" t="s">
        <v>716</v>
      </c>
      <c r="J844" s="24">
        <v>10</v>
      </c>
      <c r="K844" s="54" t="str">
        <f>VLOOKUP(J844,Ruimtegroepen[],2,FALSE)</f>
        <v>Trappenhuizen/lift</v>
      </c>
      <c r="L844" s="24" t="s">
        <v>305</v>
      </c>
      <c r="M844" s="24" t="s">
        <v>376</v>
      </c>
      <c r="N844" s="83">
        <v>13.4</v>
      </c>
      <c r="O844" s="83"/>
      <c r="P844" s="93" t="str">
        <f>LEFT(VLOOKUP(Ruimtestaat[[#This Row],[Ruimte code]],Ruimtegroepen[#All],4,1),2)</f>
        <v>Ve</v>
      </c>
      <c r="Q844" s="93"/>
      <c r="R844" s="84">
        <v>40</v>
      </c>
      <c r="S844" s="84" t="s">
        <v>318</v>
      </c>
      <c r="T844" s="85">
        <f>IF(R844&gt;0,IF(RIGHT(Ruimtestaat[[#This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4" s="85">
        <f>IF(T844&gt;0,VLOOKUP($J844,Ruimtegroepen[],3,FALSE)*VLOOKUP($L844,Vloersoorten[],3,FALSE)*VLOOKUP($S844,Frequenties[],3,FALSE)*VLOOKUP($A844,Locaties[],3,FALSE),0)</f>
        <v>0</v>
      </c>
      <c r="V844" s="86">
        <f>Ruimtestaat[[#This Row],[Uitvoeringen werkdagen]]*Ruimtestaat[[#This Row],[Oppervlak (netto)]]</f>
        <v>2680</v>
      </c>
      <c r="W844" s="87">
        <f>IF(U844&gt;0,Ruimtestaat[[#This Row],[Prest. (m2 /jaar) werkdagen]]/Ruimtestaat[[#This Row],[Norm (m2/uur) werkdagen]],0)</f>
        <v>0</v>
      </c>
      <c r="X844" s="88">
        <f>Ruimtestaat[[#This Row],[uren / jaar werkdagen]]*Tariefsopbouw!$E$35</f>
        <v>0</v>
      </c>
      <c r="Y844" s="85"/>
      <c r="Z844" s="89">
        <f>IF(Ruimtestaat[[#This Row],[Frequentie weekend]]&gt;0,VALUE(LEFT(Y844,1))*R844,0)</f>
        <v>0</v>
      </c>
      <c r="AA844" s="85">
        <f>IF($Z844&gt;0,VLOOKUP($J844,Ruimtegroepen[],3,FALSE)*VLOOKUP($L844,Vloersoorten[],3,FALSE)*VLOOKUP($Y844,Frequenties[],3,FALSE)*VLOOKUP(#REF!,Locaties[],3,FALSE),0)</f>
        <v>0</v>
      </c>
      <c r="AB844" s="87">
        <f>Ruimtestaat[[#This Row],[Uitvoeringen weekend]]*Ruimtestaat[[#This Row],[Oppervlak (netto)]]</f>
        <v>0</v>
      </c>
      <c r="AC844" s="90">
        <f>IF(AB844&gt;0,Ruimtestaat[[#This Row],[Prest. (m2 /jaar) weekend]]/Ruimtestaat[[#This Row],[Norm (m2/uur) weekend]],0)</f>
        <v>0</v>
      </c>
      <c r="AD844" s="91">
        <f>Ruimtestaat[[#This Row],[uren / jaar weekend]]*Tariefsopbouw!$D$40</f>
        <v>0</v>
      </c>
      <c r="AE844" s="60">
        <f>Ruimtestaat[[#This Row],[Prest. (m2 /jaar) weekend]]+Ruimtestaat[[#This Row],[Prest. (m2 /jaar) werkdagen]]</f>
        <v>2680</v>
      </c>
      <c r="AF844" s="60">
        <f>Ruimtestaat[[#This Row],[uren / jaar weekend]]+Ruimtestaat[[#This Row],[uren / jaar werkdagen]]</f>
        <v>0</v>
      </c>
      <c r="AG844" s="61">
        <f>Ruimtestaat[[#This Row],[kosten / jaar weekend]]+Ruimtestaat[[#This Row],[kosten / jaar werkdagen]]</f>
        <v>0</v>
      </c>
      <c r="AH844" s="92"/>
      <c r="HL844" s="59"/>
    </row>
    <row r="845" spans="1:220">
      <c r="A845" s="24">
        <v>5</v>
      </c>
      <c r="B845" s="24" t="str">
        <f>VLOOKUP(Ruimtestaat[[#This Row],[Code]],Locaties[#All],2,FALSE)</f>
        <v>Marke Zuid</v>
      </c>
      <c r="C845" s="24" t="str">
        <f>VLOOKUP(Ruimtestaat[[#This Row],[Code]],Locaties[#All],4,FALSE)</f>
        <v>Ludgerstraat 1</v>
      </c>
      <c r="D845" s="24" t="str">
        <f>VLOOKUP(Ruimtestaat[[#This Row],[Code]],Locaties[#All],5,FALSE)</f>
        <v>7415 DV</v>
      </c>
      <c r="E845" s="24" t="str">
        <f>VLOOKUP(Ruimtestaat[[#This Row],[Code]],Locaties[#All],6,FALSE)</f>
        <v>Deventer</v>
      </c>
      <c r="F845" s="54"/>
      <c r="G845" s="24" t="s">
        <v>569</v>
      </c>
      <c r="H845" s="24" t="s">
        <v>1286</v>
      </c>
      <c r="I845" s="4" t="s">
        <v>716</v>
      </c>
      <c r="J845" s="24">
        <v>10</v>
      </c>
      <c r="K845" s="54" t="str">
        <f>VLOOKUP(J845,Ruimtegroepen[],2,FALSE)</f>
        <v>Trappenhuizen/lift</v>
      </c>
      <c r="L845" s="24" t="s">
        <v>305</v>
      </c>
      <c r="M845" s="24" t="s">
        <v>376</v>
      </c>
      <c r="N845" s="83">
        <v>13.4</v>
      </c>
      <c r="O845" s="83"/>
      <c r="P845" s="93" t="str">
        <f>LEFT(VLOOKUP(Ruimtestaat[[#This Row],[Ruimte code]],Ruimtegroepen[#All],4,1),2)</f>
        <v>Ve</v>
      </c>
      <c r="Q845" s="93"/>
      <c r="R845" s="84">
        <v>40</v>
      </c>
      <c r="S845" s="84" t="s">
        <v>318</v>
      </c>
      <c r="T845" s="85">
        <f>IF(R845&gt;0,IF(RIGHT(Ruimtestaat[[#This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5" s="85">
        <f>IF(T845&gt;0,VLOOKUP($J845,Ruimtegroepen[],3,FALSE)*VLOOKUP($L845,Vloersoorten[],3,FALSE)*VLOOKUP($S845,Frequenties[],3,FALSE)*VLOOKUP($A845,Locaties[],3,FALSE),0)</f>
        <v>0</v>
      </c>
      <c r="V845" s="86">
        <f>Ruimtestaat[[#This Row],[Uitvoeringen werkdagen]]*Ruimtestaat[[#This Row],[Oppervlak (netto)]]</f>
        <v>2680</v>
      </c>
      <c r="W845" s="87">
        <f>IF(U845&gt;0,Ruimtestaat[[#This Row],[Prest. (m2 /jaar) werkdagen]]/Ruimtestaat[[#This Row],[Norm (m2/uur) werkdagen]],0)</f>
        <v>0</v>
      </c>
      <c r="X845" s="88">
        <f>Ruimtestaat[[#This Row],[uren / jaar werkdagen]]*Tariefsopbouw!$E$35</f>
        <v>0</v>
      </c>
      <c r="Y845" s="85"/>
      <c r="Z845" s="89">
        <f>IF(Ruimtestaat[[#This Row],[Frequentie weekend]]&gt;0,VALUE(LEFT(Y845,1))*R845,0)</f>
        <v>0</v>
      </c>
      <c r="AA845" s="85">
        <f>IF($Z845&gt;0,VLOOKUP($J845,Ruimtegroepen[],3,FALSE)*VLOOKUP($L845,Vloersoorten[],3,FALSE)*VLOOKUP($Y845,Frequenties[],3,FALSE)*VLOOKUP(#REF!,Locaties[],3,FALSE),0)</f>
        <v>0</v>
      </c>
      <c r="AB845" s="87">
        <f>Ruimtestaat[[#This Row],[Uitvoeringen weekend]]*Ruimtestaat[[#This Row],[Oppervlak (netto)]]</f>
        <v>0</v>
      </c>
      <c r="AC845" s="90">
        <f>IF(AB845&gt;0,Ruimtestaat[[#This Row],[Prest. (m2 /jaar) weekend]]/Ruimtestaat[[#This Row],[Norm (m2/uur) weekend]],0)</f>
        <v>0</v>
      </c>
      <c r="AD845" s="91">
        <f>Ruimtestaat[[#This Row],[uren / jaar weekend]]*Tariefsopbouw!$D$40</f>
        <v>0</v>
      </c>
      <c r="AE845" s="60">
        <f>Ruimtestaat[[#This Row],[Prest. (m2 /jaar) weekend]]+Ruimtestaat[[#This Row],[Prest. (m2 /jaar) werkdagen]]</f>
        <v>2680</v>
      </c>
      <c r="AF845" s="60">
        <f>Ruimtestaat[[#This Row],[uren / jaar weekend]]+Ruimtestaat[[#This Row],[uren / jaar werkdagen]]</f>
        <v>0</v>
      </c>
      <c r="AG845" s="61">
        <f>Ruimtestaat[[#This Row],[kosten / jaar weekend]]+Ruimtestaat[[#This Row],[kosten / jaar werkdagen]]</f>
        <v>0</v>
      </c>
      <c r="AH845" s="92"/>
      <c r="HL845" s="59"/>
    </row>
    <row r="846" spans="1:220">
      <c r="A846" s="24">
        <v>6</v>
      </c>
      <c r="B846" s="24" t="str">
        <f>VLOOKUP(Ruimtestaat[[#This Row],[Code]],Locaties[#All],2,FALSE)</f>
        <v>Marke Noord</v>
      </c>
      <c r="C846" s="24" t="str">
        <f>VLOOKUP(Ruimtestaat[[#This Row],[Code]],Locaties[#All],4,FALSE)</f>
        <v>Lebuïnuslaan 1</v>
      </c>
      <c r="D846" s="24" t="str">
        <f>VLOOKUP(Ruimtestaat[[#This Row],[Code]],Locaties[#All],5,FALSE)</f>
        <v>7415 DM</v>
      </c>
      <c r="E846" s="24" t="str">
        <f>VLOOKUP(Ruimtestaat[[#This Row],[Code]],Locaties[#All],6,FALSE)</f>
        <v>Deventer</v>
      </c>
      <c r="F846" s="54"/>
      <c r="G846" s="24" t="s">
        <v>367</v>
      </c>
      <c r="H846" s="24" t="s">
        <v>1287</v>
      </c>
      <c r="I846" s="4" t="s">
        <v>1098</v>
      </c>
      <c r="J846" s="24">
        <v>16</v>
      </c>
      <c r="K846" s="54" t="str">
        <f>VLOOKUP(J846,Ruimtegroepen[],2,FALSE)</f>
        <v>Leslokalen theorie</v>
      </c>
      <c r="L846" s="24" t="s">
        <v>308</v>
      </c>
      <c r="M846" s="24" t="s">
        <v>1288</v>
      </c>
      <c r="N846" s="83">
        <v>233.86</v>
      </c>
      <c r="O846" s="83"/>
      <c r="P846" s="93" t="str">
        <f>LEFT(VLOOKUP(Ruimtestaat[[#This Row],[Ruimte code]],Ruimtegroepen[#All],4,1),2)</f>
        <v>Le</v>
      </c>
      <c r="Q846" s="93"/>
      <c r="R846" s="84">
        <v>40</v>
      </c>
      <c r="S846" s="84" t="s">
        <v>318</v>
      </c>
      <c r="T846" s="85">
        <f>IF(R846&gt;0,IF(RIGHT(Ruimtestaat[[#This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6" s="85">
        <f>IF(T846&gt;0,VLOOKUP($J846,Ruimtegroepen[],3,FALSE)*VLOOKUP($L846,Vloersoorten[],3,FALSE)*VLOOKUP($S846,Frequenties[],3,FALSE)*VLOOKUP($A846,Locaties[],3,FALSE),0)</f>
        <v>0</v>
      </c>
      <c r="V846" s="86">
        <f>Ruimtestaat[[#This Row],[Uitvoeringen werkdagen]]*Ruimtestaat[[#This Row],[Oppervlak (netto)]]</f>
        <v>46772</v>
      </c>
      <c r="W846" s="87">
        <f>IF(U846&gt;0,Ruimtestaat[[#This Row],[Prest. (m2 /jaar) werkdagen]]/Ruimtestaat[[#This Row],[Norm (m2/uur) werkdagen]],0)</f>
        <v>0</v>
      </c>
      <c r="X846" s="88">
        <f>Ruimtestaat[[#This Row],[uren / jaar werkdagen]]*Tariefsopbouw!$E$35</f>
        <v>0</v>
      </c>
      <c r="Y846" s="85"/>
      <c r="Z846" s="89">
        <f>IF(Ruimtestaat[[#This Row],[Frequentie weekend]]&gt;0,VALUE(LEFT(Y846,1))*R846,0)</f>
        <v>0</v>
      </c>
      <c r="AA846" s="85">
        <f>IF($Z846&gt;0,VLOOKUP($J846,Ruimtegroepen[],3,FALSE)*VLOOKUP($L846,Vloersoorten[],3,FALSE)*VLOOKUP($Y846,Frequenties[],3,FALSE)*VLOOKUP(#REF!,Locaties[],3,FALSE),0)</f>
        <v>0</v>
      </c>
      <c r="AB846" s="87">
        <f>Ruimtestaat[[#This Row],[Uitvoeringen weekend]]*Ruimtestaat[[#This Row],[Oppervlak (netto)]]</f>
        <v>0</v>
      </c>
      <c r="AC846" s="90">
        <f>IF(AB846&gt;0,Ruimtestaat[[#This Row],[Prest. (m2 /jaar) weekend]]/Ruimtestaat[[#This Row],[Norm (m2/uur) weekend]],0)</f>
        <v>0</v>
      </c>
      <c r="AD846" s="91">
        <f>Ruimtestaat[[#This Row],[uren / jaar weekend]]*Tariefsopbouw!$D$40</f>
        <v>0</v>
      </c>
      <c r="AE846" s="60">
        <f>Ruimtestaat[[#This Row],[Prest. (m2 /jaar) weekend]]+Ruimtestaat[[#This Row],[Prest. (m2 /jaar) werkdagen]]</f>
        <v>46772</v>
      </c>
      <c r="AF846" s="60">
        <f>Ruimtestaat[[#This Row],[uren / jaar weekend]]+Ruimtestaat[[#This Row],[uren / jaar werkdagen]]</f>
        <v>0</v>
      </c>
      <c r="AG846" s="61">
        <f>Ruimtestaat[[#This Row],[kosten / jaar weekend]]+Ruimtestaat[[#This Row],[kosten / jaar werkdagen]]</f>
        <v>0</v>
      </c>
      <c r="AH846" s="92"/>
      <c r="HL846" s="59"/>
    </row>
    <row r="847" spans="1:220">
      <c r="A847" s="24">
        <v>6</v>
      </c>
      <c r="B847" s="24" t="str">
        <f>VLOOKUP(Ruimtestaat[[#This Row],[Code]],Locaties[#All],2,FALSE)</f>
        <v>Marke Noord</v>
      </c>
      <c r="C847" s="24" t="str">
        <f>VLOOKUP(Ruimtestaat[[#This Row],[Code]],Locaties[#All],4,FALSE)</f>
        <v>Lebuïnuslaan 1</v>
      </c>
      <c r="D847" s="24" t="str">
        <f>VLOOKUP(Ruimtestaat[[#This Row],[Code]],Locaties[#All],5,FALSE)</f>
        <v>7415 DM</v>
      </c>
      <c r="E847" s="24" t="str">
        <f>VLOOKUP(Ruimtestaat[[#This Row],[Code]],Locaties[#All],6,FALSE)</f>
        <v>Deventer</v>
      </c>
      <c r="F847" s="54"/>
      <c r="G847" s="24" t="s">
        <v>367</v>
      </c>
      <c r="H847" s="24" t="s">
        <v>1289</v>
      </c>
      <c r="I847" s="4" t="s">
        <v>667</v>
      </c>
      <c r="J847" s="24">
        <v>22</v>
      </c>
      <c r="K847" s="54" t="str">
        <f>VLOOKUP(J847,Ruimtegroepen[],2,FALSE)</f>
        <v>Niet in onderhoud</v>
      </c>
      <c r="L847" s="24" t="s">
        <v>300</v>
      </c>
      <c r="M847" s="24" t="s">
        <v>909</v>
      </c>
      <c r="N847" s="83"/>
      <c r="O847" s="83">
        <v>8.15</v>
      </c>
      <c r="P847" s="93" t="str">
        <f>LEFT(VLOOKUP(Ruimtestaat[[#This Row],[Ruimte code]],Ruimtegroepen[#All],4,1),2)</f>
        <v/>
      </c>
      <c r="Q847" s="93"/>
      <c r="R847" s="84"/>
      <c r="S847" s="84"/>
      <c r="T847" s="85">
        <f>IF(R847&gt;0,IF(RIGHT(Ruimtestaat[[#This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47" s="85">
        <f>IF(T847&gt;0,VLOOKUP($J847,Ruimtegroepen[],3,FALSE)*VLOOKUP($L847,Vloersoorten[],3,FALSE)*VLOOKUP($S847,Frequenties[],3,FALSE)*VLOOKUP($A847,Locaties[],3,FALSE),0)</f>
        <v>0</v>
      </c>
      <c r="V847" s="86">
        <f>Ruimtestaat[[#This Row],[Uitvoeringen werkdagen]]*Ruimtestaat[[#This Row],[Oppervlak (netto)]]</f>
        <v>0</v>
      </c>
      <c r="W847" s="87">
        <f>IF(U847&gt;0,Ruimtestaat[[#This Row],[Prest. (m2 /jaar) werkdagen]]/Ruimtestaat[[#This Row],[Norm (m2/uur) werkdagen]],0)</f>
        <v>0</v>
      </c>
      <c r="X847" s="88">
        <f>Ruimtestaat[[#This Row],[uren / jaar werkdagen]]*Tariefsopbouw!$E$35</f>
        <v>0</v>
      </c>
      <c r="Y847" s="85"/>
      <c r="Z847" s="89">
        <f>IF(Ruimtestaat[[#This Row],[Frequentie weekend]]&gt;0,VALUE(LEFT(Y847,1))*R847,0)</f>
        <v>0</v>
      </c>
      <c r="AA847" s="85">
        <f>IF($Z847&gt;0,VLOOKUP($J847,Ruimtegroepen[],3,FALSE)*VLOOKUP($L847,Vloersoorten[],3,FALSE)*VLOOKUP($Y847,Frequenties[],3,FALSE)*VLOOKUP(#REF!,Locaties[],3,FALSE),0)</f>
        <v>0</v>
      </c>
      <c r="AB847" s="87">
        <f>Ruimtestaat[[#This Row],[Uitvoeringen weekend]]*Ruimtestaat[[#This Row],[Oppervlak (netto)]]</f>
        <v>0</v>
      </c>
      <c r="AC847" s="90">
        <f>IF(AB847&gt;0,Ruimtestaat[[#This Row],[Prest. (m2 /jaar) weekend]]/Ruimtestaat[[#This Row],[Norm (m2/uur) weekend]],0)</f>
        <v>0</v>
      </c>
      <c r="AD847" s="91">
        <f>Ruimtestaat[[#This Row],[uren / jaar weekend]]*Tariefsopbouw!$D$40</f>
        <v>0</v>
      </c>
      <c r="AE847" s="60">
        <f>Ruimtestaat[[#This Row],[Prest. (m2 /jaar) weekend]]+Ruimtestaat[[#This Row],[Prest. (m2 /jaar) werkdagen]]</f>
        <v>0</v>
      </c>
      <c r="AF847" s="60">
        <f>Ruimtestaat[[#This Row],[uren / jaar weekend]]+Ruimtestaat[[#This Row],[uren / jaar werkdagen]]</f>
        <v>0</v>
      </c>
      <c r="AG847" s="61">
        <f>Ruimtestaat[[#This Row],[kosten / jaar weekend]]+Ruimtestaat[[#This Row],[kosten / jaar werkdagen]]</f>
        <v>0</v>
      </c>
      <c r="AH847" s="92"/>
      <c r="HL847" s="59"/>
    </row>
    <row r="848" spans="1:220">
      <c r="A848" s="24">
        <v>6</v>
      </c>
      <c r="B848" s="24" t="str">
        <f>VLOOKUP(Ruimtestaat[[#This Row],[Code]],Locaties[#All],2,FALSE)</f>
        <v>Marke Noord</v>
      </c>
      <c r="C848" s="24" t="str">
        <f>VLOOKUP(Ruimtestaat[[#This Row],[Code]],Locaties[#All],4,FALSE)</f>
        <v>Lebuïnuslaan 1</v>
      </c>
      <c r="D848" s="24" t="str">
        <f>VLOOKUP(Ruimtestaat[[#This Row],[Code]],Locaties[#All],5,FALSE)</f>
        <v>7415 DM</v>
      </c>
      <c r="E848" s="24" t="str">
        <f>VLOOKUP(Ruimtestaat[[#This Row],[Code]],Locaties[#All],6,FALSE)</f>
        <v>Deventer</v>
      </c>
      <c r="F848" s="54"/>
      <c r="G848" s="24" t="s">
        <v>367</v>
      </c>
      <c r="H848" s="24" t="s">
        <v>1290</v>
      </c>
      <c r="I848" s="4" t="s">
        <v>667</v>
      </c>
      <c r="J848" s="24">
        <v>22</v>
      </c>
      <c r="K848" s="54" t="str">
        <f>VLOOKUP(J848,Ruimtegroepen[],2,FALSE)</f>
        <v>Niet in onderhoud</v>
      </c>
      <c r="L848" s="24" t="s">
        <v>300</v>
      </c>
      <c r="M848" s="24" t="s">
        <v>909</v>
      </c>
      <c r="N848" s="83"/>
      <c r="O848" s="83">
        <v>8.98</v>
      </c>
      <c r="P848" s="93" t="str">
        <f>LEFT(VLOOKUP(Ruimtestaat[[#This Row],[Ruimte code]],Ruimtegroepen[#All],4,1),2)</f>
        <v/>
      </c>
      <c r="Q848" s="93"/>
      <c r="R848" s="84"/>
      <c r="S848" s="84"/>
      <c r="T848" s="85">
        <f>IF(R848&gt;0,IF(RIGHT(Ruimtestaat[[#This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48" s="85">
        <f>IF(T848&gt;0,VLOOKUP($J848,Ruimtegroepen[],3,FALSE)*VLOOKUP($L848,Vloersoorten[],3,FALSE)*VLOOKUP($S848,Frequenties[],3,FALSE)*VLOOKUP($A848,Locaties[],3,FALSE),0)</f>
        <v>0</v>
      </c>
      <c r="V848" s="86">
        <f>Ruimtestaat[[#This Row],[Uitvoeringen werkdagen]]*Ruimtestaat[[#This Row],[Oppervlak (netto)]]</f>
        <v>0</v>
      </c>
      <c r="W848" s="87">
        <f>IF(U848&gt;0,Ruimtestaat[[#This Row],[Prest. (m2 /jaar) werkdagen]]/Ruimtestaat[[#This Row],[Norm (m2/uur) werkdagen]],0)</f>
        <v>0</v>
      </c>
      <c r="X848" s="88">
        <f>Ruimtestaat[[#This Row],[uren / jaar werkdagen]]*Tariefsopbouw!$E$35</f>
        <v>0</v>
      </c>
      <c r="Y848" s="85"/>
      <c r="Z848" s="89">
        <f>IF(Ruimtestaat[[#This Row],[Frequentie weekend]]&gt;0,VALUE(LEFT(Y848,1))*R848,0)</f>
        <v>0</v>
      </c>
      <c r="AA848" s="85">
        <f>IF($Z848&gt;0,VLOOKUP($J848,Ruimtegroepen[],3,FALSE)*VLOOKUP($L848,Vloersoorten[],3,FALSE)*VLOOKUP($Y848,Frequenties[],3,FALSE)*VLOOKUP(#REF!,Locaties[],3,FALSE),0)</f>
        <v>0</v>
      </c>
      <c r="AB848" s="87">
        <f>Ruimtestaat[[#This Row],[Uitvoeringen weekend]]*Ruimtestaat[[#This Row],[Oppervlak (netto)]]</f>
        <v>0</v>
      </c>
      <c r="AC848" s="90">
        <f>IF(AB848&gt;0,Ruimtestaat[[#This Row],[Prest. (m2 /jaar) weekend]]/Ruimtestaat[[#This Row],[Norm (m2/uur) weekend]],0)</f>
        <v>0</v>
      </c>
      <c r="AD848" s="91">
        <f>Ruimtestaat[[#This Row],[uren / jaar weekend]]*Tariefsopbouw!$D$40</f>
        <v>0</v>
      </c>
      <c r="AE848" s="60">
        <f>Ruimtestaat[[#This Row],[Prest. (m2 /jaar) weekend]]+Ruimtestaat[[#This Row],[Prest. (m2 /jaar) werkdagen]]</f>
        <v>0</v>
      </c>
      <c r="AF848" s="60">
        <f>Ruimtestaat[[#This Row],[uren / jaar weekend]]+Ruimtestaat[[#This Row],[uren / jaar werkdagen]]</f>
        <v>0</v>
      </c>
      <c r="AG848" s="61">
        <f>Ruimtestaat[[#This Row],[kosten / jaar weekend]]+Ruimtestaat[[#This Row],[kosten / jaar werkdagen]]</f>
        <v>0</v>
      </c>
      <c r="AH848" s="92"/>
      <c r="HL848" s="59"/>
    </row>
    <row r="849" spans="1:220">
      <c r="A849" s="24">
        <v>6</v>
      </c>
      <c r="B849" s="24" t="str">
        <f>VLOOKUP(Ruimtestaat[[#This Row],[Code]],Locaties[#All],2,FALSE)</f>
        <v>Marke Noord</v>
      </c>
      <c r="C849" s="24" t="str">
        <f>VLOOKUP(Ruimtestaat[[#This Row],[Code]],Locaties[#All],4,FALSE)</f>
        <v>Lebuïnuslaan 1</v>
      </c>
      <c r="D849" s="24" t="str">
        <f>VLOOKUP(Ruimtestaat[[#This Row],[Code]],Locaties[#All],5,FALSE)</f>
        <v>7415 DM</v>
      </c>
      <c r="E849" s="24" t="str">
        <f>VLOOKUP(Ruimtestaat[[#This Row],[Code]],Locaties[#All],6,FALSE)</f>
        <v>Deventer</v>
      </c>
      <c r="F849" s="54"/>
      <c r="G849" s="24" t="s">
        <v>367</v>
      </c>
      <c r="H849" s="24" t="s">
        <v>1291</v>
      </c>
      <c r="I849" s="4" t="s">
        <v>667</v>
      </c>
      <c r="J849" s="24">
        <v>22</v>
      </c>
      <c r="K849" s="54" t="str">
        <f>VLOOKUP(J849,Ruimtegroepen[],2,FALSE)</f>
        <v>Niet in onderhoud</v>
      </c>
      <c r="L849" s="24" t="s">
        <v>300</v>
      </c>
      <c r="M849" s="24" t="s">
        <v>909</v>
      </c>
      <c r="N849" s="83"/>
      <c r="O849" s="83">
        <v>7.77</v>
      </c>
      <c r="P849" s="93" t="str">
        <f>LEFT(VLOOKUP(Ruimtestaat[[#This Row],[Ruimte code]],Ruimtegroepen[#All],4,1),2)</f>
        <v/>
      </c>
      <c r="Q849" s="93"/>
      <c r="R849" s="84"/>
      <c r="S849" s="84"/>
      <c r="T849" s="85">
        <f>IF(R849&gt;0,IF(RIGHT(Ruimtestaat[[#This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49" s="85">
        <f>IF(T849&gt;0,VLOOKUP($J849,Ruimtegroepen[],3,FALSE)*VLOOKUP($L849,Vloersoorten[],3,FALSE)*VLOOKUP($S849,Frequenties[],3,FALSE)*VLOOKUP($A849,Locaties[],3,FALSE),0)</f>
        <v>0</v>
      </c>
      <c r="V849" s="86">
        <f>Ruimtestaat[[#This Row],[Uitvoeringen werkdagen]]*Ruimtestaat[[#This Row],[Oppervlak (netto)]]</f>
        <v>0</v>
      </c>
      <c r="W849" s="87">
        <f>IF(U849&gt;0,Ruimtestaat[[#This Row],[Prest. (m2 /jaar) werkdagen]]/Ruimtestaat[[#This Row],[Norm (m2/uur) werkdagen]],0)</f>
        <v>0</v>
      </c>
      <c r="X849" s="88">
        <f>Ruimtestaat[[#This Row],[uren / jaar werkdagen]]*Tariefsopbouw!$E$35</f>
        <v>0</v>
      </c>
      <c r="Y849" s="85"/>
      <c r="Z849" s="89">
        <f>IF(Ruimtestaat[[#This Row],[Frequentie weekend]]&gt;0,VALUE(LEFT(Y849,1))*R849,0)</f>
        <v>0</v>
      </c>
      <c r="AA849" s="85">
        <f>IF($Z849&gt;0,VLOOKUP($J849,Ruimtegroepen[],3,FALSE)*VLOOKUP($L849,Vloersoorten[],3,FALSE)*VLOOKUP($Y849,Frequenties[],3,FALSE)*VLOOKUP(#REF!,Locaties[],3,FALSE),0)</f>
        <v>0</v>
      </c>
      <c r="AB849" s="87">
        <f>Ruimtestaat[[#This Row],[Uitvoeringen weekend]]*Ruimtestaat[[#This Row],[Oppervlak (netto)]]</f>
        <v>0</v>
      </c>
      <c r="AC849" s="90">
        <f>IF(AB849&gt;0,Ruimtestaat[[#This Row],[Prest. (m2 /jaar) weekend]]/Ruimtestaat[[#This Row],[Norm (m2/uur) weekend]],0)</f>
        <v>0</v>
      </c>
      <c r="AD849" s="91">
        <f>Ruimtestaat[[#This Row],[uren / jaar weekend]]*Tariefsopbouw!$D$40</f>
        <v>0</v>
      </c>
      <c r="AE849" s="60">
        <f>Ruimtestaat[[#This Row],[Prest. (m2 /jaar) weekend]]+Ruimtestaat[[#This Row],[Prest. (m2 /jaar) werkdagen]]</f>
        <v>0</v>
      </c>
      <c r="AF849" s="60">
        <f>Ruimtestaat[[#This Row],[uren / jaar weekend]]+Ruimtestaat[[#This Row],[uren / jaar werkdagen]]</f>
        <v>0</v>
      </c>
      <c r="AG849" s="61">
        <f>Ruimtestaat[[#This Row],[kosten / jaar weekend]]+Ruimtestaat[[#This Row],[kosten / jaar werkdagen]]</f>
        <v>0</v>
      </c>
      <c r="AH849" s="92"/>
      <c r="HL849" s="59"/>
    </row>
    <row r="850" spans="1:220">
      <c r="A850" s="24">
        <v>6</v>
      </c>
      <c r="B850" s="24" t="str">
        <f>VLOOKUP(Ruimtestaat[[#This Row],[Code]],Locaties[#All],2,FALSE)</f>
        <v>Marke Noord</v>
      </c>
      <c r="C850" s="24" t="str">
        <f>VLOOKUP(Ruimtestaat[[#This Row],[Code]],Locaties[#All],4,FALSE)</f>
        <v>Lebuïnuslaan 1</v>
      </c>
      <c r="D850" s="24" t="str">
        <f>VLOOKUP(Ruimtestaat[[#This Row],[Code]],Locaties[#All],5,FALSE)</f>
        <v>7415 DM</v>
      </c>
      <c r="E850" s="24" t="str">
        <f>VLOOKUP(Ruimtestaat[[#This Row],[Code]],Locaties[#All],6,FALSE)</f>
        <v>Deventer</v>
      </c>
      <c r="F850" s="54"/>
      <c r="G850" s="24" t="s">
        <v>367</v>
      </c>
      <c r="H850" s="24" t="s">
        <v>1292</v>
      </c>
      <c r="I850" s="4" t="s">
        <v>667</v>
      </c>
      <c r="J850" s="24">
        <v>22</v>
      </c>
      <c r="K850" s="54" t="str">
        <f>VLOOKUP(J850,Ruimtegroepen[],2,FALSE)</f>
        <v>Niet in onderhoud</v>
      </c>
      <c r="L850" s="24" t="s">
        <v>300</v>
      </c>
      <c r="M850" s="24" t="s">
        <v>909</v>
      </c>
      <c r="N850" s="83"/>
      <c r="O850" s="83">
        <v>8.76</v>
      </c>
      <c r="P850" s="93" t="str">
        <f>LEFT(VLOOKUP(Ruimtestaat[[#This Row],[Ruimte code]],Ruimtegroepen[#All],4,1),2)</f>
        <v/>
      </c>
      <c r="Q850" s="93"/>
      <c r="R850" s="84"/>
      <c r="S850" s="84"/>
      <c r="T850" s="85">
        <f>IF(R850&gt;0,IF(RIGHT(Ruimtestaat[[#This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0" s="85">
        <f>IF(T850&gt;0,VLOOKUP($J850,Ruimtegroepen[],3,FALSE)*VLOOKUP($L850,Vloersoorten[],3,FALSE)*VLOOKUP($S850,Frequenties[],3,FALSE)*VLOOKUP($A850,Locaties[],3,FALSE),0)</f>
        <v>0</v>
      </c>
      <c r="V850" s="86">
        <f>Ruimtestaat[[#This Row],[Uitvoeringen werkdagen]]*Ruimtestaat[[#This Row],[Oppervlak (netto)]]</f>
        <v>0</v>
      </c>
      <c r="W850" s="87">
        <f>IF(U850&gt;0,Ruimtestaat[[#This Row],[Prest. (m2 /jaar) werkdagen]]/Ruimtestaat[[#This Row],[Norm (m2/uur) werkdagen]],0)</f>
        <v>0</v>
      </c>
      <c r="X850" s="88">
        <f>Ruimtestaat[[#This Row],[uren / jaar werkdagen]]*Tariefsopbouw!$E$35</f>
        <v>0</v>
      </c>
      <c r="Y850" s="85"/>
      <c r="Z850" s="89">
        <f>IF(Ruimtestaat[[#This Row],[Frequentie weekend]]&gt;0,VALUE(LEFT(Y850,1))*R850,0)</f>
        <v>0</v>
      </c>
      <c r="AA850" s="85">
        <f>IF($Z850&gt;0,VLOOKUP($J850,Ruimtegroepen[],3,FALSE)*VLOOKUP($L850,Vloersoorten[],3,FALSE)*VLOOKUP($Y850,Frequenties[],3,FALSE)*VLOOKUP(#REF!,Locaties[],3,FALSE),0)</f>
        <v>0</v>
      </c>
      <c r="AB850" s="87">
        <f>Ruimtestaat[[#This Row],[Uitvoeringen weekend]]*Ruimtestaat[[#This Row],[Oppervlak (netto)]]</f>
        <v>0</v>
      </c>
      <c r="AC850" s="90">
        <f>IF(AB850&gt;0,Ruimtestaat[[#This Row],[Prest. (m2 /jaar) weekend]]/Ruimtestaat[[#This Row],[Norm (m2/uur) weekend]],0)</f>
        <v>0</v>
      </c>
      <c r="AD850" s="91">
        <f>Ruimtestaat[[#This Row],[uren / jaar weekend]]*Tariefsopbouw!$D$40</f>
        <v>0</v>
      </c>
      <c r="AE850" s="60">
        <f>Ruimtestaat[[#This Row],[Prest. (m2 /jaar) weekend]]+Ruimtestaat[[#This Row],[Prest. (m2 /jaar) werkdagen]]</f>
        <v>0</v>
      </c>
      <c r="AF850" s="60">
        <f>Ruimtestaat[[#This Row],[uren / jaar weekend]]+Ruimtestaat[[#This Row],[uren / jaar werkdagen]]</f>
        <v>0</v>
      </c>
      <c r="AG850" s="61">
        <f>Ruimtestaat[[#This Row],[kosten / jaar weekend]]+Ruimtestaat[[#This Row],[kosten / jaar werkdagen]]</f>
        <v>0</v>
      </c>
      <c r="AH850" s="92"/>
      <c r="HL850" s="59"/>
    </row>
    <row r="851" spans="1:220">
      <c r="A851" s="24">
        <v>6</v>
      </c>
      <c r="B851" s="24" t="str">
        <f>VLOOKUP(Ruimtestaat[[#This Row],[Code]],Locaties[#All],2,FALSE)</f>
        <v>Marke Noord</v>
      </c>
      <c r="C851" s="24" t="str">
        <f>VLOOKUP(Ruimtestaat[[#This Row],[Code]],Locaties[#All],4,FALSE)</f>
        <v>Lebuïnuslaan 1</v>
      </c>
      <c r="D851" s="24" t="str">
        <f>VLOOKUP(Ruimtestaat[[#This Row],[Code]],Locaties[#All],5,FALSE)</f>
        <v>7415 DM</v>
      </c>
      <c r="E851" s="24" t="str">
        <f>VLOOKUP(Ruimtestaat[[#This Row],[Code]],Locaties[#All],6,FALSE)</f>
        <v>Deventer</v>
      </c>
      <c r="F851" s="54"/>
      <c r="G851" s="24" t="s">
        <v>367</v>
      </c>
      <c r="H851" s="24" t="s">
        <v>1293</v>
      </c>
      <c r="I851" s="4" t="s">
        <v>1294</v>
      </c>
      <c r="J851" s="24">
        <v>2</v>
      </c>
      <c r="K851" s="54" t="str">
        <f>VLOOKUP(J851,Ruimtegroepen[],2,FALSE)</f>
        <v>Kantoren</v>
      </c>
      <c r="L851" s="24" t="s">
        <v>300</v>
      </c>
      <c r="M851" s="24" t="s">
        <v>909</v>
      </c>
      <c r="N851" s="83">
        <v>6.5</v>
      </c>
      <c r="O851" s="83"/>
      <c r="P851" s="93" t="str">
        <f>LEFT(VLOOKUP(Ruimtestaat[[#This Row],[Ruimte code]],Ruimtegroepen[#All],4,1),2)</f>
        <v>Bu</v>
      </c>
      <c r="Q851" s="93"/>
      <c r="R851" s="84">
        <v>42</v>
      </c>
      <c r="S851" s="84" t="s">
        <v>322</v>
      </c>
      <c r="T851" s="85">
        <f>IF(R851&gt;0,IF(RIGHT(Ruimtestaat[[#This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51" s="85">
        <f>IF(T851&gt;0,VLOOKUP($J851,Ruimtegroepen[],3,FALSE)*VLOOKUP($L851,Vloersoorten[],3,FALSE)*VLOOKUP($S851,Frequenties[],3,FALSE)*VLOOKUP($A851,Locaties[],3,FALSE),0)</f>
        <v>0</v>
      </c>
      <c r="V851" s="86">
        <f>Ruimtestaat[[#This Row],[Uitvoeringen werkdagen]]*Ruimtestaat[[#This Row],[Oppervlak (netto)]]</f>
        <v>819</v>
      </c>
      <c r="W851" s="87">
        <f>IF(U851&gt;0,Ruimtestaat[[#This Row],[Prest. (m2 /jaar) werkdagen]]/Ruimtestaat[[#This Row],[Norm (m2/uur) werkdagen]],0)</f>
        <v>0</v>
      </c>
      <c r="X851" s="88">
        <f>Ruimtestaat[[#This Row],[uren / jaar werkdagen]]*Tariefsopbouw!$E$35</f>
        <v>0</v>
      </c>
      <c r="Y851" s="85"/>
      <c r="Z851" s="89">
        <f>IF(Ruimtestaat[[#This Row],[Frequentie weekend]]&gt;0,VALUE(LEFT(Y851,1))*R851,0)</f>
        <v>0</v>
      </c>
      <c r="AA851" s="85">
        <f>IF($Z851&gt;0,VLOOKUP($J851,Ruimtegroepen[],3,FALSE)*VLOOKUP($L851,Vloersoorten[],3,FALSE)*VLOOKUP($Y851,Frequenties[],3,FALSE)*VLOOKUP(#REF!,Locaties[],3,FALSE),0)</f>
        <v>0</v>
      </c>
      <c r="AB851" s="87">
        <f>Ruimtestaat[[#This Row],[Uitvoeringen weekend]]*Ruimtestaat[[#This Row],[Oppervlak (netto)]]</f>
        <v>0</v>
      </c>
      <c r="AC851" s="90">
        <f>IF(AB851&gt;0,Ruimtestaat[[#This Row],[Prest. (m2 /jaar) weekend]]/Ruimtestaat[[#This Row],[Norm (m2/uur) weekend]],0)</f>
        <v>0</v>
      </c>
      <c r="AD851" s="91">
        <f>Ruimtestaat[[#This Row],[uren / jaar weekend]]*Tariefsopbouw!$D$40</f>
        <v>0</v>
      </c>
      <c r="AE851" s="60">
        <f>Ruimtestaat[[#This Row],[Prest. (m2 /jaar) weekend]]+Ruimtestaat[[#This Row],[Prest. (m2 /jaar) werkdagen]]</f>
        <v>819</v>
      </c>
      <c r="AF851" s="60">
        <f>Ruimtestaat[[#This Row],[uren / jaar weekend]]+Ruimtestaat[[#This Row],[uren / jaar werkdagen]]</f>
        <v>0</v>
      </c>
      <c r="AG851" s="61">
        <f>Ruimtestaat[[#This Row],[kosten / jaar weekend]]+Ruimtestaat[[#This Row],[kosten / jaar werkdagen]]</f>
        <v>0</v>
      </c>
      <c r="AH851" s="92"/>
      <c r="HL851" s="59"/>
    </row>
    <row r="852" spans="1:220">
      <c r="A852" s="24">
        <v>6</v>
      </c>
      <c r="B852" s="24" t="str">
        <f>VLOOKUP(Ruimtestaat[[#This Row],[Code]],Locaties[#All],2,FALSE)</f>
        <v>Marke Noord</v>
      </c>
      <c r="C852" s="24" t="str">
        <f>VLOOKUP(Ruimtestaat[[#This Row],[Code]],Locaties[#All],4,FALSE)</f>
        <v>Lebuïnuslaan 1</v>
      </c>
      <c r="D852" s="24" t="str">
        <f>VLOOKUP(Ruimtestaat[[#This Row],[Code]],Locaties[#All],5,FALSE)</f>
        <v>7415 DM</v>
      </c>
      <c r="E852" s="24" t="str">
        <f>VLOOKUP(Ruimtestaat[[#This Row],[Code]],Locaties[#All],6,FALSE)</f>
        <v>Deventer</v>
      </c>
      <c r="F852" s="54"/>
      <c r="G852" s="24" t="s">
        <v>367</v>
      </c>
      <c r="H852" s="24" t="s">
        <v>1295</v>
      </c>
      <c r="I852" s="4" t="s">
        <v>1296</v>
      </c>
      <c r="J852" s="24">
        <v>9</v>
      </c>
      <c r="K852" s="54" t="str">
        <f>VLOOKUP(J852,Ruimtegroepen[],2,FALSE)</f>
        <v>Garderobe</v>
      </c>
      <c r="L852" s="24" t="s">
        <v>300</v>
      </c>
      <c r="M852" s="24" t="s">
        <v>909</v>
      </c>
      <c r="N852" s="83">
        <v>16.579999999999998</v>
      </c>
      <c r="O852" s="83"/>
      <c r="P852" s="93" t="str">
        <f>LEFT(VLOOKUP(Ruimtestaat[[#This Row],[Ruimte code]],Ruimtegroepen[#All],4,1),2)</f>
        <v>Ve</v>
      </c>
      <c r="Q852" s="93"/>
      <c r="R852" s="84">
        <v>40</v>
      </c>
      <c r="S852" s="84" t="s">
        <v>318</v>
      </c>
      <c r="T852" s="85">
        <f>IF(R852&gt;0,IF(RIGHT(Ruimtestaat[[#This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2" s="85">
        <f>IF(T852&gt;0,VLOOKUP($J852,Ruimtegroepen[],3,FALSE)*VLOOKUP($L852,Vloersoorten[],3,FALSE)*VLOOKUP($S852,Frequenties[],3,FALSE)*VLOOKUP($A852,Locaties[],3,FALSE),0)</f>
        <v>0</v>
      </c>
      <c r="V852" s="86">
        <f>Ruimtestaat[[#This Row],[Uitvoeringen werkdagen]]*Ruimtestaat[[#This Row],[Oppervlak (netto)]]</f>
        <v>3315.9999999999995</v>
      </c>
      <c r="W852" s="87">
        <f>IF(U852&gt;0,Ruimtestaat[[#This Row],[Prest. (m2 /jaar) werkdagen]]/Ruimtestaat[[#This Row],[Norm (m2/uur) werkdagen]],0)</f>
        <v>0</v>
      </c>
      <c r="X852" s="88">
        <f>Ruimtestaat[[#This Row],[uren / jaar werkdagen]]*Tariefsopbouw!$E$35</f>
        <v>0</v>
      </c>
      <c r="Y852" s="85"/>
      <c r="Z852" s="89">
        <f>IF(Ruimtestaat[[#This Row],[Frequentie weekend]]&gt;0,VALUE(LEFT(Y852,1))*R852,0)</f>
        <v>0</v>
      </c>
      <c r="AA852" s="85">
        <f>IF($Z852&gt;0,VLOOKUP($J852,Ruimtegroepen[],3,FALSE)*VLOOKUP($L852,Vloersoorten[],3,FALSE)*VLOOKUP($Y852,Frequenties[],3,FALSE)*VLOOKUP(#REF!,Locaties[],3,FALSE),0)</f>
        <v>0</v>
      </c>
      <c r="AB852" s="87">
        <f>Ruimtestaat[[#This Row],[Uitvoeringen weekend]]*Ruimtestaat[[#This Row],[Oppervlak (netto)]]</f>
        <v>0</v>
      </c>
      <c r="AC852" s="90">
        <f>IF(AB852&gt;0,Ruimtestaat[[#This Row],[Prest. (m2 /jaar) weekend]]/Ruimtestaat[[#This Row],[Norm (m2/uur) weekend]],0)</f>
        <v>0</v>
      </c>
      <c r="AD852" s="91">
        <f>Ruimtestaat[[#This Row],[uren / jaar weekend]]*Tariefsopbouw!$D$40</f>
        <v>0</v>
      </c>
      <c r="AE852" s="60">
        <f>Ruimtestaat[[#This Row],[Prest. (m2 /jaar) weekend]]+Ruimtestaat[[#This Row],[Prest. (m2 /jaar) werkdagen]]</f>
        <v>3315.9999999999995</v>
      </c>
      <c r="AF852" s="60">
        <f>Ruimtestaat[[#This Row],[uren / jaar weekend]]+Ruimtestaat[[#This Row],[uren / jaar werkdagen]]</f>
        <v>0</v>
      </c>
      <c r="AG852" s="61">
        <f>Ruimtestaat[[#This Row],[kosten / jaar weekend]]+Ruimtestaat[[#This Row],[kosten / jaar werkdagen]]</f>
        <v>0</v>
      </c>
      <c r="AH852" s="92"/>
      <c r="HL852" s="59"/>
    </row>
    <row r="853" spans="1:220">
      <c r="A853" s="24">
        <v>6</v>
      </c>
      <c r="B853" s="24" t="str">
        <f>VLOOKUP(Ruimtestaat[[#This Row],[Code]],Locaties[#All],2,FALSE)</f>
        <v>Marke Noord</v>
      </c>
      <c r="C853" s="24" t="str">
        <f>VLOOKUP(Ruimtestaat[[#This Row],[Code]],Locaties[#All],4,FALSE)</f>
        <v>Lebuïnuslaan 1</v>
      </c>
      <c r="D853" s="24" t="str">
        <f>VLOOKUP(Ruimtestaat[[#This Row],[Code]],Locaties[#All],5,FALSE)</f>
        <v>7415 DM</v>
      </c>
      <c r="E853" s="24" t="str">
        <f>VLOOKUP(Ruimtestaat[[#This Row],[Code]],Locaties[#All],6,FALSE)</f>
        <v>Deventer</v>
      </c>
      <c r="F853" s="54"/>
      <c r="G853" s="24" t="s">
        <v>367</v>
      </c>
      <c r="H853" s="24" t="s">
        <v>1297</v>
      </c>
      <c r="I853" s="4" t="s">
        <v>1298</v>
      </c>
      <c r="J853" s="24">
        <v>13</v>
      </c>
      <c r="K853" s="54" t="str">
        <f>VLOOKUP(J853,Ruimtegroepen[],2,FALSE)</f>
        <v>HV/Technieklokaal</v>
      </c>
      <c r="L853" s="24" t="s">
        <v>300</v>
      </c>
      <c r="M853" s="24" t="s">
        <v>909</v>
      </c>
      <c r="N853" s="83">
        <v>23.83</v>
      </c>
      <c r="O853" s="83"/>
      <c r="P853" s="93" t="str">
        <f>LEFT(VLOOKUP(Ruimtestaat[[#This Row],[Ruimte code]],Ruimtegroepen[#All],4,1),2)</f>
        <v>Le</v>
      </c>
      <c r="Q853" s="93"/>
      <c r="R853" s="84">
        <v>40</v>
      </c>
      <c r="S853" s="84" t="s">
        <v>318</v>
      </c>
      <c r="T853" s="85">
        <f>IF(R853&gt;0,IF(RIGHT(Ruimtestaat[[#This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3" s="85">
        <f>IF(T853&gt;0,VLOOKUP($J853,Ruimtegroepen[],3,FALSE)*VLOOKUP($L853,Vloersoorten[],3,FALSE)*VLOOKUP($S853,Frequenties[],3,FALSE)*VLOOKUP($A853,Locaties[],3,FALSE),0)</f>
        <v>0</v>
      </c>
      <c r="V853" s="86">
        <f>Ruimtestaat[[#This Row],[Uitvoeringen werkdagen]]*Ruimtestaat[[#This Row],[Oppervlak (netto)]]</f>
        <v>4766</v>
      </c>
      <c r="W853" s="87">
        <f>IF(U853&gt;0,Ruimtestaat[[#This Row],[Prest. (m2 /jaar) werkdagen]]/Ruimtestaat[[#This Row],[Norm (m2/uur) werkdagen]],0)</f>
        <v>0</v>
      </c>
      <c r="X853" s="88">
        <f>Ruimtestaat[[#This Row],[uren / jaar werkdagen]]*Tariefsopbouw!$E$35</f>
        <v>0</v>
      </c>
      <c r="Y853" s="85"/>
      <c r="Z853" s="89">
        <f>IF(Ruimtestaat[[#This Row],[Frequentie weekend]]&gt;0,VALUE(LEFT(Y853,1))*R853,0)</f>
        <v>0</v>
      </c>
      <c r="AA853" s="85">
        <f>IF($Z853&gt;0,VLOOKUP($J853,Ruimtegroepen[],3,FALSE)*VLOOKUP($L853,Vloersoorten[],3,FALSE)*VLOOKUP($Y853,Frequenties[],3,FALSE)*VLOOKUP(#REF!,Locaties[],3,FALSE),0)</f>
        <v>0</v>
      </c>
      <c r="AB853" s="87">
        <f>Ruimtestaat[[#This Row],[Uitvoeringen weekend]]*Ruimtestaat[[#This Row],[Oppervlak (netto)]]</f>
        <v>0</v>
      </c>
      <c r="AC853" s="90">
        <f>IF(AB853&gt;0,Ruimtestaat[[#This Row],[Prest. (m2 /jaar) weekend]]/Ruimtestaat[[#This Row],[Norm (m2/uur) weekend]],0)</f>
        <v>0</v>
      </c>
      <c r="AD853" s="91">
        <f>Ruimtestaat[[#This Row],[uren / jaar weekend]]*Tariefsopbouw!$D$40</f>
        <v>0</v>
      </c>
      <c r="AE853" s="60">
        <f>Ruimtestaat[[#This Row],[Prest. (m2 /jaar) weekend]]+Ruimtestaat[[#This Row],[Prest. (m2 /jaar) werkdagen]]</f>
        <v>4766</v>
      </c>
      <c r="AF853" s="60">
        <f>Ruimtestaat[[#This Row],[uren / jaar weekend]]+Ruimtestaat[[#This Row],[uren / jaar werkdagen]]</f>
        <v>0</v>
      </c>
      <c r="AG853" s="61">
        <f>Ruimtestaat[[#This Row],[kosten / jaar weekend]]+Ruimtestaat[[#This Row],[kosten / jaar werkdagen]]</f>
        <v>0</v>
      </c>
      <c r="AH853" s="92"/>
      <c r="HL853" s="59"/>
    </row>
    <row r="854" spans="1:220">
      <c r="A854" s="24">
        <v>6</v>
      </c>
      <c r="B854" s="24" t="str">
        <f>VLOOKUP(Ruimtestaat[[#This Row],[Code]],Locaties[#All],2,FALSE)</f>
        <v>Marke Noord</v>
      </c>
      <c r="C854" s="24" t="str">
        <f>VLOOKUP(Ruimtestaat[[#This Row],[Code]],Locaties[#All],4,FALSE)</f>
        <v>Lebuïnuslaan 1</v>
      </c>
      <c r="D854" s="24" t="str">
        <f>VLOOKUP(Ruimtestaat[[#This Row],[Code]],Locaties[#All],5,FALSE)</f>
        <v>7415 DM</v>
      </c>
      <c r="E854" s="24" t="str">
        <f>VLOOKUP(Ruimtestaat[[#This Row],[Code]],Locaties[#All],6,FALSE)</f>
        <v>Deventer</v>
      </c>
      <c r="F854" s="54"/>
      <c r="G854" s="24" t="s">
        <v>367</v>
      </c>
      <c r="H854" s="24" t="s">
        <v>1299</v>
      </c>
      <c r="I854" s="4" t="s">
        <v>589</v>
      </c>
      <c r="J854" s="24">
        <v>22</v>
      </c>
      <c r="K854" s="54" t="str">
        <f>VLOOKUP(J854,Ruimtegroepen[],2,FALSE)</f>
        <v>Niet in onderhoud</v>
      </c>
      <c r="L854" s="24" t="s">
        <v>300</v>
      </c>
      <c r="M854" s="24" t="s">
        <v>909</v>
      </c>
      <c r="N854" s="83"/>
      <c r="O854" s="83">
        <v>12.15</v>
      </c>
      <c r="P854" s="93" t="str">
        <f>LEFT(VLOOKUP(Ruimtestaat[[#This Row],[Ruimte code]],Ruimtegroepen[#All],4,1),2)</f>
        <v/>
      </c>
      <c r="Q854" s="93"/>
      <c r="R854" s="84"/>
      <c r="S854" s="84"/>
      <c r="T854" s="85">
        <f>IF(R854&gt;0,IF(RIGHT(Ruimtestaat[[#This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4" s="85">
        <f>IF(T854&gt;0,VLOOKUP($J854,Ruimtegroepen[],3,FALSE)*VLOOKUP($L854,Vloersoorten[],3,FALSE)*VLOOKUP($S854,Frequenties[],3,FALSE)*VLOOKUP($A854,Locaties[],3,FALSE),0)</f>
        <v>0</v>
      </c>
      <c r="V854" s="86">
        <f>Ruimtestaat[[#This Row],[Uitvoeringen werkdagen]]*Ruimtestaat[[#This Row],[Oppervlak (netto)]]</f>
        <v>0</v>
      </c>
      <c r="W854" s="87">
        <f>IF(U854&gt;0,Ruimtestaat[[#This Row],[Prest. (m2 /jaar) werkdagen]]/Ruimtestaat[[#This Row],[Norm (m2/uur) werkdagen]],0)</f>
        <v>0</v>
      </c>
      <c r="X854" s="88">
        <f>Ruimtestaat[[#This Row],[uren / jaar werkdagen]]*Tariefsopbouw!$E$35</f>
        <v>0</v>
      </c>
      <c r="Y854" s="85"/>
      <c r="Z854" s="89">
        <f>IF(Ruimtestaat[[#This Row],[Frequentie weekend]]&gt;0,VALUE(LEFT(Y854,1))*R854,0)</f>
        <v>0</v>
      </c>
      <c r="AA854" s="85">
        <f>IF($Z854&gt;0,VLOOKUP($J854,Ruimtegroepen[],3,FALSE)*VLOOKUP($L854,Vloersoorten[],3,FALSE)*VLOOKUP($Y854,Frequenties[],3,FALSE)*VLOOKUP(#REF!,Locaties[],3,FALSE),0)</f>
        <v>0</v>
      </c>
      <c r="AB854" s="87">
        <f>Ruimtestaat[[#This Row],[Uitvoeringen weekend]]*Ruimtestaat[[#This Row],[Oppervlak (netto)]]</f>
        <v>0</v>
      </c>
      <c r="AC854" s="90">
        <f>IF(AB854&gt;0,Ruimtestaat[[#This Row],[Prest. (m2 /jaar) weekend]]/Ruimtestaat[[#This Row],[Norm (m2/uur) weekend]],0)</f>
        <v>0</v>
      </c>
      <c r="AD854" s="91">
        <f>Ruimtestaat[[#This Row],[uren / jaar weekend]]*Tariefsopbouw!$D$40</f>
        <v>0</v>
      </c>
      <c r="AE854" s="60">
        <f>Ruimtestaat[[#This Row],[Prest. (m2 /jaar) weekend]]+Ruimtestaat[[#This Row],[Prest. (m2 /jaar) werkdagen]]</f>
        <v>0</v>
      </c>
      <c r="AF854" s="60">
        <f>Ruimtestaat[[#This Row],[uren / jaar weekend]]+Ruimtestaat[[#This Row],[uren / jaar werkdagen]]</f>
        <v>0</v>
      </c>
      <c r="AG854" s="61">
        <f>Ruimtestaat[[#This Row],[kosten / jaar weekend]]+Ruimtestaat[[#This Row],[kosten / jaar werkdagen]]</f>
        <v>0</v>
      </c>
      <c r="AH854" s="92"/>
      <c r="HL854" s="59"/>
    </row>
    <row r="855" spans="1:220">
      <c r="A855" s="24">
        <v>6</v>
      </c>
      <c r="B855" s="24" t="str">
        <f>VLOOKUP(Ruimtestaat[[#This Row],[Code]],Locaties[#All],2,FALSE)</f>
        <v>Marke Noord</v>
      </c>
      <c r="C855" s="24" t="str">
        <f>VLOOKUP(Ruimtestaat[[#This Row],[Code]],Locaties[#All],4,FALSE)</f>
        <v>Lebuïnuslaan 1</v>
      </c>
      <c r="D855" s="24" t="str">
        <f>VLOOKUP(Ruimtestaat[[#This Row],[Code]],Locaties[#All],5,FALSE)</f>
        <v>7415 DM</v>
      </c>
      <c r="E855" s="24" t="str">
        <f>VLOOKUP(Ruimtestaat[[#This Row],[Code]],Locaties[#All],6,FALSE)</f>
        <v>Deventer</v>
      </c>
      <c r="F855" s="54"/>
      <c r="G855" s="24" t="s">
        <v>367</v>
      </c>
      <c r="H855" s="24" t="s">
        <v>1300</v>
      </c>
      <c r="I855" s="4" t="s">
        <v>1301</v>
      </c>
      <c r="J855" s="24">
        <v>13</v>
      </c>
      <c r="K855" s="54" t="str">
        <f>VLOOKUP(J855,Ruimtegroepen[],2,FALSE)</f>
        <v>HV/Technieklokaal</v>
      </c>
      <c r="L855" s="24" t="s">
        <v>308</v>
      </c>
      <c r="M855" s="24" t="s">
        <v>1288</v>
      </c>
      <c r="N855" s="83">
        <v>96.9</v>
      </c>
      <c r="O855" s="83"/>
      <c r="P855" s="93" t="str">
        <f>LEFT(VLOOKUP(Ruimtestaat[[#This Row],[Ruimte code]],Ruimtegroepen[#All],4,1),2)</f>
        <v>Le</v>
      </c>
      <c r="Q855" s="93"/>
      <c r="R855" s="84">
        <v>40</v>
      </c>
      <c r="S855" s="84" t="s">
        <v>318</v>
      </c>
      <c r="T855" s="85">
        <f>IF(R855&gt;0,IF(RIGHT(Ruimtestaat[[#This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5" s="85">
        <f>IF(T855&gt;0,VLOOKUP($J855,Ruimtegroepen[],3,FALSE)*VLOOKUP($L855,Vloersoorten[],3,FALSE)*VLOOKUP($S855,Frequenties[],3,FALSE)*VLOOKUP($A855,Locaties[],3,FALSE),0)</f>
        <v>0</v>
      </c>
      <c r="V855" s="86">
        <f>Ruimtestaat[[#This Row],[Uitvoeringen werkdagen]]*Ruimtestaat[[#This Row],[Oppervlak (netto)]]</f>
        <v>19380</v>
      </c>
      <c r="W855" s="87">
        <f>IF(U855&gt;0,Ruimtestaat[[#This Row],[Prest. (m2 /jaar) werkdagen]]/Ruimtestaat[[#This Row],[Norm (m2/uur) werkdagen]],0)</f>
        <v>0</v>
      </c>
      <c r="X855" s="88">
        <f>Ruimtestaat[[#This Row],[uren / jaar werkdagen]]*Tariefsopbouw!$E$35</f>
        <v>0</v>
      </c>
      <c r="Y855" s="85"/>
      <c r="Z855" s="89">
        <f>IF(Ruimtestaat[[#This Row],[Frequentie weekend]]&gt;0,VALUE(LEFT(Y855,1))*R855,0)</f>
        <v>0</v>
      </c>
      <c r="AA855" s="85">
        <f>IF($Z855&gt;0,VLOOKUP($J855,Ruimtegroepen[],3,FALSE)*VLOOKUP($L855,Vloersoorten[],3,FALSE)*VLOOKUP($Y855,Frequenties[],3,FALSE)*VLOOKUP(#REF!,Locaties[],3,FALSE),0)</f>
        <v>0</v>
      </c>
      <c r="AB855" s="87">
        <f>Ruimtestaat[[#This Row],[Uitvoeringen weekend]]*Ruimtestaat[[#This Row],[Oppervlak (netto)]]</f>
        <v>0</v>
      </c>
      <c r="AC855" s="90">
        <f>IF(AB855&gt;0,Ruimtestaat[[#This Row],[Prest. (m2 /jaar) weekend]]/Ruimtestaat[[#This Row],[Norm (m2/uur) weekend]],0)</f>
        <v>0</v>
      </c>
      <c r="AD855" s="91">
        <f>Ruimtestaat[[#This Row],[uren / jaar weekend]]*Tariefsopbouw!$D$40</f>
        <v>0</v>
      </c>
      <c r="AE855" s="60">
        <f>Ruimtestaat[[#This Row],[Prest. (m2 /jaar) weekend]]+Ruimtestaat[[#This Row],[Prest. (m2 /jaar) werkdagen]]</f>
        <v>19380</v>
      </c>
      <c r="AF855" s="60">
        <f>Ruimtestaat[[#This Row],[uren / jaar weekend]]+Ruimtestaat[[#This Row],[uren / jaar werkdagen]]</f>
        <v>0</v>
      </c>
      <c r="AG855" s="61">
        <f>Ruimtestaat[[#This Row],[kosten / jaar weekend]]+Ruimtestaat[[#This Row],[kosten / jaar werkdagen]]</f>
        <v>0</v>
      </c>
      <c r="AH855" s="92"/>
      <c r="HL855" s="59"/>
    </row>
    <row r="856" spans="1:220">
      <c r="A856" s="24">
        <v>6</v>
      </c>
      <c r="B856" s="24" t="str">
        <f>VLOOKUP(Ruimtestaat[[#This Row],[Code]],Locaties[#All],2,FALSE)</f>
        <v>Marke Noord</v>
      </c>
      <c r="C856" s="24" t="str">
        <f>VLOOKUP(Ruimtestaat[[#This Row],[Code]],Locaties[#All],4,FALSE)</f>
        <v>Lebuïnuslaan 1</v>
      </c>
      <c r="D856" s="24" t="str">
        <f>VLOOKUP(Ruimtestaat[[#This Row],[Code]],Locaties[#All],5,FALSE)</f>
        <v>7415 DM</v>
      </c>
      <c r="E856" s="24" t="str">
        <f>VLOOKUP(Ruimtestaat[[#This Row],[Code]],Locaties[#All],6,FALSE)</f>
        <v>Deventer</v>
      </c>
      <c r="F856" s="54"/>
      <c r="G856" s="24" t="s">
        <v>367</v>
      </c>
      <c r="H856" s="24" t="s">
        <v>1302</v>
      </c>
      <c r="I856" s="4" t="s">
        <v>1303</v>
      </c>
      <c r="J856" s="24">
        <v>22</v>
      </c>
      <c r="K856" s="54" t="str">
        <f>VLOOKUP(J856,Ruimtegroepen[],2,FALSE)</f>
        <v>Niet in onderhoud</v>
      </c>
      <c r="L856" s="24" t="s">
        <v>300</v>
      </c>
      <c r="M856" s="24" t="s">
        <v>909</v>
      </c>
      <c r="N856" s="83"/>
      <c r="O856" s="83">
        <v>8.43</v>
      </c>
      <c r="P856" s="93" t="str">
        <f>LEFT(VLOOKUP(Ruimtestaat[[#This Row],[Ruimte code]],Ruimtegroepen[#All],4,1),2)</f>
        <v/>
      </c>
      <c r="Q856" s="93"/>
      <c r="R856" s="84"/>
      <c r="S856" s="84"/>
      <c r="T856" s="85">
        <f>IF(R856&gt;0,IF(RIGHT(Ruimtestaat[[#This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6" s="85">
        <f>IF(T856&gt;0,VLOOKUP($J856,Ruimtegroepen[],3,FALSE)*VLOOKUP($L856,Vloersoorten[],3,FALSE)*VLOOKUP($S856,Frequenties[],3,FALSE)*VLOOKUP($A856,Locaties[],3,FALSE),0)</f>
        <v>0</v>
      </c>
      <c r="V856" s="86">
        <f>Ruimtestaat[[#This Row],[Uitvoeringen werkdagen]]*Ruimtestaat[[#This Row],[Oppervlak (netto)]]</f>
        <v>0</v>
      </c>
      <c r="W856" s="87">
        <f>IF(U856&gt;0,Ruimtestaat[[#This Row],[Prest. (m2 /jaar) werkdagen]]/Ruimtestaat[[#This Row],[Norm (m2/uur) werkdagen]],0)</f>
        <v>0</v>
      </c>
      <c r="X856" s="88">
        <f>Ruimtestaat[[#This Row],[uren / jaar werkdagen]]*Tariefsopbouw!$E$35</f>
        <v>0</v>
      </c>
      <c r="Y856" s="85"/>
      <c r="Z856" s="89">
        <f>IF(Ruimtestaat[[#This Row],[Frequentie weekend]]&gt;0,VALUE(LEFT(Y856,1))*R856,0)</f>
        <v>0</v>
      </c>
      <c r="AA856" s="85">
        <f>IF($Z856&gt;0,VLOOKUP($J856,Ruimtegroepen[],3,FALSE)*VLOOKUP($L856,Vloersoorten[],3,FALSE)*VLOOKUP($Y856,Frequenties[],3,FALSE)*VLOOKUP(#REF!,Locaties[],3,FALSE),0)</f>
        <v>0</v>
      </c>
      <c r="AB856" s="87">
        <f>Ruimtestaat[[#This Row],[Uitvoeringen weekend]]*Ruimtestaat[[#This Row],[Oppervlak (netto)]]</f>
        <v>0</v>
      </c>
      <c r="AC856" s="90">
        <f>IF(AB856&gt;0,Ruimtestaat[[#This Row],[Prest. (m2 /jaar) weekend]]/Ruimtestaat[[#This Row],[Norm (m2/uur) weekend]],0)</f>
        <v>0</v>
      </c>
      <c r="AD856" s="91">
        <f>Ruimtestaat[[#This Row],[uren / jaar weekend]]*Tariefsopbouw!$D$40</f>
        <v>0</v>
      </c>
      <c r="AE856" s="60">
        <f>Ruimtestaat[[#This Row],[Prest. (m2 /jaar) weekend]]+Ruimtestaat[[#This Row],[Prest. (m2 /jaar) werkdagen]]</f>
        <v>0</v>
      </c>
      <c r="AF856" s="60">
        <f>Ruimtestaat[[#This Row],[uren / jaar weekend]]+Ruimtestaat[[#This Row],[uren / jaar werkdagen]]</f>
        <v>0</v>
      </c>
      <c r="AG856" s="61">
        <f>Ruimtestaat[[#This Row],[kosten / jaar weekend]]+Ruimtestaat[[#This Row],[kosten / jaar werkdagen]]</f>
        <v>0</v>
      </c>
      <c r="AH856" s="92"/>
      <c r="HL856" s="59"/>
    </row>
    <row r="857" spans="1:220">
      <c r="A857" s="24">
        <v>6</v>
      </c>
      <c r="B857" s="24" t="str">
        <f>VLOOKUP(Ruimtestaat[[#This Row],[Code]],Locaties[#All],2,FALSE)</f>
        <v>Marke Noord</v>
      </c>
      <c r="C857" s="24" t="str">
        <f>VLOOKUP(Ruimtestaat[[#This Row],[Code]],Locaties[#All],4,FALSE)</f>
        <v>Lebuïnuslaan 1</v>
      </c>
      <c r="D857" s="24" t="str">
        <f>VLOOKUP(Ruimtestaat[[#This Row],[Code]],Locaties[#All],5,FALSE)</f>
        <v>7415 DM</v>
      </c>
      <c r="E857" s="24" t="str">
        <f>VLOOKUP(Ruimtestaat[[#This Row],[Code]],Locaties[#All],6,FALSE)</f>
        <v>Deventer</v>
      </c>
      <c r="F857" s="54"/>
      <c r="G857" s="24" t="s">
        <v>367</v>
      </c>
      <c r="H857" s="24" t="s">
        <v>1304</v>
      </c>
      <c r="I857" s="4" t="s">
        <v>375</v>
      </c>
      <c r="J857" s="24">
        <v>22</v>
      </c>
      <c r="K857" s="54" t="str">
        <f>VLOOKUP(J857,Ruimtegroepen[],2,FALSE)</f>
        <v>Niet in onderhoud</v>
      </c>
      <c r="L857" s="24" t="s">
        <v>300</v>
      </c>
      <c r="M857" s="24" t="s">
        <v>909</v>
      </c>
      <c r="N857" s="83"/>
      <c r="O857" s="83">
        <v>10.56</v>
      </c>
      <c r="P857" s="93" t="str">
        <f>LEFT(VLOOKUP(Ruimtestaat[[#This Row],[Ruimte code]],Ruimtegroepen[#All],4,1),2)</f>
        <v/>
      </c>
      <c r="Q857" s="93"/>
      <c r="R857" s="84"/>
      <c r="S857" s="84"/>
      <c r="T857" s="85">
        <f>IF(R857&gt;0,IF(RIGHT(Ruimtestaat[[#This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7" s="85">
        <f>IF(T857&gt;0,VLOOKUP($J857,Ruimtegroepen[],3,FALSE)*VLOOKUP($L857,Vloersoorten[],3,FALSE)*VLOOKUP($S857,Frequenties[],3,FALSE)*VLOOKUP($A857,Locaties[],3,FALSE),0)</f>
        <v>0</v>
      </c>
      <c r="V857" s="86">
        <f>Ruimtestaat[[#This Row],[Uitvoeringen werkdagen]]*Ruimtestaat[[#This Row],[Oppervlak (netto)]]</f>
        <v>0</v>
      </c>
      <c r="W857" s="87">
        <f>IF(U857&gt;0,Ruimtestaat[[#This Row],[Prest. (m2 /jaar) werkdagen]]/Ruimtestaat[[#This Row],[Norm (m2/uur) werkdagen]],0)</f>
        <v>0</v>
      </c>
      <c r="X857" s="88">
        <f>Ruimtestaat[[#This Row],[uren / jaar werkdagen]]*Tariefsopbouw!$E$35</f>
        <v>0</v>
      </c>
      <c r="Y857" s="85"/>
      <c r="Z857" s="89">
        <f>IF(Ruimtestaat[[#This Row],[Frequentie weekend]]&gt;0,VALUE(LEFT(Y857,1))*R857,0)</f>
        <v>0</v>
      </c>
      <c r="AA857" s="85">
        <f>IF($Z857&gt;0,VLOOKUP($J857,Ruimtegroepen[],3,FALSE)*VLOOKUP($L857,Vloersoorten[],3,FALSE)*VLOOKUP($Y857,Frequenties[],3,FALSE)*VLOOKUP(#REF!,Locaties[],3,FALSE),0)</f>
        <v>0</v>
      </c>
      <c r="AB857" s="87">
        <f>Ruimtestaat[[#This Row],[Uitvoeringen weekend]]*Ruimtestaat[[#This Row],[Oppervlak (netto)]]</f>
        <v>0</v>
      </c>
      <c r="AC857" s="90">
        <f>IF(AB857&gt;0,Ruimtestaat[[#This Row],[Prest. (m2 /jaar) weekend]]/Ruimtestaat[[#This Row],[Norm (m2/uur) weekend]],0)</f>
        <v>0</v>
      </c>
      <c r="AD857" s="91">
        <f>Ruimtestaat[[#This Row],[uren / jaar weekend]]*Tariefsopbouw!$D$40</f>
        <v>0</v>
      </c>
      <c r="AE857" s="60">
        <f>Ruimtestaat[[#This Row],[Prest. (m2 /jaar) weekend]]+Ruimtestaat[[#This Row],[Prest. (m2 /jaar) werkdagen]]</f>
        <v>0</v>
      </c>
      <c r="AF857" s="60">
        <f>Ruimtestaat[[#This Row],[uren / jaar weekend]]+Ruimtestaat[[#This Row],[uren / jaar werkdagen]]</f>
        <v>0</v>
      </c>
      <c r="AG857" s="61">
        <f>Ruimtestaat[[#This Row],[kosten / jaar weekend]]+Ruimtestaat[[#This Row],[kosten / jaar werkdagen]]</f>
        <v>0</v>
      </c>
      <c r="AH857" s="92"/>
      <c r="HL857" s="59"/>
    </row>
    <row r="858" spans="1:220">
      <c r="A858" s="24">
        <v>6</v>
      </c>
      <c r="B858" s="24" t="str">
        <f>VLOOKUP(Ruimtestaat[[#This Row],[Code]],Locaties[#All],2,FALSE)</f>
        <v>Marke Noord</v>
      </c>
      <c r="C858" s="24" t="str">
        <f>VLOOKUP(Ruimtestaat[[#This Row],[Code]],Locaties[#All],4,FALSE)</f>
        <v>Lebuïnuslaan 1</v>
      </c>
      <c r="D858" s="24" t="str">
        <f>VLOOKUP(Ruimtestaat[[#This Row],[Code]],Locaties[#All],5,FALSE)</f>
        <v>7415 DM</v>
      </c>
      <c r="E858" s="24" t="str">
        <f>VLOOKUP(Ruimtestaat[[#This Row],[Code]],Locaties[#All],6,FALSE)</f>
        <v>Deventer</v>
      </c>
      <c r="F858" s="54"/>
      <c r="G858" s="24" t="s">
        <v>367</v>
      </c>
      <c r="H858" s="24" t="s">
        <v>1305</v>
      </c>
      <c r="I858" s="4" t="s">
        <v>589</v>
      </c>
      <c r="J858" s="24">
        <v>22</v>
      </c>
      <c r="K858" s="54" t="str">
        <f>VLOOKUP(J858,Ruimtegroepen[],2,FALSE)</f>
        <v>Niet in onderhoud</v>
      </c>
      <c r="L858" s="24" t="s">
        <v>300</v>
      </c>
      <c r="M858" s="24" t="s">
        <v>909</v>
      </c>
      <c r="N858" s="83"/>
      <c r="O858" s="83">
        <v>25.67</v>
      </c>
      <c r="P858" s="93" t="str">
        <f>LEFT(VLOOKUP(Ruimtestaat[[#This Row],[Ruimte code]],Ruimtegroepen[#All],4,1),2)</f>
        <v/>
      </c>
      <c r="Q858" s="93"/>
      <c r="R858" s="84"/>
      <c r="S858" s="84"/>
      <c r="T858" s="85">
        <f>IF(R858&gt;0,IF(RIGHT(Ruimtestaat[[#This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8" s="85">
        <f>IF(T858&gt;0,VLOOKUP($J858,Ruimtegroepen[],3,FALSE)*VLOOKUP($L858,Vloersoorten[],3,FALSE)*VLOOKUP($S858,Frequenties[],3,FALSE)*VLOOKUP($A858,Locaties[],3,FALSE),0)</f>
        <v>0</v>
      </c>
      <c r="V858" s="86">
        <f>Ruimtestaat[[#This Row],[Uitvoeringen werkdagen]]*Ruimtestaat[[#This Row],[Oppervlak (netto)]]</f>
        <v>0</v>
      </c>
      <c r="W858" s="87">
        <f>IF(U858&gt;0,Ruimtestaat[[#This Row],[Prest. (m2 /jaar) werkdagen]]/Ruimtestaat[[#This Row],[Norm (m2/uur) werkdagen]],0)</f>
        <v>0</v>
      </c>
      <c r="X858" s="88">
        <f>Ruimtestaat[[#This Row],[uren / jaar werkdagen]]*Tariefsopbouw!$E$35</f>
        <v>0</v>
      </c>
      <c r="Y858" s="85"/>
      <c r="Z858" s="89">
        <f>IF(Ruimtestaat[[#This Row],[Frequentie weekend]]&gt;0,VALUE(LEFT(Y858,1))*R858,0)</f>
        <v>0</v>
      </c>
      <c r="AA858" s="85">
        <f>IF($Z858&gt;0,VLOOKUP($J858,Ruimtegroepen[],3,FALSE)*VLOOKUP($L858,Vloersoorten[],3,FALSE)*VLOOKUP($Y858,Frequenties[],3,FALSE)*VLOOKUP(#REF!,Locaties[],3,FALSE),0)</f>
        <v>0</v>
      </c>
      <c r="AB858" s="87">
        <f>Ruimtestaat[[#This Row],[Uitvoeringen weekend]]*Ruimtestaat[[#This Row],[Oppervlak (netto)]]</f>
        <v>0</v>
      </c>
      <c r="AC858" s="90">
        <f>IF(AB858&gt;0,Ruimtestaat[[#This Row],[Prest. (m2 /jaar) weekend]]/Ruimtestaat[[#This Row],[Norm (m2/uur) weekend]],0)</f>
        <v>0</v>
      </c>
      <c r="AD858" s="91">
        <f>Ruimtestaat[[#This Row],[uren / jaar weekend]]*Tariefsopbouw!$D$40</f>
        <v>0</v>
      </c>
      <c r="AE858" s="60">
        <f>Ruimtestaat[[#This Row],[Prest. (m2 /jaar) weekend]]+Ruimtestaat[[#This Row],[Prest. (m2 /jaar) werkdagen]]</f>
        <v>0</v>
      </c>
      <c r="AF858" s="60">
        <f>Ruimtestaat[[#This Row],[uren / jaar weekend]]+Ruimtestaat[[#This Row],[uren / jaar werkdagen]]</f>
        <v>0</v>
      </c>
      <c r="AG858" s="61">
        <f>Ruimtestaat[[#This Row],[kosten / jaar weekend]]+Ruimtestaat[[#This Row],[kosten / jaar werkdagen]]</f>
        <v>0</v>
      </c>
      <c r="AH858" s="92"/>
      <c r="HL858" s="59"/>
    </row>
    <row r="859" spans="1:220">
      <c r="A859" s="24">
        <v>6</v>
      </c>
      <c r="B859" s="24" t="str">
        <f>VLOOKUP(Ruimtestaat[[#This Row],[Code]],Locaties[#All],2,FALSE)</f>
        <v>Marke Noord</v>
      </c>
      <c r="C859" s="24" t="str">
        <f>VLOOKUP(Ruimtestaat[[#This Row],[Code]],Locaties[#All],4,FALSE)</f>
        <v>Lebuïnuslaan 1</v>
      </c>
      <c r="D859" s="24" t="str">
        <f>VLOOKUP(Ruimtestaat[[#This Row],[Code]],Locaties[#All],5,FALSE)</f>
        <v>7415 DM</v>
      </c>
      <c r="E859" s="24" t="str">
        <f>VLOOKUP(Ruimtestaat[[#This Row],[Code]],Locaties[#All],6,FALSE)</f>
        <v>Deventer</v>
      </c>
      <c r="F859" s="54"/>
      <c r="G859" s="24" t="s">
        <v>367</v>
      </c>
      <c r="H859" s="24" t="s">
        <v>368</v>
      </c>
      <c r="I859" s="4" t="s">
        <v>1098</v>
      </c>
      <c r="J859" s="24">
        <v>16</v>
      </c>
      <c r="K859" s="54" t="str">
        <f>VLOOKUP(J859,Ruimtegroepen[],2,FALSE)</f>
        <v>Leslokalen theorie</v>
      </c>
      <c r="L859" s="24" t="s">
        <v>300</v>
      </c>
      <c r="M859" s="24" t="s">
        <v>909</v>
      </c>
      <c r="N859" s="83">
        <v>73.42</v>
      </c>
      <c r="O859" s="83"/>
      <c r="P859" s="93" t="str">
        <f>LEFT(VLOOKUP(Ruimtestaat[[#This Row],[Ruimte code]],Ruimtegroepen[#All],4,1),2)</f>
        <v>Le</v>
      </c>
      <c r="Q859" s="93"/>
      <c r="R859" s="84">
        <v>40</v>
      </c>
      <c r="S859" s="84" t="s">
        <v>318</v>
      </c>
      <c r="T859" s="85">
        <f>IF(R859&gt;0,IF(RIGHT(Ruimtestaat[[#This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9" s="85">
        <f>IF(T859&gt;0,VLOOKUP($J859,Ruimtegroepen[],3,FALSE)*VLOOKUP($L859,Vloersoorten[],3,FALSE)*VLOOKUP($S859,Frequenties[],3,FALSE)*VLOOKUP($A859,Locaties[],3,FALSE),0)</f>
        <v>0</v>
      </c>
      <c r="V859" s="86">
        <f>Ruimtestaat[[#This Row],[Uitvoeringen werkdagen]]*Ruimtestaat[[#This Row],[Oppervlak (netto)]]</f>
        <v>14684</v>
      </c>
      <c r="W859" s="87">
        <f>IF(U859&gt;0,Ruimtestaat[[#This Row],[Prest. (m2 /jaar) werkdagen]]/Ruimtestaat[[#This Row],[Norm (m2/uur) werkdagen]],0)</f>
        <v>0</v>
      </c>
      <c r="X859" s="88">
        <f>Ruimtestaat[[#This Row],[uren / jaar werkdagen]]*Tariefsopbouw!$E$35</f>
        <v>0</v>
      </c>
      <c r="Y859" s="85"/>
      <c r="Z859" s="89">
        <f>IF(Ruimtestaat[[#This Row],[Frequentie weekend]]&gt;0,VALUE(LEFT(Y859,1))*R859,0)</f>
        <v>0</v>
      </c>
      <c r="AA859" s="85">
        <f>IF($Z859&gt;0,VLOOKUP($J859,Ruimtegroepen[],3,FALSE)*VLOOKUP($L859,Vloersoorten[],3,FALSE)*VLOOKUP($Y859,Frequenties[],3,FALSE)*VLOOKUP(#REF!,Locaties[],3,FALSE),0)</f>
        <v>0</v>
      </c>
      <c r="AB859" s="87">
        <f>Ruimtestaat[[#This Row],[Uitvoeringen weekend]]*Ruimtestaat[[#This Row],[Oppervlak (netto)]]</f>
        <v>0</v>
      </c>
      <c r="AC859" s="90">
        <f>IF(AB859&gt;0,Ruimtestaat[[#This Row],[Prest. (m2 /jaar) weekend]]/Ruimtestaat[[#This Row],[Norm (m2/uur) weekend]],0)</f>
        <v>0</v>
      </c>
      <c r="AD859" s="91">
        <f>Ruimtestaat[[#This Row],[uren / jaar weekend]]*Tariefsopbouw!$D$40</f>
        <v>0</v>
      </c>
      <c r="AE859" s="60">
        <f>Ruimtestaat[[#This Row],[Prest. (m2 /jaar) weekend]]+Ruimtestaat[[#This Row],[Prest. (m2 /jaar) werkdagen]]</f>
        <v>14684</v>
      </c>
      <c r="AF859" s="60">
        <f>Ruimtestaat[[#This Row],[uren / jaar weekend]]+Ruimtestaat[[#This Row],[uren / jaar werkdagen]]</f>
        <v>0</v>
      </c>
      <c r="AG859" s="61">
        <f>Ruimtestaat[[#This Row],[kosten / jaar weekend]]+Ruimtestaat[[#This Row],[kosten / jaar werkdagen]]</f>
        <v>0</v>
      </c>
      <c r="AH859" s="92"/>
      <c r="HL859" s="59"/>
    </row>
    <row r="860" spans="1:220">
      <c r="A860" s="24">
        <v>6</v>
      </c>
      <c r="B860" s="24" t="str">
        <f>VLOOKUP(Ruimtestaat[[#This Row],[Code]],Locaties[#All],2,FALSE)</f>
        <v>Marke Noord</v>
      </c>
      <c r="C860" s="24" t="str">
        <f>VLOOKUP(Ruimtestaat[[#This Row],[Code]],Locaties[#All],4,FALSE)</f>
        <v>Lebuïnuslaan 1</v>
      </c>
      <c r="D860" s="24" t="str">
        <f>VLOOKUP(Ruimtestaat[[#This Row],[Code]],Locaties[#All],5,FALSE)</f>
        <v>7415 DM</v>
      </c>
      <c r="E860" s="24" t="str">
        <f>VLOOKUP(Ruimtestaat[[#This Row],[Code]],Locaties[#All],6,FALSE)</f>
        <v>Deventer</v>
      </c>
      <c r="F860" s="54"/>
      <c r="G860" s="24" t="s">
        <v>367</v>
      </c>
      <c r="H860" s="24" t="s">
        <v>1306</v>
      </c>
      <c r="I860" s="4" t="s">
        <v>667</v>
      </c>
      <c r="J860" s="24">
        <v>22</v>
      </c>
      <c r="K860" s="54" t="str">
        <f>VLOOKUP(J860,Ruimtegroepen[],2,FALSE)</f>
        <v>Niet in onderhoud</v>
      </c>
      <c r="L860" s="24" t="s">
        <v>300</v>
      </c>
      <c r="M860" s="24" t="s">
        <v>909</v>
      </c>
      <c r="N860" s="83"/>
      <c r="O860" s="83">
        <v>15.04</v>
      </c>
      <c r="P860" s="93" t="str">
        <f>LEFT(VLOOKUP(Ruimtestaat[[#This Row],[Ruimte code]],Ruimtegroepen[#All],4,1),2)</f>
        <v/>
      </c>
      <c r="Q860" s="93"/>
      <c r="R860" s="84"/>
      <c r="S860" s="84"/>
      <c r="T860" s="85">
        <f>IF(R860&gt;0,IF(RIGHT(Ruimtestaat[[#This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0" s="85">
        <f>IF(T860&gt;0,VLOOKUP($J860,Ruimtegroepen[],3,FALSE)*VLOOKUP($L860,Vloersoorten[],3,FALSE)*VLOOKUP($S860,Frequenties[],3,FALSE)*VLOOKUP($A860,Locaties[],3,FALSE),0)</f>
        <v>0</v>
      </c>
      <c r="V860" s="86">
        <f>Ruimtestaat[[#This Row],[Uitvoeringen werkdagen]]*Ruimtestaat[[#This Row],[Oppervlak (netto)]]</f>
        <v>0</v>
      </c>
      <c r="W860" s="87">
        <f>IF(U860&gt;0,Ruimtestaat[[#This Row],[Prest. (m2 /jaar) werkdagen]]/Ruimtestaat[[#This Row],[Norm (m2/uur) werkdagen]],0)</f>
        <v>0</v>
      </c>
      <c r="X860" s="88">
        <f>Ruimtestaat[[#This Row],[uren / jaar werkdagen]]*Tariefsopbouw!$E$35</f>
        <v>0</v>
      </c>
      <c r="Y860" s="85"/>
      <c r="Z860" s="89">
        <f>IF(Ruimtestaat[[#This Row],[Frequentie weekend]]&gt;0,VALUE(LEFT(Y860,1))*R860,0)</f>
        <v>0</v>
      </c>
      <c r="AA860" s="85">
        <f>IF($Z860&gt;0,VLOOKUP($J860,Ruimtegroepen[],3,FALSE)*VLOOKUP($L860,Vloersoorten[],3,FALSE)*VLOOKUP($Y860,Frequenties[],3,FALSE)*VLOOKUP(#REF!,Locaties[],3,FALSE),0)</f>
        <v>0</v>
      </c>
      <c r="AB860" s="87">
        <f>Ruimtestaat[[#This Row],[Uitvoeringen weekend]]*Ruimtestaat[[#This Row],[Oppervlak (netto)]]</f>
        <v>0</v>
      </c>
      <c r="AC860" s="90">
        <f>IF(AB860&gt;0,Ruimtestaat[[#This Row],[Prest. (m2 /jaar) weekend]]/Ruimtestaat[[#This Row],[Norm (m2/uur) weekend]],0)</f>
        <v>0</v>
      </c>
      <c r="AD860" s="91">
        <f>Ruimtestaat[[#This Row],[uren / jaar weekend]]*Tariefsopbouw!$D$40</f>
        <v>0</v>
      </c>
      <c r="AE860" s="60">
        <f>Ruimtestaat[[#This Row],[Prest. (m2 /jaar) weekend]]+Ruimtestaat[[#This Row],[Prest. (m2 /jaar) werkdagen]]</f>
        <v>0</v>
      </c>
      <c r="AF860" s="60">
        <f>Ruimtestaat[[#This Row],[uren / jaar weekend]]+Ruimtestaat[[#This Row],[uren / jaar werkdagen]]</f>
        <v>0</v>
      </c>
      <c r="AG860" s="61">
        <f>Ruimtestaat[[#This Row],[kosten / jaar weekend]]+Ruimtestaat[[#This Row],[kosten / jaar werkdagen]]</f>
        <v>0</v>
      </c>
      <c r="AH860" s="92"/>
      <c r="HL860" s="59"/>
    </row>
    <row r="861" spans="1:220">
      <c r="A861" s="24">
        <v>6</v>
      </c>
      <c r="B861" s="24" t="str">
        <f>VLOOKUP(Ruimtestaat[[#This Row],[Code]],Locaties[#All],2,FALSE)</f>
        <v>Marke Noord</v>
      </c>
      <c r="C861" s="24" t="str">
        <f>VLOOKUP(Ruimtestaat[[#This Row],[Code]],Locaties[#All],4,FALSE)</f>
        <v>Lebuïnuslaan 1</v>
      </c>
      <c r="D861" s="24" t="str">
        <f>VLOOKUP(Ruimtestaat[[#This Row],[Code]],Locaties[#All],5,FALSE)</f>
        <v>7415 DM</v>
      </c>
      <c r="E861" s="24" t="str">
        <f>VLOOKUP(Ruimtestaat[[#This Row],[Code]],Locaties[#All],6,FALSE)</f>
        <v>Deventer</v>
      </c>
      <c r="F861" s="54"/>
      <c r="G861" s="24" t="s">
        <v>367</v>
      </c>
      <c r="H861" s="24" t="s">
        <v>371</v>
      </c>
      <c r="I861" s="4" t="s">
        <v>1098</v>
      </c>
      <c r="J861" s="24">
        <v>16</v>
      </c>
      <c r="K861" s="54" t="str">
        <f>VLOOKUP(J861,Ruimtegroepen[],2,FALSE)</f>
        <v>Leslokalen theorie</v>
      </c>
      <c r="L861" s="24" t="s">
        <v>300</v>
      </c>
      <c r="M861" s="24" t="s">
        <v>909</v>
      </c>
      <c r="N861" s="83">
        <v>99.31</v>
      </c>
      <c r="O861" s="83"/>
      <c r="P861" s="93" t="str">
        <f>LEFT(VLOOKUP(Ruimtestaat[[#This Row],[Ruimte code]],Ruimtegroepen[#All],4,1),2)</f>
        <v>Le</v>
      </c>
      <c r="Q861" s="93"/>
      <c r="R861" s="84">
        <v>40</v>
      </c>
      <c r="S861" s="84" t="s">
        <v>318</v>
      </c>
      <c r="T861" s="85">
        <f>IF(R861&gt;0,IF(RIGHT(Ruimtestaat[[#This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1" s="85">
        <f>IF(T861&gt;0,VLOOKUP($J861,Ruimtegroepen[],3,FALSE)*VLOOKUP($L861,Vloersoorten[],3,FALSE)*VLOOKUP($S861,Frequenties[],3,FALSE)*VLOOKUP($A861,Locaties[],3,FALSE),0)</f>
        <v>0</v>
      </c>
      <c r="V861" s="86">
        <f>Ruimtestaat[[#This Row],[Uitvoeringen werkdagen]]*Ruimtestaat[[#This Row],[Oppervlak (netto)]]</f>
        <v>19862</v>
      </c>
      <c r="W861" s="87">
        <f>IF(U861&gt;0,Ruimtestaat[[#This Row],[Prest. (m2 /jaar) werkdagen]]/Ruimtestaat[[#This Row],[Norm (m2/uur) werkdagen]],0)</f>
        <v>0</v>
      </c>
      <c r="X861" s="88">
        <f>Ruimtestaat[[#This Row],[uren / jaar werkdagen]]*Tariefsopbouw!$E$35</f>
        <v>0</v>
      </c>
      <c r="Y861" s="85"/>
      <c r="Z861" s="89">
        <f>IF(Ruimtestaat[[#This Row],[Frequentie weekend]]&gt;0,VALUE(LEFT(Y861,1))*R861,0)</f>
        <v>0</v>
      </c>
      <c r="AA861" s="85">
        <f>IF($Z861&gt;0,VLOOKUP($J861,Ruimtegroepen[],3,FALSE)*VLOOKUP($L861,Vloersoorten[],3,FALSE)*VLOOKUP($Y861,Frequenties[],3,FALSE)*VLOOKUP(#REF!,Locaties[],3,FALSE),0)</f>
        <v>0</v>
      </c>
      <c r="AB861" s="87">
        <f>Ruimtestaat[[#This Row],[Uitvoeringen weekend]]*Ruimtestaat[[#This Row],[Oppervlak (netto)]]</f>
        <v>0</v>
      </c>
      <c r="AC861" s="90">
        <f>IF(AB861&gt;0,Ruimtestaat[[#This Row],[Prest. (m2 /jaar) weekend]]/Ruimtestaat[[#This Row],[Norm (m2/uur) weekend]],0)</f>
        <v>0</v>
      </c>
      <c r="AD861" s="91">
        <f>Ruimtestaat[[#This Row],[uren / jaar weekend]]*Tariefsopbouw!$D$40</f>
        <v>0</v>
      </c>
      <c r="AE861" s="60">
        <f>Ruimtestaat[[#This Row],[Prest. (m2 /jaar) weekend]]+Ruimtestaat[[#This Row],[Prest. (m2 /jaar) werkdagen]]</f>
        <v>19862</v>
      </c>
      <c r="AF861" s="60">
        <f>Ruimtestaat[[#This Row],[uren / jaar weekend]]+Ruimtestaat[[#This Row],[uren / jaar werkdagen]]</f>
        <v>0</v>
      </c>
      <c r="AG861" s="61">
        <f>Ruimtestaat[[#This Row],[kosten / jaar weekend]]+Ruimtestaat[[#This Row],[kosten / jaar werkdagen]]</f>
        <v>0</v>
      </c>
      <c r="AH861" s="92"/>
      <c r="HL861" s="59"/>
    </row>
    <row r="862" spans="1:220">
      <c r="A862" s="24">
        <v>6</v>
      </c>
      <c r="B862" s="24" t="str">
        <f>VLOOKUP(Ruimtestaat[[#This Row],[Code]],Locaties[#All],2,FALSE)</f>
        <v>Marke Noord</v>
      </c>
      <c r="C862" s="24" t="str">
        <f>VLOOKUP(Ruimtestaat[[#This Row],[Code]],Locaties[#All],4,FALSE)</f>
        <v>Lebuïnuslaan 1</v>
      </c>
      <c r="D862" s="24" t="str">
        <f>VLOOKUP(Ruimtestaat[[#This Row],[Code]],Locaties[#All],5,FALSE)</f>
        <v>7415 DM</v>
      </c>
      <c r="E862" s="24" t="str">
        <f>VLOOKUP(Ruimtestaat[[#This Row],[Code]],Locaties[#All],6,FALSE)</f>
        <v>Deventer</v>
      </c>
      <c r="F862" s="54"/>
      <c r="G862" s="24" t="s">
        <v>367</v>
      </c>
      <c r="H862" s="24" t="s">
        <v>374</v>
      </c>
      <c r="I862" s="4" t="s">
        <v>1098</v>
      </c>
      <c r="J862" s="24">
        <v>16</v>
      </c>
      <c r="K862" s="54" t="str">
        <f>VLOOKUP(J862,Ruimtegroepen[],2,FALSE)</f>
        <v>Leslokalen theorie</v>
      </c>
      <c r="L862" s="24" t="s">
        <v>300</v>
      </c>
      <c r="M862" s="24" t="s">
        <v>909</v>
      </c>
      <c r="N862" s="83">
        <v>149.33000000000001</v>
      </c>
      <c r="O862" s="83"/>
      <c r="P862" s="93" t="str">
        <f>LEFT(VLOOKUP(Ruimtestaat[[#This Row],[Ruimte code]],Ruimtegroepen[#All],4,1),2)</f>
        <v>Le</v>
      </c>
      <c r="Q862" s="93"/>
      <c r="R862" s="84">
        <v>40</v>
      </c>
      <c r="S862" s="84" t="s">
        <v>318</v>
      </c>
      <c r="T862" s="85">
        <f>IF(R862&gt;0,IF(RIGHT(Ruimtestaat[[#This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2" s="85">
        <f>IF(T862&gt;0,VLOOKUP($J862,Ruimtegroepen[],3,FALSE)*VLOOKUP($L862,Vloersoorten[],3,FALSE)*VLOOKUP($S862,Frequenties[],3,FALSE)*VLOOKUP($A862,Locaties[],3,FALSE),0)</f>
        <v>0</v>
      </c>
      <c r="V862" s="86">
        <f>Ruimtestaat[[#This Row],[Uitvoeringen werkdagen]]*Ruimtestaat[[#This Row],[Oppervlak (netto)]]</f>
        <v>29866.000000000004</v>
      </c>
      <c r="W862" s="87">
        <f>IF(U862&gt;0,Ruimtestaat[[#This Row],[Prest. (m2 /jaar) werkdagen]]/Ruimtestaat[[#This Row],[Norm (m2/uur) werkdagen]],0)</f>
        <v>0</v>
      </c>
      <c r="X862" s="88">
        <f>Ruimtestaat[[#This Row],[uren / jaar werkdagen]]*Tariefsopbouw!$E$35</f>
        <v>0</v>
      </c>
      <c r="Y862" s="85"/>
      <c r="Z862" s="89">
        <f>IF(Ruimtestaat[[#This Row],[Frequentie weekend]]&gt;0,VALUE(LEFT(Y862,1))*R862,0)</f>
        <v>0</v>
      </c>
      <c r="AA862" s="85">
        <f>IF($Z862&gt;0,VLOOKUP($J862,Ruimtegroepen[],3,FALSE)*VLOOKUP($L862,Vloersoorten[],3,FALSE)*VLOOKUP($Y862,Frequenties[],3,FALSE)*VLOOKUP(#REF!,Locaties[],3,FALSE),0)</f>
        <v>0</v>
      </c>
      <c r="AB862" s="87">
        <f>Ruimtestaat[[#This Row],[Uitvoeringen weekend]]*Ruimtestaat[[#This Row],[Oppervlak (netto)]]</f>
        <v>0</v>
      </c>
      <c r="AC862" s="90">
        <f>IF(AB862&gt;0,Ruimtestaat[[#This Row],[Prest. (m2 /jaar) weekend]]/Ruimtestaat[[#This Row],[Norm (m2/uur) weekend]],0)</f>
        <v>0</v>
      </c>
      <c r="AD862" s="91">
        <f>Ruimtestaat[[#This Row],[uren / jaar weekend]]*Tariefsopbouw!$D$40</f>
        <v>0</v>
      </c>
      <c r="AE862" s="60">
        <f>Ruimtestaat[[#This Row],[Prest. (m2 /jaar) weekend]]+Ruimtestaat[[#This Row],[Prest. (m2 /jaar) werkdagen]]</f>
        <v>29866.000000000004</v>
      </c>
      <c r="AF862" s="60">
        <f>Ruimtestaat[[#This Row],[uren / jaar weekend]]+Ruimtestaat[[#This Row],[uren / jaar werkdagen]]</f>
        <v>0</v>
      </c>
      <c r="AG862" s="61">
        <f>Ruimtestaat[[#This Row],[kosten / jaar weekend]]+Ruimtestaat[[#This Row],[kosten / jaar werkdagen]]</f>
        <v>0</v>
      </c>
      <c r="AH862" s="92"/>
      <c r="HL862" s="59"/>
    </row>
    <row r="863" spans="1:220">
      <c r="A863" s="24">
        <v>6</v>
      </c>
      <c r="B863" s="24" t="str">
        <f>VLOOKUP(Ruimtestaat[[#This Row],[Code]],Locaties[#All],2,FALSE)</f>
        <v>Marke Noord</v>
      </c>
      <c r="C863" s="24" t="str">
        <f>VLOOKUP(Ruimtestaat[[#This Row],[Code]],Locaties[#All],4,FALSE)</f>
        <v>Lebuïnuslaan 1</v>
      </c>
      <c r="D863" s="24" t="str">
        <f>VLOOKUP(Ruimtestaat[[#This Row],[Code]],Locaties[#All],5,FALSE)</f>
        <v>7415 DM</v>
      </c>
      <c r="E863" s="24" t="str">
        <f>VLOOKUP(Ruimtestaat[[#This Row],[Code]],Locaties[#All],6,FALSE)</f>
        <v>Deventer</v>
      </c>
      <c r="F863" s="54"/>
      <c r="G863" s="24" t="s">
        <v>367</v>
      </c>
      <c r="H863" s="24" t="s">
        <v>1307</v>
      </c>
      <c r="I863" s="4" t="s">
        <v>1224</v>
      </c>
      <c r="J863" s="24">
        <v>22</v>
      </c>
      <c r="K863" s="54" t="str">
        <f>VLOOKUP(J863,Ruimtegroepen[],2,FALSE)</f>
        <v>Niet in onderhoud</v>
      </c>
      <c r="L863" s="24" t="s">
        <v>300</v>
      </c>
      <c r="M863" s="24" t="s">
        <v>909</v>
      </c>
      <c r="N863" s="83"/>
      <c r="O863" s="83">
        <v>14.97</v>
      </c>
      <c r="P863" s="93" t="str">
        <f>LEFT(VLOOKUP(Ruimtestaat[[#This Row],[Ruimte code]],Ruimtegroepen[#All],4,1),2)</f>
        <v/>
      </c>
      <c r="Q863" s="93"/>
      <c r="R863" s="84"/>
      <c r="S863" s="84"/>
      <c r="T863" s="85">
        <f>IF(R863&gt;0,IF(RIGHT(Ruimtestaat[[#This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3" s="85">
        <f>IF(T863&gt;0,VLOOKUP($J863,Ruimtegroepen[],3,FALSE)*VLOOKUP($L863,Vloersoorten[],3,FALSE)*VLOOKUP($S863,Frequenties[],3,FALSE)*VLOOKUP($A863,Locaties[],3,FALSE),0)</f>
        <v>0</v>
      </c>
      <c r="V863" s="86">
        <f>Ruimtestaat[[#This Row],[Uitvoeringen werkdagen]]*Ruimtestaat[[#This Row],[Oppervlak (netto)]]</f>
        <v>0</v>
      </c>
      <c r="W863" s="87">
        <f>IF(U863&gt;0,Ruimtestaat[[#This Row],[Prest. (m2 /jaar) werkdagen]]/Ruimtestaat[[#This Row],[Norm (m2/uur) werkdagen]],0)</f>
        <v>0</v>
      </c>
      <c r="X863" s="88">
        <f>Ruimtestaat[[#This Row],[uren / jaar werkdagen]]*Tariefsopbouw!$E$35</f>
        <v>0</v>
      </c>
      <c r="Y863" s="85"/>
      <c r="Z863" s="89">
        <f>IF(Ruimtestaat[[#This Row],[Frequentie weekend]]&gt;0,VALUE(LEFT(Y863,1))*R863,0)</f>
        <v>0</v>
      </c>
      <c r="AA863" s="85">
        <f>IF($Z863&gt;0,VLOOKUP($J863,Ruimtegroepen[],3,FALSE)*VLOOKUP($L863,Vloersoorten[],3,FALSE)*VLOOKUP($Y863,Frequenties[],3,FALSE)*VLOOKUP(#REF!,Locaties[],3,FALSE),0)</f>
        <v>0</v>
      </c>
      <c r="AB863" s="87">
        <f>Ruimtestaat[[#This Row],[Uitvoeringen weekend]]*Ruimtestaat[[#This Row],[Oppervlak (netto)]]</f>
        <v>0</v>
      </c>
      <c r="AC863" s="90">
        <f>IF(AB863&gt;0,Ruimtestaat[[#This Row],[Prest. (m2 /jaar) weekend]]/Ruimtestaat[[#This Row],[Norm (m2/uur) weekend]],0)</f>
        <v>0</v>
      </c>
      <c r="AD863" s="91">
        <f>Ruimtestaat[[#This Row],[uren / jaar weekend]]*Tariefsopbouw!$D$40</f>
        <v>0</v>
      </c>
      <c r="AE863" s="60">
        <f>Ruimtestaat[[#This Row],[Prest. (m2 /jaar) weekend]]+Ruimtestaat[[#This Row],[Prest. (m2 /jaar) werkdagen]]</f>
        <v>0</v>
      </c>
      <c r="AF863" s="60">
        <f>Ruimtestaat[[#This Row],[uren / jaar weekend]]+Ruimtestaat[[#This Row],[uren / jaar werkdagen]]</f>
        <v>0</v>
      </c>
      <c r="AG863" s="61">
        <f>Ruimtestaat[[#This Row],[kosten / jaar weekend]]+Ruimtestaat[[#This Row],[kosten / jaar werkdagen]]</f>
        <v>0</v>
      </c>
      <c r="AH863" s="92"/>
      <c r="HL863" s="59"/>
    </row>
    <row r="864" spans="1:220">
      <c r="A864" s="24">
        <v>6</v>
      </c>
      <c r="B864" s="24" t="str">
        <f>VLOOKUP(Ruimtestaat[[#This Row],[Code]],Locaties[#All],2,FALSE)</f>
        <v>Marke Noord</v>
      </c>
      <c r="C864" s="24" t="str">
        <f>VLOOKUP(Ruimtestaat[[#This Row],[Code]],Locaties[#All],4,FALSE)</f>
        <v>Lebuïnuslaan 1</v>
      </c>
      <c r="D864" s="24" t="str">
        <f>VLOOKUP(Ruimtestaat[[#This Row],[Code]],Locaties[#All],5,FALSE)</f>
        <v>7415 DM</v>
      </c>
      <c r="E864" s="24" t="str">
        <f>VLOOKUP(Ruimtestaat[[#This Row],[Code]],Locaties[#All],6,FALSE)</f>
        <v>Deventer</v>
      </c>
      <c r="F864" s="54"/>
      <c r="G864" s="24" t="s">
        <v>367</v>
      </c>
      <c r="H864" s="24" t="s">
        <v>1308</v>
      </c>
      <c r="I864" s="4" t="s">
        <v>1224</v>
      </c>
      <c r="J864" s="24">
        <v>22</v>
      </c>
      <c r="K864" s="54" t="str">
        <f>VLOOKUP(J864,Ruimtegroepen[],2,FALSE)</f>
        <v>Niet in onderhoud</v>
      </c>
      <c r="L864" s="24" t="s">
        <v>300</v>
      </c>
      <c r="M864" s="24" t="s">
        <v>909</v>
      </c>
      <c r="N864" s="83"/>
      <c r="O864" s="83">
        <v>20.309999999999999</v>
      </c>
      <c r="P864" s="93" t="str">
        <f>LEFT(VLOOKUP(Ruimtestaat[[#This Row],[Ruimte code]],Ruimtegroepen[#All],4,1),2)</f>
        <v/>
      </c>
      <c r="Q864" s="93"/>
      <c r="R864" s="84"/>
      <c r="S864" s="84"/>
      <c r="T864" s="85">
        <f>IF(R864&gt;0,IF(RIGHT(Ruimtestaat[[#This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4" s="85">
        <f>IF(T864&gt;0,VLOOKUP($J864,Ruimtegroepen[],3,FALSE)*VLOOKUP($L864,Vloersoorten[],3,FALSE)*VLOOKUP($S864,Frequenties[],3,FALSE)*VLOOKUP($A864,Locaties[],3,FALSE),0)</f>
        <v>0</v>
      </c>
      <c r="V864" s="86">
        <f>Ruimtestaat[[#This Row],[Uitvoeringen werkdagen]]*Ruimtestaat[[#This Row],[Oppervlak (netto)]]</f>
        <v>0</v>
      </c>
      <c r="W864" s="87">
        <f>IF(U864&gt;0,Ruimtestaat[[#This Row],[Prest. (m2 /jaar) werkdagen]]/Ruimtestaat[[#This Row],[Norm (m2/uur) werkdagen]],0)</f>
        <v>0</v>
      </c>
      <c r="X864" s="88">
        <f>Ruimtestaat[[#This Row],[uren / jaar werkdagen]]*Tariefsopbouw!$E$35</f>
        <v>0</v>
      </c>
      <c r="Y864" s="85"/>
      <c r="Z864" s="89">
        <f>IF(Ruimtestaat[[#This Row],[Frequentie weekend]]&gt;0,VALUE(LEFT(Y864,1))*R864,0)</f>
        <v>0</v>
      </c>
      <c r="AA864" s="85">
        <f>IF($Z864&gt;0,VLOOKUP($J864,Ruimtegroepen[],3,FALSE)*VLOOKUP($L864,Vloersoorten[],3,FALSE)*VLOOKUP($Y864,Frequenties[],3,FALSE)*VLOOKUP(#REF!,Locaties[],3,FALSE),0)</f>
        <v>0</v>
      </c>
      <c r="AB864" s="87">
        <f>Ruimtestaat[[#This Row],[Uitvoeringen weekend]]*Ruimtestaat[[#This Row],[Oppervlak (netto)]]</f>
        <v>0</v>
      </c>
      <c r="AC864" s="90">
        <f>IF(AB864&gt;0,Ruimtestaat[[#This Row],[Prest. (m2 /jaar) weekend]]/Ruimtestaat[[#This Row],[Norm (m2/uur) weekend]],0)</f>
        <v>0</v>
      </c>
      <c r="AD864" s="91">
        <f>Ruimtestaat[[#This Row],[uren / jaar weekend]]*Tariefsopbouw!$D$40</f>
        <v>0</v>
      </c>
      <c r="AE864" s="60">
        <f>Ruimtestaat[[#This Row],[Prest. (m2 /jaar) weekend]]+Ruimtestaat[[#This Row],[Prest. (m2 /jaar) werkdagen]]</f>
        <v>0</v>
      </c>
      <c r="AF864" s="60">
        <f>Ruimtestaat[[#This Row],[uren / jaar weekend]]+Ruimtestaat[[#This Row],[uren / jaar werkdagen]]</f>
        <v>0</v>
      </c>
      <c r="AG864" s="61">
        <f>Ruimtestaat[[#This Row],[kosten / jaar weekend]]+Ruimtestaat[[#This Row],[kosten / jaar werkdagen]]</f>
        <v>0</v>
      </c>
      <c r="AH864" s="92"/>
      <c r="HL864" s="59"/>
    </row>
    <row r="865" spans="1:220">
      <c r="A865" s="24">
        <v>6</v>
      </c>
      <c r="B865" s="24" t="str">
        <f>VLOOKUP(Ruimtestaat[[#This Row],[Code]],Locaties[#All],2,FALSE)</f>
        <v>Marke Noord</v>
      </c>
      <c r="C865" s="24" t="str">
        <f>VLOOKUP(Ruimtestaat[[#This Row],[Code]],Locaties[#All],4,FALSE)</f>
        <v>Lebuïnuslaan 1</v>
      </c>
      <c r="D865" s="24" t="str">
        <f>VLOOKUP(Ruimtestaat[[#This Row],[Code]],Locaties[#All],5,FALSE)</f>
        <v>7415 DM</v>
      </c>
      <c r="E865" s="24" t="str">
        <f>VLOOKUP(Ruimtestaat[[#This Row],[Code]],Locaties[#All],6,FALSE)</f>
        <v>Deventer</v>
      </c>
      <c r="F865" s="54"/>
      <c r="G865" s="24" t="s">
        <v>367</v>
      </c>
      <c r="H865" s="24" t="s">
        <v>1309</v>
      </c>
      <c r="I865" s="4" t="s">
        <v>667</v>
      </c>
      <c r="J865" s="24">
        <v>22</v>
      </c>
      <c r="K865" s="54" t="str">
        <f>VLOOKUP(J865,Ruimtegroepen[],2,FALSE)</f>
        <v>Niet in onderhoud</v>
      </c>
      <c r="L865" s="24" t="s">
        <v>300</v>
      </c>
      <c r="M865" s="24" t="s">
        <v>909</v>
      </c>
      <c r="N865" s="83"/>
      <c r="O865" s="83">
        <v>13.44</v>
      </c>
      <c r="P865" s="93" t="str">
        <f>LEFT(VLOOKUP(Ruimtestaat[[#This Row],[Ruimte code]],Ruimtegroepen[#All],4,1),2)</f>
        <v/>
      </c>
      <c r="Q865" s="93"/>
      <c r="R865" s="84"/>
      <c r="S865" s="84"/>
      <c r="T865" s="85">
        <f>IF(R865&gt;0,IF(RIGHT(Ruimtestaat[[#This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5" s="85">
        <f>IF(T865&gt;0,VLOOKUP($J865,Ruimtegroepen[],3,FALSE)*VLOOKUP($L865,Vloersoorten[],3,FALSE)*VLOOKUP($S865,Frequenties[],3,FALSE)*VLOOKUP($A865,Locaties[],3,FALSE),0)</f>
        <v>0</v>
      </c>
      <c r="V865" s="86">
        <f>Ruimtestaat[[#This Row],[Uitvoeringen werkdagen]]*Ruimtestaat[[#This Row],[Oppervlak (netto)]]</f>
        <v>0</v>
      </c>
      <c r="W865" s="87">
        <f>IF(U865&gt;0,Ruimtestaat[[#This Row],[Prest. (m2 /jaar) werkdagen]]/Ruimtestaat[[#This Row],[Norm (m2/uur) werkdagen]],0)</f>
        <v>0</v>
      </c>
      <c r="X865" s="88">
        <f>Ruimtestaat[[#This Row],[uren / jaar werkdagen]]*Tariefsopbouw!$E$35</f>
        <v>0</v>
      </c>
      <c r="Y865" s="85"/>
      <c r="Z865" s="89">
        <f>IF(Ruimtestaat[[#This Row],[Frequentie weekend]]&gt;0,VALUE(LEFT(Y865,1))*R865,0)</f>
        <v>0</v>
      </c>
      <c r="AA865" s="85">
        <f>IF($Z865&gt;0,VLOOKUP($J865,Ruimtegroepen[],3,FALSE)*VLOOKUP($L865,Vloersoorten[],3,FALSE)*VLOOKUP($Y865,Frequenties[],3,FALSE)*VLOOKUP(#REF!,Locaties[],3,FALSE),0)</f>
        <v>0</v>
      </c>
      <c r="AB865" s="87">
        <f>Ruimtestaat[[#This Row],[Uitvoeringen weekend]]*Ruimtestaat[[#This Row],[Oppervlak (netto)]]</f>
        <v>0</v>
      </c>
      <c r="AC865" s="90">
        <f>IF(AB865&gt;0,Ruimtestaat[[#This Row],[Prest. (m2 /jaar) weekend]]/Ruimtestaat[[#This Row],[Norm (m2/uur) weekend]],0)</f>
        <v>0</v>
      </c>
      <c r="AD865" s="91">
        <f>Ruimtestaat[[#This Row],[uren / jaar weekend]]*Tariefsopbouw!$D$40</f>
        <v>0</v>
      </c>
      <c r="AE865" s="60">
        <f>Ruimtestaat[[#This Row],[Prest. (m2 /jaar) weekend]]+Ruimtestaat[[#This Row],[Prest. (m2 /jaar) werkdagen]]</f>
        <v>0</v>
      </c>
      <c r="AF865" s="60">
        <f>Ruimtestaat[[#This Row],[uren / jaar weekend]]+Ruimtestaat[[#This Row],[uren / jaar werkdagen]]</f>
        <v>0</v>
      </c>
      <c r="AG865" s="61">
        <f>Ruimtestaat[[#This Row],[kosten / jaar weekend]]+Ruimtestaat[[#This Row],[kosten / jaar werkdagen]]</f>
        <v>0</v>
      </c>
      <c r="AH865" s="92"/>
      <c r="HL865" s="59"/>
    </row>
    <row r="866" spans="1:220">
      <c r="A866" s="24">
        <v>6</v>
      </c>
      <c r="B866" s="24" t="str">
        <f>VLOOKUP(Ruimtestaat[[#This Row],[Code]],Locaties[#All],2,FALSE)</f>
        <v>Marke Noord</v>
      </c>
      <c r="C866" s="24" t="str">
        <f>VLOOKUP(Ruimtestaat[[#This Row],[Code]],Locaties[#All],4,FALSE)</f>
        <v>Lebuïnuslaan 1</v>
      </c>
      <c r="D866" s="24" t="str">
        <f>VLOOKUP(Ruimtestaat[[#This Row],[Code]],Locaties[#All],5,FALSE)</f>
        <v>7415 DM</v>
      </c>
      <c r="E866" s="24" t="str">
        <f>VLOOKUP(Ruimtestaat[[#This Row],[Code]],Locaties[#All],6,FALSE)</f>
        <v>Deventer</v>
      </c>
      <c r="F866" s="54"/>
      <c r="G866" s="24" t="s">
        <v>367</v>
      </c>
      <c r="H866" s="24" t="s">
        <v>1310</v>
      </c>
      <c r="I866" s="4" t="s">
        <v>941</v>
      </c>
      <c r="J866" s="24">
        <v>2</v>
      </c>
      <c r="K866" s="54" t="str">
        <f>VLOOKUP(J866,Ruimtegroepen[],2,FALSE)</f>
        <v>Kantoren</v>
      </c>
      <c r="L866" s="24" t="s">
        <v>300</v>
      </c>
      <c r="M866" s="24" t="s">
        <v>909</v>
      </c>
      <c r="N866" s="83">
        <v>6.56</v>
      </c>
      <c r="O866" s="83"/>
      <c r="P866" s="93" t="str">
        <f>LEFT(VLOOKUP(Ruimtestaat[[#This Row],[Ruimte code]],Ruimtegroepen[#All],4,1),2)</f>
        <v>Bu</v>
      </c>
      <c r="Q866" s="93"/>
      <c r="R866" s="84">
        <v>42</v>
      </c>
      <c r="S866" s="84" t="s">
        <v>322</v>
      </c>
      <c r="T866" s="85">
        <f>IF(R866&gt;0,IF(RIGHT(Ruimtestaat[[#This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66" s="85">
        <f>IF(T866&gt;0,VLOOKUP($J866,Ruimtegroepen[],3,FALSE)*VLOOKUP($L866,Vloersoorten[],3,FALSE)*VLOOKUP($S866,Frequenties[],3,FALSE)*VLOOKUP($A866,Locaties[],3,FALSE),0)</f>
        <v>0</v>
      </c>
      <c r="V866" s="86">
        <f>Ruimtestaat[[#This Row],[Uitvoeringen werkdagen]]*Ruimtestaat[[#This Row],[Oppervlak (netto)]]</f>
        <v>826.56</v>
      </c>
      <c r="W866" s="87">
        <f>IF(U866&gt;0,Ruimtestaat[[#This Row],[Prest. (m2 /jaar) werkdagen]]/Ruimtestaat[[#This Row],[Norm (m2/uur) werkdagen]],0)</f>
        <v>0</v>
      </c>
      <c r="X866" s="88">
        <f>Ruimtestaat[[#This Row],[uren / jaar werkdagen]]*Tariefsopbouw!$E$35</f>
        <v>0</v>
      </c>
      <c r="Y866" s="85"/>
      <c r="Z866" s="89">
        <f>IF(Ruimtestaat[[#This Row],[Frequentie weekend]]&gt;0,VALUE(LEFT(Y866,1))*R866,0)</f>
        <v>0</v>
      </c>
      <c r="AA866" s="85">
        <f>IF($Z866&gt;0,VLOOKUP($J866,Ruimtegroepen[],3,FALSE)*VLOOKUP($L866,Vloersoorten[],3,FALSE)*VLOOKUP($Y866,Frequenties[],3,FALSE)*VLOOKUP(#REF!,Locaties[],3,FALSE),0)</f>
        <v>0</v>
      </c>
      <c r="AB866" s="87">
        <f>Ruimtestaat[[#This Row],[Uitvoeringen weekend]]*Ruimtestaat[[#This Row],[Oppervlak (netto)]]</f>
        <v>0</v>
      </c>
      <c r="AC866" s="90">
        <f>IF(AB866&gt;0,Ruimtestaat[[#This Row],[Prest. (m2 /jaar) weekend]]/Ruimtestaat[[#This Row],[Norm (m2/uur) weekend]],0)</f>
        <v>0</v>
      </c>
      <c r="AD866" s="91">
        <f>Ruimtestaat[[#This Row],[uren / jaar weekend]]*Tariefsopbouw!$D$40</f>
        <v>0</v>
      </c>
      <c r="AE866" s="60">
        <f>Ruimtestaat[[#This Row],[Prest. (m2 /jaar) weekend]]+Ruimtestaat[[#This Row],[Prest. (m2 /jaar) werkdagen]]</f>
        <v>826.56</v>
      </c>
      <c r="AF866" s="60">
        <f>Ruimtestaat[[#This Row],[uren / jaar weekend]]+Ruimtestaat[[#This Row],[uren / jaar werkdagen]]</f>
        <v>0</v>
      </c>
      <c r="AG866" s="61">
        <f>Ruimtestaat[[#This Row],[kosten / jaar weekend]]+Ruimtestaat[[#This Row],[kosten / jaar werkdagen]]</f>
        <v>0</v>
      </c>
      <c r="AH866" s="92"/>
      <c r="HL866" s="59"/>
    </row>
    <row r="867" spans="1:220">
      <c r="A867" s="24">
        <v>6</v>
      </c>
      <c r="B867" s="24" t="str">
        <f>VLOOKUP(Ruimtestaat[[#This Row],[Code]],Locaties[#All],2,FALSE)</f>
        <v>Marke Noord</v>
      </c>
      <c r="C867" s="24" t="str">
        <f>VLOOKUP(Ruimtestaat[[#This Row],[Code]],Locaties[#All],4,FALSE)</f>
        <v>Lebuïnuslaan 1</v>
      </c>
      <c r="D867" s="24" t="str">
        <f>VLOOKUP(Ruimtestaat[[#This Row],[Code]],Locaties[#All],5,FALSE)</f>
        <v>7415 DM</v>
      </c>
      <c r="E867" s="24" t="str">
        <f>VLOOKUP(Ruimtestaat[[#This Row],[Code]],Locaties[#All],6,FALSE)</f>
        <v>Deventer</v>
      </c>
      <c r="F867" s="54"/>
      <c r="G867" s="24" t="s">
        <v>367</v>
      </c>
      <c r="H867" s="24" t="s">
        <v>1311</v>
      </c>
      <c r="I867" s="4" t="s">
        <v>1312</v>
      </c>
      <c r="J867" s="24">
        <v>22</v>
      </c>
      <c r="K867" s="54" t="str">
        <f>VLOOKUP(J867,Ruimtegroepen[],2,FALSE)</f>
        <v>Niet in onderhoud</v>
      </c>
      <c r="L867" s="24" t="s">
        <v>300</v>
      </c>
      <c r="M867" s="24" t="s">
        <v>909</v>
      </c>
      <c r="N867" s="83"/>
      <c r="O867" s="83">
        <v>2.44</v>
      </c>
      <c r="P867" s="93" t="str">
        <f>LEFT(VLOOKUP(Ruimtestaat[[#This Row],[Ruimte code]],Ruimtegroepen[#All],4,1),2)</f>
        <v/>
      </c>
      <c r="Q867" s="93"/>
      <c r="R867" s="84"/>
      <c r="S867" s="84"/>
      <c r="T867" s="85">
        <f>IF(R867&gt;0,IF(RIGHT(Ruimtestaat[[#This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7" s="85">
        <f>IF(T867&gt;0,VLOOKUP($J867,Ruimtegroepen[],3,FALSE)*VLOOKUP($L867,Vloersoorten[],3,FALSE)*VLOOKUP($S867,Frequenties[],3,FALSE)*VLOOKUP($A867,Locaties[],3,FALSE),0)</f>
        <v>0</v>
      </c>
      <c r="V867" s="86">
        <f>Ruimtestaat[[#This Row],[Uitvoeringen werkdagen]]*Ruimtestaat[[#This Row],[Oppervlak (netto)]]</f>
        <v>0</v>
      </c>
      <c r="W867" s="87">
        <f>IF(U867&gt;0,Ruimtestaat[[#This Row],[Prest. (m2 /jaar) werkdagen]]/Ruimtestaat[[#This Row],[Norm (m2/uur) werkdagen]],0)</f>
        <v>0</v>
      </c>
      <c r="X867" s="88">
        <f>Ruimtestaat[[#This Row],[uren / jaar werkdagen]]*Tariefsopbouw!$E$35</f>
        <v>0</v>
      </c>
      <c r="Y867" s="85"/>
      <c r="Z867" s="89">
        <f>IF(Ruimtestaat[[#This Row],[Frequentie weekend]]&gt;0,VALUE(LEFT(Y867,1))*R867,0)</f>
        <v>0</v>
      </c>
      <c r="AA867" s="85">
        <f>IF($Z867&gt;0,VLOOKUP($J867,Ruimtegroepen[],3,FALSE)*VLOOKUP($L867,Vloersoorten[],3,FALSE)*VLOOKUP($Y867,Frequenties[],3,FALSE)*VLOOKUP(#REF!,Locaties[],3,FALSE),0)</f>
        <v>0</v>
      </c>
      <c r="AB867" s="87">
        <f>Ruimtestaat[[#This Row],[Uitvoeringen weekend]]*Ruimtestaat[[#This Row],[Oppervlak (netto)]]</f>
        <v>0</v>
      </c>
      <c r="AC867" s="90">
        <f>IF(AB867&gt;0,Ruimtestaat[[#This Row],[Prest. (m2 /jaar) weekend]]/Ruimtestaat[[#This Row],[Norm (m2/uur) weekend]],0)</f>
        <v>0</v>
      </c>
      <c r="AD867" s="91">
        <f>Ruimtestaat[[#This Row],[uren / jaar weekend]]*Tariefsopbouw!$D$40</f>
        <v>0</v>
      </c>
      <c r="AE867" s="60">
        <f>Ruimtestaat[[#This Row],[Prest. (m2 /jaar) weekend]]+Ruimtestaat[[#This Row],[Prest. (m2 /jaar) werkdagen]]</f>
        <v>0</v>
      </c>
      <c r="AF867" s="60">
        <f>Ruimtestaat[[#This Row],[uren / jaar weekend]]+Ruimtestaat[[#This Row],[uren / jaar werkdagen]]</f>
        <v>0</v>
      </c>
      <c r="AG867" s="61">
        <f>Ruimtestaat[[#This Row],[kosten / jaar weekend]]+Ruimtestaat[[#This Row],[kosten / jaar werkdagen]]</f>
        <v>0</v>
      </c>
      <c r="AH867" s="92"/>
      <c r="HL867" s="59"/>
    </row>
    <row r="868" spans="1:220">
      <c r="A868" s="24">
        <v>6</v>
      </c>
      <c r="B868" s="24" t="str">
        <f>VLOOKUP(Ruimtestaat[[#This Row],[Code]],Locaties[#All],2,FALSE)</f>
        <v>Marke Noord</v>
      </c>
      <c r="C868" s="24" t="str">
        <f>VLOOKUP(Ruimtestaat[[#This Row],[Code]],Locaties[#All],4,FALSE)</f>
        <v>Lebuïnuslaan 1</v>
      </c>
      <c r="D868" s="24" t="str">
        <f>VLOOKUP(Ruimtestaat[[#This Row],[Code]],Locaties[#All],5,FALSE)</f>
        <v>7415 DM</v>
      </c>
      <c r="E868" s="24" t="str">
        <f>VLOOKUP(Ruimtestaat[[#This Row],[Code]],Locaties[#All],6,FALSE)</f>
        <v>Deventer</v>
      </c>
      <c r="F868" s="54"/>
      <c r="G868" s="24" t="s">
        <v>367</v>
      </c>
      <c r="H868" s="24" t="s">
        <v>1313</v>
      </c>
      <c r="I868" s="4" t="s">
        <v>941</v>
      </c>
      <c r="J868" s="24">
        <v>2</v>
      </c>
      <c r="K868" s="54" t="str">
        <f>VLOOKUP(J868,Ruimtegroepen[],2,FALSE)</f>
        <v>Kantoren</v>
      </c>
      <c r="L868" s="24" t="s">
        <v>303</v>
      </c>
      <c r="M868" s="24" t="s">
        <v>387</v>
      </c>
      <c r="N868" s="83">
        <v>14.65</v>
      </c>
      <c r="O868" s="83"/>
      <c r="P868" s="93" t="str">
        <f>LEFT(VLOOKUP(Ruimtestaat[[#This Row],[Ruimte code]],Ruimtegroepen[#All],4,1),2)</f>
        <v>Bu</v>
      </c>
      <c r="Q868" s="93"/>
      <c r="R868" s="84">
        <v>42</v>
      </c>
      <c r="S868" s="84" t="s">
        <v>322</v>
      </c>
      <c r="T868" s="85">
        <f>IF(R868&gt;0,IF(RIGHT(Ruimtestaat[[#This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68" s="85">
        <f>IF(T868&gt;0,VLOOKUP($J868,Ruimtegroepen[],3,FALSE)*VLOOKUP($L868,Vloersoorten[],3,FALSE)*VLOOKUP($S868,Frequenties[],3,FALSE)*VLOOKUP($A868,Locaties[],3,FALSE),0)</f>
        <v>0</v>
      </c>
      <c r="V868" s="86">
        <f>Ruimtestaat[[#This Row],[Uitvoeringen werkdagen]]*Ruimtestaat[[#This Row],[Oppervlak (netto)]]</f>
        <v>1845.9</v>
      </c>
      <c r="W868" s="87">
        <f>IF(U868&gt;0,Ruimtestaat[[#This Row],[Prest. (m2 /jaar) werkdagen]]/Ruimtestaat[[#This Row],[Norm (m2/uur) werkdagen]],0)</f>
        <v>0</v>
      </c>
      <c r="X868" s="88">
        <f>Ruimtestaat[[#This Row],[uren / jaar werkdagen]]*Tariefsopbouw!$E$35</f>
        <v>0</v>
      </c>
      <c r="Y868" s="85"/>
      <c r="Z868" s="89">
        <f>IF(Ruimtestaat[[#This Row],[Frequentie weekend]]&gt;0,VALUE(LEFT(Y868,1))*R868,0)</f>
        <v>0</v>
      </c>
      <c r="AA868" s="85">
        <f>IF($Z868&gt;0,VLOOKUP($J868,Ruimtegroepen[],3,FALSE)*VLOOKUP($L868,Vloersoorten[],3,FALSE)*VLOOKUP($Y868,Frequenties[],3,FALSE)*VLOOKUP(#REF!,Locaties[],3,FALSE),0)</f>
        <v>0</v>
      </c>
      <c r="AB868" s="87">
        <f>Ruimtestaat[[#This Row],[Uitvoeringen weekend]]*Ruimtestaat[[#This Row],[Oppervlak (netto)]]</f>
        <v>0</v>
      </c>
      <c r="AC868" s="90">
        <f>IF(AB868&gt;0,Ruimtestaat[[#This Row],[Prest. (m2 /jaar) weekend]]/Ruimtestaat[[#This Row],[Norm (m2/uur) weekend]],0)</f>
        <v>0</v>
      </c>
      <c r="AD868" s="91">
        <f>Ruimtestaat[[#This Row],[uren / jaar weekend]]*Tariefsopbouw!$D$40</f>
        <v>0</v>
      </c>
      <c r="AE868" s="60">
        <f>Ruimtestaat[[#This Row],[Prest. (m2 /jaar) weekend]]+Ruimtestaat[[#This Row],[Prest. (m2 /jaar) werkdagen]]</f>
        <v>1845.9</v>
      </c>
      <c r="AF868" s="60">
        <f>Ruimtestaat[[#This Row],[uren / jaar weekend]]+Ruimtestaat[[#This Row],[uren / jaar werkdagen]]</f>
        <v>0</v>
      </c>
      <c r="AG868" s="61">
        <f>Ruimtestaat[[#This Row],[kosten / jaar weekend]]+Ruimtestaat[[#This Row],[kosten / jaar werkdagen]]</f>
        <v>0</v>
      </c>
      <c r="AH868" s="92"/>
      <c r="HL868" s="59"/>
    </row>
    <row r="869" spans="1:220">
      <c r="A869" s="24">
        <v>6</v>
      </c>
      <c r="B869" s="24" t="str">
        <f>VLOOKUP(Ruimtestaat[[#This Row],[Code]],Locaties[#All],2,FALSE)</f>
        <v>Marke Noord</v>
      </c>
      <c r="C869" s="24" t="str">
        <f>VLOOKUP(Ruimtestaat[[#This Row],[Code]],Locaties[#All],4,FALSE)</f>
        <v>Lebuïnuslaan 1</v>
      </c>
      <c r="D869" s="24" t="str">
        <f>VLOOKUP(Ruimtestaat[[#This Row],[Code]],Locaties[#All],5,FALSE)</f>
        <v>7415 DM</v>
      </c>
      <c r="E869" s="24" t="str">
        <f>VLOOKUP(Ruimtestaat[[#This Row],[Code]],Locaties[#All],6,FALSE)</f>
        <v>Deventer</v>
      </c>
      <c r="F869" s="54"/>
      <c r="G869" s="24" t="s">
        <v>367</v>
      </c>
      <c r="H869" s="24" t="s">
        <v>1314</v>
      </c>
      <c r="I869" s="4" t="s">
        <v>1315</v>
      </c>
      <c r="J869" s="24">
        <v>22</v>
      </c>
      <c r="K869" s="54" t="str">
        <f>VLOOKUP(J869,Ruimtegroepen[],2,FALSE)</f>
        <v>Niet in onderhoud</v>
      </c>
      <c r="L869" s="24" t="s">
        <v>300</v>
      </c>
      <c r="M869" s="24" t="s">
        <v>909</v>
      </c>
      <c r="N869" s="83"/>
      <c r="O869" s="83">
        <v>2.9</v>
      </c>
      <c r="P869" s="93" t="str">
        <f>LEFT(VLOOKUP(Ruimtestaat[[#This Row],[Ruimte code]],Ruimtegroepen[#All],4,1),2)</f>
        <v/>
      </c>
      <c r="Q869" s="93"/>
      <c r="R869" s="84"/>
      <c r="S869" s="84"/>
      <c r="T869" s="85">
        <f>IF(R869&gt;0,IF(RIGHT(Ruimtestaat[[#This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9" s="85">
        <f>IF(T869&gt;0,VLOOKUP($J869,Ruimtegroepen[],3,FALSE)*VLOOKUP($L869,Vloersoorten[],3,FALSE)*VLOOKUP($S869,Frequenties[],3,FALSE)*VLOOKUP($A869,Locaties[],3,FALSE),0)</f>
        <v>0</v>
      </c>
      <c r="V869" s="86">
        <f>Ruimtestaat[[#This Row],[Uitvoeringen werkdagen]]*Ruimtestaat[[#This Row],[Oppervlak (netto)]]</f>
        <v>0</v>
      </c>
      <c r="W869" s="87">
        <f>IF(U869&gt;0,Ruimtestaat[[#This Row],[Prest. (m2 /jaar) werkdagen]]/Ruimtestaat[[#This Row],[Norm (m2/uur) werkdagen]],0)</f>
        <v>0</v>
      </c>
      <c r="X869" s="88">
        <f>Ruimtestaat[[#This Row],[uren / jaar werkdagen]]*Tariefsopbouw!$E$35</f>
        <v>0</v>
      </c>
      <c r="Y869" s="85"/>
      <c r="Z869" s="89">
        <f>IF(Ruimtestaat[[#This Row],[Frequentie weekend]]&gt;0,VALUE(LEFT(Y869,1))*R869,0)</f>
        <v>0</v>
      </c>
      <c r="AA869" s="85">
        <f>IF($Z869&gt;0,VLOOKUP($J869,Ruimtegroepen[],3,FALSE)*VLOOKUP($L869,Vloersoorten[],3,FALSE)*VLOOKUP($Y869,Frequenties[],3,FALSE)*VLOOKUP(#REF!,Locaties[],3,FALSE),0)</f>
        <v>0</v>
      </c>
      <c r="AB869" s="87">
        <f>Ruimtestaat[[#This Row],[Uitvoeringen weekend]]*Ruimtestaat[[#This Row],[Oppervlak (netto)]]</f>
        <v>0</v>
      </c>
      <c r="AC869" s="90">
        <f>IF(AB869&gt;0,Ruimtestaat[[#This Row],[Prest. (m2 /jaar) weekend]]/Ruimtestaat[[#This Row],[Norm (m2/uur) weekend]],0)</f>
        <v>0</v>
      </c>
      <c r="AD869" s="91">
        <f>Ruimtestaat[[#This Row],[uren / jaar weekend]]*Tariefsopbouw!$D$40</f>
        <v>0</v>
      </c>
      <c r="AE869" s="60">
        <f>Ruimtestaat[[#This Row],[Prest. (m2 /jaar) weekend]]+Ruimtestaat[[#This Row],[Prest. (m2 /jaar) werkdagen]]</f>
        <v>0</v>
      </c>
      <c r="AF869" s="60">
        <f>Ruimtestaat[[#This Row],[uren / jaar weekend]]+Ruimtestaat[[#This Row],[uren / jaar werkdagen]]</f>
        <v>0</v>
      </c>
      <c r="AG869" s="61">
        <f>Ruimtestaat[[#This Row],[kosten / jaar weekend]]+Ruimtestaat[[#This Row],[kosten / jaar werkdagen]]</f>
        <v>0</v>
      </c>
      <c r="AH869" s="92"/>
      <c r="HL869" s="59"/>
    </row>
    <row r="870" spans="1:220">
      <c r="A870" s="24">
        <v>6</v>
      </c>
      <c r="B870" s="24" t="str">
        <f>VLOOKUP(Ruimtestaat[[#This Row],[Code]],Locaties[#All],2,FALSE)</f>
        <v>Marke Noord</v>
      </c>
      <c r="C870" s="24" t="str">
        <f>VLOOKUP(Ruimtestaat[[#This Row],[Code]],Locaties[#All],4,FALSE)</f>
        <v>Lebuïnuslaan 1</v>
      </c>
      <c r="D870" s="24" t="str">
        <f>VLOOKUP(Ruimtestaat[[#This Row],[Code]],Locaties[#All],5,FALSE)</f>
        <v>7415 DM</v>
      </c>
      <c r="E870" s="24" t="str">
        <f>VLOOKUP(Ruimtestaat[[#This Row],[Code]],Locaties[#All],6,FALSE)</f>
        <v>Deventer</v>
      </c>
      <c r="F870" s="54"/>
      <c r="G870" s="24" t="s">
        <v>367</v>
      </c>
      <c r="H870" s="24" t="s">
        <v>377</v>
      </c>
      <c r="I870" s="4" t="s">
        <v>1098</v>
      </c>
      <c r="J870" s="24">
        <v>16</v>
      </c>
      <c r="K870" s="54" t="str">
        <f>VLOOKUP(J870,Ruimtegroepen[],2,FALSE)</f>
        <v>Leslokalen theorie</v>
      </c>
      <c r="L870" s="24" t="s">
        <v>308</v>
      </c>
      <c r="M870" s="24" t="s">
        <v>1288</v>
      </c>
      <c r="N870" s="83">
        <v>106.67</v>
      </c>
      <c r="O870" s="83"/>
      <c r="P870" s="93" t="str">
        <f>LEFT(VLOOKUP(Ruimtestaat[[#This Row],[Ruimte code]],Ruimtegroepen[#All],4,1),2)</f>
        <v>Le</v>
      </c>
      <c r="Q870" s="93"/>
      <c r="R870" s="84">
        <v>40</v>
      </c>
      <c r="S870" s="84" t="s">
        <v>318</v>
      </c>
      <c r="T870" s="85">
        <f>IF(R870&gt;0,IF(RIGHT(Ruimtestaat[[#This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0" s="85">
        <f>IF(T870&gt;0,VLOOKUP($J870,Ruimtegroepen[],3,FALSE)*VLOOKUP($L870,Vloersoorten[],3,FALSE)*VLOOKUP($S870,Frequenties[],3,FALSE)*VLOOKUP($A870,Locaties[],3,FALSE),0)</f>
        <v>0</v>
      </c>
      <c r="V870" s="86">
        <f>Ruimtestaat[[#This Row],[Uitvoeringen werkdagen]]*Ruimtestaat[[#This Row],[Oppervlak (netto)]]</f>
        <v>21334</v>
      </c>
      <c r="W870" s="87">
        <f>IF(U870&gt;0,Ruimtestaat[[#This Row],[Prest. (m2 /jaar) werkdagen]]/Ruimtestaat[[#This Row],[Norm (m2/uur) werkdagen]],0)</f>
        <v>0</v>
      </c>
      <c r="X870" s="88">
        <f>Ruimtestaat[[#This Row],[uren / jaar werkdagen]]*Tariefsopbouw!$E$35</f>
        <v>0</v>
      </c>
      <c r="Y870" s="85"/>
      <c r="Z870" s="89">
        <f>IF(Ruimtestaat[[#This Row],[Frequentie weekend]]&gt;0,VALUE(LEFT(Y870,1))*R870,0)</f>
        <v>0</v>
      </c>
      <c r="AA870" s="85">
        <f>IF($Z870&gt;0,VLOOKUP($J870,Ruimtegroepen[],3,FALSE)*VLOOKUP($L870,Vloersoorten[],3,FALSE)*VLOOKUP($Y870,Frequenties[],3,FALSE)*VLOOKUP(#REF!,Locaties[],3,FALSE),0)</f>
        <v>0</v>
      </c>
      <c r="AB870" s="87">
        <f>Ruimtestaat[[#This Row],[Uitvoeringen weekend]]*Ruimtestaat[[#This Row],[Oppervlak (netto)]]</f>
        <v>0</v>
      </c>
      <c r="AC870" s="90">
        <f>IF(AB870&gt;0,Ruimtestaat[[#This Row],[Prest. (m2 /jaar) weekend]]/Ruimtestaat[[#This Row],[Norm (m2/uur) weekend]],0)</f>
        <v>0</v>
      </c>
      <c r="AD870" s="91">
        <f>Ruimtestaat[[#This Row],[uren / jaar weekend]]*Tariefsopbouw!$D$40</f>
        <v>0</v>
      </c>
      <c r="AE870" s="60">
        <f>Ruimtestaat[[#This Row],[Prest. (m2 /jaar) weekend]]+Ruimtestaat[[#This Row],[Prest. (m2 /jaar) werkdagen]]</f>
        <v>21334</v>
      </c>
      <c r="AF870" s="60">
        <f>Ruimtestaat[[#This Row],[uren / jaar weekend]]+Ruimtestaat[[#This Row],[uren / jaar werkdagen]]</f>
        <v>0</v>
      </c>
      <c r="AG870" s="61">
        <f>Ruimtestaat[[#This Row],[kosten / jaar weekend]]+Ruimtestaat[[#This Row],[kosten / jaar werkdagen]]</f>
        <v>0</v>
      </c>
      <c r="AH870" s="92"/>
      <c r="HL870" s="59"/>
    </row>
    <row r="871" spans="1:220">
      <c r="A871" s="24">
        <v>6</v>
      </c>
      <c r="B871" s="24" t="str">
        <f>VLOOKUP(Ruimtestaat[[#This Row],[Code]],Locaties[#All],2,FALSE)</f>
        <v>Marke Noord</v>
      </c>
      <c r="C871" s="24" t="str">
        <f>VLOOKUP(Ruimtestaat[[#This Row],[Code]],Locaties[#All],4,FALSE)</f>
        <v>Lebuïnuslaan 1</v>
      </c>
      <c r="D871" s="24" t="str">
        <f>VLOOKUP(Ruimtestaat[[#This Row],[Code]],Locaties[#All],5,FALSE)</f>
        <v>7415 DM</v>
      </c>
      <c r="E871" s="24" t="str">
        <f>VLOOKUP(Ruimtestaat[[#This Row],[Code]],Locaties[#All],6,FALSE)</f>
        <v>Deventer</v>
      </c>
      <c r="F871" s="54"/>
      <c r="G871" s="24" t="s">
        <v>367</v>
      </c>
      <c r="H871" s="24" t="s">
        <v>1316</v>
      </c>
      <c r="I871" s="4" t="s">
        <v>667</v>
      </c>
      <c r="J871" s="24">
        <v>22</v>
      </c>
      <c r="K871" s="54" t="str">
        <f>VLOOKUP(J871,Ruimtegroepen[],2,FALSE)</f>
        <v>Niet in onderhoud</v>
      </c>
      <c r="L871" s="24" t="s">
        <v>300</v>
      </c>
      <c r="M871" s="24" t="s">
        <v>909</v>
      </c>
      <c r="N871" s="83"/>
      <c r="O871" s="83">
        <v>15.79</v>
      </c>
      <c r="P871" s="93" t="str">
        <f>LEFT(VLOOKUP(Ruimtestaat[[#This Row],[Ruimte code]],Ruimtegroepen[#All],4,1),2)</f>
        <v/>
      </c>
      <c r="Q871" s="93"/>
      <c r="R871" s="84"/>
      <c r="S871" s="84"/>
      <c r="T871" s="85">
        <f>IF(R871&gt;0,IF(RIGHT(Ruimtestaat[[#This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71" s="85">
        <f>IF(T871&gt;0,VLOOKUP($J871,Ruimtegroepen[],3,FALSE)*VLOOKUP($L871,Vloersoorten[],3,FALSE)*VLOOKUP($S871,Frequenties[],3,FALSE)*VLOOKUP($A871,Locaties[],3,FALSE),0)</f>
        <v>0</v>
      </c>
      <c r="V871" s="86">
        <f>Ruimtestaat[[#This Row],[Uitvoeringen werkdagen]]*Ruimtestaat[[#This Row],[Oppervlak (netto)]]</f>
        <v>0</v>
      </c>
      <c r="W871" s="87">
        <f>IF(U871&gt;0,Ruimtestaat[[#This Row],[Prest. (m2 /jaar) werkdagen]]/Ruimtestaat[[#This Row],[Norm (m2/uur) werkdagen]],0)</f>
        <v>0</v>
      </c>
      <c r="X871" s="88">
        <f>Ruimtestaat[[#This Row],[uren / jaar werkdagen]]*Tariefsopbouw!$E$35</f>
        <v>0</v>
      </c>
      <c r="Y871" s="85"/>
      <c r="Z871" s="89">
        <f>IF(Ruimtestaat[[#This Row],[Frequentie weekend]]&gt;0,VALUE(LEFT(Y871,1))*R871,0)</f>
        <v>0</v>
      </c>
      <c r="AA871" s="85">
        <f>IF($Z871&gt;0,VLOOKUP($J871,Ruimtegroepen[],3,FALSE)*VLOOKUP($L871,Vloersoorten[],3,FALSE)*VLOOKUP($Y871,Frequenties[],3,FALSE)*VLOOKUP(#REF!,Locaties[],3,FALSE),0)</f>
        <v>0</v>
      </c>
      <c r="AB871" s="87">
        <f>Ruimtestaat[[#This Row],[Uitvoeringen weekend]]*Ruimtestaat[[#This Row],[Oppervlak (netto)]]</f>
        <v>0</v>
      </c>
      <c r="AC871" s="90">
        <f>IF(AB871&gt;0,Ruimtestaat[[#This Row],[Prest. (m2 /jaar) weekend]]/Ruimtestaat[[#This Row],[Norm (m2/uur) weekend]],0)</f>
        <v>0</v>
      </c>
      <c r="AD871" s="91">
        <f>Ruimtestaat[[#This Row],[uren / jaar weekend]]*Tariefsopbouw!$D$40</f>
        <v>0</v>
      </c>
      <c r="AE871" s="60">
        <f>Ruimtestaat[[#This Row],[Prest. (m2 /jaar) weekend]]+Ruimtestaat[[#This Row],[Prest. (m2 /jaar) werkdagen]]</f>
        <v>0</v>
      </c>
      <c r="AF871" s="60">
        <f>Ruimtestaat[[#This Row],[uren / jaar weekend]]+Ruimtestaat[[#This Row],[uren / jaar werkdagen]]</f>
        <v>0</v>
      </c>
      <c r="AG871" s="61">
        <f>Ruimtestaat[[#This Row],[kosten / jaar weekend]]+Ruimtestaat[[#This Row],[kosten / jaar werkdagen]]</f>
        <v>0</v>
      </c>
      <c r="AH871" s="92"/>
      <c r="HL871" s="59"/>
    </row>
    <row r="872" spans="1:220">
      <c r="A872" s="24">
        <v>6</v>
      </c>
      <c r="B872" s="24" t="str">
        <f>VLOOKUP(Ruimtestaat[[#This Row],[Code]],Locaties[#All],2,FALSE)</f>
        <v>Marke Noord</v>
      </c>
      <c r="C872" s="24" t="str">
        <f>VLOOKUP(Ruimtestaat[[#This Row],[Code]],Locaties[#All],4,FALSE)</f>
        <v>Lebuïnuslaan 1</v>
      </c>
      <c r="D872" s="24" t="str">
        <f>VLOOKUP(Ruimtestaat[[#This Row],[Code]],Locaties[#All],5,FALSE)</f>
        <v>7415 DM</v>
      </c>
      <c r="E872" s="24" t="str">
        <f>VLOOKUP(Ruimtestaat[[#This Row],[Code]],Locaties[#All],6,FALSE)</f>
        <v>Deventer</v>
      </c>
      <c r="F872" s="54"/>
      <c r="G872" s="24" t="s">
        <v>367</v>
      </c>
      <c r="H872" s="24" t="s">
        <v>1317</v>
      </c>
      <c r="I872" s="4" t="s">
        <v>667</v>
      </c>
      <c r="J872" s="24">
        <v>22</v>
      </c>
      <c r="K872" s="54" t="str">
        <f>VLOOKUP(J872,Ruimtegroepen[],2,FALSE)</f>
        <v>Niet in onderhoud</v>
      </c>
      <c r="L872" s="24" t="s">
        <v>300</v>
      </c>
      <c r="M872" s="24" t="s">
        <v>909</v>
      </c>
      <c r="N872" s="83"/>
      <c r="O872" s="83">
        <v>13.3</v>
      </c>
      <c r="P872" s="93" t="str">
        <f>LEFT(VLOOKUP(Ruimtestaat[[#This Row],[Ruimte code]],Ruimtegroepen[#All],4,1),2)</f>
        <v/>
      </c>
      <c r="Q872" s="93"/>
      <c r="R872" s="84"/>
      <c r="S872" s="84"/>
      <c r="T872" s="85">
        <f>IF(R872&gt;0,IF(RIGHT(Ruimtestaat[[#This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72" s="85">
        <f>IF(T872&gt;0,VLOOKUP($J872,Ruimtegroepen[],3,FALSE)*VLOOKUP($L872,Vloersoorten[],3,FALSE)*VLOOKUP($S872,Frequenties[],3,FALSE)*VLOOKUP($A872,Locaties[],3,FALSE),0)</f>
        <v>0</v>
      </c>
      <c r="V872" s="86">
        <f>Ruimtestaat[[#This Row],[Uitvoeringen werkdagen]]*Ruimtestaat[[#This Row],[Oppervlak (netto)]]</f>
        <v>0</v>
      </c>
      <c r="W872" s="87">
        <f>IF(U872&gt;0,Ruimtestaat[[#This Row],[Prest. (m2 /jaar) werkdagen]]/Ruimtestaat[[#This Row],[Norm (m2/uur) werkdagen]],0)</f>
        <v>0</v>
      </c>
      <c r="X872" s="88">
        <f>Ruimtestaat[[#This Row],[uren / jaar werkdagen]]*Tariefsopbouw!$E$35</f>
        <v>0</v>
      </c>
      <c r="Y872" s="85"/>
      <c r="Z872" s="89">
        <f>IF(Ruimtestaat[[#This Row],[Frequentie weekend]]&gt;0,VALUE(LEFT(Y872,1))*R872,0)</f>
        <v>0</v>
      </c>
      <c r="AA872" s="85">
        <f>IF($Z872&gt;0,VLOOKUP($J872,Ruimtegroepen[],3,FALSE)*VLOOKUP($L872,Vloersoorten[],3,FALSE)*VLOOKUP($Y872,Frequenties[],3,FALSE)*VLOOKUP(#REF!,Locaties[],3,FALSE),0)</f>
        <v>0</v>
      </c>
      <c r="AB872" s="87">
        <f>Ruimtestaat[[#This Row],[Uitvoeringen weekend]]*Ruimtestaat[[#This Row],[Oppervlak (netto)]]</f>
        <v>0</v>
      </c>
      <c r="AC872" s="90">
        <f>IF(AB872&gt;0,Ruimtestaat[[#This Row],[Prest. (m2 /jaar) weekend]]/Ruimtestaat[[#This Row],[Norm (m2/uur) weekend]],0)</f>
        <v>0</v>
      </c>
      <c r="AD872" s="91">
        <f>Ruimtestaat[[#This Row],[uren / jaar weekend]]*Tariefsopbouw!$D$40</f>
        <v>0</v>
      </c>
      <c r="AE872" s="60">
        <f>Ruimtestaat[[#This Row],[Prest. (m2 /jaar) weekend]]+Ruimtestaat[[#This Row],[Prest. (m2 /jaar) werkdagen]]</f>
        <v>0</v>
      </c>
      <c r="AF872" s="60">
        <f>Ruimtestaat[[#This Row],[uren / jaar weekend]]+Ruimtestaat[[#This Row],[uren / jaar werkdagen]]</f>
        <v>0</v>
      </c>
      <c r="AG872" s="61">
        <f>Ruimtestaat[[#This Row],[kosten / jaar weekend]]+Ruimtestaat[[#This Row],[kosten / jaar werkdagen]]</f>
        <v>0</v>
      </c>
      <c r="AH872" s="92"/>
      <c r="HL872" s="59"/>
    </row>
    <row r="873" spans="1:220">
      <c r="A873" s="24">
        <v>6</v>
      </c>
      <c r="B873" s="24" t="str">
        <f>VLOOKUP(Ruimtestaat[[#This Row],[Code]],Locaties[#All],2,FALSE)</f>
        <v>Marke Noord</v>
      </c>
      <c r="C873" s="24" t="str">
        <f>VLOOKUP(Ruimtestaat[[#This Row],[Code]],Locaties[#All],4,FALSE)</f>
        <v>Lebuïnuslaan 1</v>
      </c>
      <c r="D873" s="24" t="str">
        <f>VLOOKUP(Ruimtestaat[[#This Row],[Code]],Locaties[#All],5,FALSE)</f>
        <v>7415 DM</v>
      </c>
      <c r="E873" s="24" t="str">
        <f>VLOOKUP(Ruimtestaat[[#This Row],[Code]],Locaties[#All],6,FALSE)</f>
        <v>Deventer</v>
      </c>
      <c r="F873" s="54"/>
      <c r="G873" s="24" t="s">
        <v>367</v>
      </c>
      <c r="H873" s="24" t="s">
        <v>379</v>
      </c>
      <c r="I873" s="4" t="s">
        <v>380</v>
      </c>
      <c r="J873" s="24">
        <v>2</v>
      </c>
      <c r="K873" s="54" t="str">
        <f>VLOOKUP(J873,Ruimtegroepen[],2,FALSE)</f>
        <v>Kantoren</v>
      </c>
      <c r="L873" s="24" t="s">
        <v>300</v>
      </c>
      <c r="M873" s="24" t="s">
        <v>909</v>
      </c>
      <c r="N873" s="83">
        <v>37.21</v>
      </c>
      <c r="O873" s="83"/>
      <c r="P873" s="93" t="str">
        <f>LEFT(VLOOKUP(Ruimtestaat[[#This Row],[Ruimte code]],Ruimtegroepen[#All],4,1),2)</f>
        <v>Bu</v>
      </c>
      <c r="Q873" s="93"/>
      <c r="R873" s="84">
        <v>42</v>
      </c>
      <c r="S873" s="84" t="s">
        <v>322</v>
      </c>
      <c r="T873" s="85">
        <f>IF(R873&gt;0,IF(RIGHT(Ruimtestaat[[#This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73" s="85">
        <f>IF(T873&gt;0,VLOOKUP($J873,Ruimtegroepen[],3,FALSE)*VLOOKUP($L873,Vloersoorten[],3,FALSE)*VLOOKUP($S873,Frequenties[],3,FALSE)*VLOOKUP($A873,Locaties[],3,FALSE),0)</f>
        <v>0</v>
      </c>
      <c r="V873" s="86">
        <f>Ruimtestaat[[#This Row],[Uitvoeringen werkdagen]]*Ruimtestaat[[#This Row],[Oppervlak (netto)]]</f>
        <v>4688.46</v>
      </c>
      <c r="W873" s="87">
        <f>IF(U873&gt;0,Ruimtestaat[[#This Row],[Prest. (m2 /jaar) werkdagen]]/Ruimtestaat[[#This Row],[Norm (m2/uur) werkdagen]],0)</f>
        <v>0</v>
      </c>
      <c r="X873" s="88">
        <f>Ruimtestaat[[#This Row],[uren / jaar werkdagen]]*Tariefsopbouw!$E$35</f>
        <v>0</v>
      </c>
      <c r="Y873" s="85"/>
      <c r="Z873" s="89">
        <f>IF(Ruimtestaat[[#This Row],[Frequentie weekend]]&gt;0,VALUE(LEFT(Y873,1))*R873,0)</f>
        <v>0</v>
      </c>
      <c r="AA873" s="85">
        <f>IF($Z873&gt;0,VLOOKUP($J873,Ruimtegroepen[],3,FALSE)*VLOOKUP($L873,Vloersoorten[],3,FALSE)*VLOOKUP($Y873,Frequenties[],3,FALSE)*VLOOKUP(#REF!,Locaties[],3,FALSE),0)</f>
        <v>0</v>
      </c>
      <c r="AB873" s="87">
        <f>Ruimtestaat[[#This Row],[Uitvoeringen weekend]]*Ruimtestaat[[#This Row],[Oppervlak (netto)]]</f>
        <v>0</v>
      </c>
      <c r="AC873" s="90">
        <f>IF(AB873&gt;0,Ruimtestaat[[#This Row],[Prest. (m2 /jaar) weekend]]/Ruimtestaat[[#This Row],[Norm (m2/uur) weekend]],0)</f>
        <v>0</v>
      </c>
      <c r="AD873" s="91">
        <f>Ruimtestaat[[#This Row],[uren / jaar weekend]]*Tariefsopbouw!$D$40</f>
        <v>0</v>
      </c>
      <c r="AE873" s="60">
        <f>Ruimtestaat[[#This Row],[Prest. (m2 /jaar) weekend]]+Ruimtestaat[[#This Row],[Prest. (m2 /jaar) werkdagen]]</f>
        <v>4688.46</v>
      </c>
      <c r="AF873" s="60">
        <f>Ruimtestaat[[#This Row],[uren / jaar weekend]]+Ruimtestaat[[#This Row],[uren / jaar werkdagen]]</f>
        <v>0</v>
      </c>
      <c r="AG873" s="61">
        <f>Ruimtestaat[[#This Row],[kosten / jaar weekend]]+Ruimtestaat[[#This Row],[kosten / jaar werkdagen]]</f>
        <v>0</v>
      </c>
      <c r="AH873" s="92"/>
      <c r="HL873" s="59"/>
    </row>
    <row r="874" spans="1:220">
      <c r="A874" s="24">
        <v>6</v>
      </c>
      <c r="B874" s="24" t="str">
        <f>VLOOKUP(Ruimtestaat[[#This Row],[Code]],Locaties[#All],2,FALSE)</f>
        <v>Marke Noord</v>
      </c>
      <c r="C874" s="24" t="str">
        <f>VLOOKUP(Ruimtestaat[[#This Row],[Code]],Locaties[#All],4,FALSE)</f>
        <v>Lebuïnuslaan 1</v>
      </c>
      <c r="D874" s="24" t="str">
        <f>VLOOKUP(Ruimtestaat[[#This Row],[Code]],Locaties[#All],5,FALSE)</f>
        <v>7415 DM</v>
      </c>
      <c r="E874" s="24" t="str">
        <f>VLOOKUP(Ruimtestaat[[#This Row],[Code]],Locaties[#All],6,FALSE)</f>
        <v>Deventer</v>
      </c>
      <c r="F874" s="54"/>
      <c r="G874" s="24" t="s">
        <v>367</v>
      </c>
      <c r="H874" s="24" t="s">
        <v>381</v>
      </c>
      <c r="I874" s="4" t="s">
        <v>1318</v>
      </c>
      <c r="J874" s="24">
        <v>16</v>
      </c>
      <c r="K874" s="54" t="str">
        <f>VLOOKUP(J874,Ruimtegroepen[],2,FALSE)</f>
        <v>Leslokalen theorie</v>
      </c>
      <c r="L874" s="24" t="s">
        <v>300</v>
      </c>
      <c r="M874" s="24" t="s">
        <v>909</v>
      </c>
      <c r="N874" s="83">
        <v>118.59</v>
      </c>
      <c r="O874" s="83"/>
      <c r="P874" s="93" t="str">
        <f>LEFT(VLOOKUP(Ruimtestaat[[#This Row],[Ruimte code]],Ruimtegroepen[#All],4,1),2)</f>
        <v>Le</v>
      </c>
      <c r="Q874" s="93"/>
      <c r="R874" s="84">
        <v>40</v>
      </c>
      <c r="S874" s="84" t="s">
        <v>318</v>
      </c>
      <c r="T874" s="85">
        <f>IF(R874&gt;0,IF(RIGHT(Ruimtestaat[[#This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4" s="85">
        <f>IF(T874&gt;0,VLOOKUP($J874,Ruimtegroepen[],3,FALSE)*VLOOKUP($L874,Vloersoorten[],3,FALSE)*VLOOKUP($S874,Frequenties[],3,FALSE)*VLOOKUP($A874,Locaties[],3,FALSE),0)</f>
        <v>0</v>
      </c>
      <c r="V874" s="86">
        <f>Ruimtestaat[[#This Row],[Uitvoeringen werkdagen]]*Ruimtestaat[[#This Row],[Oppervlak (netto)]]</f>
        <v>23718</v>
      </c>
      <c r="W874" s="87">
        <f>IF(U874&gt;0,Ruimtestaat[[#This Row],[Prest. (m2 /jaar) werkdagen]]/Ruimtestaat[[#This Row],[Norm (m2/uur) werkdagen]],0)</f>
        <v>0</v>
      </c>
      <c r="X874" s="88">
        <f>Ruimtestaat[[#This Row],[uren / jaar werkdagen]]*Tariefsopbouw!$E$35</f>
        <v>0</v>
      </c>
      <c r="Y874" s="85"/>
      <c r="Z874" s="89">
        <f>IF(Ruimtestaat[[#This Row],[Frequentie weekend]]&gt;0,VALUE(LEFT(Y874,1))*R874,0)</f>
        <v>0</v>
      </c>
      <c r="AA874" s="85">
        <f>IF($Z874&gt;0,VLOOKUP($J874,Ruimtegroepen[],3,FALSE)*VLOOKUP($L874,Vloersoorten[],3,FALSE)*VLOOKUP($Y874,Frequenties[],3,FALSE)*VLOOKUP(#REF!,Locaties[],3,FALSE),0)</f>
        <v>0</v>
      </c>
      <c r="AB874" s="87">
        <f>Ruimtestaat[[#This Row],[Uitvoeringen weekend]]*Ruimtestaat[[#This Row],[Oppervlak (netto)]]</f>
        <v>0</v>
      </c>
      <c r="AC874" s="90">
        <f>IF(AB874&gt;0,Ruimtestaat[[#This Row],[Prest. (m2 /jaar) weekend]]/Ruimtestaat[[#This Row],[Norm (m2/uur) weekend]],0)</f>
        <v>0</v>
      </c>
      <c r="AD874" s="91">
        <f>Ruimtestaat[[#This Row],[uren / jaar weekend]]*Tariefsopbouw!$D$40</f>
        <v>0</v>
      </c>
      <c r="AE874" s="60">
        <f>Ruimtestaat[[#This Row],[Prest. (m2 /jaar) weekend]]+Ruimtestaat[[#This Row],[Prest. (m2 /jaar) werkdagen]]</f>
        <v>23718</v>
      </c>
      <c r="AF874" s="60">
        <f>Ruimtestaat[[#This Row],[uren / jaar weekend]]+Ruimtestaat[[#This Row],[uren / jaar werkdagen]]</f>
        <v>0</v>
      </c>
      <c r="AG874" s="61">
        <f>Ruimtestaat[[#This Row],[kosten / jaar weekend]]+Ruimtestaat[[#This Row],[kosten / jaar werkdagen]]</f>
        <v>0</v>
      </c>
      <c r="AH874" s="92"/>
      <c r="HL874" s="59"/>
    </row>
    <row r="875" spans="1:220">
      <c r="A875" s="24">
        <v>6</v>
      </c>
      <c r="B875" s="24" t="str">
        <f>VLOOKUP(Ruimtestaat[[#This Row],[Code]],Locaties[#All],2,FALSE)</f>
        <v>Marke Noord</v>
      </c>
      <c r="C875" s="24" t="str">
        <f>VLOOKUP(Ruimtestaat[[#This Row],[Code]],Locaties[#All],4,FALSE)</f>
        <v>Lebuïnuslaan 1</v>
      </c>
      <c r="D875" s="24" t="str">
        <f>VLOOKUP(Ruimtestaat[[#This Row],[Code]],Locaties[#All],5,FALSE)</f>
        <v>7415 DM</v>
      </c>
      <c r="E875" s="24" t="str">
        <f>VLOOKUP(Ruimtestaat[[#This Row],[Code]],Locaties[#All],6,FALSE)</f>
        <v>Deventer</v>
      </c>
      <c r="F875" s="54"/>
      <c r="G875" s="24" t="s">
        <v>367</v>
      </c>
      <c r="H875" s="24" t="s">
        <v>1319</v>
      </c>
      <c r="I875" s="4" t="s">
        <v>667</v>
      </c>
      <c r="J875" s="24">
        <v>22</v>
      </c>
      <c r="K875" s="54" t="str">
        <f>VLOOKUP(J875,Ruimtegroepen[],2,FALSE)</f>
        <v>Niet in onderhoud</v>
      </c>
      <c r="L875" s="24" t="s">
        <v>300</v>
      </c>
      <c r="M875" s="24" t="s">
        <v>909</v>
      </c>
      <c r="N875" s="83"/>
      <c r="O875" s="83">
        <v>20.190000000000001</v>
      </c>
      <c r="P875" s="93" t="str">
        <f>LEFT(VLOOKUP(Ruimtestaat[[#This Row],[Ruimte code]],Ruimtegroepen[#All],4,1),2)</f>
        <v/>
      </c>
      <c r="Q875" s="93"/>
      <c r="R875" s="84"/>
      <c r="S875" s="84"/>
      <c r="T875" s="85">
        <f>IF(R875&gt;0,IF(RIGHT(Ruimtestaat[[#This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75" s="85">
        <f>IF(T875&gt;0,VLOOKUP($J875,Ruimtegroepen[],3,FALSE)*VLOOKUP($L875,Vloersoorten[],3,FALSE)*VLOOKUP($S875,Frequenties[],3,FALSE)*VLOOKUP($A875,Locaties[],3,FALSE),0)</f>
        <v>0</v>
      </c>
      <c r="V875" s="86">
        <f>Ruimtestaat[[#This Row],[Uitvoeringen werkdagen]]*Ruimtestaat[[#This Row],[Oppervlak (netto)]]</f>
        <v>0</v>
      </c>
      <c r="W875" s="87">
        <f>IF(U875&gt;0,Ruimtestaat[[#This Row],[Prest. (m2 /jaar) werkdagen]]/Ruimtestaat[[#This Row],[Norm (m2/uur) werkdagen]],0)</f>
        <v>0</v>
      </c>
      <c r="X875" s="88">
        <f>Ruimtestaat[[#This Row],[uren / jaar werkdagen]]*Tariefsopbouw!$E$35</f>
        <v>0</v>
      </c>
      <c r="Y875" s="85"/>
      <c r="Z875" s="89">
        <f>IF(Ruimtestaat[[#This Row],[Frequentie weekend]]&gt;0,VALUE(LEFT(Y875,1))*R875,0)</f>
        <v>0</v>
      </c>
      <c r="AA875" s="85">
        <f>IF($Z875&gt;0,VLOOKUP($J875,Ruimtegroepen[],3,FALSE)*VLOOKUP($L875,Vloersoorten[],3,FALSE)*VLOOKUP($Y875,Frequenties[],3,FALSE)*VLOOKUP(#REF!,Locaties[],3,FALSE),0)</f>
        <v>0</v>
      </c>
      <c r="AB875" s="87">
        <f>Ruimtestaat[[#This Row],[Uitvoeringen weekend]]*Ruimtestaat[[#This Row],[Oppervlak (netto)]]</f>
        <v>0</v>
      </c>
      <c r="AC875" s="90">
        <f>IF(AB875&gt;0,Ruimtestaat[[#This Row],[Prest. (m2 /jaar) weekend]]/Ruimtestaat[[#This Row],[Norm (m2/uur) weekend]],0)</f>
        <v>0</v>
      </c>
      <c r="AD875" s="91">
        <f>Ruimtestaat[[#This Row],[uren / jaar weekend]]*Tariefsopbouw!$D$40</f>
        <v>0</v>
      </c>
      <c r="AE875" s="60">
        <f>Ruimtestaat[[#This Row],[Prest. (m2 /jaar) weekend]]+Ruimtestaat[[#This Row],[Prest. (m2 /jaar) werkdagen]]</f>
        <v>0</v>
      </c>
      <c r="AF875" s="60">
        <f>Ruimtestaat[[#This Row],[uren / jaar weekend]]+Ruimtestaat[[#This Row],[uren / jaar werkdagen]]</f>
        <v>0</v>
      </c>
      <c r="AG875" s="61">
        <f>Ruimtestaat[[#This Row],[kosten / jaar weekend]]+Ruimtestaat[[#This Row],[kosten / jaar werkdagen]]</f>
        <v>0</v>
      </c>
      <c r="AH875" s="92"/>
      <c r="HL875" s="59"/>
    </row>
    <row r="876" spans="1:220">
      <c r="A876" s="24">
        <v>6</v>
      </c>
      <c r="B876" s="24" t="str">
        <f>VLOOKUP(Ruimtestaat[[#This Row],[Code]],Locaties[#All],2,FALSE)</f>
        <v>Marke Noord</v>
      </c>
      <c r="C876" s="24" t="str">
        <f>VLOOKUP(Ruimtestaat[[#This Row],[Code]],Locaties[#All],4,FALSE)</f>
        <v>Lebuïnuslaan 1</v>
      </c>
      <c r="D876" s="24" t="str">
        <f>VLOOKUP(Ruimtestaat[[#This Row],[Code]],Locaties[#All],5,FALSE)</f>
        <v>7415 DM</v>
      </c>
      <c r="E876" s="24" t="str">
        <f>VLOOKUP(Ruimtestaat[[#This Row],[Code]],Locaties[#All],6,FALSE)</f>
        <v>Deventer</v>
      </c>
      <c r="F876" s="54"/>
      <c r="G876" s="24" t="s">
        <v>367</v>
      </c>
      <c r="H876" s="24" t="s">
        <v>383</v>
      </c>
      <c r="I876" s="4" t="s">
        <v>1318</v>
      </c>
      <c r="J876" s="24">
        <v>16</v>
      </c>
      <c r="K876" s="54" t="str">
        <f>VLOOKUP(J876,Ruimtegroepen[],2,FALSE)</f>
        <v>Leslokalen theorie</v>
      </c>
      <c r="L876" s="24" t="s">
        <v>300</v>
      </c>
      <c r="M876" s="24" t="s">
        <v>909</v>
      </c>
      <c r="N876" s="83">
        <v>119.56</v>
      </c>
      <c r="O876" s="83"/>
      <c r="P876" s="93" t="str">
        <f>LEFT(VLOOKUP(Ruimtestaat[[#This Row],[Ruimte code]],Ruimtegroepen[#All],4,1),2)</f>
        <v>Le</v>
      </c>
      <c r="Q876" s="93"/>
      <c r="R876" s="84">
        <v>40</v>
      </c>
      <c r="S876" s="84" t="s">
        <v>318</v>
      </c>
      <c r="T876" s="85">
        <f>IF(R876&gt;0,IF(RIGHT(Ruimtestaat[[#This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6" s="85">
        <f>IF(T876&gt;0,VLOOKUP($J876,Ruimtegroepen[],3,FALSE)*VLOOKUP($L876,Vloersoorten[],3,FALSE)*VLOOKUP($S876,Frequenties[],3,FALSE)*VLOOKUP($A876,Locaties[],3,FALSE),0)</f>
        <v>0</v>
      </c>
      <c r="V876" s="86">
        <f>Ruimtestaat[[#This Row],[Uitvoeringen werkdagen]]*Ruimtestaat[[#This Row],[Oppervlak (netto)]]</f>
        <v>23912</v>
      </c>
      <c r="W876" s="87">
        <f>IF(U876&gt;0,Ruimtestaat[[#This Row],[Prest. (m2 /jaar) werkdagen]]/Ruimtestaat[[#This Row],[Norm (m2/uur) werkdagen]],0)</f>
        <v>0</v>
      </c>
      <c r="X876" s="88">
        <f>Ruimtestaat[[#This Row],[uren / jaar werkdagen]]*Tariefsopbouw!$E$35</f>
        <v>0</v>
      </c>
      <c r="Y876" s="85"/>
      <c r="Z876" s="89">
        <f>IF(Ruimtestaat[[#This Row],[Frequentie weekend]]&gt;0,VALUE(LEFT(Y876,1))*R876,0)</f>
        <v>0</v>
      </c>
      <c r="AA876" s="85">
        <f>IF($Z876&gt;0,VLOOKUP($J876,Ruimtegroepen[],3,FALSE)*VLOOKUP($L876,Vloersoorten[],3,FALSE)*VLOOKUP($Y876,Frequenties[],3,FALSE)*VLOOKUP(#REF!,Locaties[],3,FALSE),0)</f>
        <v>0</v>
      </c>
      <c r="AB876" s="87">
        <f>Ruimtestaat[[#This Row],[Uitvoeringen weekend]]*Ruimtestaat[[#This Row],[Oppervlak (netto)]]</f>
        <v>0</v>
      </c>
      <c r="AC876" s="90">
        <f>IF(AB876&gt;0,Ruimtestaat[[#This Row],[Prest. (m2 /jaar) weekend]]/Ruimtestaat[[#This Row],[Norm (m2/uur) weekend]],0)</f>
        <v>0</v>
      </c>
      <c r="AD876" s="91">
        <f>Ruimtestaat[[#This Row],[uren / jaar weekend]]*Tariefsopbouw!$D$40</f>
        <v>0</v>
      </c>
      <c r="AE876" s="60">
        <f>Ruimtestaat[[#This Row],[Prest. (m2 /jaar) weekend]]+Ruimtestaat[[#This Row],[Prest. (m2 /jaar) werkdagen]]</f>
        <v>23912</v>
      </c>
      <c r="AF876" s="60">
        <f>Ruimtestaat[[#This Row],[uren / jaar weekend]]+Ruimtestaat[[#This Row],[uren / jaar werkdagen]]</f>
        <v>0</v>
      </c>
      <c r="AG876" s="61">
        <f>Ruimtestaat[[#This Row],[kosten / jaar weekend]]+Ruimtestaat[[#This Row],[kosten / jaar werkdagen]]</f>
        <v>0</v>
      </c>
      <c r="AH876" s="92"/>
      <c r="HL876" s="59"/>
    </row>
    <row r="877" spans="1:220">
      <c r="A877" s="24">
        <v>6</v>
      </c>
      <c r="B877" s="24" t="str">
        <f>VLOOKUP(Ruimtestaat[[#This Row],[Code]],Locaties[#All],2,FALSE)</f>
        <v>Marke Noord</v>
      </c>
      <c r="C877" s="24" t="str">
        <f>VLOOKUP(Ruimtestaat[[#This Row],[Code]],Locaties[#All],4,FALSE)</f>
        <v>Lebuïnuslaan 1</v>
      </c>
      <c r="D877" s="24" t="str">
        <f>VLOOKUP(Ruimtestaat[[#This Row],[Code]],Locaties[#All],5,FALSE)</f>
        <v>7415 DM</v>
      </c>
      <c r="E877" s="24" t="str">
        <f>VLOOKUP(Ruimtestaat[[#This Row],[Code]],Locaties[#All],6,FALSE)</f>
        <v>Deventer</v>
      </c>
      <c r="F877" s="54"/>
      <c r="G877" s="24" t="s">
        <v>367</v>
      </c>
      <c r="H877" s="24" t="s">
        <v>1320</v>
      </c>
      <c r="I877" s="4" t="s">
        <v>1321</v>
      </c>
      <c r="J877" s="24">
        <v>5</v>
      </c>
      <c r="K877" s="54" t="str">
        <f>VLOOKUP(J877,Ruimtegroepen[],2,FALSE)</f>
        <v>Sanitair</v>
      </c>
      <c r="L877" s="24" t="s">
        <v>300</v>
      </c>
      <c r="M877" s="24" t="s">
        <v>909</v>
      </c>
      <c r="N877" s="83">
        <v>7.18</v>
      </c>
      <c r="O877" s="83"/>
      <c r="P877" s="93" t="str">
        <f>LEFT(VLOOKUP(Ruimtestaat[[#This Row],[Ruimte code]],Ruimtegroepen[#All],4,1),2)</f>
        <v>Sa</v>
      </c>
      <c r="Q877" s="93"/>
      <c r="R877" s="84">
        <v>42</v>
      </c>
      <c r="S877" s="84" t="s">
        <v>316</v>
      </c>
      <c r="T877" s="85">
        <f>IF(R877&gt;0,IF(RIGHT(Ruimtestaat[[#This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77" s="85">
        <f>IF(T877&gt;0,VLOOKUP($J877,Ruimtegroepen[],3,FALSE)*VLOOKUP($L877,Vloersoorten[],3,FALSE)*VLOOKUP($S877,Frequenties[],3,FALSE)*VLOOKUP($A877,Locaties[],3,FALSE),0)</f>
        <v>0</v>
      </c>
      <c r="V877" s="86">
        <f>Ruimtestaat[[#This Row],[Uitvoeringen werkdagen]]*Ruimtestaat[[#This Row],[Oppervlak (netto)]]</f>
        <v>3015.6</v>
      </c>
      <c r="W877" s="87">
        <f>IF(U877&gt;0,Ruimtestaat[[#This Row],[Prest. (m2 /jaar) werkdagen]]/Ruimtestaat[[#This Row],[Norm (m2/uur) werkdagen]],0)</f>
        <v>0</v>
      </c>
      <c r="X877" s="88">
        <f>Ruimtestaat[[#This Row],[uren / jaar werkdagen]]*Tariefsopbouw!$E$35</f>
        <v>0</v>
      </c>
      <c r="Y877" s="85"/>
      <c r="Z877" s="89">
        <f>IF(Ruimtestaat[[#This Row],[Frequentie weekend]]&gt;0,VALUE(LEFT(Y877,1))*R877,0)</f>
        <v>0</v>
      </c>
      <c r="AA877" s="85">
        <f>IF($Z877&gt;0,VLOOKUP($J877,Ruimtegroepen[],3,FALSE)*VLOOKUP($L877,Vloersoorten[],3,FALSE)*VLOOKUP($Y877,Frequenties[],3,FALSE)*VLOOKUP(#REF!,Locaties[],3,FALSE),0)</f>
        <v>0</v>
      </c>
      <c r="AB877" s="87">
        <f>Ruimtestaat[[#This Row],[Uitvoeringen weekend]]*Ruimtestaat[[#This Row],[Oppervlak (netto)]]</f>
        <v>0</v>
      </c>
      <c r="AC877" s="90">
        <f>IF(AB877&gt;0,Ruimtestaat[[#This Row],[Prest. (m2 /jaar) weekend]]/Ruimtestaat[[#This Row],[Norm (m2/uur) weekend]],0)</f>
        <v>0</v>
      </c>
      <c r="AD877" s="91">
        <f>Ruimtestaat[[#This Row],[uren / jaar weekend]]*Tariefsopbouw!$D$40</f>
        <v>0</v>
      </c>
      <c r="AE877" s="60">
        <f>Ruimtestaat[[#This Row],[Prest. (m2 /jaar) weekend]]+Ruimtestaat[[#This Row],[Prest. (m2 /jaar) werkdagen]]</f>
        <v>3015.6</v>
      </c>
      <c r="AF877" s="60">
        <f>Ruimtestaat[[#This Row],[uren / jaar weekend]]+Ruimtestaat[[#This Row],[uren / jaar werkdagen]]</f>
        <v>0</v>
      </c>
      <c r="AG877" s="61">
        <f>Ruimtestaat[[#This Row],[kosten / jaar weekend]]+Ruimtestaat[[#This Row],[kosten / jaar werkdagen]]</f>
        <v>0</v>
      </c>
      <c r="AH877" s="92"/>
      <c r="HL877" s="59"/>
    </row>
    <row r="878" spans="1:220">
      <c r="A878" s="24">
        <v>6</v>
      </c>
      <c r="B878" s="24" t="str">
        <f>VLOOKUP(Ruimtestaat[[#This Row],[Code]],Locaties[#All],2,FALSE)</f>
        <v>Marke Noord</v>
      </c>
      <c r="C878" s="24" t="str">
        <f>VLOOKUP(Ruimtestaat[[#This Row],[Code]],Locaties[#All],4,FALSE)</f>
        <v>Lebuïnuslaan 1</v>
      </c>
      <c r="D878" s="24" t="str">
        <f>VLOOKUP(Ruimtestaat[[#This Row],[Code]],Locaties[#All],5,FALSE)</f>
        <v>7415 DM</v>
      </c>
      <c r="E878" s="24" t="str">
        <f>VLOOKUP(Ruimtestaat[[#This Row],[Code]],Locaties[#All],6,FALSE)</f>
        <v>Deventer</v>
      </c>
      <c r="F878" s="54"/>
      <c r="G878" s="24" t="s">
        <v>367</v>
      </c>
      <c r="H878" s="24" t="s">
        <v>1322</v>
      </c>
      <c r="I878" s="4" t="s">
        <v>632</v>
      </c>
      <c r="J878" s="24">
        <v>22</v>
      </c>
      <c r="K878" s="54" t="str">
        <f>VLOOKUP(J878,Ruimtegroepen[],2,FALSE)</f>
        <v>Niet in onderhoud</v>
      </c>
      <c r="L878" s="24" t="s">
        <v>300</v>
      </c>
      <c r="M878" s="24" t="s">
        <v>909</v>
      </c>
      <c r="N878" s="83"/>
      <c r="O878" s="83">
        <v>17.690000000000001</v>
      </c>
      <c r="P878" s="93" t="str">
        <f>LEFT(VLOOKUP(Ruimtestaat[[#This Row],[Ruimte code]],Ruimtegroepen[#All],4,1),2)</f>
        <v/>
      </c>
      <c r="Q878" s="93"/>
      <c r="R878" s="84"/>
      <c r="S878" s="84"/>
      <c r="T878" s="85">
        <f>IF(R878&gt;0,IF(RIGHT(Ruimtestaat[[#This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78" s="85">
        <f>IF(T878&gt;0,VLOOKUP($J878,Ruimtegroepen[],3,FALSE)*VLOOKUP($L878,Vloersoorten[],3,FALSE)*VLOOKUP($S878,Frequenties[],3,FALSE)*VLOOKUP($A878,Locaties[],3,FALSE),0)</f>
        <v>0</v>
      </c>
      <c r="V878" s="86">
        <f>Ruimtestaat[[#This Row],[Uitvoeringen werkdagen]]*Ruimtestaat[[#This Row],[Oppervlak (netto)]]</f>
        <v>0</v>
      </c>
      <c r="W878" s="87">
        <f>IF(U878&gt;0,Ruimtestaat[[#This Row],[Prest. (m2 /jaar) werkdagen]]/Ruimtestaat[[#This Row],[Norm (m2/uur) werkdagen]],0)</f>
        <v>0</v>
      </c>
      <c r="X878" s="88">
        <f>Ruimtestaat[[#This Row],[uren / jaar werkdagen]]*Tariefsopbouw!$E$35</f>
        <v>0</v>
      </c>
      <c r="Y878" s="85"/>
      <c r="Z878" s="89">
        <f>IF(Ruimtestaat[[#This Row],[Frequentie weekend]]&gt;0,VALUE(LEFT(Y878,1))*R878,0)</f>
        <v>0</v>
      </c>
      <c r="AA878" s="85">
        <f>IF($Z878&gt;0,VLOOKUP($J878,Ruimtegroepen[],3,FALSE)*VLOOKUP($L878,Vloersoorten[],3,FALSE)*VLOOKUP($Y878,Frequenties[],3,FALSE)*VLOOKUP(#REF!,Locaties[],3,FALSE),0)</f>
        <v>0</v>
      </c>
      <c r="AB878" s="87">
        <f>Ruimtestaat[[#This Row],[Uitvoeringen weekend]]*Ruimtestaat[[#This Row],[Oppervlak (netto)]]</f>
        <v>0</v>
      </c>
      <c r="AC878" s="90">
        <f>IF(AB878&gt;0,Ruimtestaat[[#This Row],[Prest. (m2 /jaar) weekend]]/Ruimtestaat[[#This Row],[Norm (m2/uur) weekend]],0)</f>
        <v>0</v>
      </c>
      <c r="AD878" s="91">
        <f>Ruimtestaat[[#This Row],[uren / jaar weekend]]*Tariefsopbouw!$D$40</f>
        <v>0</v>
      </c>
      <c r="AE878" s="60">
        <f>Ruimtestaat[[#This Row],[Prest. (m2 /jaar) weekend]]+Ruimtestaat[[#This Row],[Prest. (m2 /jaar) werkdagen]]</f>
        <v>0</v>
      </c>
      <c r="AF878" s="60">
        <f>Ruimtestaat[[#This Row],[uren / jaar weekend]]+Ruimtestaat[[#This Row],[uren / jaar werkdagen]]</f>
        <v>0</v>
      </c>
      <c r="AG878" s="61">
        <f>Ruimtestaat[[#This Row],[kosten / jaar weekend]]+Ruimtestaat[[#This Row],[kosten / jaar werkdagen]]</f>
        <v>0</v>
      </c>
      <c r="AH878" s="92"/>
      <c r="HL878" s="59"/>
    </row>
    <row r="879" spans="1:220">
      <c r="A879" s="24">
        <v>6</v>
      </c>
      <c r="B879" s="24" t="str">
        <f>VLOOKUP(Ruimtestaat[[#This Row],[Code]],Locaties[#All],2,FALSE)</f>
        <v>Marke Noord</v>
      </c>
      <c r="C879" s="24" t="str">
        <f>VLOOKUP(Ruimtestaat[[#This Row],[Code]],Locaties[#All],4,FALSE)</f>
        <v>Lebuïnuslaan 1</v>
      </c>
      <c r="D879" s="24" t="str">
        <f>VLOOKUP(Ruimtestaat[[#This Row],[Code]],Locaties[#All],5,FALSE)</f>
        <v>7415 DM</v>
      </c>
      <c r="E879" s="24" t="str">
        <f>VLOOKUP(Ruimtestaat[[#This Row],[Code]],Locaties[#All],6,FALSE)</f>
        <v>Deventer</v>
      </c>
      <c r="F879" s="54"/>
      <c r="G879" s="24" t="s">
        <v>367</v>
      </c>
      <c r="H879" s="24" t="s">
        <v>385</v>
      </c>
      <c r="I879" s="4" t="s">
        <v>1323</v>
      </c>
      <c r="J879" s="24">
        <v>16</v>
      </c>
      <c r="K879" s="54" t="str">
        <f>VLOOKUP(J879,Ruimtegroepen[],2,FALSE)</f>
        <v>Leslokalen theorie</v>
      </c>
      <c r="L879" s="24" t="s">
        <v>300</v>
      </c>
      <c r="M879" s="24" t="s">
        <v>909</v>
      </c>
      <c r="N879" s="83">
        <v>48.54</v>
      </c>
      <c r="O879" s="83"/>
      <c r="P879" s="93" t="str">
        <f>LEFT(VLOOKUP(Ruimtestaat[[#This Row],[Ruimte code]],Ruimtegroepen[#All],4,1),2)</f>
        <v>Le</v>
      </c>
      <c r="Q879" s="93"/>
      <c r="R879" s="84">
        <v>40</v>
      </c>
      <c r="S879" s="84" t="s">
        <v>318</v>
      </c>
      <c r="T879" s="85">
        <f>IF(R879&gt;0,IF(RIGHT(Ruimtestaat[[#This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9" s="85">
        <f>IF(T879&gt;0,VLOOKUP($J879,Ruimtegroepen[],3,FALSE)*VLOOKUP($L879,Vloersoorten[],3,FALSE)*VLOOKUP($S879,Frequenties[],3,FALSE)*VLOOKUP($A879,Locaties[],3,FALSE),0)</f>
        <v>0</v>
      </c>
      <c r="V879" s="86">
        <f>Ruimtestaat[[#This Row],[Uitvoeringen werkdagen]]*Ruimtestaat[[#This Row],[Oppervlak (netto)]]</f>
        <v>9708</v>
      </c>
      <c r="W879" s="87">
        <f>IF(U879&gt;0,Ruimtestaat[[#This Row],[Prest. (m2 /jaar) werkdagen]]/Ruimtestaat[[#This Row],[Norm (m2/uur) werkdagen]],0)</f>
        <v>0</v>
      </c>
      <c r="X879" s="88">
        <f>Ruimtestaat[[#This Row],[uren / jaar werkdagen]]*Tariefsopbouw!$E$35</f>
        <v>0</v>
      </c>
      <c r="Y879" s="85"/>
      <c r="Z879" s="89">
        <f>IF(Ruimtestaat[[#This Row],[Frequentie weekend]]&gt;0,VALUE(LEFT(Y879,1))*R879,0)</f>
        <v>0</v>
      </c>
      <c r="AA879" s="85">
        <f>IF($Z879&gt;0,VLOOKUP($J879,Ruimtegroepen[],3,FALSE)*VLOOKUP($L879,Vloersoorten[],3,FALSE)*VLOOKUP($Y879,Frequenties[],3,FALSE)*VLOOKUP(#REF!,Locaties[],3,FALSE),0)</f>
        <v>0</v>
      </c>
      <c r="AB879" s="87">
        <f>Ruimtestaat[[#This Row],[Uitvoeringen weekend]]*Ruimtestaat[[#This Row],[Oppervlak (netto)]]</f>
        <v>0</v>
      </c>
      <c r="AC879" s="90">
        <f>IF(AB879&gt;0,Ruimtestaat[[#This Row],[Prest. (m2 /jaar) weekend]]/Ruimtestaat[[#This Row],[Norm (m2/uur) weekend]],0)</f>
        <v>0</v>
      </c>
      <c r="AD879" s="91">
        <f>Ruimtestaat[[#This Row],[uren / jaar weekend]]*Tariefsopbouw!$D$40</f>
        <v>0</v>
      </c>
      <c r="AE879" s="60">
        <f>Ruimtestaat[[#This Row],[Prest. (m2 /jaar) weekend]]+Ruimtestaat[[#This Row],[Prest. (m2 /jaar) werkdagen]]</f>
        <v>9708</v>
      </c>
      <c r="AF879" s="60">
        <f>Ruimtestaat[[#This Row],[uren / jaar weekend]]+Ruimtestaat[[#This Row],[uren / jaar werkdagen]]</f>
        <v>0</v>
      </c>
      <c r="AG879" s="61">
        <f>Ruimtestaat[[#This Row],[kosten / jaar weekend]]+Ruimtestaat[[#This Row],[kosten / jaar werkdagen]]</f>
        <v>0</v>
      </c>
      <c r="AH879" s="92"/>
      <c r="HL879" s="59"/>
    </row>
    <row r="880" spans="1:220">
      <c r="A880" s="24">
        <v>6</v>
      </c>
      <c r="B880" s="24" t="str">
        <f>VLOOKUP(Ruimtestaat[[#This Row],[Code]],Locaties[#All],2,FALSE)</f>
        <v>Marke Noord</v>
      </c>
      <c r="C880" s="24" t="str">
        <f>VLOOKUP(Ruimtestaat[[#This Row],[Code]],Locaties[#All],4,FALSE)</f>
        <v>Lebuïnuslaan 1</v>
      </c>
      <c r="D880" s="24" t="str">
        <f>VLOOKUP(Ruimtestaat[[#This Row],[Code]],Locaties[#All],5,FALSE)</f>
        <v>7415 DM</v>
      </c>
      <c r="E880" s="24" t="str">
        <f>VLOOKUP(Ruimtestaat[[#This Row],[Code]],Locaties[#All],6,FALSE)</f>
        <v>Deventer</v>
      </c>
      <c r="F880" s="54"/>
      <c r="G880" s="24" t="s">
        <v>367</v>
      </c>
      <c r="H880" s="24" t="s">
        <v>1324</v>
      </c>
      <c r="I880" s="4" t="s">
        <v>1318</v>
      </c>
      <c r="J880" s="24">
        <v>16</v>
      </c>
      <c r="K880" s="54" t="str">
        <f>VLOOKUP(J880,Ruimtegroepen[],2,FALSE)</f>
        <v>Leslokalen theorie</v>
      </c>
      <c r="L880" s="24" t="s">
        <v>300</v>
      </c>
      <c r="M880" s="24" t="s">
        <v>909</v>
      </c>
      <c r="N880" s="83">
        <v>83.42</v>
      </c>
      <c r="O880" s="83"/>
      <c r="P880" s="93" t="str">
        <f>LEFT(VLOOKUP(Ruimtestaat[[#This Row],[Ruimte code]],Ruimtegroepen[#All],4,1),2)</f>
        <v>Le</v>
      </c>
      <c r="Q880" s="93"/>
      <c r="R880" s="84">
        <v>40</v>
      </c>
      <c r="S880" s="84" t="s">
        <v>318</v>
      </c>
      <c r="T880" s="85">
        <f>IF(R880&gt;0,IF(RIGHT(Ruimtestaat[[#This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0" s="85">
        <f>IF(T880&gt;0,VLOOKUP($J880,Ruimtegroepen[],3,FALSE)*VLOOKUP($L880,Vloersoorten[],3,FALSE)*VLOOKUP($S880,Frequenties[],3,FALSE)*VLOOKUP($A880,Locaties[],3,FALSE),0)</f>
        <v>0</v>
      </c>
      <c r="V880" s="86">
        <f>Ruimtestaat[[#This Row],[Uitvoeringen werkdagen]]*Ruimtestaat[[#This Row],[Oppervlak (netto)]]</f>
        <v>16684</v>
      </c>
      <c r="W880" s="87">
        <f>IF(U880&gt;0,Ruimtestaat[[#This Row],[Prest. (m2 /jaar) werkdagen]]/Ruimtestaat[[#This Row],[Norm (m2/uur) werkdagen]],0)</f>
        <v>0</v>
      </c>
      <c r="X880" s="88">
        <f>Ruimtestaat[[#This Row],[uren / jaar werkdagen]]*Tariefsopbouw!$E$35</f>
        <v>0</v>
      </c>
      <c r="Y880" s="85"/>
      <c r="Z880" s="89">
        <f>IF(Ruimtestaat[[#This Row],[Frequentie weekend]]&gt;0,VALUE(LEFT(Y880,1))*R880,0)</f>
        <v>0</v>
      </c>
      <c r="AA880" s="85">
        <f>IF($Z880&gt;0,VLOOKUP($J880,Ruimtegroepen[],3,FALSE)*VLOOKUP($L880,Vloersoorten[],3,FALSE)*VLOOKUP($Y880,Frequenties[],3,FALSE)*VLOOKUP(#REF!,Locaties[],3,FALSE),0)</f>
        <v>0</v>
      </c>
      <c r="AB880" s="87">
        <f>Ruimtestaat[[#This Row],[Uitvoeringen weekend]]*Ruimtestaat[[#This Row],[Oppervlak (netto)]]</f>
        <v>0</v>
      </c>
      <c r="AC880" s="90">
        <f>IF(AB880&gt;0,Ruimtestaat[[#This Row],[Prest. (m2 /jaar) weekend]]/Ruimtestaat[[#This Row],[Norm (m2/uur) weekend]],0)</f>
        <v>0</v>
      </c>
      <c r="AD880" s="91">
        <f>Ruimtestaat[[#This Row],[uren / jaar weekend]]*Tariefsopbouw!$D$40</f>
        <v>0</v>
      </c>
      <c r="AE880" s="60">
        <f>Ruimtestaat[[#This Row],[Prest. (m2 /jaar) weekend]]+Ruimtestaat[[#This Row],[Prest. (m2 /jaar) werkdagen]]</f>
        <v>16684</v>
      </c>
      <c r="AF880" s="60">
        <f>Ruimtestaat[[#This Row],[uren / jaar weekend]]+Ruimtestaat[[#This Row],[uren / jaar werkdagen]]</f>
        <v>0</v>
      </c>
      <c r="AG880" s="61">
        <f>Ruimtestaat[[#This Row],[kosten / jaar weekend]]+Ruimtestaat[[#This Row],[kosten / jaar werkdagen]]</f>
        <v>0</v>
      </c>
      <c r="AH880" s="92"/>
      <c r="HL880" s="59"/>
    </row>
    <row r="881" spans="1:220">
      <c r="A881" s="24">
        <v>6</v>
      </c>
      <c r="B881" s="24" t="str">
        <f>VLOOKUP(Ruimtestaat[[#This Row],[Code]],Locaties[#All],2,FALSE)</f>
        <v>Marke Noord</v>
      </c>
      <c r="C881" s="24" t="str">
        <f>VLOOKUP(Ruimtestaat[[#This Row],[Code]],Locaties[#All],4,FALSE)</f>
        <v>Lebuïnuslaan 1</v>
      </c>
      <c r="D881" s="24" t="str">
        <f>VLOOKUP(Ruimtestaat[[#This Row],[Code]],Locaties[#All],5,FALSE)</f>
        <v>7415 DM</v>
      </c>
      <c r="E881" s="24" t="str">
        <f>VLOOKUP(Ruimtestaat[[#This Row],[Code]],Locaties[#All],6,FALSE)</f>
        <v>Deventer</v>
      </c>
      <c r="F881" s="54"/>
      <c r="G881" s="24" t="s">
        <v>367</v>
      </c>
      <c r="H881" s="24" t="s">
        <v>1325</v>
      </c>
      <c r="I881" s="4" t="s">
        <v>667</v>
      </c>
      <c r="J881" s="24">
        <v>22</v>
      </c>
      <c r="K881" s="54" t="str">
        <f>VLOOKUP(J881,Ruimtegroepen[],2,FALSE)</f>
        <v>Niet in onderhoud</v>
      </c>
      <c r="L881" s="24" t="s">
        <v>300</v>
      </c>
      <c r="M881" s="24" t="s">
        <v>909</v>
      </c>
      <c r="N881" s="83"/>
      <c r="O881" s="83">
        <v>7.94</v>
      </c>
      <c r="P881" s="93" t="str">
        <f>LEFT(VLOOKUP(Ruimtestaat[[#This Row],[Ruimte code]],Ruimtegroepen[#All],4,1),2)</f>
        <v/>
      </c>
      <c r="Q881" s="93"/>
      <c r="R881" s="84"/>
      <c r="S881" s="84"/>
      <c r="T881" s="85">
        <f>IF(R881&gt;0,IF(RIGHT(Ruimtestaat[[#This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1" s="85">
        <f>IF(T881&gt;0,VLOOKUP($J881,Ruimtegroepen[],3,FALSE)*VLOOKUP($L881,Vloersoorten[],3,FALSE)*VLOOKUP($S881,Frequenties[],3,FALSE)*VLOOKUP($A881,Locaties[],3,FALSE),0)</f>
        <v>0</v>
      </c>
      <c r="V881" s="86">
        <f>Ruimtestaat[[#This Row],[Uitvoeringen werkdagen]]*Ruimtestaat[[#This Row],[Oppervlak (netto)]]</f>
        <v>0</v>
      </c>
      <c r="W881" s="87">
        <f>IF(U881&gt;0,Ruimtestaat[[#This Row],[Prest. (m2 /jaar) werkdagen]]/Ruimtestaat[[#This Row],[Norm (m2/uur) werkdagen]],0)</f>
        <v>0</v>
      </c>
      <c r="X881" s="88">
        <f>Ruimtestaat[[#This Row],[uren / jaar werkdagen]]*Tariefsopbouw!$E$35</f>
        <v>0</v>
      </c>
      <c r="Y881" s="85"/>
      <c r="Z881" s="89">
        <f>IF(Ruimtestaat[[#This Row],[Frequentie weekend]]&gt;0,VALUE(LEFT(Y881,1))*R881,0)</f>
        <v>0</v>
      </c>
      <c r="AA881" s="85">
        <f>IF($Z881&gt;0,VLOOKUP($J881,Ruimtegroepen[],3,FALSE)*VLOOKUP($L881,Vloersoorten[],3,FALSE)*VLOOKUP($Y881,Frequenties[],3,FALSE)*VLOOKUP(#REF!,Locaties[],3,FALSE),0)</f>
        <v>0</v>
      </c>
      <c r="AB881" s="87">
        <f>Ruimtestaat[[#This Row],[Uitvoeringen weekend]]*Ruimtestaat[[#This Row],[Oppervlak (netto)]]</f>
        <v>0</v>
      </c>
      <c r="AC881" s="90">
        <f>IF(AB881&gt;0,Ruimtestaat[[#This Row],[Prest. (m2 /jaar) weekend]]/Ruimtestaat[[#This Row],[Norm (m2/uur) weekend]],0)</f>
        <v>0</v>
      </c>
      <c r="AD881" s="91">
        <f>Ruimtestaat[[#This Row],[uren / jaar weekend]]*Tariefsopbouw!$D$40</f>
        <v>0</v>
      </c>
      <c r="AE881" s="60">
        <f>Ruimtestaat[[#This Row],[Prest. (m2 /jaar) weekend]]+Ruimtestaat[[#This Row],[Prest. (m2 /jaar) werkdagen]]</f>
        <v>0</v>
      </c>
      <c r="AF881" s="60">
        <f>Ruimtestaat[[#This Row],[uren / jaar weekend]]+Ruimtestaat[[#This Row],[uren / jaar werkdagen]]</f>
        <v>0</v>
      </c>
      <c r="AG881" s="61">
        <f>Ruimtestaat[[#This Row],[kosten / jaar weekend]]+Ruimtestaat[[#This Row],[kosten / jaar werkdagen]]</f>
        <v>0</v>
      </c>
      <c r="AH881" s="92"/>
      <c r="HL881" s="59"/>
    </row>
    <row r="882" spans="1:220">
      <c r="A882" s="24">
        <v>6</v>
      </c>
      <c r="B882" s="24" t="str">
        <f>VLOOKUP(Ruimtestaat[[#This Row],[Code]],Locaties[#All],2,FALSE)</f>
        <v>Marke Noord</v>
      </c>
      <c r="C882" s="24" t="str">
        <f>VLOOKUP(Ruimtestaat[[#This Row],[Code]],Locaties[#All],4,FALSE)</f>
        <v>Lebuïnuslaan 1</v>
      </c>
      <c r="D882" s="24" t="str">
        <f>VLOOKUP(Ruimtestaat[[#This Row],[Code]],Locaties[#All],5,FALSE)</f>
        <v>7415 DM</v>
      </c>
      <c r="E882" s="24" t="str">
        <f>VLOOKUP(Ruimtestaat[[#This Row],[Code]],Locaties[#All],6,FALSE)</f>
        <v>Deventer</v>
      </c>
      <c r="F882" s="54"/>
      <c r="G882" s="24" t="s">
        <v>367</v>
      </c>
      <c r="H882" s="24" t="s">
        <v>1326</v>
      </c>
      <c r="I882" s="4" t="s">
        <v>667</v>
      </c>
      <c r="J882" s="24">
        <v>22</v>
      </c>
      <c r="K882" s="54" t="str">
        <f>VLOOKUP(J882,Ruimtegroepen[],2,FALSE)</f>
        <v>Niet in onderhoud</v>
      </c>
      <c r="L882" s="24" t="s">
        <v>300</v>
      </c>
      <c r="M882" s="24" t="s">
        <v>909</v>
      </c>
      <c r="N882" s="83"/>
      <c r="O882" s="83">
        <v>17.62</v>
      </c>
      <c r="P882" s="93" t="str">
        <f>LEFT(VLOOKUP(Ruimtestaat[[#This Row],[Ruimte code]],Ruimtegroepen[#All],4,1),2)</f>
        <v/>
      </c>
      <c r="Q882" s="93"/>
      <c r="R882" s="84"/>
      <c r="S882" s="84"/>
      <c r="T882" s="85">
        <f>IF(R882&gt;0,IF(RIGHT(Ruimtestaat[[#This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2" s="85">
        <f>IF(T882&gt;0,VLOOKUP($J882,Ruimtegroepen[],3,FALSE)*VLOOKUP($L882,Vloersoorten[],3,FALSE)*VLOOKUP($S882,Frequenties[],3,FALSE)*VLOOKUP($A882,Locaties[],3,FALSE),0)</f>
        <v>0</v>
      </c>
      <c r="V882" s="86">
        <f>Ruimtestaat[[#This Row],[Uitvoeringen werkdagen]]*Ruimtestaat[[#This Row],[Oppervlak (netto)]]</f>
        <v>0</v>
      </c>
      <c r="W882" s="87">
        <f>IF(U882&gt;0,Ruimtestaat[[#This Row],[Prest. (m2 /jaar) werkdagen]]/Ruimtestaat[[#This Row],[Norm (m2/uur) werkdagen]],0)</f>
        <v>0</v>
      </c>
      <c r="X882" s="88">
        <f>Ruimtestaat[[#This Row],[uren / jaar werkdagen]]*Tariefsopbouw!$E$35</f>
        <v>0</v>
      </c>
      <c r="Y882" s="85"/>
      <c r="Z882" s="89">
        <f>IF(Ruimtestaat[[#This Row],[Frequentie weekend]]&gt;0,VALUE(LEFT(Y882,1))*R882,0)</f>
        <v>0</v>
      </c>
      <c r="AA882" s="85">
        <f>IF($Z882&gt;0,VLOOKUP($J882,Ruimtegroepen[],3,FALSE)*VLOOKUP($L882,Vloersoorten[],3,FALSE)*VLOOKUP($Y882,Frequenties[],3,FALSE)*VLOOKUP(#REF!,Locaties[],3,FALSE),0)</f>
        <v>0</v>
      </c>
      <c r="AB882" s="87">
        <f>Ruimtestaat[[#This Row],[Uitvoeringen weekend]]*Ruimtestaat[[#This Row],[Oppervlak (netto)]]</f>
        <v>0</v>
      </c>
      <c r="AC882" s="90">
        <f>IF(AB882&gt;0,Ruimtestaat[[#This Row],[Prest. (m2 /jaar) weekend]]/Ruimtestaat[[#This Row],[Norm (m2/uur) weekend]],0)</f>
        <v>0</v>
      </c>
      <c r="AD882" s="91">
        <f>Ruimtestaat[[#This Row],[uren / jaar weekend]]*Tariefsopbouw!$D$40</f>
        <v>0</v>
      </c>
      <c r="AE882" s="60">
        <f>Ruimtestaat[[#This Row],[Prest. (m2 /jaar) weekend]]+Ruimtestaat[[#This Row],[Prest. (m2 /jaar) werkdagen]]</f>
        <v>0</v>
      </c>
      <c r="AF882" s="60">
        <f>Ruimtestaat[[#This Row],[uren / jaar weekend]]+Ruimtestaat[[#This Row],[uren / jaar werkdagen]]</f>
        <v>0</v>
      </c>
      <c r="AG882" s="61">
        <f>Ruimtestaat[[#This Row],[kosten / jaar weekend]]+Ruimtestaat[[#This Row],[kosten / jaar werkdagen]]</f>
        <v>0</v>
      </c>
      <c r="AH882" s="92"/>
      <c r="HL882" s="59"/>
    </row>
    <row r="883" spans="1:220">
      <c r="A883" s="24">
        <v>6</v>
      </c>
      <c r="B883" s="24" t="str">
        <f>VLOOKUP(Ruimtestaat[[#This Row],[Code]],Locaties[#All],2,FALSE)</f>
        <v>Marke Noord</v>
      </c>
      <c r="C883" s="24" t="str">
        <f>VLOOKUP(Ruimtestaat[[#This Row],[Code]],Locaties[#All],4,FALSE)</f>
        <v>Lebuïnuslaan 1</v>
      </c>
      <c r="D883" s="24" t="str">
        <f>VLOOKUP(Ruimtestaat[[#This Row],[Code]],Locaties[#All],5,FALSE)</f>
        <v>7415 DM</v>
      </c>
      <c r="E883" s="24" t="str">
        <f>VLOOKUP(Ruimtestaat[[#This Row],[Code]],Locaties[#All],6,FALSE)</f>
        <v>Deventer</v>
      </c>
      <c r="F883" s="54"/>
      <c r="G883" s="24" t="s">
        <v>367</v>
      </c>
      <c r="H883" s="24" t="s">
        <v>1327</v>
      </c>
      <c r="I883" s="4" t="s">
        <v>589</v>
      </c>
      <c r="J883" s="24">
        <v>22</v>
      </c>
      <c r="K883" s="54" t="str">
        <f>VLOOKUP(J883,Ruimtegroepen[],2,FALSE)</f>
        <v>Niet in onderhoud</v>
      </c>
      <c r="L883" s="24" t="s">
        <v>300</v>
      </c>
      <c r="M883" s="24" t="s">
        <v>909</v>
      </c>
      <c r="N883" s="83"/>
      <c r="O883" s="83">
        <v>8.65</v>
      </c>
      <c r="P883" s="93" t="str">
        <f>LEFT(VLOOKUP(Ruimtestaat[[#This Row],[Ruimte code]],Ruimtegroepen[#All],4,1),2)</f>
        <v/>
      </c>
      <c r="Q883" s="93"/>
      <c r="R883" s="84"/>
      <c r="S883" s="84"/>
      <c r="T883" s="85">
        <f>IF(R883&gt;0,IF(RIGHT(Ruimtestaat[[#This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3" s="85">
        <f>IF(T883&gt;0,VLOOKUP($J883,Ruimtegroepen[],3,FALSE)*VLOOKUP($L883,Vloersoorten[],3,FALSE)*VLOOKUP($S883,Frequenties[],3,FALSE)*VLOOKUP($A883,Locaties[],3,FALSE),0)</f>
        <v>0</v>
      </c>
      <c r="V883" s="86">
        <f>Ruimtestaat[[#This Row],[Uitvoeringen werkdagen]]*Ruimtestaat[[#This Row],[Oppervlak (netto)]]</f>
        <v>0</v>
      </c>
      <c r="W883" s="87">
        <f>IF(U883&gt;0,Ruimtestaat[[#This Row],[Prest. (m2 /jaar) werkdagen]]/Ruimtestaat[[#This Row],[Norm (m2/uur) werkdagen]],0)</f>
        <v>0</v>
      </c>
      <c r="X883" s="88">
        <f>Ruimtestaat[[#This Row],[uren / jaar werkdagen]]*Tariefsopbouw!$E$35</f>
        <v>0</v>
      </c>
      <c r="Y883" s="85"/>
      <c r="Z883" s="89">
        <f>IF(Ruimtestaat[[#This Row],[Frequentie weekend]]&gt;0,VALUE(LEFT(Y883,1))*R883,0)</f>
        <v>0</v>
      </c>
      <c r="AA883" s="85">
        <f>IF($Z883&gt;0,VLOOKUP($J883,Ruimtegroepen[],3,FALSE)*VLOOKUP($L883,Vloersoorten[],3,FALSE)*VLOOKUP($Y883,Frequenties[],3,FALSE)*VLOOKUP(#REF!,Locaties[],3,FALSE),0)</f>
        <v>0</v>
      </c>
      <c r="AB883" s="87">
        <f>Ruimtestaat[[#This Row],[Uitvoeringen weekend]]*Ruimtestaat[[#This Row],[Oppervlak (netto)]]</f>
        <v>0</v>
      </c>
      <c r="AC883" s="90">
        <f>IF(AB883&gt;0,Ruimtestaat[[#This Row],[Prest. (m2 /jaar) weekend]]/Ruimtestaat[[#This Row],[Norm (m2/uur) weekend]],0)</f>
        <v>0</v>
      </c>
      <c r="AD883" s="91">
        <f>Ruimtestaat[[#This Row],[uren / jaar weekend]]*Tariefsopbouw!$D$40</f>
        <v>0</v>
      </c>
      <c r="AE883" s="60">
        <f>Ruimtestaat[[#This Row],[Prest. (m2 /jaar) weekend]]+Ruimtestaat[[#This Row],[Prest. (m2 /jaar) werkdagen]]</f>
        <v>0</v>
      </c>
      <c r="AF883" s="60">
        <f>Ruimtestaat[[#This Row],[uren / jaar weekend]]+Ruimtestaat[[#This Row],[uren / jaar werkdagen]]</f>
        <v>0</v>
      </c>
      <c r="AG883" s="61">
        <f>Ruimtestaat[[#This Row],[kosten / jaar weekend]]+Ruimtestaat[[#This Row],[kosten / jaar werkdagen]]</f>
        <v>0</v>
      </c>
      <c r="AH883" s="92"/>
      <c r="HL883" s="59"/>
    </row>
    <row r="884" spans="1:220">
      <c r="A884" s="24">
        <v>6</v>
      </c>
      <c r="B884" s="24" t="str">
        <f>VLOOKUP(Ruimtestaat[[#This Row],[Code]],Locaties[#All],2,FALSE)</f>
        <v>Marke Noord</v>
      </c>
      <c r="C884" s="24" t="str">
        <f>VLOOKUP(Ruimtestaat[[#This Row],[Code]],Locaties[#All],4,FALSE)</f>
        <v>Lebuïnuslaan 1</v>
      </c>
      <c r="D884" s="24" t="str">
        <f>VLOOKUP(Ruimtestaat[[#This Row],[Code]],Locaties[#All],5,FALSE)</f>
        <v>7415 DM</v>
      </c>
      <c r="E884" s="24" t="str">
        <f>VLOOKUP(Ruimtestaat[[#This Row],[Code]],Locaties[#All],6,FALSE)</f>
        <v>Deventer</v>
      </c>
      <c r="F884" s="54"/>
      <c r="G884" s="24" t="s">
        <v>367</v>
      </c>
      <c r="H884" s="24" t="s">
        <v>1328</v>
      </c>
      <c r="I884" s="4" t="s">
        <v>1329</v>
      </c>
      <c r="J884" s="24">
        <v>22</v>
      </c>
      <c r="K884" s="54" t="str">
        <f>VLOOKUP(J884,Ruimtegroepen[],2,FALSE)</f>
        <v>Niet in onderhoud</v>
      </c>
      <c r="L884" s="24" t="s">
        <v>300</v>
      </c>
      <c r="M884" s="24" t="s">
        <v>909</v>
      </c>
      <c r="N884" s="83"/>
      <c r="O884" s="83">
        <v>3.15</v>
      </c>
      <c r="P884" s="93" t="str">
        <f>LEFT(VLOOKUP(Ruimtestaat[[#This Row],[Ruimte code]],Ruimtegroepen[#All],4,1),2)</f>
        <v/>
      </c>
      <c r="Q884" s="93"/>
      <c r="R884" s="84"/>
      <c r="S884" s="84"/>
      <c r="T884" s="85">
        <f>IF(R884&gt;0,IF(RIGHT(Ruimtestaat[[#This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4" s="85">
        <f>IF(T884&gt;0,VLOOKUP($J884,Ruimtegroepen[],3,FALSE)*VLOOKUP($L884,Vloersoorten[],3,FALSE)*VLOOKUP($S884,Frequenties[],3,FALSE)*VLOOKUP($A884,Locaties[],3,FALSE),0)</f>
        <v>0</v>
      </c>
      <c r="V884" s="86">
        <f>Ruimtestaat[[#This Row],[Uitvoeringen werkdagen]]*Ruimtestaat[[#This Row],[Oppervlak (netto)]]</f>
        <v>0</v>
      </c>
      <c r="W884" s="87">
        <f>IF(U884&gt;0,Ruimtestaat[[#This Row],[Prest. (m2 /jaar) werkdagen]]/Ruimtestaat[[#This Row],[Norm (m2/uur) werkdagen]],0)</f>
        <v>0</v>
      </c>
      <c r="X884" s="88">
        <f>Ruimtestaat[[#This Row],[uren / jaar werkdagen]]*Tariefsopbouw!$E$35</f>
        <v>0</v>
      </c>
      <c r="Y884" s="85"/>
      <c r="Z884" s="89">
        <f>IF(Ruimtestaat[[#This Row],[Frequentie weekend]]&gt;0,VALUE(LEFT(Y884,1))*R884,0)</f>
        <v>0</v>
      </c>
      <c r="AA884" s="85">
        <f>IF($Z884&gt;0,VLOOKUP($J884,Ruimtegroepen[],3,FALSE)*VLOOKUP($L884,Vloersoorten[],3,FALSE)*VLOOKUP($Y884,Frequenties[],3,FALSE)*VLOOKUP(#REF!,Locaties[],3,FALSE),0)</f>
        <v>0</v>
      </c>
      <c r="AB884" s="87">
        <f>Ruimtestaat[[#This Row],[Uitvoeringen weekend]]*Ruimtestaat[[#This Row],[Oppervlak (netto)]]</f>
        <v>0</v>
      </c>
      <c r="AC884" s="90">
        <f>IF(AB884&gt;0,Ruimtestaat[[#This Row],[Prest. (m2 /jaar) weekend]]/Ruimtestaat[[#This Row],[Norm (m2/uur) weekend]],0)</f>
        <v>0</v>
      </c>
      <c r="AD884" s="91">
        <f>Ruimtestaat[[#This Row],[uren / jaar weekend]]*Tariefsopbouw!$D$40</f>
        <v>0</v>
      </c>
      <c r="AE884" s="60">
        <f>Ruimtestaat[[#This Row],[Prest. (m2 /jaar) weekend]]+Ruimtestaat[[#This Row],[Prest. (m2 /jaar) werkdagen]]</f>
        <v>0</v>
      </c>
      <c r="AF884" s="60">
        <f>Ruimtestaat[[#This Row],[uren / jaar weekend]]+Ruimtestaat[[#This Row],[uren / jaar werkdagen]]</f>
        <v>0</v>
      </c>
      <c r="AG884" s="61">
        <f>Ruimtestaat[[#This Row],[kosten / jaar weekend]]+Ruimtestaat[[#This Row],[kosten / jaar werkdagen]]</f>
        <v>0</v>
      </c>
      <c r="AH884" s="92"/>
      <c r="HL884" s="59"/>
    </row>
    <row r="885" spans="1:220">
      <c r="A885" s="24">
        <v>6</v>
      </c>
      <c r="B885" s="24" t="str">
        <f>VLOOKUP(Ruimtestaat[[#This Row],[Code]],Locaties[#All],2,FALSE)</f>
        <v>Marke Noord</v>
      </c>
      <c r="C885" s="24" t="str">
        <f>VLOOKUP(Ruimtestaat[[#This Row],[Code]],Locaties[#All],4,FALSE)</f>
        <v>Lebuïnuslaan 1</v>
      </c>
      <c r="D885" s="24" t="str">
        <f>VLOOKUP(Ruimtestaat[[#This Row],[Code]],Locaties[#All],5,FALSE)</f>
        <v>7415 DM</v>
      </c>
      <c r="E885" s="24" t="str">
        <f>VLOOKUP(Ruimtestaat[[#This Row],[Code]],Locaties[#All],6,FALSE)</f>
        <v>Deventer</v>
      </c>
      <c r="F885" s="54"/>
      <c r="G885" s="24" t="s">
        <v>367</v>
      </c>
      <c r="H885" s="24" t="s">
        <v>1330</v>
      </c>
      <c r="I885" s="4" t="s">
        <v>1331</v>
      </c>
      <c r="J885" s="24">
        <v>22</v>
      </c>
      <c r="K885" s="54" t="str">
        <f>VLOOKUP(J885,Ruimtegroepen[],2,FALSE)</f>
        <v>Niet in onderhoud</v>
      </c>
      <c r="L885" s="24" t="s">
        <v>300</v>
      </c>
      <c r="M885" s="24" t="s">
        <v>909</v>
      </c>
      <c r="N885" s="83"/>
      <c r="O885" s="83">
        <v>3.67</v>
      </c>
      <c r="P885" s="93" t="str">
        <f>LEFT(VLOOKUP(Ruimtestaat[[#This Row],[Ruimte code]],Ruimtegroepen[#All],4,1),2)</f>
        <v/>
      </c>
      <c r="Q885" s="93"/>
      <c r="R885" s="84"/>
      <c r="S885" s="84"/>
      <c r="T885" s="85">
        <f>IF(R885&gt;0,IF(RIGHT(Ruimtestaat[[#This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5" s="85">
        <f>IF(T885&gt;0,VLOOKUP($J885,Ruimtegroepen[],3,FALSE)*VLOOKUP($L885,Vloersoorten[],3,FALSE)*VLOOKUP($S885,Frequenties[],3,FALSE)*VLOOKUP($A885,Locaties[],3,FALSE),0)</f>
        <v>0</v>
      </c>
      <c r="V885" s="86">
        <f>Ruimtestaat[[#This Row],[Uitvoeringen werkdagen]]*Ruimtestaat[[#This Row],[Oppervlak (netto)]]</f>
        <v>0</v>
      </c>
      <c r="W885" s="87">
        <f>IF(U885&gt;0,Ruimtestaat[[#This Row],[Prest. (m2 /jaar) werkdagen]]/Ruimtestaat[[#This Row],[Norm (m2/uur) werkdagen]],0)</f>
        <v>0</v>
      </c>
      <c r="X885" s="88">
        <f>Ruimtestaat[[#This Row],[uren / jaar werkdagen]]*Tariefsopbouw!$E$35</f>
        <v>0</v>
      </c>
      <c r="Y885" s="85"/>
      <c r="Z885" s="89">
        <f>IF(Ruimtestaat[[#This Row],[Frequentie weekend]]&gt;0,VALUE(LEFT(Y885,1))*R885,0)</f>
        <v>0</v>
      </c>
      <c r="AA885" s="85">
        <f>IF($Z885&gt;0,VLOOKUP($J885,Ruimtegroepen[],3,FALSE)*VLOOKUP($L885,Vloersoorten[],3,FALSE)*VLOOKUP($Y885,Frequenties[],3,FALSE)*VLOOKUP(#REF!,Locaties[],3,FALSE),0)</f>
        <v>0</v>
      </c>
      <c r="AB885" s="87">
        <f>Ruimtestaat[[#This Row],[Uitvoeringen weekend]]*Ruimtestaat[[#This Row],[Oppervlak (netto)]]</f>
        <v>0</v>
      </c>
      <c r="AC885" s="90">
        <f>IF(AB885&gt;0,Ruimtestaat[[#This Row],[Prest. (m2 /jaar) weekend]]/Ruimtestaat[[#This Row],[Norm (m2/uur) weekend]],0)</f>
        <v>0</v>
      </c>
      <c r="AD885" s="91">
        <f>Ruimtestaat[[#This Row],[uren / jaar weekend]]*Tariefsopbouw!$D$40</f>
        <v>0</v>
      </c>
      <c r="AE885" s="60">
        <f>Ruimtestaat[[#This Row],[Prest. (m2 /jaar) weekend]]+Ruimtestaat[[#This Row],[Prest. (m2 /jaar) werkdagen]]</f>
        <v>0</v>
      </c>
      <c r="AF885" s="60">
        <f>Ruimtestaat[[#This Row],[uren / jaar weekend]]+Ruimtestaat[[#This Row],[uren / jaar werkdagen]]</f>
        <v>0</v>
      </c>
      <c r="AG885" s="61">
        <f>Ruimtestaat[[#This Row],[kosten / jaar weekend]]+Ruimtestaat[[#This Row],[kosten / jaar werkdagen]]</f>
        <v>0</v>
      </c>
      <c r="AH885" s="92"/>
      <c r="HL885" s="59"/>
    </row>
    <row r="886" spans="1:220">
      <c r="A886" s="24">
        <v>6</v>
      </c>
      <c r="B886" s="24" t="str">
        <f>VLOOKUP(Ruimtestaat[[#This Row],[Code]],Locaties[#All],2,FALSE)</f>
        <v>Marke Noord</v>
      </c>
      <c r="C886" s="24" t="str">
        <f>VLOOKUP(Ruimtestaat[[#This Row],[Code]],Locaties[#All],4,FALSE)</f>
        <v>Lebuïnuslaan 1</v>
      </c>
      <c r="D886" s="24" t="str">
        <f>VLOOKUP(Ruimtestaat[[#This Row],[Code]],Locaties[#All],5,FALSE)</f>
        <v>7415 DM</v>
      </c>
      <c r="E886" s="24" t="str">
        <f>VLOOKUP(Ruimtestaat[[#This Row],[Code]],Locaties[#All],6,FALSE)</f>
        <v>Deventer</v>
      </c>
      <c r="F886" s="54"/>
      <c r="G886" s="24" t="s">
        <v>367</v>
      </c>
      <c r="H886" s="24" t="s">
        <v>1332</v>
      </c>
      <c r="I886" s="4" t="s">
        <v>1333</v>
      </c>
      <c r="J886" s="24">
        <v>22</v>
      </c>
      <c r="K886" s="54" t="str">
        <f>VLOOKUP(J886,Ruimtegroepen[],2,FALSE)</f>
        <v>Niet in onderhoud</v>
      </c>
      <c r="L886" s="24" t="s">
        <v>300</v>
      </c>
      <c r="M886" s="24" t="s">
        <v>909</v>
      </c>
      <c r="N886" s="83"/>
      <c r="O886" s="83">
        <v>7.7</v>
      </c>
      <c r="P886" s="93" t="str">
        <f>LEFT(VLOOKUP(Ruimtestaat[[#This Row],[Ruimte code]],Ruimtegroepen[#All],4,1),2)</f>
        <v/>
      </c>
      <c r="Q886" s="93"/>
      <c r="R886" s="84"/>
      <c r="S886" s="84"/>
      <c r="T886" s="85">
        <f>IF(R886&gt;0,IF(RIGHT(Ruimtestaat[[#This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6" s="85">
        <f>IF(T886&gt;0,VLOOKUP($J886,Ruimtegroepen[],3,FALSE)*VLOOKUP($L886,Vloersoorten[],3,FALSE)*VLOOKUP($S886,Frequenties[],3,FALSE)*VLOOKUP($A886,Locaties[],3,FALSE),0)</f>
        <v>0</v>
      </c>
      <c r="V886" s="86">
        <f>Ruimtestaat[[#This Row],[Uitvoeringen werkdagen]]*Ruimtestaat[[#This Row],[Oppervlak (netto)]]</f>
        <v>0</v>
      </c>
      <c r="W886" s="87">
        <f>IF(U886&gt;0,Ruimtestaat[[#This Row],[Prest. (m2 /jaar) werkdagen]]/Ruimtestaat[[#This Row],[Norm (m2/uur) werkdagen]],0)</f>
        <v>0</v>
      </c>
      <c r="X886" s="88">
        <f>Ruimtestaat[[#This Row],[uren / jaar werkdagen]]*Tariefsopbouw!$E$35</f>
        <v>0</v>
      </c>
      <c r="Y886" s="85"/>
      <c r="Z886" s="89">
        <f>IF(Ruimtestaat[[#This Row],[Frequentie weekend]]&gt;0,VALUE(LEFT(Y886,1))*R886,0)</f>
        <v>0</v>
      </c>
      <c r="AA886" s="85">
        <f>IF($Z886&gt;0,VLOOKUP($J886,Ruimtegroepen[],3,FALSE)*VLOOKUP($L886,Vloersoorten[],3,FALSE)*VLOOKUP($Y886,Frequenties[],3,FALSE)*VLOOKUP(#REF!,Locaties[],3,FALSE),0)</f>
        <v>0</v>
      </c>
      <c r="AB886" s="87">
        <f>Ruimtestaat[[#This Row],[Uitvoeringen weekend]]*Ruimtestaat[[#This Row],[Oppervlak (netto)]]</f>
        <v>0</v>
      </c>
      <c r="AC886" s="90">
        <f>IF(AB886&gt;0,Ruimtestaat[[#This Row],[Prest. (m2 /jaar) weekend]]/Ruimtestaat[[#This Row],[Norm (m2/uur) weekend]],0)</f>
        <v>0</v>
      </c>
      <c r="AD886" s="91">
        <f>Ruimtestaat[[#This Row],[uren / jaar weekend]]*Tariefsopbouw!$D$40</f>
        <v>0</v>
      </c>
      <c r="AE886" s="60">
        <f>Ruimtestaat[[#This Row],[Prest. (m2 /jaar) weekend]]+Ruimtestaat[[#This Row],[Prest. (m2 /jaar) werkdagen]]</f>
        <v>0</v>
      </c>
      <c r="AF886" s="60">
        <f>Ruimtestaat[[#This Row],[uren / jaar weekend]]+Ruimtestaat[[#This Row],[uren / jaar werkdagen]]</f>
        <v>0</v>
      </c>
      <c r="AG886" s="61">
        <f>Ruimtestaat[[#This Row],[kosten / jaar weekend]]+Ruimtestaat[[#This Row],[kosten / jaar werkdagen]]</f>
        <v>0</v>
      </c>
      <c r="AH886" s="92"/>
      <c r="HL886" s="59"/>
    </row>
    <row r="887" spans="1:220">
      <c r="A887" s="24">
        <v>6</v>
      </c>
      <c r="B887" s="24" t="str">
        <f>VLOOKUP(Ruimtestaat[[#This Row],[Code]],Locaties[#All],2,FALSE)</f>
        <v>Marke Noord</v>
      </c>
      <c r="C887" s="24" t="str">
        <f>VLOOKUP(Ruimtestaat[[#This Row],[Code]],Locaties[#All],4,FALSE)</f>
        <v>Lebuïnuslaan 1</v>
      </c>
      <c r="D887" s="24" t="str">
        <f>VLOOKUP(Ruimtestaat[[#This Row],[Code]],Locaties[#All],5,FALSE)</f>
        <v>7415 DM</v>
      </c>
      <c r="E887" s="24" t="str">
        <f>VLOOKUP(Ruimtestaat[[#This Row],[Code]],Locaties[#All],6,FALSE)</f>
        <v>Deventer</v>
      </c>
      <c r="F887" s="54"/>
      <c r="G887" s="24" t="s">
        <v>367</v>
      </c>
      <c r="H887" s="24" t="s">
        <v>1334</v>
      </c>
      <c r="I887" s="4" t="s">
        <v>551</v>
      </c>
      <c r="J887" s="24">
        <v>22</v>
      </c>
      <c r="K887" s="54" t="str">
        <f>VLOOKUP(J887,Ruimtegroepen[],2,FALSE)</f>
        <v>Niet in onderhoud</v>
      </c>
      <c r="L887" s="24" t="s">
        <v>300</v>
      </c>
      <c r="M887" s="24" t="s">
        <v>909</v>
      </c>
      <c r="N887" s="83"/>
      <c r="O887" s="83">
        <v>6.78</v>
      </c>
      <c r="P887" s="93" t="str">
        <f>LEFT(VLOOKUP(Ruimtestaat[[#This Row],[Ruimte code]],Ruimtegroepen[#All],4,1),2)</f>
        <v/>
      </c>
      <c r="Q887" s="93"/>
      <c r="R887" s="84"/>
      <c r="S887" s="84"/>
      <c r="T887" s="85">
        <f>IF(R887&gt;0,IF(RIGHT(Ruimtestaat[[#This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7" s="85">
        <f>IF(T887&gt;0,VLOOKUP($J887,Ruimtegroepen[],3,FALSE)*VLOOKUP($L887,Vloersoorten[],3,FALSE)*VLOOKUP($S887,Frequenties[],3,FALSE)*VLOOKUP($A887,Locaties[],3,FALSE),0)</f>
        <v>0</v>
      </c>
      <c r="V887" s="86">
        <f>Ruimtestaat[[#This Row],[Uitvoeringen werkdagen]]*Ruimtestaat[[#This Row],[Oppervlak (netto)]]</f>
        <v>0</v>
      </c>
      <c r="W887" s="87">
        <f>IF(U887&gt;0,Ruimtestaat[[#This Row],[Prest. (m2 /jaar) werkdagen]]/Ruimtestaat[[#This Row],[Norm (m2/uur) werkdagen]],0)</f>
        <v>0</v>
      </c>
      <c r="X887" s="88">
        <f>Ruimtestaat[[#This Row],[uren / jaar werkdagen]]*Tariefsopbouw!$E$35</f>
        <v>0</v>
      </c>
      <c r="Y887" s="85"/>
      <c r="Z887" s="89">
        <f>IF(Ruimtestaat[[#This Row],[Frequentie weekend]]&gt;0,VALUE(LEFT(Y887,1))*R887,0)</f>
        <v>0</v>
      </c>
      <c r="AA887" s="85">
        <f>IF($Z887&gt;0,VLOOKUP($J887,Ruimtegroepen[],3,FALSE)*VLOOKUP($L887,Vloersoorten[],3,FALSE)*VLOOKUP($Y887,Frequenties[],3,FALSE)*VLOOKUP(#REF!,Locaties[],3,FALSE),0)</f>
        <v>0</v>
      </c>
      <c r="AB887" s="87">
        <f>Ruimtestaat[[#This Row],[Uitvoeringen weekend]]*Ruimtestaat[[#This Row],[Oppervlak (netto)]]</f>
        <v>0</v>
      </c>
      <c r="AC887" s="90">
        <f>IF(AB887&gt;0,Ruimtestaat[[#This Row],[Prest. (m2 /jaar) weekend]]/Ruimtestaat[[#This Row],[Norm (m2/uur) weekend]],0)</f>
        <v>0</v>
      </c>
      <c r="AD887" s="91">
        <f>Ruimtestaat[[#This Row],[uren / jaar weekend]]*Tariefsopbouw!$D$40</f>
        <v>0</v>
      </c>
      <c r="AE887" s="60">
        <f>Ruimtestaat[[#This Row],[Prest. (m2 /jaar) weekend]]+Ruimtestaat[[#This Row],[Prest. (m2 /jaar) werkdagen]]</f>
        <v>0</v>
      </c>
      <c r="AF887" s="60">
        <f>Ruimtestaat[[#This Row],[uren / jaar weekend]]+Ruimtestaat[[#This Row],[uren / jaar werkdagen]]</f>
        <v>0</v>
      </c>
      <c r="AG887" s="61">
        <f>Ruimtestaat[[#This Row],[kosten / jaar weekend]]+Ruimtestaat[[#This Row],[kosten / jaar werkdagen]]</f>
        <v>0</v>
      </c>
      <c r="AH887" s="92"/>
      <c r="HL887" s="59"/>
    </row>
    <row r="888" spans="1:220">
      <c r="A888" s="24">
        <v>6</v>
      </c>
      <c r="B888" s="24" t="str">
        <f>VLOOKUP(Ruimtestaat[[#This Row],[Code]],Locaties[#All],2,FALSE)</f>
        <v>Marke Noord</v>
      </c>
      <c r="C888" s="24" t="str">
        <f>VLOOKUP(Ruimtestaat[[#This Row],[Code]],Locaties[#All],4,FALSE)</f>
        <v>Lebuïnuslaan 1</v>
      </c>
      <c r="D888" s="24" t="str">
        <f>VLOOKUP(Ruimtestaat[[#This Row],[Code]],Locaties[#All],5,FALSE)</f>
        <v>7415 DM</v>
      </c>
      <c r="E888" s="24" t="str">
        <f>VLOOKUP(Ruimtestaat[[#This Row],[Code]],Locaties[#All],6,FALSE)</f>
        <v>Deventer</v>
      </c>
      <c r="F888" s="54"/>
      <c r="G888" s="24" t="s">
        <v>367</v>
      </c>
      <c r="H888" s="24" t="s">
        <v>671</v>
      </c>
      <c r="I888" s="4" t="s">
        <v>1098</v>
      </c>
      <c r="J888" s="24">
        <v>16</v>
      </c>
      <c r="K888" s="54" t="str">
        <f>VLOOKUP(J888,Ruimtegroepen[],2,FALSE)</f>
        <v>Leslokalen theorie</v>
      </c>
      <c r="L888" s="24" t="s">
        <v>300</v>
      </c>
      <c r="M888" s="24" t="s">
        <v>909</v>
      </c>
      <c r="N888" s="83">
        <v>65.010000000000005</v>
      </c>
      <c r="O888" s="83"/>
      <c r="P888" s="93" t="str">
        <f>LEFT(VLOOKUP(Ruimtestaat[[#This Row],[Ruimte code]],Ruimtegroepen[#All],4,1),2)</f>
        <v>Le</v>
      </c>
      <c r="Q888" s="93"/>
      <c r="R888" s="84">
        <v>40</v>
      </c>
      <c r="S888" s="84" t="s">
        <v>318</v>
      </c>
      <c r="T888" s="85">
        <f>IF(R888&gt;0,IF(RIGHT(Ruimtestaat[[#This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8" s="85">
        <f>IF(T888&gt;0,VLOOKUP($J888,Ruimtegroepen[],3,FALSE)*VLOOKUP($L888,Vloersoorten[],3,FALSE)*VLOOKUP($S888,Frequenties[],3,FALSE)*VLOOKUP($A888,Locaties[],3,FALSE),0)</f>
        <v>0</v>
      </c>
      <c r="V888" s="86">
        <f>Ruimtestaat[[#This Row],[Uitvoeringen werkdagen]]*Ruimtestaat[[#This Row],[Oppervlak (netto)]]</f>
        <v>13002.000000000002</v>
      </c>
      <c r="W888" s="87">
        <f>IF(U888&gt;0,Ruimtestaat[[#This Row],[Prest. (m2 /jaar) werkdagen]]/Ruimtestaat[[#This Row],[Norm (m2/uur) werkdagen]],0)</f>
        <v>0</v>
      </c>
      <c r="X888" s="88">
        <f>Ruimtestaat[[#This Row],[uren / jaar werkdagen]]*Tariefsopbouw!$E$35</f>
        <v>0</v>
      </c>
      <c r="Y888" s="85"/>
      <c r="Z888" s="89">
        <f>IF(Ruimtestaat[[#This Row],[Frequentie weekend]]&gt;0,VALUE(LEFT(Y888,1))*R888,0)</f>
        <v>0</v>
      </c>
      <c r="AA888" s="85">
        <f>IF($Z888&gt;0,VLOOKUP($J888,Ruimtegroepen[],3,FALSE)*VLOOKUP($L888,Vloersoorten[],3,FALSE)*VLOOKUP($Y888,Frequenties[],3,FALSE)*VLOOKUP(#REF!,Locaties[],3,FALSE),0)</f>
        <v>0</v>
      </c>
      <c r="AB888" s="87">
        <f>Ruimtestaat[[#This Row],[Uitvoeringen weekend]]*Ruimtestaat[[#This Row],[Oppervlak (netto)]]</f>
        <v>0</v>
      </c>
      <c r="AC888" s="90">
        <f>IF(AB888&gt;0,Ruimtestaat[[#This Row],[Prest. (m2 /jaar) weekend]]/Ruimtestaat[[#This Row],[Norm (m2/uur) weekend]],0)</f>
        <v>0</v>
      </c>
      <c r="AD888" s="91">
        <f>Ruimtestaat[[#This Row],[uren / jaar weekend]]*Tariefsopbouw!$D$40</f>
        <v>0</v>
      </c>
      <c r="AE888" s="60">
        <f>Ruimtestaat[[#This Row],[Prest. (m2 /jaar) weekend]]+Ruimtestaat[[#This Row],[Prest. (m2 /jaar) werkdagen]]</f>
        <v>13002.000000000002</v>
      </c>
      <c r="AF888" s="60">
        <f>Ruimtestaat[[#This Row],[uren / jaar weekend]]+Ruimtestaat[[#This Row],[uren / jaar werkdagen]]</f>
        <v>0</v>
      </c>
      <c r="AG888" s="61">
        <f>Ruimtestaat[[#This Row],[kosten / jaar weekend]]+Ruimtestaat[[#This Row],[kosten / jaar werkdagen]]</f>
        <v>0</v>
      </c>
      <c r="AH888" s="92"/>
      <c r="HL888" s="59"/>
    </row>
    <row r="889" spans="1:220">
      <c r="A889" s="24">
        <v>6</v>
      </c>
      <c r="B889" s="24" t="str">
        <f>VLOOKUP(Ruimtestaat[[#This Row],[Code]],Locaties[#All],2,FALSE)</f>
        <v>Marke Noord</v>
      </c>
      <c r="C889" s="24" t="str">
        <f>VLOOKUP(Ruimtestaat[[#This Row],[Code]],Locaties[#All],4,FALSE)</f>
        <v>Lebuïnuslaan 1</v>
      </c>
      <c r="D889" s="24" t="str">
        <f>VLOOKUP(Ruimtestaat[[#This Row],[Code]],Locaties[#All],5,FALSE)</f>
        <v>7415 DM</v>
      </c>
      <c r="E889" s="24" t="str">
        <f>VLOOKUP(Ruimtestaat[[#This Row],[Code]],Locaties[#All],6,FALSE)</f>
        <v>Deventer</v>
      </c>
      <c r="F889" s="54"/>
      <c r="G889" s="24" t="s">
        <v>367</v>
      </c>
      <c r="H889" s="24" t="s">
        <v>1001</v>
      </c>
      <c r="I889" s="4" t="s">
        <v>1098</v>
      </c>
      <c r="J889" s="24">
        <v>16</v>
      </c>
      <c r="K889" s="54" t="str">
        <f>VLOOKUP(J889,Ruimtegroepen[],2,FALSE)</f>
        <v>Leslokalen theorie</v>
      </c>
      <c r="L889" s="24" t="s">
        <v>300</v>
      </c>
      <c r="M889" s="24" t="s">
        <v>909</v>
      </c>
      <c r="N889" s="83">
        <v>62.38</v>
      </c>
      <c r="O889" s="83"/>
      <c r="P889" s="93" t="str">
        <f>LEFT(VLOOKUP(Ruimtestaat[[#This Row],[Ruimte code]],Ruimtegroepen[#All],4,1),2)</f>
        <v>Le</v>
      </c>
      <c r="Q889" s="93"/>
      <c r="R889" s="84">
        <v>40</v>
      </c>
      <c r="S889" s="84" t="s">
        <v>318</v>
      </c>
      <c r="T889" s="85">
        <f>IF(R889&gt;0,IF(RIGHT(Ruimtestaat[[#This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9" s="85">
        <f>IF(T889&gt;0,VLOOKUP($J889,Ruimtegroepen[],3,FALSE)*VLOOKUP($L889,Vloersoorten[],3,FALSE)*VLOOKUP($S889,Frequenties[],3,FALSE)*VLOOKUP($A889,Locaties[],3,FALSE),0)</f>
        <v>0</v>
      </c>
      <c r="V889" s="86">
        <f>Ruimtestaat[[#This Row],[Uitvoeringen werkdagen]]*Ruimtestaat[[#This Row],[Oppervlak (netto)]]</f>
        <v>12476</v>
      </c>
      <c r="W889" s="87">
        <f>IF(U889&gt;0,Ruimtestaat[[#This Row],[Prest. (m2 /jaar) werkdagen]]/Ruimtestaat[[#This Row],[Norm (m2/uur) werkdagen]],0)</f>
        <v>0</v>
      </c>
      <c r="X889" s="88">
        <f>Ruimtestaat[[#This Row],[uren / jaar werkdagen]]*Tariefsopbouw!$E$35</f>
        <v>0</v>
      </c>
      <c r="Y889" s="85"/>
      <c r="Z889" s="89">
        <f>IF(Ruimtestaat[[#This Row],[Frequentie weekend]]&gt;0,VALUE(LEFT(Y889,1))*R889,0)</f>
        <v>0</v>
      </c>
      <c r="AA889" s="85">
        <f>IF($Z889&gt;0,VLOOKUP($J889,Ruimtegroepen[],3,FALSE)*VLOOKUP($L889,Vloersoorten[],3,FALSE)*VLOOKUP($Y889,Frequenties[],3,FALSE)*VLOOKUP(#REF!,Locaties[],3,FALSE),0)</f>
        <v>0</v>
      </c>
      <c r="AB889" s="87">
        <f>Ruimtestaat[[#This Row],[Uitvoeringen weekend]]*Ruimtestaat[[#This Row],[Oppervlak (netto)]]</f>
        <v>0</v>
      </c>
      <c r="AC889" s="90">
        <f>IF(AB889&gt;0,Ruimtestaat[[#This Row],[Prest. (m2 /jaar) weekend]]/Ruimtestaat[[#This Row],[Norm (m2/uur) weekend]],0)</f>
        <v>0</v>
      </c>
      <c r="AD889" s="91">
        <f>Ruimtestaat[[#This Row],[uren / jaar weekend]]*Tariefsopbouw!$D$40</f>
        <v>0</v>
      </c>
      <c r="AE889" s="60">
        <f>Ruimtestaat[[#This Row],[Prest. (m2 /jaar) weekend]]+Ruimtestaat[[#This Row],[Prest. (m2 /jaar) werkdagen]]</f>
        <v>12476</v>
      </c>
      <c r="AF889" s="60">
        <f>Ruimtestaat[[#This Row],[uren / jaar weekend]]+Ruimtestaat[[#This Row],[uren / jaar werkdagen]]</f>
        <v>0</v>
      </c>
      <c r="AG889" s="61">
        <f>Ruimtestaat[[#This Row],[kosten / jaar weekend]]+Ruimtestaat[[#This Row],[kosten / jaar werkdagen]]</f>
        <v>0</v>
      </c>
      <c r="AH889" s="92"/>
      <c r="HL889" s="59"/>
    </row>
    <row r="890" spans="1:220">
      <c r="A890" s="24">
        <v>6</v>
      </c>
      <c r="B890" s="24" t="str">
        <f>VLOOKUP(Ruimtestaat[[#This Row],[Code]],Locaties[#All],2,FALSE)</f>
        <v>Marke Noord</v>
      </c>
      <c r="C890" s="24" t="str">
        <f>VLOOKUP(Ruimtestaat[[#This Row],[Code]],Locaties[#All],4,FALSE)</f>
        <v>Lebuïnuslaan 1</v>
      </c>
      <c r="D890" s="24" t="str">
        <f>VLOOKUP(Ruimtestaat[[#This Row],[Code]],Locaties[#All],5,FALSE)</f>
        <v>7415 DM</v>
      </c>
      <c r="E890" s="24" t="str">
        <f>VLOOKUP(Ruimtestaat[[#This Row],[Code]],Locaties[#All],6,FALSE)</f>
        <v>Deventer</v>
      </c>
      <c r="F890" s="54"/>
      <c r="G890" s="24" t="s">
        <v>367</v>
      </c>
      <c r="H890" s="24" t="s">
        <v>1003</v>
      </c>
      <c r="I890" s="4" t="s">
        <v>941</v>
      </c>
      <c r="J890" s="24">
        <v>2</v>
      </c>
      <c r="K890" s="54" t="str">
        <f>VLOOKUP(J890,Ruimtegroepen[],2,FALSE)</f>
        <v>Kantoren</v>
      </c>
      <c r="L890" s="24" t="s">
        <v>303</v>
      </c>
      <c r="M890" s="24" t="s">
        <v>387</v>
      </c>
      <c r="N890" s="83">
        <v>31.99</v>
      </c>
      <c r="O890" s="83"/>
      <c r="P890" s="93" t="str">
        <f>LEFT(VLOOKUP(Ruimtestaat[[#This Row],[Ruimte code]],Ruimtegroepen[#All],4,1),2)</f>
        <v>Bu</v>
      </c>
      <c r="Q890" s="93"/>
      <c r="R890" s="84">
        <v>42</v>
      </c>
      <c r="S890" s="84" t="s">
        <v>322</v>
      </c>
      <c r="T890" s="85">
        <f>IF(R890&gt;0,IF(RIGHT(Ruimtestaat[[#This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90" s="85">
        <f>IF(T890&gt;0,VLOOKUP($J890,Ruimtegroepen[],3,FALSE)*VLOOKUP($L890,Vloersoorten[],3,FALSE)*VLOOKUP($S890,Frequenties[],3,FALSE)*VLOOKUP($A890,Locaties[],3,FALSE),0)</f>
        <v>0</v>
      </c>
      <c r="V890" s="86">
        <f>Ruimtestaat[[#This Row],[Uitvoeringen werkdagen]]*Ruimtestaat[[#This Row],[Oppervlak (netto)]]</f>
        <v>4030.74</v>
      </c>
      <c r="W890" s="87">
        <f>IF(U890&gt;0,Ruimtestaat[[#This Row],[Prest. (m2 /jaar) werkdagen]]/Ruimtestaat[[#This Row],[Norm (m2/uur) werkdagen]],0)</f>
        <v>0</v>
      </c>
      <c r="X890" s="88">
        <f>Ruimtestaat[[#This Row],[uren / jaar werkdagen]]*Tariefsopbouw!$E$35</f>
        <v>0</v>
      </c>
      <c r="Y890" s="85"/>
      <c r="Z890" s="89">
        <f>IF(Ruimtestaat[[#This Row],[Frequentie weekend]]&gt;0,VALUE(LEFT(Y890,1))*R890,0)</f>
        <v>0</v>
      </c>
      <c r="AA890" s="85">
        <f>IF($Z890&gt;0,VLOOKUP($J890,Ruimtegroepen[],3,FALSE)*VLOOKUP($L890,Vloersoorten[],3,FALSE)*VLOOKUP($Y890,Frequenties[],3,FALSE)*VLOOKUP(#REF!,Locaties[],3,FALSE),0)</f>
        <v>0</v>
      </c>
      <c r="AB890" s="87">
        <f>Ruimtestaat[[#This Row],[Uitvoeringen weekend]]*Ruimtestaat[[#This Row],[Oppervlak (netto)]]</f>
        <v>0</v>
      </c>
      <c r="AC890" s="90">
        <f>IF(AB890&gt;0,Ruimtestaat[[#This Row],[Prest. (m2 /jaar) weekend]]/Ruimtestaat[[#This Row],[Norm (m2/uur) weekend]],0)</f>
        <v>0</v>
      </c>
      <c r="AD890" s="91">
        <f>Ruimtestaat[[#This Row],[uren / jaar weekend]]*Tariefsopbouw!$D$40</f>
        <v>0</v>
      </c>
      <c r="AE890" s="60">
        <f>Ruimtestaat[[#This Row],[Prest. (m2 /jaar) weekend]]+Ruimtestaat[[#This Row],[Prest. (m2 /jaar) werkdagen]]</f>
        <v>4030.74</v>
      </c>
      <c r="AF890" s="60">
        <f>Ruimtestaat[[#This Row],[uren / jaar weekend]]+Ruimtestaat[[#This Row],[uren / jaar werkdagen]]</f>
        <v>0</v>
      </c>
      <c r="AG890" s="61">
        <f>Ruimtestaat[[#This Row],[kosten / jaar weekend]]+Ruimtestaat[[#This Row],[kosten / jaar werkdagen]]</f>
        <v>0</v>
      </c>
      <c r="AH890" s="92"/>
      <c r="HL890" s="59"/>
    </row>
    <row r="891" spans="1:220">
      <c r="A891" s="24">
        <v>6</v>
      </c>
      <c r="B891" s="24" t="str">
        <f>VLOOKUP(Ruimtestaat[[#This Row],[Code]],Locaties[#All],2,FALSE)</f>
        <v>Marke Noord</v>
      </c>
      <c r="C891" s="24" t="str">
        <f>VLOOKUP(Ruimtestaat[[#This Row],[Code]],Locaties[#All],4,FALSE)</f>
        <v>Lebuïnuslaan 1</v>
      </c>
      <c r="D891" s="24" t="str">
        <f>VLOOKUP(Ruimtestaat[[#This Row],[Code]],Locaties[#All],5,FALSE)</f>
        <v>7415 DM</v>
      </c>
      <c r="E891" s="24" t="str">
        <f>VLOOKUP(Ruimtestaat[[#This Row],[Code]],Locaties[#All],6,FALSE)</f>
        <v>Deventer</v>
      </c>
      <c r="F891" s="54"/>
      <c r="G891" s="24" t="s">
        <v>367</v>
      </c>
      <c r="H891" s="24" t="s">
        <v>673</v>
      </c>
      <c r="I891" s="4" t="s">
        <v>449</v>
      </c>
      <c r="J891" s="24">
        <v>11</v>
      </c>
      <c r="K891" s="54" t="str">
        <f>VLOOKUP(J891,Ruimtegroepen[],2,FALSE)</f>
        <v>Kooklokaal/leskeuken</v>
      </c>
      <c r="L891" s="24" t="s">
        <v>305</v>
      </c>
      <c r="M891" s="24" t="s">
        <v>400</v>
      </c>
      <c r="N891" s="83">
        <v>96.04</v>
      </c>
      <c r="O891" s="83"/>
      <c r="P891" s="93" t="str">
        <f>LEFT(VLOOKUP(Ruimtestaat[[#This Row],[Ruimte code]],Ruimtegroepen[#All],4,1),2)</f>
        <v>Le</v>
      </c>
      <c r="Q891" s="93"/>
      <c r="R891" s="84">
        <v>40</v>
      </c>
      <c r="S891" s="84" t="s">
        <v>318</v>
      </c>
      <c r="T891" s="85">
        <f>IF(R891&gt;0,IF(RIGHT(Ruimtestaat[[#This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1" s="85">
        <f>IF(T891&gt;0,VLOOKUP($J891,Ruimtegroepen[],3,FALSE)*VLOOKUP($L891,Vloersoorten[],3,FALSE)*VLOOKUP($S891,Frequenties[],3,FALSE)*VLOOKUP($A891,Locaties[],3,FALSE),0)</f>
        <v>0</v>
      </c>
      <c r="V891" s="86">
        <f>Ruimtestaat[[#This Row],[Uitvoeringen werkdagen]]*Ruimtestaat[[#This Row],[Oppervlak (netto)]]</f>
        <v>19208</v>
      </c>
      <c r="W891" s="87">
        <f>IF(U891&gt;0,Ruimtestaat[[#This Row],[Prest. (m2 /jaar) werkdagen]]/Ruimtestaat[[#This Row],[Norm (m2/uur) werkdagen]],0)</f>
        <v>0</v>
      </c>
      <c r="X891" s="88">
        <f>Ruimtestaat[[#This Row],[uren / jaar werkdagen]]*Tariefsopbouw!$E$35</f>
        <v>0</v>
      </c>
      <c r="Y891" s="85"/>
      <c r="Z891" s="89">
        <f>IF(Ruimtestaat[[#This Row],[Frequentie weekend]]&gt;0,VALUE(LEFT(Y891,1))*R891,0)</f>
        <v>0</v>
      </c>
      <c r="AA891" s="85">
        <f>IF($Z891&gt;0,VLOOKUP($J891,Ruimtegroepen[],3,FALSE)*VLOOKUP($L891,Vloersoorten[],3,FALSE)*VLOOKUP($Y891,Frequenties[],3,FALSE)*VLOOKUP(#REF!,Locaties[],3,FALSE),0)</f>
        <v>0</v>
      </c>
      <c r="AB891" s="87">
        <f>Ruimtestaat[[#This Row],[Uitvoeringen weekend]]*Ruimtestaat[[#This Row],[Oppervlak (netto)]]</f>
        <v>0</v>
      </c>
      <c r="AC891" s="90">
        <f>IF(AB891&gt;0,Ruimtestaat[[#This Row],[Prest. (m2 /jaar) weekend]]/Ruimtestaat[[#This Row],[Norm (m2/uur) weekend]],0)</f>
        <v>0</v>
      </c>
      <c r="AD891" s="91">
        <f>Ruimtestaat[[#This Row],[uren / jaar weekend]]*Tariefsopbouw!$D$40</f>
        <v>0</v>
      </c>
      <c r="AE891" s="60">
        <f>Ruimtestaat[[#This Row],[Prest. (m2 /jaar) weekend]]+Ruimtestaat[[#This Row],[Prest. (m2 /jaar) werkdagen]]</f>
        <v>19208</v>
      </c>
      <c r="AF891" s="60">
        <f>Ruimtestaat[[#This Row],[uren / jaar weekend]]+Ruimtestaat[[#This Row],[uren / jaar werkdagen]]</f>
        <v>0</v>
      </c>
      <c r="AG891" s="61">
        <f>Ruimtestaat[[#This Row],[kosten / jaar weekend]]+Ruimtestaat[[#This Row],[kosten / jaar werkdagen]]</f>
        <v>0</v>
      </c>
      <c r="AH891" s="92"/>
      <c r="HL891" s="59"/>
    </row>
    <row r="892" spans="1:220">
      <c r="A892" s="24">
        <v>6</v>
      </c>
      <c r="B892" s="24" t="str">
        <f>VLOOKUP(Ruimtestaat[[#This Row],[Code]],Locaties[#All],2,FALSE)</f>
        <v>Marke Noord</v>
      </c>
      <c r="C892" s="24" t="str">
        <f>VLOOKUP(Ruimtestaat[[#This Row],[Code]],Locaties[#All],4,FALSE)</f>
        <v>Lebuïnuslaan 1</v>
      </c>
      <c r="D892" s="24" t="str">
        <f>VLOOKUP(Ruimtestaat[[#This Row],[Code]],Locaties[#All],5,FALSE)</f>
        <v>7415 DM</v>
      </c>
      <c r="E892" s="24" t="str">
        <f>VLOOKUP(Ruimtestaat[[#This Row],[Code]],Locaties[#All],6,FALSE)</f>
        <v>Deventer</v>
      </c>
      <c r="F892" s="54"/>
      <c r="G892" s="24" t="s">
        <v>367</v>
      </c>
      <c r="H892" s="24" t="s">
        <v>1335</v>
      </c>
      <c r="I892" s="4" t="s">
        <v>1336</v>
      </c>
      <c r="J892" s="24">
        <v>11</v>
      </c>
      <c r="K892" s="54" t="str">
        <f>VLOOKUP(J892,Ruimtegroepen[],2,FALSE)</f>
        <v>Kooklokaal/leskeuken</v>
      </c>
      <c r="L892" s="24" t="s">
        <v>300</v>
      </c>
      <c r="M892" s="24" t="s">
        <v>909</v>
      </c>
      <c r="N892" s="83">
        <v>58.35</v>
      </c>
      <c r="O892" s="83"/>
      <c r="P892" s="93" t="str">
        <f>LEFT(VLOOKUP(Ruimtestaat[[#This Row],[Ruimte code]],Ruimtegroepen[#All],4,1),2)</f>
        <v>Le</v>
      </c>
      <c r="Q892" s="93"/>
      <c r="R892" s="84">
        <v>40</v>
      </c>
      <c r="S892" s="84" t="s">
        <v>318</v>
      </c>
      <c r="T892" s="85">
        <f>IF(R892&gt;0,IF(RIGHT(Ruimtestaat[[#This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2" s="85">
        <f>IF(T892&gt;0,VLOOKUP($J892,Ruimtegroepen[],3,FALSE)*VLOOKUP($L892,Vloersoorten[],3,FALSE)*VLOOKUP($S892,Frequenties[],3,FALSE)*VLOOKUP($A892,Locaties[],3,FALSE),0)</f>
        <v>0</v>
      </c>
      <c r="V892" s="86">
        <f>Ruimtestaat[[#This Row],[Uitvoeringen werkdagen]]*Ruimtestaat[[#This Row],[Oppervlak (netto)]]</f>
        <v>11670</v>
      </c>
      <c r="W892" s="87">
        <f>IF(U892&gt;0,Ruimtestaat[[#This Row],[Prest. (m2 /jaar) werkdagen]]/Ruimtestaat[[#This Row],[Norm (m2/uur) werkdagen]],0)</f>
        <v>0</v>
      </c>
      <c r="X892" s="88">
        <f>Ruimtestaat[[#This Row],[uren / jaar werkdagen]]*Tariefsopbouw!$E$35</f>
        <v>0</v>
      </c>
      <c r="Y892" s="85"/>
      <c r="Z892" s="89">
        <f>IF(Ruimtestaat[[#This Row],[Frequentie weekend]]&gt;0,VALUE(LEFT(Y892,1))*R892,0)</f>
        <v>0</v>
      </c>
      <c r="AA892" s="85">
        <f>IF($Z892&gt;0,VLOOKUP($J892,Ruimtegroepen[],3,FALSE)*VLOOKUP($L892,Vloersoorten[],3,FALSE)*VLOOKUP($Y892,Frequenties[],3,FALSE)*VLOOKUP(#REF!,Locaties[],3,FALSE),0)</f>
        <v>0</v>
      </c>
      <c r="AB892" s="87">
        <f>Ruimtestaat[[#This Row],[Uitvoeringen weekend]]*Ruimtestaat[[#This Row],[Oppervlak (netto)]]</f>
        <v>0</v>
      </c>
      <c r="AC892" s="90">
        <f>IF(AB892&gt;0,Ruimtestaat[[#This Row],[Prest. (m2 /jaar) weekend]]/Ruimtestaat[[#This Row],[Norm (m2/uur) weekend]],0)</f>
        <v>0</v>
      </c>
      <c r="AD892" s="91">
        <f>Ruimtestaat[[#This Row],[uren / jaar weekend]]*Tariefsopbouw!$D$40</f>
        <v>0</v>
      </c>
      <c r="AE892" s="60">
        <f>Ruimtestaat[[#This Row],[Prest. (m2 /jaar) weekend]]+Ruimtestaat[[#This Row],[Prest. (m2 /jaar) werkdagen]]</f>
        <v>11670</v>
      </c>
      <c r="AF892" s="60">
        <f>Ruimtestaat[[#This Row],[uren / jaar weekend]]+Ruimtestaat[[#This Row],[uren / jaar werkdagen]]</f>
        <v>0</v>
      </c>
      <c r="AG892" s="61">
        <f>Ruimtestaat[[#This Row],[kosten / jaar weekend]]+Ruimtestaat[[#This Row],[kosten / jaar werkdagen]]</f>
        <v>0</v>
      </c>
      <c r="AH892" s="92"/>
      <c r="HL892" s="59"/>
    </row>
    <row r="893" spans="1:220">
      <c r="A893" s="24">
        <v>6</v>
      </c>
      <c r="B893" s="24" t="str">
        <f>VLOOKUP(Ruimtestaat[[#This Row],[Code]],Locaties[#All],2,FALSE)</f>
        <v>Marke Noord</v>
      </c>
      <c r="C893" s="24" t="str">
        <f>VLOOKUP(Ruimtestaat[[#This Row],[Code]],Locaties[#All],4,FALSE)</f>
        <v>Lebuïnuslaan 1</v>
      </c>
      <c r="D893" s="24" t="str">
        <f>VLOOKUP(Ruimtestaat[[#This Row],[Code]],Locaties[#All],5,FALSE)</f>
        <v>7415 DM</v>
      </c>
      <c r="E893" s="24" t="str">
        <f>VLOOKUP(Ruimtestaat[[#This Row],[Code]],Locaties[#All],6,FALSE)</f>
        <v>Deventer</v>
      </c>
      <c r="F893" s="54"/>
      <c r="G893" s="24" t="s">
        <v>367</v>
      </c>
      <c r="H893" s="24" t="s">
        <v>1337</v>
      </c>
      <c r="I893" s="4" t="s">
        <v>449</v>
      </c>
      <c r="J893" s="24">
        <v>11</v>
      </c>
      <c r="K893" s="54" t="str">
        <f>VLOOKUP(J893,Ruimtegroepen[],2,FALSE)</f>
        <v>Kooklokaal/leskeuken</v>
      </c>
      <c r="L893" s="24" t="s">
        <v>305</v>
      </c>
      <c r="M893" s="24" t="s">
        <v>1338</v>
      </c>
      <c r="N893" s="83">
        <v>81.34</v>
      </c>
      <c r="O893" s="83"/>
      <c r="P893" s="93" t="str">
        <f>LEFT(VLOOKUP(Ruimtestaat[[#This Row],[Ruimte code]],Ruimtegroepen[#All],4,1),2)</f>
        <v>Le</v>
      </c>
      <c r="Q893" s="93"/>
      <c r="R893" s="84">
        <v>40</v>
      </c>
      <c r="S893" s="84" t="s">
        <v>318</v>
      </c>
      <c r="T893" s="85">
        <f>IF(R893&gt;0,IF(RIGHT(Ruimtestaat[[#This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3" s="85">
        <f>IF(T893&gt;0,VLOOKUP($J893,Ruimtegroepen[],3,FALSE)*VLOOKUP($L893,Vloersoorten[],3,FALSE)*VLOOKUP($S893,Frequenties[],3,FALSE)*VLOOKUP($A893,Locaties[],3,FALSE),0)</f>
        <v>0</v>
      </c>
      <c r="V893" s="86">
        <f>Ruimtestaat[[#This Row],[Uitvoeringen werkdagen]]*Ruimtestaat[[#This Row],[Oppervlak (netto)]]</f>
        <v>16268</v>
      </c>
      <c r="W893" s="87">
        <f>IF(U893&gt;0,Ruimtestaat[[#This Row],[Prest. (m2 /jaar) werkdagen]]/Ruimtestaat[[#This Row],[Norm (m2/uur) werkdagen]],0)</f>
        <v>0</v>
      </c>
      <c r="X893" s="88">
        <f>Ruimtestaat[[#This Row],[uren / jaar werkdagen]]*Tariefsopbouw!$E$35</f>
        <v>0</v>
      </c>
      <c r="Y893" s="85"/>
      <c r="Z893" s="89">
        <f>IF(Ruimtestaat[[#This Row],[Frequentie weekend]]&gt;0,VALUE(LEFT(Y893,1))*R893,0)</f>
        <v>0</v>
      </c>
      <c r="AA893" s="85">
        <f>IF($Z893&gt;0,VLOOKUP($J893,Ruimtegroepen[],3,FALSE)*VLOOKUP($L893,Vloersoorten[],3,FALSE)*VLOOKUP($Y893,Frequenties[],3,FALSE)*VLOOKUP(#REF!,Locaties[],3,FALSE),0)</f>
        <v>0</v>
      </c>
      <c r="AB893" s="87">
        <f>Ruimtestaat[[#This Row],[Uitvoeringen weekend]]*Ruimtestaat[[#This Row],[Oppervlak (netto)]]</f>
        <v>0</v>
      </c>
      <c r="AC893" s="90">
        <f>IF(AB893&gt;0,Ruimtestaat[[#This Row],[Prest. (m2 /jaar) weekend]]/Ruimtestaat[[#This Row],[Norm (m2/uur) weekend]],0)</f>
        <v>0</v>
      </c>
      <c r="AD893" s="91">
        <f>Ruimtestaat[[#This Row],[uren / jaar weekend]]*Tariefsopbouw!$D$40</f>
        <v>0</v>
      </c>
      <c r="AE893" s="60">
        <f>Ruimtestaat[[#This Row],[Prest. (m2 /jaar) weekend]]+Ruimtestaat[[#This Row],[Prest. (m2 /jaar) werkdagen]]</f>
        <v>16268</v>
      </c>
      <c r="AF893" s="60">
        <f>Ruimtestaat[[#This Row],[uren / jaar weekend]]+Ruimtestaat[[#This Row],[uren / jaar werkdagen]]</f>
        <v>0</v>
      </c>
      <c r="AG893" s="61">
        <f>Ruimtestaat[[#This Row],[kosten / jaar weekend]]+Ruimtestaat[[#This Row],[kosten / jaar werkdagen]]</f>
        <v>0</v>
      </c>
      <c r="AH893" s="92"/>
      <c r="HL893" s="59"/>
    </row>
    <row r="894" spans="1:220">
      <c r="A894" s="24">
        <v>6</v>
      </c>
      <c r="B894" s="24" t="str">
        <f>VLOOKUP(Ruimtestaat[[#This Row],[Code]],Locaties[#All],2,FALSE)</f>
        <v>Marke Noord</v>
      </c>
      <c r="C894" s="24" t="str">
        <f>VLOOKUP(Ruimtestaat[[#This Row],[Code]],Locaties[#All],4,FALSE)</f>
        <v>Lebuïnuslaan 1</v>
      </c>
      <c r="D894" s="24" t="str">
        <f>VLOOKUP(Ruimtestaat[[#This Row],[Code]],Locaties[#All],5,FALSE)</f>
        <v>7415 DM</v>
      </c>
      <c r="E894" s="24" t="str">
        <f>VLOOKUP(Ruimtestaat[[#This Row],[Code]],Locaties[#All],6,FALSE)</f>
        <v>Deventer</v>
      </c>
      <c r="F894" s="54"/>
      <c r="G894" s="24" t="s">
        <v>367</v>
      </c>
      <c r="H894" s="24" t="s">
        <v>1339</v>
      </c>
      <c r="I894" s="4" t="s">
        <v>667</v>
      </c>
      <c r="J894" s="24">
        <v>22</v>
      </c>
      <c r="K894" s="54" t="str">
        <f>VLOOKUP(J894,Ruimtegroepen[],2,FALSE)</f>
        <v>Niet in onderhoud</v>
      </c>
      <c r="L894" s="24" t="s">
        <v>300</v>
      </c>
      <c r="M894" s="24" t="s">
        <v>909</v>
      </c>
      <c r="N894" s="83"/>
      <c r="O894" s="83">
        <v>7.12</v>
      </c>
      <c r="P894" s="93" t="str">
        <f>LEFT(VLOOKUP(Ruimtestaat[[#This Row],[Ruimte code]],Ruimtegroepen[#All],4,1),2)</f>
        <v/>
      </c>
      <c r="Q894" s="93"/>
      <c r="R894" s="84"/>
      <c r="S894" s="84"/>
      <c r="T894" s="85">
        <f>IF(R894&gt;0,IF(RIGHT(Ruimtestaat[[#This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94" s="85">
        <f>IF(T894&gt;0,VLOOKUP($J894,Ruimtegroepen[],3,FALSE)*VLOOKUP($L894,Vloersoorten[],3,FALSE)*VLOOKUP($S894,Frequenties[],3,FALSE)*VLOOKUP($A894,Locaties[],3,FALSE),0)</f>
        <v>0</v>
      </c>
      <c r="V894" s="86">
        <f>Ruimtestaat[[#This Row],[Uitvoeringen werkdagen]]*Ruimtestaat[[#This Row],[Oppervlak (netto)]]</f>
        <v>0</v>
      </c>
      <c r="W894" s="87">
        <f>IF(U894&gt;0,Ruimtestaat[[#This Row],[Prest. (m2 /jaar) werkdagen]]/Ruimtestaat[[#This Row],[Norm (m2/uur) werkdagen]],0)</f>
        <v>0</v>
      </c>
      <c r="X894" s="88">
        <f>Ruimtestaat[[#This Row],[uren / jaar werkdagen]]*Tariefsopbouw!$E$35</f>
        <v>0</v>
      </c>
      <c r="Y894" s="85"/>
      <c r="Z894" s="89">
        <f>IF(Ruimtestaat[[#This Row],[Frequentie weekend]]&gt;0,VALUE(LEFT(Y894,1))*R894,0)</f>
        <v>0</v>
      </c>
      <c r="AA894" s="85">
        <f>IF($Z894&gt;0,VLOOKUP($J894,Ruimtegroepen[],3,FALSE)*VLOOKUP($L894,Vloersoorten[],3,FALSE)*VLOOKUP($Y894,Frequenties[],3,FALSE)*VLOOKUP(#REF!,Locaties[],3,FALSE),0)</f>
        <v>0</v>
      </c>
      <c r="AB894" s="87">
        <f>Ruimtestaat[[#This Row],[Uitvoeringen weekend]]*Ruimtestaat[[#This Row],[Oppervlak (netto)]]</f>
        <v>0</v>
      </c>
      <c r="AC894" s="90">
        <f>IF(AB894&gt;0,Ruimtestaat[[#This Row],[Prest. (m2 /jaar) weekend]]/Ruimtestaat[[#This Row],[Norm (m2/uur) weekend]],0)</f>
        <v>0</v>
      </c>
      <c r="AD894" s="91">
        <f>Ruimtestaat[[#This Row],[uren / jaar weekend]]*Tariefsopbouw!$D$40</f>
        <v>0</v>
      </c>
      <c r="AE894" s="60">
        <f>Ruimtestaat[[#This Row],[Prest. (m2 /jaar) weekend]]+Ruimtestaat[[#This Row],[Prest. (m2 /jaar) werkdagen]]</f>
        <v>0</v>
      </c>
      <c r="AF894" s="60">
        <f>Ruimtestaat[[#This Row],[uren / jaar weekend]]+Ruimtestaat[[#This Row],[uren / jaar werkdagen]]</f>
        <v>0</v>
      </c>
      <c r="AG894" s="61">
        <f>Ruimtestaat[[#This Row],[kosten / jaar weekend]]+Ruimtestaat[[#This Row],[kosten / jaar werkdagen]]</f>
        <v>0</v>
      </c>
      <c r="AH894" s="92"/>
      <c r="HL894" s="59"/>
    </row>
    <row r="895" spans="1:220">
      <c r="A895" s="24">
        <v>6</v>
      </c>
      <c r="B895" s="24" t="str">
        <f>VLOOKUP(Ruimtestaat[[#This Row],[Code]],Locaties[#All],2,FALSE)</f>
        <v>Marke Noord</v>
      </c>
      <c r="C895" s="24" t="str">
        <f>VLOOKUP(Ruimtestaat[[#This Row],[Code]],Locaties[#All],4,FALSE)</f>
        <v>Lebuïnuslaan 1</v>
      </c>
      <c r="D895" s="24" t="str">
        <f>VLOOKUP(Ruimtestaat[[#This Row],[Code]],Locaties[#All],5,FALSE)</f>
        <v>7415 DM</v>
      </c>
      <c r="E895" s="24" t="str">
        <f>VLOOKUP(Ruimtestaat[[#This Row],[Code]],Locaties[#All],6,FALSE)</f>
        <v>Deventer</v>
      </c>
      <c r="F895" s="54"/>
      <c r="G895" s="24" t="s">
        <v>367</v>
      </c>
      <c r="H895" s="24" t="s">
        <v>1340</v>
      </c>
      <c r="I895" s="4" t="s">
        <v>667</v>
      </c>
      <c r="J895" s="24">
        <v>22</v>
      </c>
      <c r="K895" s="54" t="str">
        <f>VLOOKUP(J895,Ruimtegroepen[],2,FALSE)</f>
        <v>Niet in onderhoud</v>
      </c>
      <c r="L895" s="24" t="s">
        <v>300</v>
      </c>
      <c r="M895" s="24" t="s">
        <v>909</v>
      </c>
      <c r="N895" s="83"/>
      <c r="O895" s="83">
        <v>7.26</v>
      </c>
      <c r="P895" s="93" t="str">
        <f>LEFT(VLOOKUP(Ruimtestaat[[#This Row],[Ruimte code]],Ruimtegroepen[#All],4,1),2)</f>
        <v/>
      </c>
      <c r="Q895" s="93"/>
      <c r="R895" s="84"/>
      <c r="S895" s="84"/>
      <c r="T895" s="85">
        <f>IF(R895&gt;0,IF(RIGHT(Ruimtestaat[[#This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95" s="85">
        <f>IF(T895&gt;0,VLOOKUP($J895,Ruimtegroepen[],3,FALSE)*VLOOKUP($L895,Vloersoorten[],3,FALSE)*VLOOKUP($S895,Frequenties[],3,FALSE)*VLOOKUP($A895,Locaties[],3,FALSE),0)</f>
        <v>0</v>
      </c>
      <c r="V895" s="86">
        <f>Ruimtestaat[[#This Row],[Uitvoeringen werkdagen]]*Ruimtestaat[[#This Row],[Oppervlak (netto)]]</f>
        <v>0</v>
      </c>
      <c r="W895" s="87">
        <f>IF(U895&gt;0,Ruimtestaat[[#This Row],[Prest. (m2 /jaar) werkdagen]]/Ruimtestaat[[#This Row],[Norm (m2/uur) werkdagen]],0)</f>
        <v>0</v>
      </c>
      <c r="X895" s="88">
        <f>Ruimtestaat[[#This Row],[uren / jaar werkdagen]]*Tariefsopbouw!$E$35</f>
        <v>0</v>
      </c>
      <c r="Y895" s="85"/>
      <c r="Z895" s="89">
        <f>IF(Ruimtestaat[[#This Row],[Frequentie weekend]]&gt;0,VALUE(LEFT(Y895,1))*R895,0)</f>
        <v>0</v>
      </c>
      <c r="AA895" s="85">
        <f>IF($Z895&gt;0,VLOOKUP($J895,Ruimtegroepen[],3,FALSE)*VLOOKUP($L895,Vloersoorten[],3,FALSE)*VLOOKUP($Y895,Frequenties[],3,FALSE)*VLOOKUP(#REF!,Locaties[],3,FALSE),0)</f>
        <v>0</v>
      </c>
      <c r="AB895" s="87">
        <f>Ruimtestaat[[#This Row],[Uitvoeringen weekend]]*Ruimtestaat[[#This Row],[Oppervlak (netto)]]</f>
        <v>0</v>
      </c>
      <c r="AC895" s="90">
        <f>IF(AB895&gt;0,Ruimtestaat[[#This Row],[Prest. (m2 /jaar) weekend]]/Ruimtestaat[[#This Row],[Norm (m2/uur) weekend]],0)</f>
        <v>0</v>
      </c>
      <c r="AD895" s="91">
        <f>Ruimtestaat[[#This Row],[uren / jaar weekend]]*Tariefsopbouw!$D$40</f>
        <v>0</v>
      </c>
      <c r="AE895" s="60">
        <f>Ruimtestaat[[#This Row],[Prest. (m2 /jaar) weekend]]+Ruimtestaat[[#This Row],[Prest. (m2 /jaar) werkdagen]]</f>
        <v>0</v>
      </c>
      <c r="AF895" s="60">
        <f>Ruimtestaat[[#This Row],[uren / jaar weekend]]+Ruimtestaat[[#This Row],[uren / jaar werkdagen]]</f>
        <v>0</v>
      </c>
      <c r="AG895" s="61">
        <f>Ruimtestaat[[#This Row],[kosten / jaar weekend]]+Ruimtestaat[[#This Row],[kosten / jaar werkdagen]]</f>
        <v>0</v>
      </c>
      <c r="AH895" s="92"/>
      <c r="HL895" s="59"/>
    </row>
    <row r="896" spans="1:220">
      <c r="A896" s="24">
        <v>6</v>
      </c>
      <c r="B896" s="24" t="str">
        <f>VLOOKUP(Ruimtestaat[[#This Row],[Code]],Locaties[#All],2,FALSE)</f>
        <v>Marke Noord</v>
      </c>
      <c r="C896" s="24" t="str">
        <f>VLOOKUP(Ruimtestaat[[#This Row],[Code]],Locaties[#All],4,FALSE)</f>
        <v>Lebuïnuslaan 1</v>
      </c>
      <c r="D896" s="24" t="str">
        <f>VLOOKUP(Ruimtestaat[[#This Row],[Code]],Locaties[#All],5,FALSE)</f>
        <v>7415 DM</v>
      </c>
      <c r="E896" s="24" t="str">
        <f>VLOOKUP(Ruimtestaat[[#This Row],[Code]],Locaties[#All],6,FALSE)</f>
        <v>Deventer</v>
      </c>
      <c r="F896" s="54"/>
      <c r="G896" s="24" t="s">
        <v>367</v>
      </c>
      <c r="H896" s="24" t="s">
        <v>1341</v>
      </c>
      <c r="I896" s="4" t="s">
        <v>1129</v>
      </c>
      <c r="J896" s="24">
        <v>5</v>
      </c>
      <c r="K896" s="54" t="str">
        <f>VLOOKUP(J896,Ruimtegroepen[],2,FALSE)</f>
        <v>Sanitair</v>
      </c>
      <c r="L896" s="24" t="s">
        <v>300</v>
      </c>
      <c r="M896" s="24" t="s">
        <v>909</v>
      </c>
      <c r="N896" s="83">
        <v>10.58</v>
      </c>
      <c r="O896" s="83"/>
      <c r="P896" s="93" t="str">
        <f>LEFT(VLOOKUP(Ruimtestaat[[#This Row],[Ruimte code]],Ruimtegroepen[#All],4,1),2)</f>
        <v>Sa</v>
      </c>
      <c r="Q896" s="93"/>
      <c r="R896" s="84">
        <v>42</v>
      </c>
      <c r="S896" s="84" t="s">
        <v>316</v>
      </c>
      <c r="T896" s="85">
        <f>IF(R896&gt;0,IF(RIGHT(Ruimtestaat[[#This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96" s="85">
        <f>IF(T896&gt;0,VLOOKUP($J896,Ruimtegroepen[],3,FALSE)*VLOOKUP($L896,Vloersoorten[],3,FALSE)*VLOOKUP($S896,Frequenties[],3,FALSE)*VLOOKUP($A896,Locaties[],3,FALSE),0)</f>
        <v>0</v>
      </c>
      <c r="V896" s="86">
        <f>Ruimtestaat[[#This Row],[Uitvoeringen werkdagen]]*Ruimtestaat[[#This Row],[Oppervlak (netto)]]</f>
        <v>4443.6000000000004</v>
      </c>
      <c r="W896" s="87">
        <f>IF(U896&gt;0,Ruimtestaat[[#This Row],[Prest. (m2 /jaar) werkdagen]]/Ruimtestaat[[#This Row],[Norm (m2/uur) werkdagen]],0)</f>
        <v>0</v>
      </c>
      <c r="X896" s="88">
        <f>Ruimtestaat[[#This Row],[uren / jaar werkdagen]]*Tariefsopbouw!$E$35</f>
        <v>0</v>
      </c>
      <c r="Y896" s="85"/>
      <c r="Z896" s="89">
        <f>IF(Ruimtestaat[[#This Row],[Frequentie weekend]]&gt;0,VALUE(LEFT(Y896,1))*R896,0)</f>
        <v>0</v>
      </c>
      <c r="AA896" s="85">
        <f>IF($Z896&gt;0,VLOOKUP($J896,Ruimtegroepen[],3,FALSE)*VLOOKUP($L896,Vloersoorten[],3,FALSE)*VLOOKUP($Y896,Frequenties[],3,FALSE)*VLOOKUP(#REF!,Locaties[],3,FALSE),0)</f>
        <v>0</v>
      </c>
      <c r="AB896" s="87">
        <f>Ruimtestaat[[#This Row],[Uitvoeringen weekend]]*Ruimtestaat[[#This Row],[Oppervlak (netto)]]</f>
        <v>0</v>
      </c>
      <c r="AC896" s="90">
        <f>IF(AB896&gt;0,Ruimtestaat[[#This Row],[Prest. (m2 /jaar) weekend]]/Ruimtestaat[[#This Row],[Norm (m2/uur) weekend]],0)</f>
        <v>0</v>
      </c>
      <c r="AD896" s="91">
        <f>Ruimtestaat[[#This Row],[uren / jaar weekend]]*Tariefsopbouw!$D$40</f>
        <v>0</v>
      </c>
      <c r="AE896" s="60">
        <f>Ruimtestaat[[#This Row],[Prest. (m2 /jaar) weekend]]+Ruimtestaat[[#This Row],[Prest. (m2 /jaar) werkdagen]]</f>
        <v>4443.6000000000004</v>
      </c>
      <c r="AF896" s="60">
        <f>Ruimtestaat[[#This Row],[uren / jaar weekend]]+Ruimtestaat[[#This Row],[uren / jaar werkdagen]]</f>
        <v>0</v>
      </c>
      <c r="AG896" s="61">
        <f>Ruimtestaat[[#This Row],[kosten / jaar weekend]]+Ruimtestaat[[#This Row],[kosten / jaar werkdagen]]</f>
        <v>0</v>
      </c>
      <c r="AH896" s="92"/>
      <c r="HL896" s="59"/>
    </row>
    <row r="897" spans="1:220">
      <c r="A897" s="24">
        <v>6</v>
      </c>
      <c r="B897" s="24" t="str">
        <f>VLOOKUP(Ruimtestaat[[#This Row],[Code]],Locaties[#All],2,FALSE)</f>
        <v>Marke Noord</v>
      </c>
      <c r="C897" s="24" t="str">
        <f>VLOOKUP(Ruimtestaat[[#This Row],[Code]],Locaties[#All],4,FALSE)</f>
        <v>Lebuïnuslaan 1</v>
      </c>
      <c r="D897" s="24" t="str">
        <f>VLOOKUP(Ruimtestaat[[#This Row],[Code]],Locaties[#All],5,FALSE)</f>
        <v>7415 DM</v>
      </c>
      <c r="E897" s="24" t="str">
        <f>VLOOKUP(Ruimtestaat[[#This Row],[Code]],Locaties[#All],6,FALSE)</f>
        <v>Deventer</v>
      </c>
      <c r="F897" s="54"/>
      <c r="G897" s="24" t="s">
        <v>367</v>
      </c>
      <c r="H897" s="24" t="s">
        <v>1342</v>
      </c>
      <c r="I897" s="4" t="s">
        <v>667</v>
      </c>
      <c r="J897" s="24">
        <v>22</v>
      </c>
      <c r="K897" s="54" t="str">
        <f>VLOOKUP(J897,Ruimtegroepen[],2,FALSE)</f>
        <v>Niet in onderhoud</v>
      </c>
      <c r="L897" s="24" t="s">
        <v>300</v>
      </c>
      <c r="M897" s="24" t="s">
        <v>909</v>
      </c>
      <c r="N897" s="83"/>
      <c r="O897" s="83">
        <v>3.6</v>
      </c>
      <c r="P897" s="93" t="str">
        <f>LEFT(VLOOKUP(Ruimtestaat[[#This Row],[Ruimte code]],Ruimtegroepen[#All],4,1),2)</f>
        <v/>
      </c>
      <c r="Q897" s="93"/>
      <c r="R897" s="84"/>
      <c r="S897" s="84"/>
      <c r="T897" s="85">
        <f>IF(R897&gt;0,IF(RIGHT(Ruimtestaat[[#This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97" s="85">
        <f>IF(T897&gt;0,VLOOKUP($J897,Ruimtegroepen[],3,FALSE)*VLOOKUP($L897,Vloersoorten[],3,FALSE)*VLOOKUP($S897,Frequenties[],3,FALSE)*VLOOKUP($A897,Locaties[],3,FALSE),0)</f>
        <v>0</v>
      </c>
      <c r="V897" s="86">
        <f>Ruimtestaat[[#This Row],[Uitvoeringen werkdagen]]*Ruimtestaat[[#This Row],[Oppervlak (netto)]]</f>
        <v>0</v>
      </c>
      <c r="W897" s="87">
        <f>IF(U897&gt;0,Ruimtestaat[[#This Row],[Prest. (m2 /jaar) werkdagen]]/Ruimtestaat[[#This Row],[Norm (m2/uur) werkdagen]],0)</f>
        <v>0</v>
      </c>
      <c r="X897" s="88">
        <f>Ruimtestaat[[#This Row],[uren / jaar werkdagen]]*Tariefsopbouw!$E$35</f>
        <v>0</v>
      </c>
      <c r="Y897" s="85"/>
      <c r="Z897" s="89">
        <f>IF(Ruimtestaat[[#This Row],[Frequentie weekend]]&gt;0,VALUE(LEFT(Y897,1))*R897,0)</f>
        <v>0</v>
      </c>
      <c r="AA897" s="85">
        <f>IF($Z897&gt;0,VLOOKUP($J897,Ruimtegroepen[],3,FALSE)*VLOOKUP($L897,Vloersoorten[],3,FALSE)*VLOOKUP($Y897,Frequenties[],3,FALSE)*VLOOKUP(#REF!,Locaties[],3,FALSE),0)</f>
        <v>0</v>
      </c>
      <c r="AB897" s="87">
        <f>Ruimtestaat[[#This Row],[Uitvoeringen weekend]]*Ruimtestaat[[#This Row],[Oppervlak (netto)]]</f>
        <v>0</v>
      </c>
      <c r="AC897" s="90">
        <f>IF(AB897&gt;0,Ruimtestaat[[#This Row],[Prest. (m2 /jaar) weekend]]/Ruimtestaat[[#This Row],[Norm (m2/uur) weekend]],0)</f>
        <v>0</v>
      </c>
      <c r="AD897" s="91">
        <f>Ruimtestaat[[#This Row],[uren / jaar weekend]]*Tariefsopbouw!$D$40</f>
        <v>0</v>
      </c>
      <c r="AE897" s="60">
        <f>Ruimtestaat[[#This Row],[Prest. (m2 /jaar) weekend]]+Ruimtestaat[[#This Row],[Prest. (m2 /jaar) werkdagen]]</f>
        <v>0</v>
      </c>
      <c r="AF897" s="60">
        <f>Ruimtestaat[[#This Row],[uren / jaar weekend]]+Ruimtestaat[[#This Row],[uren / jaar werkdagen]]</f>
        <v>0</v>
      </c>
      <c r="AG897" s="61">
        <f>Ruimtestaat[[#This Row],[kosten / jaar weekend]]+Ruimtestaat[[#This Row],[kosten / jaar werkdagen]]</f>
        <v>0</v>
      </c>
      <c r="AH897" s="92"/>
      <c r="HL897" s="59"/>
    </row>
    <row r="898" spans="1:220">
      <c r="A898" s="24">
        <v>6</v>
      </c>
      <c r="B898" s="24" t="str">
        <f>VLOOKUP(Ruimtestaat[[#This Row],[Code]],Locaties[#All],2,FALSE)</f>
        <v>Marke Noord</v>
      </c>
      <c r="C898" s="24" t="str">
        <f>VLOOKUP(Ruimtestaat[[#This Row],[Code]],Locaties[#All],4,FALSE)</f>
        <v>Lebuïnuslaan 1</v>
      </c>
      <c r="D898" s="24" t="str">
        <f>VLOOKUP(Ruimtestaat[[#This Row],[Code]],Locaties[#All],5,FALSE)</f>
        <v>7415 DM</v>
      </c>
      <c r="E898" s="24" t="str">
        <f>VLOOKUP(Ruimtestaat[[#This Row],[Code]],Locaties[#All],6,FALSE)</f>
        <v>Deventer</v>
      </c>
      <c r="F898" s="54"/>
      <c r="G898" s="24" t="s">
        <v>367</v>
      </c>
      <c r="H898" s="24" t="s">
        <v>1005</v>
      </c>
      <c r="I898" s="4" t="s">
        <v>1098</v>
      </c>
      <c r="J898" s="24">
        <v>16</v>
      </c>
      <c r="K898" s="54" t="str">
        <f>VLOOKUP(J898,Ruimtegroepen[],2,FALSE)</f>
        <v>Leslokalen theorie</v>
      </c>
      <c r="L898" s="24" t="s">
        <v>300</v>
      </c>
      <c r="M898" s="24" t="s">
        <v>909</v>
      </c>
      <c r="N898" s="83">
        <v>53.88</v>
      </c>
      <c r="O898" s="83"/>
      <c r="P898" s="93" t="str">
        <f>LEFT(VLOOKUP(Ruimtestaat[[#This Row],[Ruimte code]],Ruimtegroepen[#All],4,1),2)</f>
        <v>Le</v>
      </c>
      <c r="Q898" s="93"/>
      <c r="R898" s="84">
        <v>40</v>
      </c>
      <c r="S898" s="84" t="s">
        <v>318</v>
      </c>
      <c r="T898" s="85">
        <f>IF(R898&gt;0,IF(RIGHT(Ruimtestaat[[#This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8" s="85">
        <f>IF(T898&gt;0,VLOOKUP($J898,Ruimtegroepen[],3,FALSE)*VLOOKUP($L898,Vloersoorten[],3,FALSE)*VLOOKUP($S898,Frequenties[],3,FALSE)*VLOOKUP($A898,Locaties[],3,FALSE),0)</f>
        <v>0</v>
      </c>
      <c r="V898" s="86">
        <f>Ruimtestaat[[#This Row],[Uitvoeringen werkdagen]]*Ruimtestaat[[#This Row],[Oppervlak (netto)]]</f>
        <v>10776</v>
      </c>
      <c r="W898" s="87">
        <f>IF(U898&gt;0,Ruimtestaat[[#This Row],[Prest. (m2 /jaar) werkdagen]]/Ruimtestaat[[#This Row],[Norm (m2/uur) werkdagen]],0)</f>
        <v>0</v>
      </c>
      <c r="X898" s="88">
        <f>Ruimtestaat[[#This Row],[uren / jaar werkdagen]]*Tariefsopbouw!$E$35</f>
        <v>0</v>
      </c>
      <c r="Y898" s="85"/>
      <c r="Z898" s="89">
        <f>IF(Ruimtestaat[[#This Row],[Frequentie weekend]]&gt;0,VALUE(LEFT(Y898,1))*R898,0)</f>
        <v>0</v>
      </c>
      <c r="AA898" s="85">
        <f>IF($Z898&gt;0,VLOOKUP($J898,Ruimtegroepen[],3,FALSE)*VLOOKUP($L898,Vloersoorten[],3,FALSE)*VLOOKUP($Y898,Frequenties[],3,FALSE)*VLOOKUP(#REF!,Locaties[],3,FALSE),0)</f>
        <v>0</v>
      </c>
      <c r="AB898" s="87">
        <f>Ruimtestaat[[#This Row],[Uitvoeringen weekend]]*Ruimtestaat[[#This Row],[Oppervlak (netto)]]</f>
        <v>0</v>
      </c>
      <c r="AC898" s="90">
        <f>IF(AB898&gt;0,Ruimtestaat[[#This Row],[Prest. (m2 /jaar) weekend]]/Ruimtestaat[[#This Row],[Norm (m2/uur) weekend]],0)</f>
        <v>0</v>
      </c>
      <c r="AD898" s="91">
        <f>Ruimtestaat[[#This Row],[uren / jaar weekend]]*Tariefsopbouw!$D$40</f>
        <v>0</v>
      </c>
      <c r="AE898" s="60">
        <f>Ruimtestaat[[#This Row],[Prest. (m2 /jaar) weekend]]+Ruimtestaat[[#This Row],[Prest. (m2 /jaar) werkdagen]]</f>
        <v>10776</v>
      </c>
      <c r="AF898" s="60">
        <f>Ruimtestaat[[#This Row],[uren / jaar weekend]]+Ruimtestaat[[#This Row],[uren / jaar werkdagen]]</f>
        <v>0</v>
      </c>
      <c r="AG898" s="61">
        <f>Ruimtestaat[[#This Row],[kosten / jaar weekend]]+Ruimtestaat[[#This Row],[kosten / jaar werkdagen]]</f>
        <v>0</v>
      </c>
      <c r="AH898" s="92"/>
      <c r="HL898" s="59"/>
    </row>
    <row r="899" spans="1:220">
      <c r="A899" s="24">
        <v>6</v>
      </c>
      <c r="B899" s="24" t="str">
        <f>VLOOKUP(Ruimtestaat[[#This Row],[Code]],Locaties[#All],2,FALSE)</f>
        <v>Marke Noord</v>
      </c>
      <c r="C899" s="24" t="str">
        <f>VLOOKUP(Ruimtestaat[[#This Row],[Code]],Locaties[#All],4,FALSE)</f>
        <v>Lebuïnuslaan 1</v>
      </c>
      <c r="D899" s="24" t="str">
        <f>VLOOKUP(Ruimtestaat[[#This Row],[Code]],Locaties[#All],5,FALSE)</f>
        <v>7415 DM</v>
      </c>
      <c r="E899" s="24" t="str">
        <f>VLOOKUP(Ruimtestaat[[#This Row],[Code]],Locaties[#All],6,FALSE)</f>
        <v>Deventer</v>
      </c>
      <c r="F899" s="54"/>
      <c r="G899" s="24" t="s">
        <v>367</v>
      </c>
      <c r="H899" s="24" t="s">
        <v>1006</v>
      </c>
      <c r="I899" s="4" t="s">
        <v>691</v>
      </c>
      <c r="J899" s="24">
        <v>22</v>
      </c>
      <c r="K899" s="54" t="str">
        <f>VLOOKUP(J899,Ruimtegroepen[],2,FALSE)</f>
        <v>Niet in onderhoud</v>
      </c>
      <c r="L899" s="24" t="s">
        <v>300</v>
      </c>
      <c r="M899" s="24" t="s">
        <v>909</v>
      </c>
      <c r="N899" s="83"/>
      <c r="O899" s="83">
        <v>6.49</v>
      </c>
      <c r="P899" s="93" t="str">
        <f>LEFT(VLOOKUP(Ruimtestaat[[#This Row],[Ruimte code]],Ruimtegroepen[#All],4,1),2)</f>
        <v/>
      </c>
      <c r="Q899" s="93"/>
      <c r="R899" s="84"/>
      <c r="S899" s="84"/>
      <c r="T899" s="85">
        <f>IF(R899&gt;0,IF(RIGHT(Ruimtestaat[[#This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99" s="85">
        <f>IF(T899&gt;0,VLOOKUP($J899,Ruimtegroepen[],3,FALSE)*VLOOKUP($L899,Vloersoorten[],3,FALSE)*VLOOKUP($S899,Frequenties[],3,FALSE)*VLOOKUP($A899,Locaties[],3,FALSE),0)</f>
        <v>0</v>
      </c>
      <c r="V899" s="86">
        <f>Ruimtestaat[[#This Row],[Uitvoeringen werkdagen]]*Ruimtestaat[[#This Row],[Oppervlak (netto)]]</f>
        <v>0</v>
      </c>
      <c r="W899" s="87">
        <f>IF(U899&gt;0,Ruimtestaat[[#This Row],[Prest. (m2 /jaar) werkdagen]]/Ruimtestaat[[#This Row],[Norm (m2/uur) werkdagen]],0)</f>
        <v>0</v>
      </c>
      <c r="X899" s="88">
        <f>Ruimtestaat[[#This Row],[uren / jaar werkdagen]]*Tariefsopbouw!$E$35</f>
        <v>0</v>
      </c>
      <c r="Y899" s="85"/>
      <c r="Z899" s="89">
        <f>IF(Ruimtestaat[[#This Row],[Frequentie weekend]]&gt;0,VALUE(LEFT(Y899,1))*R899,0)</f>
        <v>0</v>
      </c>
      <c r="AA899" s="85">
        <f>IF($Z899&gt;0,VLOOKUP($J899,Ruimtegroepen[],3,FALSE)*VLOOKUP($L899,Vloersoorten[],3,FALSE)*VLOOKUP($Y899,Frequenties[],3,FALSE)*VLOOKUP(#REF!,Locaties[],3,FALSE),0)</f>
        <v>0</v>
      </c>
      <c r="AB899" s="87">
        <f>Ruimtestaat[[#This Row],[Uitvoeringen weekend]]*Ruimtestaat[[#This Row],[Oppervlak (netto)]]</f>
        <v>0</v>
      </c>
      <c r="AC899" s="90">
        <f>IF(AB899&gt;0,Ruimtestaat[[#This Row],[Prest. (m2 /jaar) weekend]]/Ruimtestaat[[#This Row],[Norm (m2/uur) weekend]],0)</f>
        <v>0</v>
      </c>
      <c r="AD899" s="91">
        <f>Ruimtestaat[[#This Row],[uren / jaar weekend]]*Tariefsopbouw!$D$40</f>
        <v>0</v>
      </c>
      <c r="AE899" s="60">
        <f>Ruimtestaat[[#This Row],[Prest. (m2 /jaar) weekend]]+Ruimtestaat[[#This Row],[Prest. (m2 /jaar) werkdagen]]</f>
        <v>0</v>
      </c>
      <c r="AF899" s="60">
        <f>Ruimtestaat[[#This Row],[uren / jaar weekend]]+Ruimtestaat[[#This Row],[uren / jaar werkdagen]]</f>
        <v>0</v>
      </c>
      <c r="AG899" s="61">
        <f>Ruimtestaat[[#This Row],[kosten / jaar weekend]]+Ruimtestaat[[#This Row],[kosten / jaar werkdagen]]</f>
        <v>0</v>
      </c>
      <c r="AH899" s="92"/>
      <c r="HL899" s="59"/>
    </row>
    <row r="900" spans="1:220">
      <c r="A900" s="24">
        <v>6</v>
      </c>
      <c r="B900" s="24" t="str">
        <f>VLOOKUP(Ruimtestaat[[#This Row],[Code]],Locaties[#All],2,FALSE)</f>
        <v>Marke Noord</v>
      </c>
      <c r="C900" s="24" t="str">
        <f>VLOOKUP(Ruimtestaat[[#This Row],[Code]],Locaties[#All],4,FALSE)</f>
        <v>Lebuïnuslaan 1</v>
      </c>
      <c r="D900" s="24" t="str">
        <f>VLOOKUP(Ruimtestaat[[#This Row],[Code]],Locaties[#All],5,FALSE)</f>
        <v>7415 DM</v>
      </c>
      <c r="E900" s="24" t="str">
        <f>VLOOKUP(Ruimtestaat[[#This Row],[Code]],Locaties[#All],6,FALSE)</f>
        <v>Deventer</v>
      </c>
      <c r="F900" s="54"/>
      <c r="G900" s="24" t="s">
        <v>367</v>
      </c>
      <c r="H900" s="24" t="s">
        <v>1343</v>
      </c>
      <c r="I900" s="4" t="s">
        <v>1344</v>
      </c>
      <c r="J900" s="24">
        <v>5</v>
      </c>
      <c r="K900" s="54" t="str">
        <f>VLOOKUP(J900,Ruimtegroepen[],2,FALSE)</f>
        <v>Sanitair</v>
      </c>
      <c r="L900" s="24" t="s">
        <v>305</v>
      </c>
      <c r="M900" s="24" t="s">
        <v>400</v>
      </c>
      <c r="N900" s="83">
        <v>13.98</v>
      </c>
      <c r="O900" s="83"/>
      <c r="P900" s="93" t="str">
        <f>LEFT(VLOOKUP(Ruimtestaat[[#This Row],[Ruimte code]],Ruimtegroepen[#All],4,1),2)</f>
        <v>Sa</v>
      </c>
      <c r="Q900" s="93"/>
      <c r="R900" s="84">
        <v>42</v>
      </c>
      <c r="S900" s="84" t="s">
        <v>316</v>
      </c>
      <c r="T900" s="85">
        <f>IF(R900&gt;0,IF(RIGHT(Ruimtestaat[[#This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0" s="85">
        <f>IF(T900&gt;0,VLOOKUP($J900,Ruimtegroepen[],3,FALSE)*VLOOKUP($L900,Vloersoorten[],3,FALSE)*VLOOKUP($S900,Frequenties[],3,FALSE)*VLOOKUP($A900,Locaties[],3,FALSE),0)</f>
        <v>0</v>
      </c>
      <c r="V900" s="86">
        <f>Ruimtestaat[[#This Row],[Uitvoeringen werkdagen]]*Ruimtestaat[[#This Row],[Oppervlak (netto)]]</f>
        <v>5871.6</v>
      </c>
      <c r="W900" s="87">
        <f>IF(U900&gt;0,Ruimtestaat[[#This Row],[Prest. (m2 /jaar) werkdagen]]/Ruimtestaat[[#This Row],[Norm (m2/uur) werkdagen]],0)</f>
        <v>0</v>
      </c>
      <c r="X900" s="88">
        <f>Ruimtestaat[[#This Row],[uren / jaar werkdagen]]*Tariefsopbouw!$E$35</f>
        <v>0</v>
      </c>
      <c r="Y900" s="85"/>
      <c r="Z900" s="89">
        <f>IF(Ruimtestaat[[#This Row],[Frequentie weekend]]&gt;0,VALUE(LEFT(Y900,1))*R900,0)</f>
        <v>0</v>
      </c>
      <c r="AA900" s="85">
        <f>IF($Z900&gt;0,VLOOKUP($J900,Ruimtegroepen[],3,FALSE)*VLOOKUP($L900,Vloersoorten[],3,FALSE)*VLOOKUP($Y900,Frequenties[],3,FALSE)*VLOOKUP(#REF!,Locaties[],3,FALSE),0)</f>
        <v>0</v>
      </c>
      <c r="AB900" s="87">
        <f>Ruimtestaat[[#This Row],[Uitvoeringen weekend]]*Ruimtestaat[[#This Row],[Oppervlak (netto)]]</f>
        <v>0</v>
      </c>
      <c r="AC900" s="90">
        <f>IF(AB900&gt;0,Ruimtestaat[[#This Row],[Prest. (m2 /jaar) weekend]]/Ruimtestaat[[#This Row],[Norm (m2/uur) weekend]],0)</f>
        <v>0</v>
      </c>
      <c r="AD900" s="91">
        <f>Ruimtestaat[[#This Row],[uren / jaar weekend]]*Tariefsopbouw!$D$40</f>
        <v>0</v>
      </c>
      <c r="AE900" s="60">
        <f>Ruimtestaat[[#This Row],[Prest. (m2 /jaar) weekend]]+Ruimtestaat[[#This Row],[Prest. (m2 /jaar) werkdagen]]</f>
        <v>5871.6</v>
      </c>
      <c r="AF900" s="60">
        <f>Ruimtestaat[[#This Row],[uren / jaar weekend]]+Ruimtestaat[[#This Row],[uren / jaar werkdagen]]</f>
        <v>0</v>
      </c>
      <c r="AG900" s="61">
        <f>Ruimtestaat[[#This Row],[kosten / jaar weekend]]+Ruimtestaat[[#This Row],[kosten / jaar werkdagen]]</f>
        <v>0</v>
      </c>
      <c r="AH900" s="92"/>
      <c r="HL900" s="59"/>
    </row>
    <row r="901" spans="1:220">
      <c r="A901" s="24">
        <v>6</v>
      </c>
      <c r="B901" s="24" t="str">
        <f>VLOOKUP(Ruimtestaat[[#This Row],[Code]],Locaties[#All],2,FALSE)</f>
        <v>Marke Noord</v>
      </c>
      <c r="C901" s="24" t="str">
        <f>VLOOKUP(Ruimtestaat[[#This Row],[Code]],Locaties[#All],4,FALSE)</f>
        <v>Lebuïnuslaan 1</v>
      </c>
      <c r="D901" s="24" t="str">
        <f>VLOOKUP(Ruimtestaat[[#This Row],[Code]],Locaties[#All],5,FALSE)</f>
        <v>7415 DM</v>
      </c>
      <c r="E901" s="24" t="str">
        <f>VLOOKUP(Ruimtestaat[[#This Row],[Code]],Locaties[#All],6,FALSE)</f>
        <v>Deventer</v>
      </c>
      <c r="F901" s="54"/>
      <c r="G901" s="24" t="s">
        <v>367</v>
      </c>
      <c r="H901" s="24" t="s">
        <v>1345</v>
      </c>
      <c r="I901" s="4" t="s">
        <v>1346</v>
      </c>
      <c r="J901" s="24">
        <v>5</v>
      </c>
      <c r="K901" s="54" t="str">
        <f>VLOOKUP(J901,Ruimtegroepen[],2,FALSE)</f>
        <v>Sanitair</v>
      </c>
      <c r="L901" s="24" t="s">
        <v>305</v>
      </c>
      <c r="M901" s="24" t="s">
        <v>1338</v>
      </c>
      <c r="N901" s="83">
        <v>11.58</v>
      </c>
      <c r="O901" s="83"/>
      <c r="P901" s="93" t="str">
        <f>LEFT(VLOOKUP(Ruimtestaat[[#This Row],[Ruimte code]],Ruimtegroepen[#All],4,1),2)</f>
        <v>Sa</v>
      </c>
      <c r="Q901" s="93"/>
      <c r="R901" s="84">
        <v>42</v>
      </c>
      <c r="S901" s="84" t="s">
        <v>316</v>
      </c>
      <c r="T901" s="85">
        <f>IF(R901&gt;0,IF(RIGHT(Ruimtestaat[[#This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1" s="85">
        <f>IF(T901&gt;0,VLOOKUP($J901,Ruimtegroepen[],3,FALSE)*VLOOKUP($L901,Vloersoorten[],3,FALSE)*VLOOKUP($S901,Frequenties[],3,FALSE)*VLOOKUP($A901,Locaties[],3,FALSE),0)</f>
        <v>0</v>
      </c>
      <c r="V901" s="86">
        <f>Ruimtestaat[[#This Row],[Uitvoeringen werkdagen]]*Ruimtestaat[[#This Row],[Oppervlak (netto)]]</f>
        <v>4863.6000000000004</v>
      </c>
      <c r="W901" s="87">
        <f>IF(U901&gt;0,Ruimtestaat[[#This Row],[Prest. (m2 /jaar) werkdagen]]/Ruimtestaat[[#This Row],[Norm (m2/uur) werkdagen]],0)</f>
        <v>0</v>
      </c>
      <c r="X901" s="88">
        <f>Ruimtestaat[[#This Row],[uren / jaar werkdagen]]*Tariefsopbouw!$E$35</f>
        <v>0</v>
      </c>
      <c r="Y901" s="85"/>
      <c r="Z901" s="89">
        <f>IF(Ruimtestaat[[#This Row],[Frequentie weekend]]&gt;0,VALUE(LEFT(Y901,1))*R901,0)</f>
        <v>0</v>
      </c>
      <c r="AA901" s="85">
        <f>IF($Z901&gt;0,VLOOKUP($J901,Ruimtegroepen[],3,FALSE)*VLOOKUP($L901,Vloersoorten[],3,FALSE)*VLOOKUP($Y901,Frequenties[],3,FALSE)*VLOOKUP(#REF!,Locaties[],3,FALSE),0)</f>
        <v>0</v>
      </c>
      <c r="AB901" s="87">
        <f>Ruimtestaat[[#This Row],[Uitvoeringen weekend]]*Ruimtestaat[[#This Row],[Oppervlak (netto)]]</f>
        <v>0</v>
      </c>
      <c r="AC901" s="90">
        <f>IF(AB901&gt;0,Ruimtestaat[[#This Row],[Prest. (m2 /jaar) weekend]]/Ruimtestaat[[#This Row],[Norm (m2/uur) weekend]],0)</f>
        <v>0</v>
      </c>
      <c r="AD901" s="91">
        <f>Ruimtestaat[[#This Row],[uren / jaar weekend]]*Tariefsopbouw!$D$40</f>
        <v>0</v>
      </c>
      <c r="AE901" s="60">
        <f>Ruimtestaat[[#This Row],[Prest. (m2 /jaar) weekend]]+Ruimtestaat[[#This Row],[Prest. (m2 /jaar) werkdagen]]</f>
        <v>4863.6000000000004</v>
      </c>
      <c r="AF901" s="60">
        <f>Ruimtestaat[[#This Row],[uren / jaar weekend]]+Ruimtestaat[[#This Row],[uren / jaar werkdagen]]</f>
        <v>0</v>
      </c>
      <c r="AG901" s="61">
        <f>Ruimtestaat[[#This Row],[kosten / jaar weekend]]+Ruimtestaat[[#This Row],[kosten / jaar werkdagen]]</f>
        <v>0</v>
      </c>
      <c r="AH901" s="92"/>
      <c r="HL901" s="59"/>
    </row>
    <row r="902" spans="1:220">
      <c r="A902" s="24">
        <v>6</v>
      </c>
      <c r="B902" s="24" t="str">
        <f>VLOOKUP(Ruimtestaat[[#This Row],[Code]],Locaties[#All],2,FALSE)</f>
        <v>Marke Noord</v>
      </c>
      <c r="C902" s="24" t="str">
        <f>VLOOKUP(Ruimtestaat[[#This Row],[Code]],Locaties[#All],4,FALSE)</f>
        <v>Lebuïnuslaan 1</v>
      </c>
      <c r="D902" s="24" t="str">
        <f>VLOOKUP(Ruimtestaat[[#This Row],[Code]],Locaties[#All],5,FALSE)</f>
        <v>7415 DM</v>
      </c>
      <c r="E902" s="24" t="str">
        <f>VLOOKUP(Ruimtestaat[[#This Row],[Code]],Locaties[#All],6,FALSE)</f>
        <v>Deventer</v>
      </c>
      <c r="F902" s="54"/>
      <c r="G902" s="24" t="s">
        <v>367</v>
      </c>
      <c r="H902" s="24" t="s">
        <v>1347</v>
      </c>
      <c r="I902" s="4" t="s">
        <v>1348</v>
      </c>
      <c r="J902" s="24">
        <v>5</v>
      </c>
      <c r="K902" s="54" t="str">
        <f>VLOOKUP(J902,Ruimtegroepen[],2,FALSE)</f>
        <v>Sanitair</v>
      </c>
      <c r="L902" s="24" t="s">
        <v>305</v>
      </c>
      <c r="M902" s="24" t="s">
        <v>1338</v>
      </c>
      <c r="N902" s="83">
        <v>2.9</v>
      </c>
      <c r="O902" s="83"/>
      <c r="P902" s="93" t="str">
        <f>LEFT(VLOOKUP(Ruimtestaat[[#This Row],[Ruimte code]],Ruimtegroepen[#All],4,1),2)</f>
        <v>Sa</v>
      </c>
      <c r="Q902" s="93"/>
      <c r="R902" s="84">
        <v>42</v>
      </c>
      <c r="S902" s="84" t="s">
        <v>316</v>
      </c>
      <c r="T902" s="85">
        <f>IF(R902&gt;0,IF(RIGHT(Ruimtestaat[[#This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2" s="85">
        <f>IF(T902&gt;0,VLOOKUP($J902,Ruimtegroepen[],3,FALSE)*VLOOKUP($L902,Vloersoorten[],3,FALSE)*VLOOKUP($S902,Frequenties[],3,FALSE)*VLOOKUP($A902,Locaties[],3,FALSE),0)</f>
        <v>0</v>
      </c>
      <c r="V902" s="86">
        <f>Ruimtestaat[[#This Row],[Uitvoeringen werkdagen]]*Ruimtestaat[[#This Row],[Oppervlak (netto)]]</f>
        <v>1218</v>
      </c>
      <c r="W902" s="87">
        <f>IF(U902&gt;0,Ruimtestaat[[#This Row],[Prest. (m2 /jaar) werkdagen]]/Ruimtestaat[[#This Row],[Norm (m2/uur) werkdagen]],0)</f>
        <v>0</v>
      </c>
      <c r="X902" s="88">
        <f>Ruimtestaat[[#This Row],[uren / jaar werkdagen]]*Tariefsopbouw!$E$35</f>
        <v>0</v>
      </c>
      <c r="Y902" s="85"/>
      <c r="Z902" s="89">
        <f>IF(Ruimtestaat[[#This Row],[Frequentie weekend]]&gt;0,VALUE(LEFT(Y902,1))*R902,0)</f>
        <v>0</v>
      </c>
      <c r="AA902" s="85">
        <f>IF($Z902&gt;0,VLOOKUP($J902,Ruimtegroepen[],3,FALSE)*VLOOKUP($L902,Vloersoorten[],3,FALSE)*VLOOKUP($Y902,Frequenties[],3,FALSE)*VLOOKUP(#REF!,Locaties[],3,FALSE),0)</f>
        <v>0</v>
      </c>
      <c r="AB902" s="87">
        <f>Ruimtestaat[[#This Row],[Uitvoeringen weekend]]*Ruimtestaat[[#This Row],[Oppervlak (netto)]]</f>
        <v>0</v>
      </c>
      <c r="AC902" s="90">
        <f>IF(AB902&gt;0,Ruimtestaat[[#This Row],[Prest. (m2 /jaar) weekend]]/Ruimtestaat[[#This Row],[Norm (m2/uur) weekend]],0)</f>
        <v>0</v>
      </c>
      <c r="AD902" s="91">
        <f>Ruimtestaat[[#This Row],[uren / jaar weekend]]*Tariefsopbouw!$D$40</f>
        <v>0</v>
      </c>
      <c r="AE902" s="60">
        <f>Ruimtestaat[[#This Row],[Prest. (m2 /jaar) weekend]]+Ruimtestaat[[#This Row],[Prest. (m2 /jaar) werkdagen]]</f>
        <v>1218</v>
      </c>
      <c r="AF902" s="60">
        <f>Ruimtestaat[[#This Row],[uren / jaar weekend]]+Ruimtestaat[[#This Row],[uren / jaar werkdagen]]</f>
        <v>0</v>
      </c>
      <c r="AG902" s="61">
        <f>Ruimtestaat[[#This Row],[kosten / jaar weekend]]+Ruimtestaat[[#This Row],[kosten / jaar werkdagen]]</f>
        <v>0</v>
      </c>
      <c r="AH902" s="92"/>
      <c r="HL902" s="59"/>
    </row>
    <row r="903" spans="1:220">
      <c r="A903" s="24">
        <v>6</v>
      </c>
      <c r="B903" s="24" t="str">
        <f>VLOOKUP(Ruimtestaat[[#This Row],[Code]],Locaties[#All],2,FALSE)</f>
        <v>Marke Noord</v>
      </c>
      <c r="C903" s="24" t="str">
        <f>VLOOKUP(Ruimtestaat[[#This Row],[Code]],Locaties[#All],4,FALSE)</f>
        <v>Lebuïnuslaan 1</v>
      </c>
      <c r="D903" s="24" t="str">
        <f>VLOOKUP(Ruimtestaat[[#This Row],[Code]],Locaties[#All],5,FALSE)</f>
        <v>7415 DM</v>
      </c>
      <c r="E903" s="24" t="str">
        <f>VLOOKUP(Ruimtestaat[[#This Row],[Code]],Locaties[#All],6,FALSE)</f>
        <v>Deventer</v>
      </c>
      <c r="F903" s="54"/>
      <c r="G903" s="24" t="s">
        <v>367</v>
      </c>
      <c r="H903" s="24" t="s">
        <v>1349</v>
      </c>
      <c r="I903" s="4" t="s">
        <v>1350</v>
      </c>
      <c r="J903" s="24">
        <v>9</v>
      </c>
      <c r="K903" s="54" t="str">
        <f>VLOOKUP(J903,Ruimtegroepen[],2,FALSE)</f>
        <v>Garderobe</v>
      </c>
      <c r="L903" s="24" t="s">
        <v>300</v>
      </c>
      <c r="M903" s="24" t="s">
        <v>909</v>
      </c>
      <c r="N903" s="83">
        <v>21.24</v>
      </c>
      <c r="O903" s="83"/>
      <c r="P903" s="93" t="str">
        <f>LEFT(VLOOKUP(Ruimtestaat[[#This Row],[Ruimte code]],Ruimtegroepen[#All],4,1),2)</f>
        <v>Ve</v>
      </c>
      <c r="Q903" s="93"/>
      <c r="R903" s="84">
        <v>40</v>
      </c>
      <c r="S903" s="84" t="s">
        <v>318</v>
      </c>
      <c r="T903" s="85">
        <f>IF(R903&gt;0,IF(RIGHT(Ruimtestaat[[#This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3" s="85">
        <f>IF(T903&gt;0,VLOOKUP($J903,Ruimtegroepen[],3,FALSE)*VLOOKUP($L903,Vloersoorten[],3,FALSE)*VLOOKUP($S903,Frequenties[],3,FALSE)*VLOOKUP($A903,Locaties[],3,FALSE),0)</f>
        <v>0</v>
      </c>
      <c r="V903" s="86">
        <f>Ruimtestaat[[#This Row],[Uitvoeringen werkdagen]]*Ruimtestaat[[#This Row],[Oppervlak (netto)]]</f>
        <v>4248</v>
      </c>
      <c r="W903" s="87">
        <f>IF(U903&gt;0,Ruimtestaat[[#This Row],[Prest. (m2 /jaar) werkdagen]]/Ruimtestaat[[#This Row],[Norm (m2/uur) werkdagen]],0)</f>
        <v>0</v>
      </c>
      <c r="X903" s="88">
        <f>Ruimtestaat[[#This Row],[uren / jaar werkdagen]]*Tariefsopbouw!$E$35</f>
        <v>0</v>
      </c>
      <c r="Y903" s="85"/>
      <c r="Z903" s="89">
        <f>IF(Ruimtestaat[[#This Row],[Frequentie weekend]]&gt;0,VALUE(LEFT(Y903,1))*R903,0)</f>
        <v>0</v>
      </c>
      <c r="AA903" s="85">
        <f>IF($Z903&gt;0,VLOOKUP($J903,Ruimtegroepen[],3,FALSE)*VLOOKUP($L903,Vloersoorten[],3,FALSE)*VLOOKUP($Y903,Frequenties[],3,FALSE)*VLOOKUP(#REF!,Locaties[],3,FALSE),0)</f>
        <v>0</v>
      </c>
      <c r="AB903" s="87">
        <f>Ruimtestaat[[#This Row],[Uitvoeringen weekend]]*Ruimtestaat[[#This Row],[Oppervlak (netto)]]</f>
        <v>0</v>
      </c>
      <c r="AC903" s="90">
        <f>IF(AB903&gt;0,Ruimtestaat[[#This Row],[Prest. (m2 /jaar) weekend]]/Ruimtestaat[[#This Row],[Norm (m2/uur) weekend]],0)</f>
        <v>0</v>
      </c>
      <c r="AD903" s="91">
        <f>Ruimtestaat[[#This Row],[uren / jaar weekend]]*Tariefsopbouw!$D$40</f>
        <v>0</v>
      </c>
      <c r="AE903" s="60">
        <f>Ruimtestaat[[#This Row],[Prest. (m2 /jaar) weekend]]+Ruimtestaat[[#This Row],[Prest. (m2 /jaar) werkdagen]]</f>
        <v>4248</v>
      </c>
      <c r="AF903" s="60">
        <f>Ruimtestaat[[#This Row],[uren / jaar weekend]]+Ruimtestaat[[#This Row],[uren / jaar werkdagen]]</f>
        <v>0</v>
      </c>
      <c r="AG903" s="61">
        <f>Ruimtestaat[[#This Row],[kosten / jaar weekend]]+Ruimtestaat[[#This Row],[kosten / jaar werkdagen]]</f>
        <v>0</v>
      </c>
      <c r="AH903" s="92"/>
      <c r="HL903" s="59"/>
    </row>
    <row r="904" spans="1:220">
      <c r="A904" s="24">
        <v>6</v>
      </c>
      <c r="B904" s="24" t="str">
        <f>VLOOKUP(Ruimtestaat[[#This Row],[Code]],Locaties[#All],2,FALSE)</f>
        <v>Marke Noord</v>
      </c>
      <c r="C904" s="24" t="str">
        <f>VLOOKUP(Ruimtestaat[[#This Row],[Code]],Locaties[#All],4,FALSE)</f>
        <v>Lebuïnuslaan 1</v>
      </c>
      <c r="D904" s="24" t="str">
        <f>VLOOKUP(Ruimtestaat[[#This Row],[Code]],Locaties[#All],5,FALSE)</f>
        <v>7415 DM</v>
      </c>
      <c r="E904" s="24" t="str">
        <f>VLOOKUP(Ruimtestaat[[#This Row],[Code]],Locaties[#All],6,FALSE)</f>
        <v>Deventer</v>
      </c>
      <c r="F904" s="54"/>
      <c r="G904" s="24" t="s">
        <v>367</v>
      </c>
      <c r="H904" s="24" t="s">
        <v>1351</v>
      </c>
      <c r="I904" s="4" t="s">
        <v>1010</v>
      </c>
      <c r="J904" s="24">
        <v>5</v>
      </c>
      <c r="K904" s="54" t="str">
        <f>VLOOKUP(J904,Ruimtegroepen[],2,FALSE)</f>
        <v>Sanitair</v>
      </c>
      <c r="L904" s="24" t="s">
        <v>305</v>
      </c>
      <c r="M904" s="24" t="s">
        <v>1338</v>
      </c>
      <c r="N904" s="83">
        <v>1.42</v>
      </c>
      <c r="O904" s="83"/>
      <c r="P904" s="93" t="str">
        <f>LEFT(VLOOKUP(Ruimtestaat[[#This Row],[Ruimte code]],Ruimtegroepen[#All],4,1),2)</f>
        <v>Sa</v>
      </c>
      <c r="Q904" s="93"/>
      <c r="R904" s="84">
        <v>42</v>
      </c>
      <c r="S904" s="84" t="s">
        <v>316</v>
      </c>
      <c r="T904" s="85">
        <f>IF(R904&gt;0,IF(RIGHT(Ruimtestaat[[#This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4" s="85">
        <f>IF(T904&gt;0,VLOOKUP($J904,Ruimtegroepen[],3,FALSE)*VLOOKUP($L904,Vloersoorten[],3,FALSE)*VLOOKUP($S904,Frequenties[],3,FALSE)*VLOOKUP($A904,Locaties[],3,FALSE),0)</f>
        <v>0</v>
      </c>
      <c r="V904" s="86">
        <f>Ruimtestaat[[#This Row],[Uitvoeringen werkdagen]]*Ruimtestaat[[#This Row],[Oppervlak (netto)]]</f>
        <v>596.4</v>
      </c>
      <c r="W904" s="87">
        <f>IF(U904&gt;0,Ruimtestaat[[#This Row],[Prest. (m2 /jaar) werkdagen]]/Ruimtestaat[[#This Row],[Norm (m2/uur) werkdagen]],0)</f>
        <v>0</v>
      </c>
      <c r="X904" s="88">
        <f>Ruimtestaat[[#This Row],[uren / jaar werkdagen]]*Tariefsopbouw!$E$35</f>
        <v>0</v>
      </c>
      <c r="Y904" s="85"/>
      <c r="Z904" s="89">
        <f>IF(Ruimtestaat[[#This Row],[Frequentie weekend]]&gt;0,VALUE(LEFT(Y904,1))*R904,0)</f>
        <v>0</v>
      </c>
      <c r="AA904" s="85">
        <f>IF($Z904&gt;0,VLOOKUP($J904,Ruimtegroepen[],3,FALSE)*VLOOKUP($L904,Vloersoorten[],3,FALSE)*VLOOKUP($Y904,Frequenties[],3,FALSE)*VLOOKUP(#REF!,Locaties[],3,FALSE),0)</f>
        <v>0</v>
      </c>
      <c r="AB904" s="87">
        <f>Ruimtestaat[[#This Row],[Uitvoeringen weekend]]*Ruimtestaat[[#This Row],[Oppervlak (netto)]]</f>
        <v>0</v>
      </c>
      <c r="AC904" s="90">
        <f>IF(AB904&gt;0,Ruimtestaat[[#This Row],[Prest. (m2 /jaar) weekend]]/Ruimtestaat[[#This Row],[Norm (m2/uur) weekend]],0)</f>
        <v>0</v>
      </c>
      <c r="AD904" s="91">
        <f>Ruimtestaat[[#This Row],[uren / jaar weekend]]*Tariefsopbouw!$D$40</f>
        <v>0</v>
      </c>
      <c r="AE904" s="60">
        <f>Ruimtestaat[[#This Row],[Prest. (m2 /jaar) weekend]]+Ruimtestaat[[#This Row],[Prest. (m2 /jaar) werkdagen]]</f>
        <v>596.4</v>
      </c>
      <c r="AF904" s="60">
        <f>Ruimtestaat[[#This Row],[uren / jaar weekend]]+Ruimtestaat[[#This Row],[uren / jaar werkdagen]]</f>
        <v>0</v>
      </c>
      <c r="AG904" s="61">
        <f>Ruimtestaat[[#This Row],[kosten / jaar weekend]]+Ruimtestaat[[#This Row],[kosten / jaar werkdagen]]</f>
        <v>0</v>
      </c>
      <c r="AH904" s="92"/>
      <c r="HL904" s="59"/>
    </row>
    <row r="905" spans="1:220">
      <c r="A905" s="24">
        <v>6</v>
      </c>
      <c r="B905" s="24" t="str">
        <f>VLOOKUP(Ruimtestaat[[#This Row],[Code]],Locaties[#All],2,FALSE)</f>
        <v>Marke Noord</v>
      </c>
      <c r="C905" s="24" t="str">
        <f>VLOOKUP(Ruimtestaat[[#This Row],[Code]],Locaties[#All],4,FALSE)</f>
        <v>Lebuïnuslaan 1</v>
      </c>
      <c r="D905" s="24" t="str">
        <f>VLOOKUP(Ruimtestaat[[#This Row],[Code]],Locaties[#All],5,FALSE)</f>
        <v>7415 DM</v>
      </c>
      <c r="E905" s="24" t="str">
        <f>VLOOKUP(Ruimtestaat[[#This Row],[Code]],Locaties[#All],6,FALSE)</f>
        <v>Deventer</v>
      </c>
      <c r="F905" s="54"/>
      <c r="G905" s="24" t="s">
        <v>367</v>
      </c>
      <c r="H905" s="24" t="s">
        <v>1352</v>
      </c>
      <c r="I905" s="4" t="s">
        <v>1010</v>
      </c>
      <c r="J905" s="24">
        <v>5</v>
      </c>
      <c r="K905" s="54" t="str">
        <f>VLOOKUP(J905,Ruimtegroepen[],2,FALSE)</f>
        <v>Sanitair</v>
      </c>
      <c r="L905" s="24" t="s">
        <v>305</v>
      </c>
      <c r="M905" s="24" t="s">
        <v>1338</v>
      </c>
      <c r="N905" s="83">
        <v>1.4</v>
      </c>
      <c r="O905" s="83"/>
      <c r="P905" s="93" t="str">
        <f>LEFT(VLOOKUP(Ruimtestaat[[#This Row],[Ruimte code]],Ruimtegroepen[#All],4,1),2)</f>
        <v>Sa</v>
      </c>
      <c r="Q905" s="93"/>
      <c r="R905" s="84">
        <v>42</v>
      </c>
      <c r="S905" s="84" t="s">
        <v>316</v>
      </c>
      <c r="T905" s="85">
        <f>IF(R905&gt;0,IF(RIGHT(Ruimtestaat[[#This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5" s="85">
        <f>IF(T905&gt;0,VLOOKUP($J905,Ruimtegroepen[],3,FALSE)*VLOOKUP($L905,Vloersoorten[],3,FALSE)*VLOOKUP($S905,Frequenties[],3,FALSE)*VLOOKUP($A905,Locaties[],3,FALSE),0)</f>
        <v>0</v>
      </c>
      <c r="V905" s="86">
        <f>Ruimtestaat[[#This Row],[Uitvoeringen werkdagen]]*Ruimtestaat[[#This Row],[Oppervlak (netto)]]</f>
        <v>588</v>
      </c>
      <c r="W905" s="87">
        <f>IF(U905&gt;0,Ruimtestaat[[#This Row],[Prest. (m2 /jaar) werkdagen]]/Ruimtestaat[[#This Row],[Norm (m2/uur) werkdagen]],0)</f>
        <v>0</v>
      </c>
      <c r="X905" s="88">
        <f>Ruimtestaat[[#This Row],[uren / jaar werkdagen]]*Tariefsopbouw!$E$35</f>
        <v>0</v>
      </c>
      <c r="Y905" s="85"/>
      <c r="Z905" s="89">
        <f>IF(Ruimtestaat[[#This Row],[Frequentie weekend]]&gt;0,VALUE(LEFT(Y905,1))*R905,0)</f>
        <v>0</v>
      </c>
      <c r="AA905" s="85">
        <f>IF($Z905&gt;0,VLOOKUP($J905,Ruimtegroepen[],3,FALSE)*VLOOKUP($L905,Vloersoorten[],3,FALSE)*VLOOKUP($Y905,Frequenties[],3,FALSE)*VLOOKUP(#REF!,Locaties[],3,FALSE),0)</f>
        <v>0</v>
      </c>
      <c r="AB905" s="87">
        <f>Ruimtestaat[[#This Row],[Uitvoeringen weekend]]*Ruimtestaat[[#This Row],[Oppervlak (netto)]]</f>
        <v>0</v>
      </c>
      <c r="AC905" s="90">
        <f>IF(AB905&gt;0,Ruimtestaat[[#This Row],[Prest. (m2 /jaar) weekend]]/Ruimtestaat[[#This Row],[Norm (m2/uur) weekend]],0)</f>
        <v>0</v>
      </c>
      <c r="AD905" s="91">
        <f>Ruimtestaat[[#This Row],[uren / jaar weekend]]*Tariefsopbouw!$D$40</f>
        <v>0</v>
      </c>
      <c r="AE905" s="60">
        <f>Ruimtestaat[[#This Row],[Prest. (m2 /jaar) weekend]]+Ruimtestaat[[#This Row],[Prest. (m2 /jaar) werkdagen]]</f>
        <v>588</v>
      </c>
      <c r="AF905" s="60">
        <f>Ruimtestaat[[#This Row],[uren / jaar weekend]]+Ruimtestaat[[#This Row],[uren / jaar werkdagen]]</f>
        <v>0</v>
      </c>
      <c r="AG905" s="61">
        <f>Ruimtestaat[[#This Row],[kosten / jaar weekend]]+Ruimtestaat[[#This Row],[kosten / jaar werkdagen]]</f>
        <v>0</v>
      </c>
      <c r="AH905" s="92"/>
      <c r="HL905" s="59"/>
    </row>
    <row r="906" spans="1:220">
      <c r="A906" s="24">
        <v>6</v>
      </c>
      <c r="B906" s="24" t="str">
        <f>VLOOKUP(Ruimtestaat[[#This Row],[Code]],Locaties[#All],2,FALSE)</f>
        <v>Marke Noord</v>
      </c>
      <c r="C906" s="24" t="str">
        <f>VLOOKUP(Ruimtestaat[[#This Row],[Code]],Locaties[#All],4,FALSE)</f>
        <v>Lebuïnuslaan 1</v>
      </c>
      <c r="D906" s="24" t="str">
        <f>VLOOKUP(Ruimtestaat[[#This Row],[Code]],Locaties[#All],5,FALSE)</f>
        <v>7415 DM</v>
      </c>
      <c r="E906" s="24" t="str">
        <f>VLOOKUP(Ruimtestaat[[#This Row],[Code]],Locaties[#All],6,FALSE)</f>
        <v>Deventer</v>
      </c>
      <c r="F906" s="54"/>
      <c r="G906" s="24" t="s">
        <v>367</v>
      </c>
      <c r="H906" s="24" t="s">
        <v>388</v>
      </c>
      <c r="I906" s="4" t="s">
        <v>369</v>
      </c>
      <c r="J906" s="24">
        <v>16</v>
      </c>
      <c r="K906" s="54" t="str">
        <f>VLOOKUP(J906,Ruimtegroepen[],2,FALSE)</f>
        <v>Leslokalen theorie</v>
      </c>
      <c r="L906" s="24" t="s">
        <v>300</v>
      </c>
      <c r="M906" s="24" t="s">
        <v>909</v>
      </c>
      <c r="N906" s="83">
        <v>72.78</v>
      </c>
      <c r="O906" s="83"/>
      <c r="P906" s="93" t="str">
        <f>LEFT(VLOOKUP(Ruimtestaat[[#This Row],[Ruimte code]],Ruimtegroepen[#All],4,1),2)</f>
        <v>Le</v>
      </c>
      <c r="Q906" s="93"/>
      <c r="R906" s="84">
        <v>40</v>
      </c>
      <c r="S906" s="84" t="s">
        <v>318</v>
      </c>
      <c r="T906" s="85">
        <f>IF(R906&gt;0,IF(RIGHT(Ruimtestaat[[#This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6" s="85">
        <f>IF(T906&gt;0,VLOOKUP($J906,Ruimtegroepen[],3,FALSE)*VLOOKUP($L906,Vloersoorten[],3,FALSE)*VLOOKUP($S906,Frequenties[],3,FALSE)*VLOOKUP($A906,Locaties[],3,FALSE),0)</f>
        <v>0</v>
      </c>
      <c r="V906" s="86">
        <f>Ruimtestaat[[#This Row],[Uitvoeringen werkdagen]]*Ruimtestaat[[#This Row],[Oppervlak (netto)]]</f>
        <v>14556</v>
      </c>
      <c r="W906" s="87">
        <f>IF(U906&gt;0,Ruimtestaat[[#This Row],[Prest. (m2 /jaar) werkdagen]]/Ruimtestaat[[#This Row],[Norm (m2/uur) werkdagen]],0)</f>
        <v>0</v>
      </c>
      <c r="X906" s="88">
        <f>Ruimtestaat[[#This Row],[uren / jaar werkdagen]]*Tariefsopbouw!$E$35</f>
        <v>0</v>
      </c>
      <c r="Y906" s="85"/>
      <c r="Z906" s="89">
        <f>IF(Ruimtestaat[[#This Row],[Frequentie weekend]]&gt;0,VALUE(LEFT(Y906,1))*R906,0)</f>
        <v>0</v>
      </c>
      <c r="AA906" s="85">
        <f>IF($Z906&gt;0,VLOOKUP($J906,Ruimtegroepen[],3,FALSE)*VLOOKUP($L906,Vloersoorten[],3,FALSE)*VLOOKUP($Y906,Frequenties[],3,FALSE)*VLOOKUP(#REF!,Locaties[],3,FALSE),0)</f>
        <v>0</v>
      </c>
      <c r="AB906" s="87">
        <f>Ruimtestaat[[#This Row],[Uitvoeringen weekend]]*Ruimtestaat[[#This Row],[Oppervlak (netto)]]</f>
        <v>0</v>
      </c>
      <c r="AC906" s="90">
        <f>IF(AB906&gt;0,Ruimtestaat[[#This Row],[Prest. (m2 /jaar) weekend]]/Ruimtestaat[[#This Row],[Norm (m2/uur) weekend]],0)</f>
        <v>0</v>
      </c>
      <c r="AD906" s="91">
        <f>Ruimtestaat[[#This Row],[uren / jaar weekend]]*Tariefsopbouw!$D$40</f>
        <v>0</v>
      </c>
      <c r="AE906" s="60">
        <f>Ruimtestaat[[#This Row],[Prest. (m2 /jaar) weekend]]+Ruimtestaat[[#This Row],[Prest. (m2 /jaar) werkdagen]]</f>
        <v>14556</v>
      </c>
      <c r="AF906" s="60">
        <f>Ruimtestaat[[#This Row],[uren / jaar weekend]]+Ruimtestaat[[#This Row],[uren / jaar werkdagen]]</f>
        <v>0</v>
      </c>
      <c r="AG906" s="61">
        <f>Ruimtestaat[[#This Row],[kosten / jaar weekend]]+Ruimtestaat[[#This Row],[kosten / jaar werkdagen]]</f>
        <v>0</v>
      </c>
      <c r="AH906" s="92"/>
      <c r="HL906" s="59"/>
    </row>
    <row r="907" spans="1:220">
      <c r="A907" s="24">
        <v>6</v>
      </c>
      <c r="B907" s="24" t="str">
        <f>VLOOKUP(Ruimtestaat[[#This Row],[Code]],Locaties[#All],2,FALSE)</f>
        <v>Marke Noord</v>
      </c>
      <c r="C907" s="24" t="str">
        <f>VLOOKUP(Ruimtestaat[[#This Row],[Code]],Locaties[#All],4,FALSE)</f>
        <v>Lebuïnuslaan 1</v>
      </c>
      <c r="D907" s="24" t="str">
        <f>VLOOKUP(Ruimtestaat[[#This Row],[Code]],Locaties[#All],5,FALSE)</f>
        <v>7415 DM</v>
      </c>
      <c r="E907" s="24" t="str">
        <f>VLOOKUP(Ruimtestaat[[#This Row],[Code]],Locaties[#All],6,FALSE)</f>
        <v>Deventer</v>
      </c>
      <c r="F907" s="54"/>
      <c r="G907" s="24" t="s">
        <v>367</v>
      </c>
      <c r="H907" s="24" t="s">
        <v>1353</v>
      </c>
      <c r="I907" s="4" t="s">
        <v>667</v>
      </c>
      <c r="J907" s="24">
        <v>22</v>
      </c>
      <c r="K907" s="54" t="str">
        <f>VLOOKUP(J907,Ruimtegroepen[],2,FALSE)</f>
        <v>Niet in onderhoud</v>
      </c>
      <c r="L907" s="24" t="s">
        <v>300</v>
      </c>
      <c r="M907" s="24" t="s">
        <v>909</v>
      </c>
      <c r="N907" s="83"/>
      <c r="O907" s="83">
        <v>13.14</v>
      </c>
      <c r="P907" s="93" t="str">
        <f>LEFT(VLOOKUP(Ruimtestaat[[#This Row],[Ruimte code]],Ruimtegroepen[#All],4,1),2)</f>
        <v/>
      </c>
      <c r="Q907" s="93"/>
      <c r="R907" s="84"/>
      <c r="S907" s="84"/>
      <c r="T907" s="85">
        <f>IF(R907&gt;0,IF(RIGHT(Ruimtestaat[[#This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07" s="85">
        <f>IF(T907&gt;0,VLOOKUP($J907,Ruimtegroepen[],3,FALSE)*VLOOKUP($L907,Vloersoorten[],3,FALSE)*VLOOKUP($S907,Frequenties[],3,FALSE)*VLOOKUP($A907,Locaties[],3,FALSE),0)</f>
        <v>0</v>
      </c>
      <c r="V907" s="86">
        <f>Ruimtestaat[[#This Row],[Uitvoeringen werkdagen]]*Ruimtestaat[[#This Row],[Oppervlak (netto)]]</f>
        <v>0</v>
      </c>
      <c r="W907" s="87">
        <f>IF(U907&gt;0,Ruimtestaat[[#This Row],[Prest. (m2 /jaar) werkdagen]]/Ruimtestaat[[#This Row],[Norm (m2/uur) werkdagen]],0)</f>
        <v>0</v>
      </c>
      <c r="X907" s="88">
        <f>Ruimtestaat[[#This Row],[uren / jaar werkdagen]]*Tariefsopbouw!$E$35</f>
        <v>0</v>
      </c>
      <c r="Y907" s="85"/>
      <c r="Z907" s="89">
        <f>IF(Ruimtestaat[[#This Row],[Frequentie weekend]]&gt;0,VALUE(LEFT(Y907,1))*R907,0)</f>
        <v>0</v>
      </c>
      <c r="AA907" s="85">
        <f>IF($Z907&gt;0,VLOOKUP($J907,Ruimtegroepen[],3,FALSE)*VLOOKUP($L907,Vloersoorten[],3,FALSE)*VLOOKUP($Y907,Frequenties[],3,FALSE)*VLOOKUP(#REF!,Locaties[],3,FALSE),0)</f>
        <v>0</v>
      </c>
      <c r="AB907" s="87">
        <f>Ruimtestaat[[#This Row],[Uitvoeringen weekend]]*Ruimtestaat[[#This Row],[Oppervlak (netto)]]</f>
        <v>0</v>
      </c>
      <c r="AC907" s="90">
        <f>IF(AB907&gt;0,Ruimtestaat[[#This Row],[Prest. (m2 /jaar) weekend]]/Ruimtestaat[[#This Row],[Norm (m2/uur) weekend]],0)</f>
        <v>0</v>
      </c>
      <c r="AD907" s="91">
        <f>Ruimtestaat[[#This Row],[uren / jaar weekend]]*Tariefsopbouw!$D$40</f>
        <v>0</v>
      </c>
      <c r="AE907" s="60">
        <f>Ruimtestaat[[#This Row],[Prest. (m2 /jaar) weekend]]+Ruimtestaat[[#This Row],[Prest. (m2 /jaar) werkdagen]]</f>
        <v>0</v>
      </c>
      <c r="AF907" s="60">
        <f>Ruimtestaat[[#This Row],[uren / jaar weekend]]+Ruimtestaat[[#This Row],[uren / jaar werkdagen]]</f>
        <v>0</v>
      </c>
      <c r="AG907" s="61">
        <f>Ruimtestaat[[#This Row],[kosten / jaar weekend]]+Ruimtestaat[[#This Row],[kosten / jaar werkdagen]]</f>
        <v>0</v>
      </c>
      <c r="AH907" s="92"/>
      <c r="HL907" s="59"/>
    </row>
    <row r="908" spans="1:220">
      <c r="A908" s="24">
        <v>6</v>
      </c>
      <c r="B908" s="24" t="str">
        <f>VLOOKUP(Ruimtestaat[[#This Row],[Code]],Locaties[#All],2,FALSE)</f>
        <v>Marke Noord</v>
      </c>
      <c r="C908" s="24" t="str">
        <f>VLOOKUP(Ruimtestaat[[#This Row],[Code]],Locaties[#All],4,FALSE)</f>
        <v>Lebuïnuslaan 1</v>
      </c>
      <c r="D908" s="24" t="str">
        <f>VLOOKUP(Ruimtestaat[[#This Row],[Code]],Locaties[#All],5,FALSE)</f>
        <v>7415 DM</v>
      </c>
      <c r="E908" s="24" t="str">
        <f>VLOOKUP(Ruimtestaat[[#This Row],[Code]],Locaties[#All],6,FALSE)</f>
        <v>Deventer</v>
      </c>
      <c r="F908" s="54"/>
      <c r="G908" s="24" t="s">
        <v>367</v>
      </c>
      <c r="H908" s="24" t="s">
        <v>1354</v>
      </c>
      <c r="I908" s="4" t="s">
        <v>667</v>
      </c>
      <c r="J908" s="24">
        <v>22</v>
      </c>
      <c r="K908" s="54" t="str">
        <f>VLOOKUP(J908,Ruimtegroepen[],2,FALSE)</f>
        <v>Niet in onderhoud</v>
      </c>
      <c r="L908" s="24" t="s">
        <v>300</v>
      </c>
      <c r="M908" s="24" t="s">
        <v>909</v>
      </c>
      <c r="N908" s="83"/>
      <c r="O908" s="83">
        <v>26.79</v>
      </c>
      <c r="P908" s="93" t="str">
        <f>LEFT(VLOOKUP(Ruimtestaat[[#This Row],[Ruimte code]],Ruimtegroepen[#All],4,1),2)</f>
        <v/>
      </c>
      <c r="Q908" s="93"/>
      <c r="R908" s="84"/>
      <c r="S908" s="84"/>
      <c r="T908" s="85">
        <f>IF(R908&gt;0,IF(RIGHT(Ruimtestaat[[#This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08" s="85">
        <f>IF(T908&gt;0,VLOOKUP($J908,Ruimtegroepen[],3,FALSE)*VLOOKUP($L908,Vloersoorten[],3,FALSE)*VLOOKUP($S908,Frequenties[],3,FALSE)*VLOOKUP($A908,Locaties[],3,FALSE),0)</f>
        <v>0</v>
      </c>
      <c r="V908" s="86">
        <f>Ruimtestaat[[#This Row],[Uitvoeringen werkdagen]]*Ruimtestaat[[#This Row],[Oppervlak (netto)]]</f>
        <v>0</v>
      </c>
      <c r="W908" s="87">
        <f>IF(U908&gt;0,Ruimtestaat[[#This Row],[Prest. (m2 /jaar) werkdagen]]/Ruimtestaat[[#This Row],[Norm (m2/uur) werkdagen]],0)</f>
        <v>0</v>
      </c>
      <c r="X908" s="88">
        <f>Ruimtestaat[[#This Row],[uren / jaar werkdagen]]*Tariefsopbouw!$E$35</f>
        <v>0</v>
      </c>
      <c r="Y908" s="85"/>
      <c r="Z908" s="89">
        <f>IF(Ruimtestaat[[#This Row],[Frequentie weekend]]&gt;0,VALUE(LEFT(Y908,1))*R908,0)</f>
        <v>0</v>
      </c>
      <c r="AA908" s="85">
        <f>IF($Z908&gt;0,VLOOKUP($J908,Ruimtegroepen[],3,FALSE)*VLOOKUP($L908,Vloersoorten[],3,FALSE)*VLOOKUP($Y908,Frequenties[],3,FALSE)*VLOOKUP(#REF!,Locaties[],3,FALSE),0)</f>
        <v>0</v>
      </c>
      <c r="AB908" s="87">
        <f>Ruimtestaat[[#This Row],[Uitvoeringen weekend]]*Ruimtestaat[[#This Row],[Oppervlak (netto)]]</f>
        <v>0</v>
      </c>
      <c r="AC908" s="90">
        <f>IF(AB908&gt;0,Ruimtestaat[[#This Row],[Prest. (m2 /jaar) weekend]]/Ruimtestaat[[#This Row],[Norm (m2/uur) weekend]],0)</f>
        <v>0</v>
      </c>
      <c r="AD908" s="91">
        <f>Ruimtestaat[[#This Row],[uren / jaar weekend]]*Tariefsopbouw!$D$40</f>
        <v>0</v>
      </c>
      <c r="AE908" s="60">
        <f>Ruimtestaat[[#This Row],[Prest. (m2 /jaar) weekend]]+Ruimtestaat[[#This Row],[Prest. (m2 /jaar) werkdagen]]</f>
        <v>0</v>
      </c>
      <c r="AF908" s="60">
        <f>Ruimtestaat[[#This Row],[uren / jaar weekend]]+Ruimtestaat[[#This Row],[uren / jaar werkdagen]]</f>
        <v>0</v>
      </c>
      <c r="AG908" s="61">
        <f>Ruimtestaat[[#This Row],[kosten / jaar weekend]]+Ruimtestaat[[#This Row],[kosten / jaar werkdagen]]</f>
        <v>0</v>
      </c>
      <c r="AH908" s="92"/>
      <c r="HL908" s="59"/>
    </row>
    <row r="909" spans="1:220">
      <c r="A909" s="24">
        <v>6</v>
      </c>
      <c r="B909" s="24" t="str">
        <f>VLOOKUP(Ruimtestaat[[#This Row],[Code]],Locaties[#All],2,FALSE)</f>
        <v>Marke Noord</v>
      </c>
      <c r="C909" s="24" t="str">
        <f>VLOOKUP(Ruimtestaat[[#This Row],[Code]],Locaties[#All],4,FALSE)</f>
        <v>Lebuïnuslaan 1</v>
      </c>
      <c r="D909" s="24" t="str">
        <f>VLOOKUP(Ruimtestaat[[#This Row],[Code]],Locaties[#All],5,FALSE)</f>
        <v>7415 DM</v>
      </c>
      <c r="E909" s="24" t="str">
        <f>VLOOKUP(Ruimtestaat[[#This Row],[Code]],Locaties[#All],6,FALSE)</f>
        <v>Deventer</v>
      </c>
      <c r="F909" s="54"/>
      <c r="G909" s="24" t="s">
        <v>367</v>
      </c>
      <c r="H909" s="24" t="s">
        <v>1355</v>
      </c>
      <c r="I909" s="4" t="s">
        <v>1356</v>
      </c>
      <c r="J909" s="24">
        <v>12</v>
      </c>
      <c r="K909" s="54" t="str">
        <f>VLOOKUP(J909,Ruimtegroepen[],2,FALSE)</f>
        <v>Kantine</v>
      </c>
      <c r="L909" s="24" t="s">
        <v>300</v>
      </c>
      <c r="M909" s="24" t="s">
        <v>909</v>
      </c>
      <c r="N909" s="83">
        <v>589.16</v>
      </c>
      <c r="O909" s="83"/>
      <c r="P909" s="93" t="str">
        <f>LEFT(VLOOKUP(Ruimtestaat[[#This Row],[Ruimte code]],Ruimtegroepen[#All],4,1),2)</f>
        <v>Ve</v>
      </c>
      <c r="Q909" s="93"/>
      <c r="R909" s="84">
        <v>40</v>
      </c>
      <c r="S909" s="84" t="s">
        <v>318</v>
      </c>
      <c r="T909" s="85">
        <f>IF(R909&gt;0,IF(RIGHT(Ruimtestaat[[#This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9" s="85">
        <f>IF(T909&gt;0,VLOOKUP($J909,Ruimtegroepen[],3,FALSE)*VLOOKUP($L909,Vloersoorten[],3,FALSE)*VLOOKUP($S909,Frequenties[],3,FALSE)*VLOOKUP($A909,Locaties[],3,FALSE),0)</f>
        <v>0</v>
      </c>
      <c r="V909" s="86">
        <f>Ruimtestaat[[#This Row],[Uitvoeringen werkdagen]]*Ruimtestaat[[#This Row],[Oppervlak (netto)]]</f>
        <v>117832</v>
      </c>
      <c r="W909" s="87">
        <f>IF(U909&gt;0,Ruimtestaat[[#This Row],[Prest. (m2 /jaar) werkdagen]]/Ruimtestaat[[#This Row],[Norm (m2/uur) werkdagen]],0)</f>
        <v>0</v>
      </c>
      <c r="X909" s="88">
        <f>Ruimtestaat[[#This Row],[uren / jaar werkdagen]]*Tariefsopbouw!$E$35</f>
        <v>0</v>
      </c>
      <c r="Y909" s="85"/>
      <c r="Z909" s="89">
        <f>IF(Ruimtestaat[[#This Row],[Frequentie weekend]]&gt;0,VALUE(LEFT(Y909,1))*R909,0)</f>
        <v>0</v>
      </c>
      <c r="AA909" s="85">
        <f>IF($Z909&gt;0,VLOOKUP($J909,Ruimtegroepen[],3,FALSE)*VLOOKUP($L909,Vloersoorten[],3,FALSE)*VLOOKUP($Y909,Frequenties[],3,FALSE)*VLOOKUP(#REF!,Locaties[],3,FALSE),0)</f>
        <v>0</v>
      </c>
      <c r="AB909" s="87">
        <f>Ruimtestaat[[#This Row],[Uitvoeringen weekend]]*Ruimtestaat[[#This Row],[Oppervlak (netto)]]</f>
        <v>0</v>
      </c>
      <c r="AC909" s="90">
        <f>IF(AB909&gt;0,Ruimtestaat[[#This Row],[Prest. (m2 /jaar) weekend]]/Ruimtestaat[[#This Row],[Norm (m2/uur) weekend]],0)</f>
        <v>0</v>
      </c>
      <c r="AD909" s="91">
        <f>Ruimtestaat[[#This Row],[uren / jaar weekend]]*Tariefsopbouw!$D$40</f>
        <v>0</v>
      </c>
      <c r="AE909" s="60">
        <f>Ruimtestaat[[#This Row],[Prest. (m2 /jaar) weekend]]+Ruimtestaat[[#This Row],[Prest. (m2 /jaar) werkdagen]]</f>
        <v>117832</v>
      </c>
      <c r="AF909" s="60">
        <f>Ruimtestaat[[#This Row],[uren / jaar weekend]]+Ruimtestaat[[#This Row],[uren / jaar werkdagen]]</f>
        <v>0</v>
      </c>
      <c r="AG909" s="61">
        <f>Ruimtestaat[[#This Row],[kosten / jaar weekend]]+Ruimtestaat[[#This Row],[kosten / jaar werkdagen]]</f>
        <v>0</v>
      </c>
      <c r="AH909" s="92"/>
      <c r="HL909" s="59"/>
    </row>
    <row r="910" spans="1:220">
      <c r="A910" s="24">
        <v>6</v>
      </c>
      <c r="B910" s="24" t="str">
        <f>VLOOKUP(Ruimtestaat[[#This Row],[Code]],Locaties[#All],2,FALSE)</f>
        <v>Marke Noord</v>
      </c>
      <c r="C910" s="24" t="str">
        <f>VLOOKUP(Ruimtestaat[[#This Row],[Code]],Locaties[#All],4,FALSE)</f>
        <v>Lebuïnuslaan 1</v>
      </c>
      <c r="D910" s="24" t="str">
        <f>VLOOKUP(Ruimtestaat[[#This Row],[Code]],Locaties[#All],5,FALSE)</f>
        <v>7415 DM</v>
      </c>
      <c r="E910" s="24" t="str">
        <f>VLOOKUP(Ruimtestaat[[#This Row],[Code]],Locaties[#All],6,FALSE)</f>
        <v>Deventer</v>
      </c>
      <c r="F910" s="54"/>
      <c r="G910" s="24" t="s">
        <v>367</v>
      </c>
      <c r="H910" s="24" t="s">
        <v>1357</v>
      </c>
      <c r="I910" s="4" t="s">
        <v>375</v>
      </c>
      <c r="J910" s="24">
        <v>22</v>
      </c>
      <c r="K910" s="54" t="str">
        <f>VLOOKUP(J910,Ruimtegroepen[],2,FALSE)</f>
        <v>Niet in onderhoud</v>
      </c>
      <c r="L910" s="24" t="s">
        <v>300</v>
      </c>
      <c r="M910" s="24" t="s">
        <v>909</v>
      </c>
      <c r="N910" s="83"/>
      <c r="O910" s="83">
        <v>1.75</v>
      </c>
      <c r="P910" s="93" t="str">
        <f>LEFT(VLOOKUP(Ruimtestaat[[#This Row],[Ruimte code]],Ruimtegroepen[#All],4,1),2)</f>
        <v/>
      </c>
      <c r="Q910" s="93"/>
      <c r="R910" s="84"/>
      <c r="S910" s="84"/>
      <c r="T910" s="85">
        <f>IF(R910&gt;0,IF(RIGHT(Ruimtestaat[[#This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0" s="85">
        <f>IF(T910&gt;0,VLOOKUP($J910,Ruimtegroepen[],3,FALSE)*VLOOKUP($L910,Vloersoorten[],3,FALSE)*VLOOKUP($S910,Frequenties[],3,FALSE)*VLOOKUP($A910,Locaties[],3,FALSE),0)</f>
        <v>0</v>
      </c>
      <c r="V910" s="86">
        <f>Ruimtestaat[[#This Row],[Uitvoeringen werkdagen]]*Ruimtestaat[[#This Row],[Oppervlak (netto)]]</f>
        <v>0</v>
      </c>
      <c r="W910" s="87">
        <f>IF(U910&gt;0,Ruimtestaat[[#This Row],[Prest. (m2 /jaar) werkdagen]]/Ruimtestaat[[#This Row],[Norm (m2/uur) werkdagen]],0)</f>
        <v>0</v>
      </c>
      <c r="X910" s="88">
        <f>Ruimtestaat[[#This Row],[uren / jaar werkdagen]]*Tariefsopbouw!$E$35</f>
        <v>0</v>
      </c>
      <c r="Y910" s="85"/>
      <c r="Z910" s="89">
        <f>IF(Ruimtestaat[[#This Row],[Frequentie weekend]]&gt;0,VALUE(LEFT(Y910,1))*R910,0)</f>
        <v>0</v>
      </c>
      <c r="AA910" s="85">
        <f>IF($Z910&gt;0,VLOOKUP($J910,Ruimtegroepen[],3,FALSE)*VLOOKUP($L910,Vloersoorten[],3,FALSE)*VLOOKUP($Y910,Frequenties[],3,FALSE)*VLOOKUP(#REF!,Locaties[],3,FALSE),0)</f>
        <v>0</v>
      </c>
      <c r="AB910" s="87">
        <f>Ruimtestaat[[#This Row],[Uitvoeringen weekend]]*Ruimtestaat[[#This Row],[Oppervlak (netto)]]</f>
        <v>0</v>
      </c>
      <c r="AC910" s="90">
        <f>IF(AB910&gt;0,Ruimtestaat[[#This Row],[Prest. (m2 /jaar) weekend]]/Ruimtestaat[[#This Row],[Norm (m2/uur) weekend]],0)</f>
        <v>0</v>
      </c>
      <c r="AD910" s="91">
        <f>Ruimtestaat[[#This Row],[uren / jaar weekend]]*Tariefsopbouw!$D$40</f>
        <v>0</v>
      </c>
      <c r="AE910" s="60">
        <f>Ruimtestaat[[#This Row],[Prest. (m2 /jaar) weekend]]+Ruimtestaat[[#This Row],[Prest. (m2 /jaar) werkdagen]]</f>
        <v>0</v>
      </c>
      <c r="AF910" s="60">
        <f>Ruimtestaat[[#This Row],[uren / jaar weekend]]+Ruimtestaat[[#This Row],[uren / jaar werkdagen]]</f>
        <v>0</v>
      </c>
      <c r="AG910" s="61">
        <f>Ruimtestaat[[#This Row],[kosten / jaar weekend]]+Ruimtestaat[[#This Row],[kosten / jaar werkdagen]]</f>
        <v>0</v>
      </c>
      <c r="AH910" s="92"/>
      <c r="HL910" s="59"/>
    </row>
    <row r="911" spans="1:220">
      <c r="A911" s="24">
        <v>6</v>
      </c>
      <c r="B911" s="24" t="str">
        <f>VLOOKUP(Ruimtestaat[[#This Row],[Code]],Locaties[#All],2,FALSE)</f>
        <v>Marke Noord</v>
      </c>
      <c r="C911" s="24" t="str">
        <f>VLOOKUP(Ruimtestaat[[#This Row],[Code]],Locaties[#All],4,FALSE)</f>
        <v>Lebuïnuslaan 1</v>
      </c>
      <c r="D911" s="24" t="str">
        <f>VLOOKUP(Ruimtestaat[[#This Row],[Code]],Locaties[#All],5,FALSE)</f>
        <v>7415 DM</v>
      </c>
      <c r="E911" s="24" t="str">
        <f>VLOOKUP(Ruimtestaat[[#This Row],[Code]],Locaties[#All],6,FALSE)</f>
        <v>Deventer</v>
      </c>
      <c r="F911" s="54"/>
      <c r="G911" s="24" t="s">
        <v>367</v>
      </c>
      <c r="H911" s="24" t="s">
        <v>1358</v>
      </c>
      <c r="I911" s="4" t="s">
        <v>375</v>
      </c>
      <c r="J911" s="24">
        <v>22</v>
      </c>
      <c r="K911" s="54" t="str">
        <f>VLOOKUP(J911,Ruimtegroepen[],2,FALSE)</f>
        <v>Niet in onderhoud</v>
      </c>
      <c r="L911" s="24" t="s">
        <v>300</v>
      </c>
      <c r="M911" s="24" t="s">
        <v>909</v>
      </c>
      <c r="N911" s="83"/>
      <c r="O911" s="83">
        <v>0.41</v>
      </c>
      <c r="P911" s="93" t="str">
        <f>LEFT(VLOOKUP(Ruimtestaat[[#This Row],[Ruimte code]],Ruimtegroepen[#All],4,1),2)</f>
        <v/>
      </c>
      <c r="Q911" s="93"/>
      <c r="R911" s="84"/>
      <c r="S911" s="84"/>
      <c r="T911" s="85">
        <f>IF(R911&gt;0,IF(RIGHT(Ruimtestaat[[#This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1" s="85">
        <f>IF(T911&gt;0,VLOOKUP($J911,Ruimtegroepen[],3,FALSE)*VLOOKUP($L911,Vloersoorten[],3,FALSE)*VLOOKUP($S911,Frequenties[],3,FALSE)*VLOOKUP($A911,Locaties[],3,FALSE),0)</f>
        <v>0</v>
      </c>
      <c r="V911" s="86">
        <f>Ruimtestaat[[#This Row],[Uitvoeringen werkdagen]]*Ruimtestaat[[#This Row],[Oppervlak (netto)]]</f>
        <v>0</v>
      </c>
      <c r="W911" s="87">
        <f>IF(U911&gt;0,Ruimtestaat[[#This Row],[Prest. (m2 /jaar) werkdagen]]/Ruimtestaat[[#This Row],[Norm (m2/uur) werkdagen]],0)</f>
        <v>0</v>
      </c>
      <c r="X911" s="88">
        <f>Ruimtestaat[[#This Row],[uren / jaar werkdagen]]*Tariefsopbouw!$E$35</f>
        <v>0</v>
      </c>
      <c r="Y911" s="85"/>
      <c r="Z911" s="89">
        <f>IF(Ruimtestaat[[#This Row],[Frequentie weekend]]&gt;0,VALUE(LEFT(Y911,1))*R911,0)</f>
        <v>0</v>
      </c>
      <c r="AA911" s="85">
        <f>IF($Z911&gt;0,VLOOKUP($J911,Ruimtegroepen[],3,FALSE)*VLOOKUP($L911,Vloersoorten[],3,FALSE)*VLOOKUP($Y911,Frequenties[],3,FALSE)*VLOOKUP(#REF!,Locaties[],3,FALSE),0)</f>
        <v>0</v>
      </c>
      <c r="AB911" s="87">
        <f>Ruimtestaat[[#This Row],[Uitvoeringen weekend]]*Ruimtestaat[[#This Row],[Oppervlak (netto)]]</f>
        <v>0</v>
      </c>
      <c r="AC911" s="90">
        <f>IF(AB911&gt;0,Ruimtestaat[[#This Row],[Prest. (m2 /jaar) weekend]]/Ruimtestaat[[#This Row],[Norm (m2/uur) weekend]],0)</f>
        <v>0</v>
      </c>
      <c r="AD911" s="91">
        <f>Ruimtestaat[[#This Row],[uren / jaar weekend]]*Tariefsopbouw!$D$40</f>
        <v>0</v>
      </c>
      <c r="AE911" s="60">
        <f>Ruimtestaat[[#This Row],[Prest. (m2 /jaar) weekend]]+Ruimtestaat[[#This Row],[Prest. (m2 /jaar) werkdagen]]</f>
        <v>0</v>
      </c>
      <c r="AF911" s="60">
        <f>Ruimtestaat[[#This Row],[uren / jaar weekend]]+Ruimtestaat[[#This Row],[uren / jaar werkdagen]]</f>
        <v>0</v>
      </c>
      <c r="AG911" s="61">
        <f>Ruimtestaat[[#This Row],[kosten / jaar weekend]]+Ruimtestaat[[#This Row],[kosten / jaar werkdagen]]</f>
        <v>0</v>
      </c>
      <c r="AH911" s="92"/>
      <c r="HL911" s="59"/>
    </row>
    <row r="912" spans="1:220">
      <c r="A912" s="24">
        <v>6</v>
      </c>
      <c r="B912" s="24" t="str">
        <f>VLOOKUP(Ruimtestaat[[#This Row],[Code]],Locaties[#All],2,FALSE)</f>
        <v>Marke Noord</v>
      </c>
      <c r="C912" s="24" t="str">
        <f>VLOOKUP(Ruimtestaat[[#This Row],[Code]],Locaties[#All],4,FALSE)</f>
        <v>Lebuïnuslaan 1</v>
      </c>
      <c r="D912" s="24" t="str">
        <f>VLOOKUP(Ruimtestaat[[#This Row],[Code]],Locaties[#All],5,FALSE)</f>
        <v>7415 DM</v>
      </c>
      <c r="E912" s="24" t="str">
        <f>VLOOKUP(Ruimtestaat[[#This Row],[Code]],Locaties[#All],6,FALSE)</f>
        <v>Deventer</v>
      </c>
      <c r="F912" s="54"/>
      <c r="G912" s="24" t="s">
        <v>367</v>
      </c>
      <c r="H912" s="24" t="s">
        <v>1359</v>
      </c>
      <c r="I912" s="4" t="s">
        <v>1360</v>
      </c>
      <c r="J912" s="24">
        <v>16</v>
      </c>
      <c r="K912" s="54" t="str">
        <f>VLOOKUP(J912,Ruimtegroepen[],2,FALSE)</f>
        <v>Leslokalen theorie</v>
      </c>
      <c r="L912" s="24" t="s">
        <v>300</v>
      </c>
      <c r="M912" s="24" t="s">
        <v>909</v>
      </c>
      <c r="N912" s="83">
        <v>12.89</v>
      </c>
      <c r="O912" s="83"/>
      <c r="P912" s="93" t="str">
        <f>LEFT(VLOOKUP(Ruimtestaat[[#This Row],[Ruimte code]],Ruimtegroepen[#All],4,1),2)</f>
        <v>Le</v>
      </c>
      <c r="Q912" s="93"/>
      <c r="R912" s="84">
        <v>40</v>
      </c>
      <c r="S912" s="84" t="s">
        <v>318</v>
      </c>
      <c r="T912" s="85">
        <f>IF(R912&gt;0,IF(RIGHT(Ruimtestaat[[#This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2" s="85">
        <f>IF(T912&gt;0,VLOOKUP($J912,Ruimtegroepen[],3,FALSE)*VLOOKUP($L912,Vloersoorten[],3,FALSE)*VLOOKUP($S912,Frequenties[],3,FALSE)*VLOOKUP($A912,Locaties[],3,FALSE),0)</f>
        <v>0</v>
      </c>
      <c r="V912" s="86">
        <f>Ruimtestaat[[#This Row],[Uitvoeringen werkdagen]]*Ruimtestaat[[#This Row],[Oppervlak (netto)]]</f>
        <v>2578</v>
      </c>
      <c r="W912" s="87">
        <f>IF(U912&gt;0,Ruimtestaat[[#This Row],[Prest. (m2 /jaar) werkdagen]]/Ruimtestaat[[#This Row],[Norm (m2/uur) werkdagen]],0)</f>
        <v>0</v>
      </c>
      <c r="X912" s="88">
        <f>Ruimtestaat[[#This Row],[uren / jaar werkdagen]]*Tariefsopbouw!$E$35</f>
        <v>0</v>
      </c>
      <c r="Y912" s="85"/>
      <c r="Z912" s="89">
        <f>IF(Ruimtestaat[[#This Row],[Frequentie weekend]]&gt;0,VALUE(LEFT(Y912,1))*R912,0)</f>
        <v>0</v>
      </c>
      <c r="AA912" s="85">
        <f>IF($Z912&gt;0,VLOOKUP($J912,Ruimtegroepen[],3,FALSE)*VLOOKUP($L912,Vloersoorten[],3,FALSE)*VLOOKUP($Y912,Frequenties[],3,FALSE)*VLOOKUP(#REF!,Locaties[],3,FALSE),0)</f>
        <v>0</v>
      </c>
      <c r="AB912" s="87">
        <f>Ruimtestaat[[#This Row],[Uitvoeringen weekend]]*Ruimtestaat[[#This Row],[Oppervlak (netto)]]</f>
        <v>0</v>
      </c>
      <c r="AC912" s="90">
        <f>IF(AB912&gt;0,Ruimtestaat[[#This Row],[Prest. (m2 /jaar) weekend]]/Ruimtestaat[[#This Row],[Norm (m2/uur) weekend]],0)</f>
        <v>0</v>
      </c>
      <c r="AD912" s="91">
        <f>Ruimtestaat[[#This Row],[uren / jaar weekend]]*Tariefsopbouw!$D$40</f>
        <v>0</v>
      </c>
      <c r="AE912" s="60">
        <f>Ruimtestaat[[#This Row],[Prest. (m2 /jaar) weekend]]+Ruimtestaat[[#This Row],[Prest. (m2 /jaar) werkdagen]]</f>
        <v>2578</v>
      </c>
      <c r="AF912" s="60">
        <f>Ruimtestaat[[#This Row],[uren / jaar weekend]]+Ruimtestaat[[#This Row],[uren / jaar werkdagen]]</f>
        <v>0</v>
      </c>
      <c r="AG912" s="61">
        <f>Ruimtestaat[[#This Row],[kosten / jaar weekend]]+Ruimtestaat[[#This Row],[kosten / jaar werkdagen]]</f>
        <v>0</v>
      </c>
      <c r="AH912" s="92"/>
      <c r="HL912" s="59"/>
    </row>
    <row r="913" spans="1:220">
      <c r="A913" s="24">
        <v>6</v>
      </c>
      <c r="B913" s="24" t="str">
        <f>VLOOKUP(Ruimtestaat[[#This Row],[Code]],Locaties[#All],2,FALSE)</f>
        <v>Marke Noord</v>
      </c>
      <c r="C913" s="24" t="str">
        <f>VLOOKUP(Ruimtestaat[[#This Row],[Code]],Locaties[#All],4,FALSE)</f>
        <v>Lebuïnuslaan 1</v>
      </c>
      <c r="D913" s="24" t="str">
        <f>VLOOKUP(Ruimtestaat[[#This Row],[Code]],Locaties[#All],5,FALSE)</f>
        <v>7415 DM</v>
      </c>
      <c r="E913" s="24" t="str">
        <f>VLOOKUP(Ruimtestaat[[#This Row],[Code]],Locaties[#All],6,FALSE)</f>
        <v>Deventer</v>
      </c>
      <c r="F913" s="54"/>
      <c r="G913" s="24" t="s">
        <v>367</v>
      </c>
      <c r="H913" s="24" t="s">
        <v>390</v>
      </c>
      <c r="I913" s="4" t="s">
        <v>667</v>
      </c>
      <c r="J913" s="24">
        <v>22</v>
      </c>
      <c r="K913" s="54" t="str">
        <f>VLOOKUP(J913,Ruimtegroepen[],2,FALSE)</f>
        <v>Niet in onderhoud</v>
      </c>
      <c r="L913" s="24" t="s">
        <v>300</v>
      </c>
      <c r="M913" s="24" t="s">
        <v>909</v>
      </c>
      <c r="N913" s="83"/>
      <c r="O913" s="83">
        <v>12.18</v>
      </c>
      <c r="P913" s="93" t="str">
        <f>LEFT(VLOOKUP(Ruimtestaat[[#This Row],[Ruimte code]],Ruimtegroepen[#All],4,1),2)</f>
        <v/>
      </c>
      <c r="Q913" s="93"/>
      <c r="R913" s="84"/>
      <c r="S913" s="84"/>
      <c r="T913" s="85">
        <f>IF(R913&gt;0,IF(RIGHT(Ruimtestaat[[#This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3" s="85">
        <f>IF(T913&gt;0,VLOOKUP($J913,Ruimtegroepen[],3,FALSE)*VLOOKUP($L913,Vloersoorten[],3,FALSE)*VLOOKUP($S913,Frequenties[],3,FALSE)*VLOOKUP($A913,Locaties[],3,FALSE),0)</f>
        <v>0</v>
      </c>
      <c r="V913" s="86">
        <f>Ruimtestaat[[#This Row],[Uitvoeringen werkdagen]]*Ruimtestaat[[#This Row],[Oppervlak (netto)]]</f>
        <v>0</v>
      </c>
      <c r="W913" s="87">
        <f>IF(U913&gt;0,Ruimtestaat[[#This Row],[Prest. (m2 /jaar) werkdagen]]/Ruimtestaat[[#This Row],[Norm (m2/uur) werkdagen]],0)</f>
        <v>0</v>
      </c>
      <c r="X913" s="88">
        <f>Ruimtestaat[[#This Row],[uren / jaar werkdagen]]*Tariefsopbouw!$E$35</f>
        <v>0</v>
      </c>
      <c r="Y913" s="85"/>
      <c r="Z913" s="89">
        <f>IF(Ruimtestaat[[#This Row],[Frequentie weekend]]&gt;0,VALUE(LEFT(Y913,1))*R913,0)</f>
        <v>0</v>
      </c>
      <c r="AA913" s="85">
        <f>IF($Z913&gt;0,VLOOKUP($J913,Ruimtegroepen[],3,FALSE)*VLOOKUP($L913,Vloersoorten[],3,FALSE)*VLOOKUP($Y913,Frequenties[],3,FALSE)*VLOOKUP(#REF!,Locaties[],3,FALSE),0)</f>
        <v>0</v>
      </c>
      <c r="AB913" s="87">
        <f>Ruimtestaat[[#This Row],[Uitvoeringen weekend]]*Ruimtestaat[[#This Row],[Oppervlak (netto)]]</f>
        <v>0</v>
      </c>
      <c r="AC913" s="90">
        <f>IF(AB913&gt;0,Ruimtestaat[[#This Row],[Prest. (m2 /jaar) weekend]]/Ruimtestaat[[#This Row],[Norm (m2/uur) weekend]],0)</f>
        <v>0</v>
      </c>
      <c r="AD913" s="91">
        <f>Ruimtestaat[[#This Row],[uren / jaar weekend]]*Tariefsopbouw!$D$40</f>
        <v>0</v>
      </c>
      <c r="AE913" s="60">
        <f>Ruimtestaat[[#This Row],[Prest. (m2 /jaar) weekend]]+Ruimtestaat[[#This Row],[Prest. (m2 /jaar) werkdagen]]</f>
        <v>0</v>
      </c>
      <c r="AF913" s="60">
        <f>Ruimtestaat[[#This Row],[uren / jaar weekend]]+Ruimtestaat[[#This Row],[uren / jaar werkdagen]]</f>
        <v>0</v>
      </c>
      <c r="AG913" s="61">
        <f>Ruimtestaat[[#This Row],[kosten / jaar weekend]]+Ruimtestaat[[#This Row],[kosten / jaar werkdagen]]</f>
        <v>0</v>
      </c>
      <c r="AH913" s="92"/>
      <c r="HL913" s="59"/>
    </row>
    <row r="914" spans="1:220">
      <c r="A914" s="24">
        <v>6</v>
      </c>
      <c r="B914" s="24" t="str">
        <f>VLOOKUP(Ruimtestaat[[#This Row],[Code]],Locaties[#All],2,FALSE)</f>
        <v>Marke Noord</v>
      </c>
      <c r="C914" s="24" t="str">
        <f>VLOOKUP(Ruimtestaat[[#This Row],[Code]],Locaties[#All],4,FALSE)</f>
        <v>Lebuïnuslaan 1</v>
      </c>
      <c r="D914" s="24" t="str">
        <f>VLOOKUP(Ruimtestaat[[#This Row],[Code]],Locaties[#All],5,FALSE)</f>
        <v>7415 DM</v>
      </c>
      <c r="E914" s="24" t="str">
        <f>VLOOKUP(Ruimtestaat[[#This Row],[Code]],Locaties[#All],6,FALSE)</f>
        <v>Deventer</v>
      </c>
      <c r="F914" s="54"/>
      <c r="G914" s="24" t="s">
        <v>367</v>
      </c>
      <c r="H914" s="24" t="s">
        <v>392</v>
      </c>
      <c r="I914" s="4" t="s">
        <v>667</v>
      </c>
      <c r="J914" s="24">
        <v>22</v>
      </c>
      <c r="K914" s="54" t="str">
        <f>VLOOKUP(J914,Ruimtegroepen[],2,FALSE)</f>
        <v>Niet in onderhoud</v>
      </c>
      <c r="L914" s="24" t="s">
        <v>300</v>
      </c>
      <c r="M914" s="24" t="s">
        <v>909</v>
      </c>
      <c r="N914" s="83"/>
      <c r="O914" s="83">
        <v>12.92</v>
      </c>
      <c r="P914" s="93" t="str">
        <f>LEFT(VLOOKUP(Ruimtestaat[[#This Row],[Ruimte code]],Ruimtegroepen[#All],4,1),2)</f>
        <v/>
      </c>
      <c r="Q914" s="93"/>
      <c r="R914" s="84"/>
      <c r="S914" s="84"/>
      <c r="T914" s="85">
        <f>IF(R914&gt;0,IF(RIGHT(Ruimtestaat[[#This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4" s="85">
        <f>IF(T914&gt;0,VLOOKUP($J914,Ruimtegroepen[],3,FALSE)*VLOOKUP($L914,Vloersoorten[],3,FALSE)*VLOOKUP($S914,Frequenties[],3,FALSE)*VLOOKUP($A914,Locaties[],3,FALSE),0)</f>
        <v>0</v>
      </c>
      <c r="V914" s="86">
        <f>Ruimtestaat[[#This Row],[Uitvoeringen werkdagen]]*Ruimtestaat[[#This Row],[Oppervlak (netto)]]</f>
        <v>0</v>
      </c>
      <c r="W914" s="87">
        <f>IF(U914&gt;0,Ruimtestaat[[#This Row],[Prest. (m2 /jaar) werkdagen]]/Ruimtestaat[[#This Row],[Norm (m2/uur) werkdagen]],0)</f>
        <v>0</v>
      </c>
      <c r="X914" s="88">
        <f>Ruimtestaat[[#This Row],[uren / jaar werkdagen]]*Tariefsopbouw!$E$35</f>
        <v>0</v>
      </c>
      <c r="Y914" s="85"/>
      <c r="Z914" s="89">
        <f>IF(Ruimtestaat[[#This Row],[Frequentie weekend]]&gt;0,VALUE(LEFT(Y914,1))*R914,0)</f>
        <v>0</v>
      </c>
      <c r="AA914" s="85">
        <f>IF($Z914&gt;0,VLOOKUP($J914,Ruimtegroepen[],3,FALSE)*VLOOKUP($L914,Vloersoorten[],3,FALSE)*VLOOKUP($Y914,Frequenties[],3,FALSE)*VLOOKUP(#REF!,Locaties[],3,FALSE),0)</f>
        <v>0</v>
      </c>
      <c r="AB914" s="87">
        <f>Ruimtestaat[[#This Row],[Uitvoeringen weekend]]*Ruimtestaat[[#This Row],[Oppervlak (netto)]]</f>
        <v>0</v>
      </c>
      <c r="AC914" s="90">
        <f>IF(AB914&gt;0,Ruimtestaat[[#This Row],[Prest. (m2 /jaar) weekend]]/Ruimtestaat[[#This Row],[Norm (m2/uur) weekend]],0)</f>
        <v>0</v>
      </c>
      <c r="AD914" s="91">
        <f>Ruimtestaat[[#This Row],[uren / jaar weekend]]*Tariefsopbouw!$D$40</f>
        <v>0</v>
      </c>
      <c r="AE914" s="60">
        <f>Ruimtestaat[[#This Row],[Prest. (m2 /jaar) weekend]]+Ruimtestaat[[#This Row],[Prest. (m2 /jaar) werkdagen]]</f>
        <v>0</v>
      </c>
      <c r="AF914" s="60">
        <f>Ruimtestaat[[#This Row],[uren / jaar weekend]]+Ruimtestaat[[#This Row],[uren / jaar werkdagen]]</f>
        <v>0</v>
      </c>
      <c r="AG914" s="61">
        <f>Ruimtestaat[[#This Row],[kosten / jaar weekend]]+Ruimtestaat[[#This Row],[kosten / jaar werkdagen]]</f>
        <v>0</v>
      </c>
      <c r="AH914" s="92"/>
      <c r="HL914" s="59"/>
    </row>
    <row r="915" spans="1:220">
      <c r="A915" s="24">
        <v>6</v>
      </c>
      <c r="B915" s="24" t="str">
        <f>VLOOKUP(Ruimtestaat[[#This Row],[Code]],Locaties[#All],2,FALSE)</f>
        <v>Marke Noord</v>
      </c>
      <c r="C915" s="24" t="str">
        <f>VLOOKUP(Ruimtestaat[[#This Row],[Code]],Locaties[#All],4,FALSE)</f>
        <v>Lebuïnuslaan 1</v>
      </c>
      <c r="D915" s="24" t="str">
        <f>VLOOKUP(Ruimtestaat[[#This Row],[Code]],Locaties[#All],5,FALSE)</f>
        <v>7415 DM</v>
      </c>
      <c r="E915" s="24" t="str">
        <f>VLOOKUP(Ruimtestaat[[#This Row],[Code]],Locaties[#All],6,FALSE)</f>
        <v>Deventer</v>
      </c>
      <c r="F915" s="54"/>
      <c r="G915" s="24" t="s">
        <v>367</v>
      </c>
      <c r="H915" s="24" t="s">
        <v>1361</v>
      </c>
      <c r="I915" s="4" t="s">
        <v>739</v>
      </c>
      <c r="J915" s="24">
        <v>12</v>
      </c>
      <c r="K915" s="54" t="str">
        <f>VLOOKUP(J915,Ruimtegroepen[],2,FALSE)</f>
        <v>Kantine</v>
      </c>
      <c r="L915" s="24" t="s">
        <v>300</v>
      </c>
      <c r="M915" s="24" t="s">
        <v>909</v>
      </c>
      <c r="N915" s="83">
        <v>195.81</v>
      </c>
      <c r="O915" s="83"/>
      <c r="P915" s="93" t="str">
        <f>LEFT(VLOOKUP(Ruimtestaat[[#This Row],[Ruimte code]],Ruimtegroepen[#All],4,1),2)</f>
        <v>Ve</v>
      </c>
      <c r="Q915" s="93"/>
      <c r="R915" s="84">
        <v>40</v>
      </c>
      <c r="S915" s="84" t="s">
        <v>318</v>
      </c>
      <c r="T915" s="85">
        <f>IF(R915&gt;0,IF(RIGHT(Ruimtestaat[[#This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5" s="85">
        <f>IF(T915&gt;0,VLOOKUP($J915,Ruimtegroepen[],3,FALSE)*VLOOKUP($L915,Vloersoorten[],3,FALSE)*VLOOKUP($S915,Frequenties[],3,FALSE)*VLOOKUP($A915,Locaties[],3,FALSE),0)</f>
        <v>0</v>
      </c>
      <c r="V915" s="86">
        <f>Ruimtestaat[[#This Row],[Uitvoeringen werkdagen]]*Ruimtestaat[[#This Row],[Oppervlak (netto)]]</f>
        <v>39162</v>
      </c>
      <c r="W915" s="87">
        <f>IF(U915&gt;0,Ruimtestaat[[#This Row],[Prest. (m2 /jaar) werkdagen]]/Ruimtestaat[[#This Row],[Norm (m2/uur) werkdagen]],0)</f>
        <v>0</v>
      </c>
      <c r="X915" s="88">
        <f>Ruimtestaat[[#This Row],[uren / jaar werkdagen]]*Tariefsopbouw!$E$35</f>
        <v>0</v>
      </c>
      <c r="Y915" s="85"/>
      <c r="Z915" s="89">
        <f>IF(Ruimtestaat[[#This Row],[Frequentie weekend]]&gt;0,VALUE(LEFT(Y915,1))*R915,0)</f>
        <v>0</v>
      </c>
      <c r="AA915" s="85">
        <f>IF($Z915&gt;0,VLOOKUP($J915,Ruimtegroepen[],3,FALSE)*VLOOKUP($L915,Vloersoorten[],3,FALSE)*VLOOKUP($Y915,Frequenties[],3,FALSE)*VLOOKUP(#REF!,Locaties[],3,FALSE),0)</f>
        <v>0</v>
      </c>
      <c r="AB915" s="87">
        <f>Ruimtestaat[[#This Row],[Uitvoeringen weekend]]*Ruimtestaat[[#This Row],[Oppervlak (netto)]]</f>
        <v>0</v>
      </c>
      <c r="AC915" s="90">
        <f>IF(AB915&gt;0,Ruimtestaat[[#This Row],[Prest. (m2 /jaar) weekend]]/Ruimtestaat[[#This Row],[Norm (m2/uur) weekend]],0)</f>
        <v>0</v>
      </c>
      <c r="AD915" s="91">
        <f>Ruimtestaat[[#This Row],[uren / jaar weekend]]*Tariefsopbouw!$D$40</f>
        <v>0</v>
      </c>
      <c r="AE915" s="60">
        <f>Ruimtestaat[[#This Row],[Prest. (m2 /jaar) weekend]]+Ruimtestaat[[#This Row],[Prest. (m2 /jaar) werkdagen]]</f>
        <v>39162</v>
      </c>
      <c r="AF915" s="60">
        <f>Ruimtestaat[[#This Row],[uren / jaar weekend]]+Ruimtestaat[[#This Row],[uren / jaar werkdagen]]</f>
        <v>0</v>
      </c>
      <c r="AG915" s="61">
        <f>Ruimtestaat[[#This Row],[kosten / jaar weekend]]+Ruimtestaat[[#This Row],[kosten / jaar werkdagen]]</f>
        <v>0</v>
      </c>
      <c r="AH915" s="92"/>
      <c r="HL915" s="59"/>
    </row>
    <row r="916" spans="1:220">
      <c r="A916" s="24">
        <v>6</v>
      </c>
      <c r="B916" s="24" t="str">
        <f>VLOOKUP(Ruimtestaat[[#This Row],[Code]],Locaties[#All],2,FALSE)</f>
        <v>Marke Noord</v>
      </c>
      <c r="C916" s="24" t="str">
        <f>VLOOKUP(Ruimtestaat[[#This Row],[Code]],Locaties[#All],4,FALSE)</f>
        <v>Lebuïnuslaan 1</v>
      </c>
      <c r="D916" s="24" t="str">
        <f>VLOOKUP(Ruimtestaat[[#This Row],[Code]],Locaties[#All],5,FALSE)</f>
        <v>7415 DM</v>
      </c>
      <c r="E916" s="24" t="str">
        <f>VLOOKUP(Ruimtestaat[[#This Row],[Code]],Locaties[#All],6,FALSE)</f>
        <v>Deventer</v>
      </c>
      <c r="F916" s="54"/>
      <c r="G916" s="24" t="s">
        <v>367</v>
      </c>
      <c r="H916" s="24" t="s">
        <v>395</v>
      </c>
      <c r="I916" s="4" t="s">
        <v>667</v>
      </c>
      <c r="J916" s="24">
        <v>22</v>
      </c>
      <c r="K916" s="54" t="str">
        <f>VLOOKUP(J916,Ruimtegroepen[],2,FALSE)</f>
        <v>Niet in onderhoud</v>
      </c>
      <c r="L916" s="24" t="s">
        <v>300</v>
      </c>
      <c r="M916" s="24" t="s">
        <v>909</v>
      </c>
      <c r="N916" s="83"/>
      <c r="O916" s="83">
        <v>20.82</v>
      </c>
      <c r="P916" s="93" t="str">
        <f>LEFT(VLOOKUP(Ruimtestaat[[#This Row],[Ruimte code]],Ruimtegroepen[#All],4,1),2)</f>
        <v/>
      </c>
      <c r="Q916" s="93"/>
      <c r="R916" s="84"/>
      <c r="S916" s="84"/>
      <c r="T916" s="85">
        <f>IF(R916&gt;0,IF(RIGHT(Ruimtestaat[[#This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6" s="85">
        <f>IF(T916&gt;0,VLOOKUP($J916,Ruimtegroepen[],3,FALSE)*VLOOKUP($L916,Vloersoorten[],3,FALSE)*VLOOKUP($S916,Frequenties[],3,FALSE)*VLOOKUP($A916,Locaties[],3,FALSE),0)</f>
        <v>0</v>
      </c>
      <c r="V916" s="86">
        <f>Ruimtestaat[[#This Row],[Uitvoeringen werkdagen]]*Ruimtestaat[[#This Row],[Oppervlak (netto)]]</f>
        <v>0</v>
      </c>
      <c r="W916" s="87">
        <f>IF(U916&gt;0,Ruimtestaat[[#This Row],[Prest. (m2 /jaar) werkdagen]]/Ruimtestaat[[#This Row],[Norm (m2/uur) werkdagen]],0)</f>
        <v>0</v>
      </c>
      <c r="X916" s="88">
        <f>Ruimtestaat[[#This Row],[uren / jaar werkdagen]]*Tariefsopbouw!$E$35</f>
        <v>0</v>
      </c>
      <c r="Y916" s="85"/>
      <c r="Z916" s="89">
        <f>IF(Ruimtestaat[[#This Row],[Frequentie weekend]]&gt;0,VALUE(LEFT(Y916,1))*R916,0)</f>
        <v>0</v>
      </c>
      <c r="AA916" s="85">
        <f>IF($Z916&gt;0,VLOOKUP($J916,Ruimtegroepen[],3,FALSE)*VLOOKUP($L916,Vloersoorten[],3,FALSE)*VLOOKUP($Y916,Frequenties[],3,FALSE)*VLOOKUP(#REF!,Locaties[],3,FALSE),0)</f>
        <v>0</v>
      </c>
      <c r="AB916" s="87">
        <f>Ruimtestaat[[#This Row],[Uitvoeringen weekend]]*Ruimtestaat[[#This Row],[Oppervlak (netto)]]</f>
        <v>0</v>
      </c>
      <c r="AC916" s="90">
        <f>IF(AB916&gt;0,Ruimtestaat[[#This Row],[Prest. (m2 /jaar) weekend]]/Ruimtestaat[[#This Row],[Norm (m2/uur) weekend]],0)</f>
        <v>0</v>
      </c>
      <c r="AD916" s="91">
        <f>Ruimtestaat[[#This Row],[uren / jaar weekend]]*Tariefsopbouw!$D$40</f>
        <v>0</v>
      </c>
      <c r="AE916" s="60">
        <f>Ruimtestaat[[#This Row],[Prest. (m2 /jaar) weekend]]+Ruimtestaat[[#This Row],[Prest. (m2 /jaar) werkdagen]]</f>
        <v>0</v>
      </c>
      <c r="AF916" s="60">
        <f>Ruimtestaat[[#This Row],[uren / jaar weekend]]+Ruimtestaat[[#This Row],[uren / jaar werkdagen]]</f>
        <v>0</v>
      </c>
      <c r="AG916" s="61">
        <f>Ruimtestaat[[#This Row],[kosten / jaar weekend]]+Ruimtestaat[[#This Row],[kosten / jaar werkdagen]]</f>
        <v>0</v>
      </c>
      <c r="AH916" s="92"/>
      <c r="HL916" s="59"/>
    </row>
    <row r="917" spans="1:220">
      <c r="A917" s="24">
        <v>6</v>
      </c>
      <c r="B917" s="24" t="str">
        <f>VLOOKUP(Ruimtestaat[[#This Row],[Code]],Locaties[#All],2,FALSE)</f>
        <v>Marke Noord</v>
      </c>
      <c r="C917" s="24" t="str">
        <f>VLOOKUP(Ruimtestaat[[#This Row],[Code]],Locaties[#All],4,FALSE)</f>
        <v>Lebuïnuslaan 1</v>
      </c>
      <c r="D917" s="24" t="str">
        <f>VLOOKUP(Ruimtestaat[[#This Row],[Code]],Locaties[#All],5,FALSE)</f>
        <v>7415 DM</v>
      </c>
      <c r="E917" s="24" t="str">
        <f>VLOOKUP(Ruimtestaat[[#This Row],[Code]],Locaties[#All],6,FALSE)</f>
        <v>Deventer</v>
      </c>
      <c r="F917" s="54"/>
      <c r="G917" s="24"/>
      <c r="H917" s="24" t="s">
        <v>1362</v>
      </c>
      <c r="I917" s="4" t="s">
        <v>1363</v>
      </c>
      <c r="J917" s="24">
        <v>2</v>
      </c>
      <c r="K917" s="54" t="str">
        <f>VLOOKUP(J917,Ruimtegroepen[],2,FALSE)</f>
        <v>Kantoren</v>
      </c>
      <c r="L917" s="24" t="s">
        <v>300</v>
      </c>
      <c r="M917" s="24" t="s">
        <v>909</v>
      </c>
      <c r="N917" s="83">
        <v>6</v>
      </c>
      <c r="O917" s="83"/>
      <c r="P917" s="93" t="str">
        <f>LEFT(VLOOKUP(Ruimtestaat[[#This Row],[Ruimte code]],Ruimtegroepen[#All],4,1),2)</f>
        <v>Bu</v>
      </c>
      <c r="Q917" s="93"/>
      <c r="R917" s="84">
        <v>42</v>
      </c>
      <c r="S917" s="84" t="s">
        <v>322</v>
      </c>
      <c r="T917" s="85">
        <f>IF(R917&gt;0,IF(RIGHT(Ruimtestaat[[#This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17" s="85">
        <f>IF(T917&gt;0,VLOOKUP($J917,Ruimtegroepen[],3,FALSE)*VLOOKUP($L917,Vloersoorten[],3,FALSE)*VLOOKUP($S917,Frequenties[],3,FALSE)*VLOOKUP($A917,Locaties[],3,FALSE),0)</f>
        <v>0</v>
      </c>
      <c r="V917" s="86">
        <f>Ruimtestaat[[#This Row],[Uitvoeringen werkdagen]]*Ruimtestaat[[#This Row],[Oppervlak (netto)]]</f>
        <v>756</v>
      </c>
      <c r="W917" s="87">
        <f>IF(U917&gt;0,Ruimtestaat[[#This Row],[Prest. (m2 /jaar) werkdagen]]/Ruimtestaat[[#This Row],[Norm (m2/uur) werkdagen]],0)</f>
        <v>0</v>
      </c>
      <c r="X917" s="88">
        <f>Ruimtestaat[[#This Row],[uren / jaar werkdagen]]*Tariefsopbouw!$E$35</f>
        <v>0</v>
      </c>
      <c r="Y917" s="85"/>
      <c r="Z917" s="89">
        <f>IF(Ruimtestaat[[#This Row],[Frequentie weekend]]&gt;0,VALUE(LEFT(Y917,1))*R917,0)</f>
        <v>0</v>
      </c>
      <c r="AA917" s="85">
        <f>IF($Z917&gt;0,VLOOKUP($J917,Ruimtegroepen[],3,FALSE)*VLOOKUP($L917,Vloersoorten[],3,FALSE)*VLOOKUP($Y917,Frequenties[],3,FALSE)*VLOOKUP(#REF!,Locaties[],3,FALSE),0)</f>
        <v>0</v>
      </c>
      <c r="AB917" s="87">
        <f>Ruimtestaat[[#This Row],[Uitvoeringen weekend]]*Ruimtestaat[[#This Row],[Oppervlak (netto)]]</f>
        <v>0</v>
      </c>
      <c r="AC917" s="90">
        <f>IF(AB917&gt;0,Ruimtestaat[[#This Row],[Prest. (m2 /jaar) weekend]]/Ruimtestaat[[#This Row],[Norm (m2/uur) weekend]],0)</f>
        <v>0</v>
      </c>
      <c r="AD917" s="91">
        <f>Ruimtestaat[[#This Row],[uren / jaar weekend]]*Tariefsopbouw!$D$40</f>
        <v>0</v>
      </c>
      <c r="AE917" s="60">
        <f>Ruimtestaat[[#This Row],[Prest. (m2 /jaar) weekend]]+Ruimtestaat[[#This Row],[Prest. (m2 /jaar) werkdagen]]</f>
        <v>756</v>
      </c>
      <c r="AF917" s="60">
        <f>Ruimtestaat[[#This Row],[uren / jaar weekend]]+Ruimtestaat[[#This Row],[uren / jaar werkdagen]]</f>
        <v>0</v>
      </c>
      <c r="AG917" s="61">
        <f>Ruimtestaat[[#This Row],[kosten / jaar weekend]]+Ruimtestaat[[#This Row],[kosten / jaar werkdagen]]</f>
        <v>0</v>
      </c>
      <c r="AH917" s="92"/>
      <c r="HL917" s="59"/>
    </row>
    <row r="918" spans="1:220">
      <c r="A918" s="24">
        <v>6</v>
      </c>
      <c r="B918" s="24" t="str">
        <f>VLOOKUP(Ruimtestaat[[#This Row],[Code]],Locaties[#All],2,FALSE)</f>
        <v>Marke Noord</v>
      </c>
      <c r="C918" s="24" t="str">
        <f>VLOOKUP(Ruimtestaat[[#This Row],[Code]],Locaties[#All],4,FALSE)</f>
        <v>Lebuïnuslaan 1</v>
      </c>
      <c r="D918" s="24" t="str">
        <f>VLOOKUP(Ruimtestaat[[#This Row],[Code]],Locaties[#All],5,FALSE)</f>
        <v>7415 DM</v>
      </c>
      <c r="E918" s="24" t="str">
        <f>VLOOKUP(Ruimtestaat[[#This Row],[Code]],Locaties[#All],6,FALSE)</f>
        <v>Deventer</v>
      </c>
      <c r="F918" s="54"/>
      <c r="G918" s="24" t="s">
        <v>367</v>
      </c>
      <c r="H918" s="24" t="s">
        <v>1364</v>
      </c>
      <c r="I918" s="4" t="s">
        <v>941</v>
      </c>
      <c r="J918" s="24">
        <v>2</v>
      </c>
      <c r="K918" s="54" t="str">
        <f>VLOOKUP(J918,Ruimtegroepen[],2,FALSE)</f>
        <v>Kantoren</v>
      </c>
      <c r="L918" s="24" t="s">
        <v>300</v>
      </c>
      <c r="M918" s="24" t="s">
        <v>909</v>
      </c>
      <c r="N918" s="83">
        <v>8.11</v>
      </c>
      <c r="O918" s="83"/>
      <c r="P918" s="93" t="str">
        <f>LEFT(VLOOKUP(Ruimtestaat[[#This Row],[Ruimte code]],Ruimtegroepen[#All],4,1),2)</f>
        <v>Bu</v>
      </c>
      <c r="Q918" s="93"/>
      <c r="R918" s="84">
        <v>42</v>
      </c>
      <c r="S918" s="84" t="s">
        <v>322</v>
      </c>
      <c r="T918" s="85">
        <f>IF(R918&gt;0,IF(RIGHT(Ruimtestaat[[#This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18" s="85">
        <f>IF(T918&gt;0,VLOOKUP($J918,Ruimtegroepen[],3,FALSE)*VLOOKUP($L918,Vloersoorten[],3,FALSE)*VLOOKUP($S918,Frequenties[],3,FALSE)*VLOOKUP($A918,Locaties[],3,FALSE),0)</f>
        <v>0</v>
      </c>
      <c r="V918" s="86">
        <f>Ruimtestaat[[#This Row],[Uitvoeringen werkdagen]]*Ruimtestaat[[#This Row],[Oppervlak (netto)]]</f>
        <v>1021.8599999999999</v>
      </c>
      <c r="W918" s="87">
        <f>IF(U918&gt;0,Ruimtestaat[[#This Row],[Prest. (m2 /jaar) werkdagen]]/Ruimtestaat[[#This Row],[Norm (m2/uur) werkdagen]],0)</f>
        <v>0</v>
      </c>
      <c r="X918" s="88">
        <f>Ruimtestaat[[#This Row],[uren / jaar werkdagen]]*Tariefsopbouw!$E$35</f>
        <v>0</v>
      </c>
      <c r="Y918" s="85"/>
      <c r="Z918" s="89">
        <f>IF(Ruimtestaat[[#This Row],[Frequentie weekend]]&gt;0,VALUE(LEFT(Y918,1))*R918,0)</f>
        <v>0</v>
      </c>
      <c r="AA918" s="85">
        <f>IF($Z918&gt;0,VLOOKUP($J918,Ruimtegroepen[],3,FALSE)*VLOOKUP($L918,Vloersoorten[],3,FALSE)*VLOOKUP($Y918,Frequenties[],3,FALSE)*VLOOKUP(#REF!,Locaties[],3,FALSE),0)</f>
        <v>0</v>
      </c>
      <c r="AB918" s="87">
        <f>Ruimtestaat[[#This Row],[Uitvoeringen weekend]]*Ruimtestaat[[#This Row],[Oppervlak (netto)]]</f>
        <v>0</v>
      </c>
      <c r="AC918" s="90">
        <f>IF(AB918&gt;0,Ruimtestaat[[#This Row],[Prest. (m2 /jaar) weekend]]/Ruimtestaat[[#This Row],[Norm (m2/uur) weekend]],0)</f>
        <v>0</v>
      </c>
      <c r="AD918" s="91">
        <f>Ruimtestaat[[#This Row],[uren / jaar weekend]]*Tariefsopbouw!$D$40</f>
        <v>0</v>
      </c>
      <c r="AE918" s="60">
        <f>Ruimtestaat[[#This Row],[Prest. (m2 /jaar) weekend]]+Ruimtestaat[[#This Row],[Prest. (m2 /jaar) werkdagen]]</f>
        <v>1021.8599999999999</v>
      </c>
      <c r="AF918" s="60">
        <f>Ruimtestaat[[#This Row],[uren / jaar weekend]]+Ruimtestaat[[#This Row],[uren / jaar werkdagen]]</f>
        <v>0</v>
      </c>
      <c r="AG918" s="61">
        <f>Ruimtestaat[[#This Row],[kosten / jaar weekend]]+Ruimtestaat[[#This Row],[kosten / jaar werkdagen]]</f>
        <v>0</v>
      </c>
      <c r="AH918" s="92"/>
      <c r="HL918" s="59"/>
    </row>
    <row r="919" spans="1:220">
      <c r="A919" s="24">
        <v>6</v>
      </c>
      <c r="B919" s="24" t="str">
        <f>VLOOKUP(Ruimtestaat[[#This Row],[Code]],Locaties[#All],2,FALSE)</f>
        <v>Marke Noord</v>
      </c>
      <c r="C919" s="24" t="str">
        <f>VLOOKUP(Ruimtestaat[[#This Row],[Code]],Locaties[#All],4,FALSE)</f>
        <v>Lebuïnuslaan 1</v>
      </c>
      <c r="D919" s="24" t="str">
        <f>VLOOKUP(Ruimtestaat[[#This Row],[Code]],Locaties[#All],5,FALSE)</f>
        <v>7415 DM</v>
      </c>
      <c r="E919" s="24" t="str">
        <f>VLOOKUP(Ruimtestaat[[#This Row],[Code]],Locaties[#All],6,FALSE)</f>
        <v>Deventer</v>
      </c>
      <c r="F919" s="54"/>
      <c r="G919" s="24" t="s">
        <v>367</v>
      </c>
      <c r="H919" s="24" t="s">
        <v>1365</v>
      </c>
      <c r="I919" s="4" t="s">
        <v>667</v>
      </c>
      <c r="J919" s="24">
        <v>22</v>
      </c>
      <c r="K919" s="54" t="str">
        <f>VLOOKUP(J919,Ruimtegroepen[],2,FALSE)</f>
        <v>Niet in onderhoud</v>
      </c>
      <c r="L919" s="24" t="s">
        <v>300</v>
      </c>
      <c r="M919" s="24" t="s">
        <v>909</v>
      </c>
      <c r="N919" s="83"/>
      <c r="O919" s="83">
        <v>16.010000000000002</v>
      </c>
      <c r="P919" s="93" t="str">
        <f>LEFT(VLOOKUP(Ruimtestaat[[#This Row],[Ruimte code]],Ruimtegroepen[#All],4,1),2)</f>
        <v/>
      </c>
      <c r="Q919" s="93"/>
      <c r="R919" s="84"/>
      <c r="S919" s="84"/>
      <c r="T919" s="85">
        <f>IF(R919&gt;0,IF(RIGHT(Ruimtestaat[[#This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9" s="85">
        <f>IF(T919&gt;0,VLOOKUP($J919,Ruimtegroepen[],3,FALSE)*VLOOKUP($L919,Vloersoorten[],3,FALSE)*VLOOKUP($S919,Frequenties[],3,FALSE)*VLOOKUP($A919,Locaties[],3,FALSE),0)</f>
        <v>0</v>
      </c>
      <c r="V919" s="86">
        <f>Ruimtestaat[[#This Row],[Uitvoeringen werkdagen]]*Ruimtestaat[[#This Row],[Oppervlak (netto)]]</f>
        <v>0</v>
      </c>
      <c r="W919" s="87">
        <f>IF(U919&gt;0,Ruimtestaat[[#This Row],[Prest. (m2 /jaar) werkdagen]]/Ruimtestaat[[#This Row],[Norm (m2/uur) werkdagen]],0)</f>
        <v>0</v>
      </c>
      <c r="X919" s="88">
        <f>Ruimtestaat[[#This Row],[uren / jaar werkdagen]]*Tariefsopbouw!$E$35</f>
        <v>0</v>
      </c>
      <c r="Y919" s="85"/>
      <c r="Z919" s="89">
        <f>IF(Ruimtestaat[[#This Row],[Frequentie weekend]]&gt;0,VALUE(LEFT(Y919,1))*R919,0)</f>
        <v>0</v>
      </c>
      <c r="AA919" s="85">
        <f>IF($Z919&gt;0,VLOOKUP($J919,Ruimtegroepen[],3,FALSE)*VLOOKUP($L919,Vloersoorten[],3,FALSE)*VLOOKUP($Y919,Frequenties[],3,FALSE)*VLOOKUP(#REF!,Locaties[],3,FALSE),0)</f>
        <v>0</v>
      </c>
      <c r="AB919" s="87">
        <f>Ruimtestaat[[#This Row],[Uitvoeringen weekend]]*Ruimtestaat[[#This Row],[Oppervlak (netto)]]</f>
        <v>0</v>
      </c>
      <c r="AC919" s="90">
        <f>IF(AB919&gt;0,Ruimtestaat[[#This Row],[Prest. (m2 /jaar) weekend]]/Ruimtestaat[[#This Row],[Norm (m2/uur) weekend]],0)</f>
        <v>0</v>
      </c>
      <c r="AD919" s="91">
        <f>Ruimtestaat[[#This Row],[uren / jaar weekend]]*Tariefsopbouw!$D$40</f>
        <v>0</v>
      </c>
      <c r="AE919" s="60">
        <f>Ruimtestaat[[#This Row],[Prest. (m2 /jaar) weekend]]+Ruimtestaat[[#This Row],[Prest. (m2 /jaar) werkdagen]]</f>
        <v>0</v>
      </c>
      <c r="AF919" s="60">
        <f>Ruimtestaat[[#This Row],[uren / jaar weekend]]+Ruimtestaat[[#This Row],[uren / jaar werkdagen]]</f>
        <v>0</v>
      </c>
      <c r="AG919" s="61">
        <f>Ruimtestaat[[#This Row],[kosten / jaar weekend]]+Ruimtestaat[[#This Row],[kosten / jaar werkdagen]]</f>
        <v>0</v>
      </c>
      <c r="AH919" s="92"/>
      <c r="HL919" s="59"/>
    </row>
    <row r="920" spans="1:220">
      <c r="A920" s="24">
        <v>6</v>
      </c>
      <c r="B920" s="24" t="str">
        <f>VLOOKUP(Ruimtestaat[[#This Row],[Code]],Locaties[#All],2,FALSE)</f>
        <v>Marke Noord</v>
      </c>
      <c r="C920" s="24" t="str">
        <f>VLOOKUP(Ruimtestaat[[#This Row],[Code]],Locaties[#All],4,FALSE)</f>
        <v>Lebuïnuslaan 1</v>
      </c>
      <c r="D920" s="24" t="str">
        <f>VLOOKUP(Ruimtestaat[[#This Row],[Code]],Locaties[#All],5,FALSE)</f>
        <v>7415 DM</v>
      </c>
      <c r="E920" s="24" t="str">
        <f>VLOOKUP(Ruimtestaat[[#This Row],[Code]],Locaties[#All],6,FALSE)</f>
        <v>Deventer</v>
      </c>
      <c r="F920" s="54"/>
      <c r="G920" s="24" t="s">
        <v>367</v>
      </c>
      <c r="H920" s="24" t="s">
        <v>1366</v>
      </c>
      <c r="I920" s="4" t="s">
        <v>941</v>
      </c>
      <c r="J920" s="24">
        <v>2</v>
      </c>
      <c r="K920" s="54" t="str">
        <f>VLOOKUP(J920,Ruimtegroepen[],2,FALSE)</f>
        <v>Kantoren</v>
      </c>
      <c r="L920" s="24" t="s">
        <v>300</v>
      </c>
      <c r="M920" s="24" t="s">
        <v>909</v>
      </c>
      <c r="N920" s="83">
        <v>12.95</v>
      </c>
      <c r="O920" s="83"/>
      <c r="P920" s="93" t="str">
        <f>LEFT(VLOOKUP(Ruimtestaat[[#This Row],[Ruimte code]],Ruimtegroepen[#All],4,1),2)</f>
        <v>Bu</v>
      </c>
      <c r="Q920" s="93"/>
      <c r="R920" s="84">
        <v>42</v>
      </c>
      <c r="S920" s="84" t="s">
        <v>322</v>
      </c>
      <c r="T920" s="85">
        <f>IF(R920&gt;0,IF(RIGHT(Ruimtestaat[[#This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20" s="85">
        <f>IF(T920&gt;0,VLOOKUP($J920,Ruimtegroepen[],3,FALSE)*VLOOKUP($L920,Vloersoorten[],3,FALSE)*VLOOKUP($S920,Frequenties[],3,FALSE)*VLOOKUP($A920,Locaties[],3,FALSE),0)</f>
        <v>0</v>
      </c>
      <c r="V920" s="86">
        <f>Ruimtestaat[[#This Row],[Uitvoeringen werkdagen]]*Ruimtestaat[[#This Row],[Oppervlak (netto)]]</f>
        <v>1631.6999999999998</v>
      </c>
      <c r="W920" s="87">
        <f>IF(U920&gt;0,Ruimtestaat[[#This Row],[Prest. (m2 /jaar) werkdagen]]/Ruimtestaat[[#This Row],[Norm (m2/uur) werkdagen]],0)</f>
        <v>0</v>
      </c>
      <c r="X920" s="88">
        <f>Ruimtestaat[[#This Row],[uren / jaar werkdagen]]*Tariefsopbouw!$E$35</f>
        <v>0</v>
      </c>
      <c r="Y920" s="85"/>
      <c r="Z920" s="89">
        <f>IF(Ruimtestaat[[#This Row],[Frequentie weekend]]&gt;0,VALUE(LEFT(Y920,1))*R920,0)</f>
        <v>0</v>
      </c>
      <c r="AA920" s="85">
        <f>IF($Z920&gt;0,VLOOKUP($J920,Ruimtegroepen[],3,FALSE)*VLOOKUP($L920,Vloersoorten[],3,FALSE)*VLOOKUP($Y920,Frequenties[],3,FALSE)*VLOOKUP(#REF!,Locaties[],3,FALSE),0)</f>
        <v>0</v>
      </c>
      <c r="AB920" s="87">
        <f>Ruimtestaat[[#This Row],[Uitvoeringen weekend]]*Ruimtestaat[[#This Row],[Oppervlak (netto)]]</f>
        <v>0</v>
      </c>
      <c r="AC920" s="90">
        <f>IF(AB920&gt;0,Ruimtestaat[[#This Row],[Prest. (m2 /jaar) weekend]]/Ruimtestaat[[#This Row],[Norm (m2/uur) weekend]],0)</f>
        <v>0</v>
      </c>
      <c r="AD920" s="91">
        <f>Ruimtestaat[[#This Row],[uren / jaar weekend]]*Tariefsopbouw!$D$40</f>
        <v>0</v>
      </c>
      <c r="AE920" s="60">
        <f>Ruimtestaat[[#This Row],[Prest. (m2 /jaar) weekend]]+Ruimtestaat[[#This Row],[Prest. (m2 /jaar) werkdagen]]</f>
        <v>1631.6999999999998</v>
      </c>
      <c r="AF920" s="60">
        <f>Ruimtestaat[[#This Row],[uren / jaar weekend]]+Ruimtestaat[[#This Row],[uren / jaar werkdagen]]</f>
        <v>0</v>
      </c>
      <c r="AG920" s="61">
        <f>Ruimtestaat[[#This Row],[kosten / jaar weekend]]+Ruimtestaat[[#This Row],[kosten / jaar werkdagen]]</f>
        <v>0</v>
      </c>
      <c r="AH920" s="92"/>
      <c r="HL920" s="59"/>
    </row>
    <row r="921" spans="1:220">
      <c r="A921" s="24">
        <v>6</v>
      </c>
      <c r="B921" s="24" t="str">
        <f>VLOOKUP(Ruimtestaat[[#This Row],[Code]],Locaties[#All],2,FALSE)</f>
        <v>Marke Noord</v>
      </c>
      <c r="C921" s="24" t="str">
        <f>VLOOKUP(Ruimtestaat[[#This Row],[Code]],Locaties[#All],4,FALSE)</f>
        <v>Lebuïnuslaan 1</v>
      </c>
      <c r="D921" s="24" t="str">
        <f>VLOOKUP(Ruimtestaat[[#This Row],[Code]],Locaties[#All],5,FALSE)</f>
        <v>7415 DM</v>
      </c>
      <c r="E921" s="24" t="str">
        <f>VLOOKUP(Ruimtestaat[[#This Row],[Code]],Locaties[#All],6,FALSE)</f>
        <v>Deventer</v>
      </c>
      <c r="F921" s="54"/>
      <c r="G921" s="24" t="s">
        <v>367</v>
      </c>
      <c r="H921" s="24" t="s">
        <v>398</v>
      </c>
      <c r="I921" s="4" t="s">
        <v>1098</v>
      </c>
      <c r="J921" s="24">
        <v>16</v>
      </c>
      <c r="K921" s="54" t="str">
        <f>VLOOKUP(J921,Ruimtegroepen[],2,FALSE)</f>
        <v>Leslokalen theorie</v>
      </c>
      <c r="L921" s="24" t="s">
        <v>300</v>
      </c>
      <c r="M921" s="24" t="s">
        <v>909</v>
      </c>
      <c r="N921" s="83">
        <v>69.819999999999993</v>
      </c>
      <c r="O921" s="83"/>
      <c r="P921" s="93" t="str">
        <f>LEFT(VLOOKUP(Ruimtestaat[[#This Row],[Ruimte code]],Ruimtegroepen[#All],4,1),2)</f>
        <v>Le</v>
      </c>
      <c r="Q921" s="93"/>
      <c r="R921" s="84">
        <v>40</v>
      </c>
      <c r="S921" s="84" t="s">
        <v>318</v>
      </c>
      <c r="T921" s="85">
        <f>IF(R921&gt;0,IF(RIGHT(Ruimtestaat[[#This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1" s="85">
        <f>IF(T921&gt;0,VLOOKUP($J921,Ruimtegroepen[],3,FALSE)*VLOOKUP($L921,Vloersoorten[],3,FALSE)*VLOOKUP($S921,Frequenties[],3,FALSE)*VLOOKUP($A921,Locaties[],3,FALSE),0)</f>
        <v>0</v>
      </c>
      <c r="V921" s="86">
        <f>Ruimtestaat[[#This Row],[Uitvoeringen werkdagen]]*Ruimtestaat[[#This Row],[Oppervlak (netto)]]</f>
        <v>13963.999999999998</v>
      </c>
      <c r="W921" s="87">
        <f>IF(U921&gt;0,Ruimtestaat[[#This Row],[Prest. (m2 /jaar) werkdagen]]/Ruimtestaat[[#This Row],[Norm (m2/uur) werkdagen]],0)</f>
        <v>0</v>
      </c>
      <c r="X921" s="88">
        <f>Ruimtestaat[[#This Row],[uren / jaar werkdagen]]*Tariefsopbouw!$E$35</f>
        <v>0</v>
      </c>
      <c r="Y921" s="85"/>
      <c r="Z921" s="89">
        <f>IF(Ruimtestaat[[#This Row],[Frequentie weekend]]&gt;0,VALUE(LEFT(Y921,1))*R921,0)</f>
        <v>0</v>
      </c>
      <c r="AA921" s="85">
        <f>IF($Z921&gt;0,VLOOKUP($J921,Ruimtegroepen[],3,FALSE)*VLOOKUP($L921,Vloersoorten[],3,FALSE)*VLOOKUP($Y921,Frequenties[],3,FALSE)*VLOOKUP(#REF!,Locaties[],3,FALSE),0)</f>
        <v>0</v>
      </c>
      <c r="AB921" s="87">
        <f>Ruimtestaat[[#This Row],[Uitvoeringen weekend]]*Ruimtestaat[[#This Row],[Oppervlak (netto)]]</f>
        <v>0</v>
      </c>
      <c r="AC921" s="90">
        <f>IF(AB921&gt;0,Ruimtestaat[[#This Row],[Prest. (m2 /jaar) weekend]]/Ruimtestaat[[#This Row],[Norm (m2/uur) weekend]],0)</f>
        <v>0</v>
      </c>
      <c r="AD921" s="91">
        <f>Ruimtestaat[[#This Row],[uren / jaar weekend]]*Tariefsopbouw!$D$40</f>
        <v>0</v>
      </c>
      <c r="AE921" s="60">
        <f>Ruimtestaat[[#This Row],[Prest. (m2 /jaar) weekend]]+Ruimtestaat[[#This Row],[Prest. (m2 /jaar) werkdagen]]</f>
        <v>13963.999999999998</v>
      </c>
      <c r="AF921" s="60">
        <f>Ruimtestaat[[#This Row],[uren / jaar weekend]]+Ruimtestaat[[#This Row],[uren / jaar werkdagen]]</f>
        <v>0</v>
      </c>
      <c r="AG921" s="61">
        <f>Ruimtestaat[[#This Row],[kosten / jaar weekend]]+Ruimtestaat[[#This Row],[kosten / jaar werkdagen]]</f>
        <v>0</v>
      </c>
      <c r="AH921" s="92"/>
      <c r="HL921" s="59"/>
    </row>
    <row r="922" spans="1:220">
      <c r="A922" s="24">
        <v>6</v>
      </c>
      <c r="B922" s="24" t="str">
        <f>VLOOKUP(Ruimtestaat[[#This Row],[Code]],Locaties[#All],2,FALSE)</f>
        <v>Marke Noord</v>
      </c>
      <c r="C922" s="24" t="str">
        <f>VLOOKUP(Ruimtestaat[[#This Row],[Code]],Locaties[#All],4,FALSE)</f>
        <v>Lebuïnuslaan 1</v>
      </c>
      <c r="D922" s="24" t="str">
        <f>VLOOKUP(Ruimtestaat[[#This Row],[Code]],Locaties[#All],5,FALSE)</f>
        <v>7415 DM</v>
      </c>
      <c r="E922" s="24" t="str">
        <f>VLOOKUP(Ruimtestaat[[#This Row],[Code]],Locaties[#All],6,FALSE)</f>
        <v>Deventer</v>
      </c>
      <c r="F922" s="54"/>
      <c r="G922" s="24" t="s">
        <v>367</v>
      </c>
      <c r="H922" s="24" t="s">
        <v>406</v>
      </c>
      <c r="I922" s="4" t="s">
        <v>941</v>
      </c>
      <c r="J922" s="24">
        <v>2</v>
      </c>
      <c r="K922" s="54" t="str">
        <f>VLOOKUP(J922,Ruimtegroepen[],2,FALSE)</f>
        <v>Kantoren</v>
      </c>
      <c r="L922" s="24" t="s">
        <v>303</v>
      </c>
      <c r="M922" s="24" t="s">
        <v>387</v>
      </c>
      <c r="N922" s="83">
        <v>43.35</v>
      </c>
      <c r="O922" s="83"/>
      <c r="P922" s="93" t="str">
        <f>LEFT(VLOOKUP(Ruimtestaat[[#This Row],[Ruimte code]],Ruimtegroepen[#All],4,1),2)</f>
        <v>Bu</v>
      </c>
      <c r="Q922" s="93"/>
      <c r="R922" s="84">
        <v>42</v>
      </c>
      <c r="S922" s="84" t="s">
        <v>322</v>
      </c>
      <c r="T922" s="85">
        <f>IF(R922&gt;0,IF(RIGHT(Ruimtestaat[[#This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22" s="85">
        <f>IF(T922&gt;0,VLOOKUP($J922,Ruimtegroepen[],3,FALSE)*VLOOKUP($L922,Vloersoorten[],3,FALSE)*VLOOKUP($S922,Frequenties[],3,FALSE)*VLOOKUP($A922,Locaties[],3,FALSE),0)</f>
        <v>0</v>
      </c>
      <c r="V922" s="86">
        <f>Ruimtestaat[[#This Row],[Uitvoeringen werkdagen]]*Ruimtestaat[[#This Row],[Oppervlak (netto)]]</f>
        <v>5462.1</v>
      </c>
      <c r="W922" s="87">
        <f>IF(U922&gt;0,Ruimtestaat[[#This Row],[Prest. (m2 /jaar) werkdagen]]/Ruimtestaat[[#This Row],[Norm (m2/uur) werkdagen]],0)</f>
        <v>0</v>
      </c>
      <c r="X922" s="88">
        <f>Ruimtestaat[[#This Row],[uren / jaar werkdagen]]*Tariefsopbouw!$E$35</f>
        <v>0</v>
      </c>
      <c r="Y922" s="85"/>
      <c r="Z922" s="89">
        <f>IF(Ruimtestaat[[#This Row],[Frequentie weekend]]&gt;0,VALUE(LEFT(Y922,1))*R922,0)</f>
        <v>0</v>
      </c>
      <c r="AA922" s="85">
        <f>IF($Z922&gt;0,VLOOKUP($J922,Ruimtegroepen[],3,FALSE)*VLOOKUP($L922,Vloersoorten[],3,FALSE)*VLOOKUP($Y922,Frequenties[],3,FALSE)*VLOOKUP(#REF!,Locaties[],3,FALSE),0)</f>
        <v>0</v>
      </c>
      <c r="AB922" s="87">
        <f>Ruimtestaat[[#This Row],[Uitvoeringen weekend]]*Ruimtestaat[[#This Row],[Oppervlak (netto)]]</f>
        <v>0</v>
      </c>
      <c r="AC922" s="90">
        <f>IF(AB922&gt;0,Ruimtestaat[[#This Row],[Prest. (m2 /jaar) weekend]]/Ruimtestaat[[#This Row],[Norm (m2/uur) weekend]],0)</f>
        <v>0</v>
      </c>
      <c r="AD922" s="91">
        <f>Ruimtestaat[[#This Row],[uren / jaar weekend]]*Tariefsopbouw!$D$40</f>
        <v>0</v>
      </c>
      <c r="AE922" s="60">
        <f>Ruimtestaat[[#This Row],[Prest. (m2 /jaar) weekend]]+Ruimtestaat[[#This Row],[Prest. (m2 /jaar) werkdagen]]</f>
        <v>5462.1</v>
      </c>
      <c r="AF922" s="60">
        <f>Ruimtestaat[[#This Row],[uren / jaar weekend]]+Ruimtestaat[[#This Row],[uren / jaar werkdagen]]</f>
        <v>0</v>
      </c>
      <c r="AG922" s="61">
        <f>Ruimtestaat[[#This Row],[kosten / jaar weekend]]+Ruimtestaat[[#This Row],[kosten / jaar werkdagen]]</f>
        <v>0</v>
      </c>
      <c r="AH922" s="92"/>
      <c r="HL922" s="59"/>
    </row>
    <row r="923" spans="1:220">
      <c r="A923" s="24">
        <v>6</v>
      </c>
      <c r="B923" s="24" t="str">
        <f>VLOOKUP(Ruimtestaat[[#This Row],[Code]],Locaties[#All],2,FALSE)</f>
        <v>Marke Noord</v>
      </c>
      <c r="C923" s="24" t="str">
        <f>VLOOKUP(Ruimtestaat[[#This Row],[Code]],Locaties[#All],4,FALSE)</f>
        <v>Lebuïnuslaan 1</v>
      </c>
      <c r="D923" s="24" t="str">
        <f>VLOOKUP(Ruimtestaat[[#This Row],[Code]],Locaties[#All],5,FALSE)</f>
        <v>7415 DM</v>
      </c>
      <c r="E923" s="24" t="str">
        <f>VLOOKUP(Ruimtestaat[[#This Row],[Code]],Locaties[#All],6,FALSE)</f>
        <v>Deventer</v>
      </c>
      <c r="F923" s="54"/>
      <c r="G923" s="24" t="s">
        <v>367</v>
      </c>
      <c r="H923" s="24" t="s">
        <v>408</v>
      </c>
      <c r="I923" s="4" t="s">
        <v>1098</v>
      </c>
      <c r="J923" s="24">
        <v>16</v>
      </c>
      <c r="K923" s="54" t="str">
        <f>VLOOKUP(J923,Ruimtegroepen[],2,FALSE)</f>
        <v>Leslokalen theorie</v>
      </c>
      <c r="L923" s="24" t="s">
        <v>300</v>
      </c>
      <c r="M923" s="24" t="s">
        <v>909</v>
      </c>
      <c r="N923" s="83">
        <v>81.96</v>
      </c>
      <c r="O923" s="83"/>
      <c r="P923" s="93" t="str">
        <f>LEFT(VLOOKUP(Ruimtestaat[[#This Row],[Ruimte code]],Ruimtegroepen[#All],4,1),2)</f>
        <v>Le</v>
      </c>
      <c r="Q923" s="93"/>
      <c r="R923" s="84">
        <v>40</v>
      </c>
      <c r="S923" s="84" t="s">
        <v>318</v>
      </c>
      <c r="T923" s="85">
        <f>IF(R923&gt;0,IF(RIGHT(Ruimtestaat[[#This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3" s="85">
        <f>IF(T923&gt;0,VLOOKUP($J923,Ruimtegroepen[],3,FALSE)*VLOOKUP($L923,Vloersoorten[],3,FALSE)*VLOOKUP($S923,Frequenties[],3,FALSE)*VLOOKUP($A923,Locaties[],3,FALSE),0)</f>
        <v>0</v>
      </c>
      <c r="V923" s="86">
        <f>Ruimtestaat[[#This Row],[Uitvoeringen werkdagen]]*Ruimtestaat[[#This Row],[Oppervlak (netto)]]</f>
        <v>16392</v>
      </c>
      <c r="W923" s="87">
        <f>IF(U923&gt;0,Ruimtestaat[[#This Row],[Prest. (m2 /jaar) werkdagen]]/Ruimtestaat[[#This Row],[Norm (m2/uur) werkdagen]],0)</f>
        <v>0</v>
      </c>
      <c r="X923" s="88">
        <f>Ruimtestaat[[#This Row],[uren / jaar werkdagen]]*Tariefsopbouw!$E$35</f>
        <v>0</v>
      </c>
      <c r="Y923" s="85"/>
      <c r="Z923" s="89">
        <f>IF(Ruimtestaat[[#This Row],[Frequentie weekend]]&gt;0,VALUE(LEFT(Y923,1))*R923,0)</f>
        <v>0</v>
      </c>
      <c r="AA923" s="85">
        <f>IF($Z923&gt;0,VLOOKUP($J923,Ruimtegroepen[],3,FALSE)*VLOOKUP($L923,Vloersoorten[],3,FALSE)*VLOOKUP($Y923,Frequenties[],3,FALSE)*VLOOKUP(#REF!,Locaties[],3,FALSE),0)</f>
        <v>0</v>
      </c>
      <c r="AB923" s="87">
        <f>Ruimtestaat[[#This Row],[Uitvoeringen weekend]]*Ruimtestaat[[#This Row],[Oppervlak (netto)]]</f>
        <v>0</v>
      </c>
      <c r="AC923" s="90">
        <f>IF(AB923&gt;0,Ruimtestaat[[#This Row],[Prest. (m2 /jaar) weekend]]/Ruimtestaat[[#This Row],[Norm (m2/uur) weekend]],0)</f>
        <v>0</v>
      </c>
      <c r="AD923" s="91">
        <f>Ruimtestaat[[#This Row],[uren / jaar weekend]]*Tariefsopbouw!$D$40</f>
        <v>0</v>
      </c>
      <c r="AE923" s="60">
        <f>Ruimtestaat[[#This Row],[Prest. (m2 /jaar) weekend]]+Ruimtestaat[[#This Row],[Prest. (m2 /jaar) werkdagen]]</f>
        <v>16392</v>
      </c>
      <c r="AF923" s="60">
        <f>Ruimtestaat[[#This Row],[uren / jaar weekend]]+Ruimtestaat[[#This Row],[uren / jaar werkdagen]]</f>
        <v>0</v>
      </c>
      <c r="AG923" s="61">
        <f>Ruimtestaat[[#This Row],[kosten / jaar weekend]]+Ruimtestaat[[#This Row],[kosten / jaar werkdagen]]</f>
        <v>0</v>
      </c>
      <c r="AH923" s="92"/>
      <c r="HL923" s="59"/>
    </row>
    <row r="924" spans="1:220">
      <c r="A924" s="24">
        <v>6</v>
      </c>
      <c r="B924" s="24" t="str">
        <f>VLOOKUP(Ruimtestaat[[#This Row],[Code]],Locaties[#All],2,FALSE)</f>
        <v>Marke Noord</v>
      </c>
      <c r="C924" s="24" t="str">
        <f>VLOOKUP(Ruimtestaat[[#This Row],[Code]],Locaties[#All],4,FALSE)</f>
        <v>Lebuïnuslaan 1</v>
      </c>
      <c r="D924" s="24" t="str">
        <f>VLOOKUP(Ruimtestaat[[#This Row],[Code]],Locaties[#All],5,FALSE)</f>
        <v>7415 DM</v>
      </c>
      <c r="E924" s="24" t="str">
        <f>VLOOKUP(Ruimtestaat[[#This Row],[Code]],Locaties[#All],6,FALSE)</f>
        <v>Deventer</v>
      </c>
      <c r="F924" s="54"/>
      <c r="G924" s="24" t="s">
        <v>367</v>
      </c>
      <c r="H924" s="24" t="s">
        <v>410</v>
      </c>
      <c r="I924" s="4" t="s">
        <v>292</v>
      </c>
      <c r="J924" s="24">
        <v>20</v>
      </c>
      <c r="K924" s="54" t="str">
        <f>VLOOKUP(J924,Ruimtegroepen[],2,FALSE)</f>
        <v>Kabinet</v>
      </c>
      <c r="L924" s="24" t="s">
        <v>300</v>
      </c>
      <c r="M924" s="24" t="s">
        <v>909</v>
      </c>
      <c r="N924" s="83">
        <v>39.26</v>
      </c>
      <c r="O924" s="83"/>
      <c r="P924" s="93" t="str">
        <f>LEFT(VLOOKUP(Ruimtestaat[[#This Row],[Ruimte code]],Ruimtegroepen[#All],4,1),2)</f>
        <v>Ve</v>
      </c>
      <c r="Q924" s="93"/>
      <c r="R924" s="84">
        <v>40</v>
      </c>
      <c r="S924" s="84" t="s">
        <v>318</v>
      </c>
      <c r="T924" s="85">
        <f>IF(R924&gt;0,IF(RIGHT(Ruimtestaat[[#This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4" s="85">
        <f>IF(T924&gt;0,VLOOKUP($J924,Ruimtegroepen[],3,FALSE)*VLOOKUP($L924,Vloersoorten[],3,FALSE)*VLOOKUP($S924,Frequenties[],3,FALSE)*VLOOKUP($A924,Locaties[],3,FALSE),0)</f>
        <v>0</v>
      </c>
      <c r="V924" s="86">
        <f>Ruimtestaat[[#This Row],[Uitvoeringen werkdagen]]*Ruimtestaat[[#This Row],[Oppervlak (netto)]]</f>
        <v>7852</v>
      </c>
      <c r="W924" s="87">
        <f>IF(U924&gt;0,Ruimtestaat[[#This Row],[Prest. (m2 /jaar) werkdagen]]/Ruimtestaat[[#This Row],[Norm (m2/uur) werkdagen]],0)</f>
        <v>0</v>
      </c>
      <c r="X924" s="88">
        <f>Ruimtestaat[[#This Row],[uren / jaar werkdagen]]*Tariefsopbouw!$E$35</f>
        <v>0</v>
      </c>
      <c r="Y924" s="85"/>
      <c r="Z924" s="89">
        <f>IF(Ruimtestaat[[#This Row],[Frequentie weekend]]&gt;0,VALUE(LEFT(Y924,1))*R924,0)</f>
        <v>0</v>
      </c>
      <c r="AA924" s="85">
        <f>IF($Z924&gt;0,VLOOKUP($J924,Ruimtegroepen[],3,FALSE)*VLOOKUP($L924,Vloersoorten[],3,FALSE)*VLOOKUP($Y924,Frequenties[],3,FALSE)*VLOOKUP(#REF!,Locaties[],3,FALSE),0)</f>
        <v>0</v>
      </c>
      <c r="AB924" s="87">
        <f>Ruimtestaat[[#This Row],[Uitvoeringen weekend]]*Ruimtestaat[[#This Row],[Oppervlak (netto)]]</f>
        <v>0</v>
      </c>
      <c r="AC924" s="90">
        <f>IF(AB924&gt;0,Ruimtestaat[[#This Row],[Prest. (m2 /jaar) weekend]]/Ruimtestaat[[#This Row],[Norm (m2/uur) weekend]],0)</f>
        <v>0</v>
      </c>
      <c r="AD924" s="91">
        <f>Ruimtestaat[[#This Row],[uren / jaar weekend]]*Tariefsopbouw!$D$40</f>
        <v>0</v>
      </c>
      <c r="AE924" s="60">
        <f>Ruimtestaat[[#This Row],[Prest. (m2 /jaar) weekend]]+Ruimtestaat[[#This Row],[Prest. (m2 /jaar) werkdagen]]</f>
        <v>7852</v>
      </c>
      <c r="AF924" s="60">
        <f>Ruimtestaat[[#This Row],[uren / jaar weekend]]+Ruimtestaat[[#This Row],[uren / jaar werkdagen]]</f>
        <v>0</v>
      </c>
      <c r="AG924" s="61">
        <f>Ruimtestaat[[#This Row],[kosten / jaar weekend]]+Ruimtestaat[[#This Row],[kosten / jaar werkdagen]]</f>
        <v>0</v>
      </c>
      <c r="AH924" s="92"/>
      <c r="HL924" s="59"/>
    </row>
    <row r="925" spans="1:220">
      <c r="A925" s="24">
        <v>6</v>
      </c>
      <c r="B925" s="24" t="str">
        <f>VLOOKUP(Ruimtestaat[[#This Row],[Code]],Locaties[#All],2,FALSE)</f>
        <v>Marke Noord</v>
      </c>
      <c r="C925" s="24" t="str">
        <f>VLOOKUP(Ruimtestaat[[#This Row],[Code]],Locaties[#All],4,FALSE)</f>
        <v>Lebuïnuslaan 1</v>
      </c>
      <c r="D925" s="24" t="str">
        <f>VLOOKUP(Ruimtestaat[[#This Row],[Code]],Locaties[#All],5,FALSE)</f>
        <v>7415 DM</v>
      </c>
      <c r="E925" s="24" t="str">
        <f>VLOOKUP(Ruimtestaat[[#This Row],[Code]],Locaties[#All],6,FALSE)</f>
        <v>Deventer</v>
      </c>
      <c r="F925" s="54"/>
      <c r="G925" s="24" t="s">
        <v>367</v>
      </c>
      <c r="H925" s="24" t="s">
        <v>412</v>
      </c>
      <c r="I925" s="4" t="s">
        <v>557</v>
      </c>
      <c r="J925" s="24">
        <v>14</v>
      </c>
      <c r="K925" s="54" t="str">
        <f>VLOOKUP(J925,Ruimtegroepen[],2,FALSE)</f>
        <v>Praktijklokalen binas/zorg</v>
      </c>
      <c r="L925" s="24" t="s">
        <v>300</v>
      </c>
      <c r="M925" s="24" t="s">
        <v>909</v>
      </c>
      <c r="N925" s="83">
        <v>67.39</v>
      </c>
      <c r="O925" s="83"/>
      <c r="P925" s="93" t="str">
        <f>LEFT(VLOOKUP(Ruimtestaat[[#This Row],[Ruimte code]],Ruimtegroepen[#All],4,1),2)</f>
        <v>Le</v>
      </c>
      <c r="Q925" s="93"/>
      <c r="R925" s="84">
        <v>40</v>
      </c>
      <c r="S925" s="84" t="s">
        <v>318</v>
      </c>
      <c r="T925" s="85">
        <f>IF(R925&gt;0,IF(RIGHT(Ruimtestaat[[#This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5" s="85">
        <f>IF(T925&gt;0,VLOOKUP($J925,Ruimtegroepen[],3,FALSE)*VLOOKUP($L925,Vloersoorten[],3,FALSE)*VLOOKUP($S925,Frequenties[],3,FALSE)*VLOOKUP($A925,Locaties[],3,FALSE),0)</f>
        <v>0</v>
      </c>
      <c r="V925" s="86">
        <f>Ruimtestaat[[#This Row],[Uitvoeringen werkdagen]]*Ruimtestaat[[#This Row],[Oppervlak (netto)]]</f>
        <v>13478</v>
      </c>
      <c r="W925" s="87">
        <f>IF(U925&gt;0,Ruimtestaat[[#This Row],[Prest. (m2 /jaar) werkdagen]]/Ruimtestaat[[#This Row],[Norm (m2/uur) werkdagen]],0)</f>
        <v>0</v>
      </c>
      <c r="X925" s="88">
        <f>Ruimtestaat[[#This Row],[uren / jaar werkdagen]]*Tariefsopbouw!$E$35</f>
        <v>0</v>
      </c>
      <c r="Y925" s="85"/>
      <c r="Z925" s="89">
        <f>IF(Ruimtestaat[[#This Row],[Frequentie weekend]]&gt;0,VALUE(LEFT(Y925,1))*R925,0)</f>
        <v>0</v>
      </c>
      <c r="AA925" s="85">
        <f>IF($Z925&gt;0,VLOOKUP($J925,Ruimtegroepen[],3,FALSE)*VLOOKUP($L925,Vloersoorten[],3,FALSE)*VLOOKUP($Y925,Frequenties[],3,FALSE)*VLOOKUP(#REF!,Locaties[],3,FALSE),0)</f>
        <v>0</v>
      </c>
      <c r="AB925" s="87">
        <f>Ruimtestaat[[#This Row],[Uitvoeringen weekend]]*Ruimtestaat[[#This Row],[Oppervlak (netto)]]</f>
        <v>0</v>
      </c>
      <c r="AC925" s="90">
        <f>IF(AB925&gt;0,Ruimtestaat[[#This Row],[Prest. (m2 /jaar) weekend]]/Ruimtestaat[[#This Row],[Norm (m2/uur) weekend]],0)</f>
        <v>0</v>
      </c>
      <c r="AD925" s="91">
        <f>Ruimtestaat[[#This Row],[uren / jaar weekend]]*Tariefsopbouw!$D$40</f>
        <v>0</v>
      </c>
      <c r="AE925" s="60">
        <f>Ruimtestaat[[#This Row],[Prest. (m2 /jaar) weekend]]+Ruimtestaat[[#This Row],[Prest. (m2 /jaar) werkdagen]]</f>
        <v>13478</v>
      </c>
      <c r="AF925" s="60">
        <f>Ruimtestaat[[#This Row],[uren / jaar weekend]]+Ruimtestaat[[#This Row],[uren / jaar werkdagen]]</f>
        <v>0</v>
      </c>
      <c r="AG925" s="61">
        <f>Ruimtestaat[[#This Row],[kosten / jaar weekend]]+Ruimtestaat[[#This Row],[kosten / jaar werkdagen]]</f>
        <v>0</v>
      </c>
      <c r="AH925" s="92"/>
      <c r="HL925" s="59"/>
    </row>
    <row r="926" spans="1:220">
      <c r="A926" s="24">
        <v>6</v>
      </c>
      <c r="B926" s="24" t="str">
        <f>VLOOKUP(Ruimtestaat[[#This Row],[Code]],Locaties[#All],2,FALSE)</f>
        <v>Marke Noord</v>
      </c>
      <c r="C926" s="24" t="str">
        <f>VLOOKUP(Ruimtestaat[[#This Row],[Code]],Locaties[#All],4,FALSE)</f>
        <v>Lebuïnuslaan 1</v>
      </c>
      <c r="D926" s="24" t="str">
        <f>VLOOKUP(Ruimtestaat[[#This Row],[Code]],Locaties[#All],5,FALSE)</f>
        <v>7415 DM</v>
      </c>
      <c r="E926" s="24" t="str">
        <f>VLOOKUP(Ruimtestaat[[#This Row],[Code]],Locaties[#All],6,FALSE)</f>
        <v>Deventer</v>
      </c>
      <c r="F926" s="54"/>
      <c r="G926" s="24" t="s">
        <v>367</v>
      </c>
      <c r="H926" s="24" t="s">
        <v>414</v>
      </c>
      <c r="I926" s="4" t="s">
        <v>557</v>
      </c>
      <c r="J926" s="24">
        <v>14</v>
      </c>
      <c r="K926" s="54" t="str">
        <f>VLOOKUP(J926,Ruimtegroepen[],2,FALSE)</f>
        <v>Praktijklokalen binas/zorg</v>
      </c>
      <c r="L926" s="24" t="s">
        <v>300</v>
      </c>
      <c r="M926" s="24" t="s">
        <v>909</v>
      </c>
      <c r="N926" s="83">
        <v>65.16</v>
      </c>
      <c r="O926" s="83"/>
      <c r="P926" s="93" t="str">
        <f>LEFT(VLOOKUP(Ruimtestaat[[#This Row],[Ruimte code]],Ruimtegroepen[#All],4,1),2)</f>
        <v>Le</v>
      </c>
      <c r="Q926" s="93"/>
      <c r="R926" s="84">
        <v>40</v>
      </c>
      <c r="S926" s="84" t="s">
        <v>318</v>
      </c>
      <c r="T926" s="85">
        <f>IF(R926&gt;0,IF(RIGHT(Ruimtestaat[[#This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6" s="85">
        <f>IF(T926&gt;0,VLOOKUP($J926,Ruimtegroepen[],3,FALSE)*VLOOKUP($L926,Vloersoorten[],3,FALSE)*VLOOKUP($S926,Frequenties[],3,FALSE)*VLOOKUP($A926,Locaties[],3,FALSE),0)</f>
        <v>0</v>
      </c>
      <c r="V926" s="86">
        <f>Ruimtestaat[[#This Row],[Uitvoeringen werkdagen]]*Ruimtestaat[[#This Row],[Oppervlak (netto)]]</f>
        <v>13032</v>
      </c>
      <c r="W926" s="87">
        <f>IF(U926&gt;0,Ruimtestaat[[#This Row],[Prest. (m2 /jaar) werkdagen]]/Ruimtestaat[[#This Row],[Norm (m2/uur) werkdagen]],0)</f>
        <v>0</v>
      </c>
      <c r="X926" s="88">
        <f>Ruimtestaat[[#This Row],[uren / jaar werkdagen]]*Tariefsopbouw!$E$35</f>
        <v>0</v>
      </c>
      <c r="Y926" s="85"/>
      <c r="Z926" s="89">
        <f>IF(Ruimtestaat[[#This Row],[Frequentie weekend]]&gt;0,VALUE(LEFT(Y926,1))*R926,0)</f>
        <v>0</v>
      </c>
      <c r="AA926" s="85">
        <f>IF($Z926&gt;0,VLOOKUP($J926,Ruimtegroepen[],3,FALSE)*VLOOKUP($L926,Vloersoorten[],3,FALSE)*VLOOKUP($Y926,Frequenties[],3,FALSE)*VLOOKUP(#REF!,Locaties[],3,FALSE),0)</f>
        <v>0</v>
      </c>
      <c r="AB926" s="87">
        <f>Ruimtestaat[[#This Row],[Uitvoeringen weekend]]*Ruimtestaat[[#This Row],[Oppervlak (netto)]]</f>
        <v>0</v>
      </c>
      <c r="AC926" s="90">
        <f>IF(AB926&gt;0,Ruimtestaat[[#This Row],[Prest. (m2 /jaar) weekend]]/Ruimtestaat[[#This Row],[Norm (m2/uur) weekend]],0)</f>
        <v>0</v>
      </c>
      <c r="AD926" s="91">
        <f>Ruimtestaat[[#This Row],[uren / jaar weekend]]*Tariefsopbouw!$D$40</f>
        <v>0</v>
      </c>
      <c r="AE926" s="60">
        <f>Ruimtestaat[[#This Row],[Prest. (m2 /jaar) weekend]]+Ruimtestaat[[#This Row],[Prest. (m2 /jaar) werkdagen]]</f>
        <v>13032</v>
      </c>
      <c r="AF926" s="60">
        <f>Ruimtestaat[[#This Row],[uren / jaar weekend]]+Ruimtestaat[[#This Row],[uren / jaar werkdagen]]</f>
        <v>0</v>
      </c>
      <c r="AG926" s="61">
        <f>Ruimtestaat[[#This Row],[kosten / jaar weekend]]+Ruimtestaat[[#This Row],[kosten / jaar werkdagen]]</f>
        <v>0</v>
      </c>
      <c r="AH926" s="92"/>
      <c r="HL926" s="59"/>
    </row>
    <row r="927" spans="1:220">
      <c r="A927" s="24">
        <v>6</v>
      </c>
      <c r="B927" s="24" t="str">
        <f>VLOOKUP(Ruimtestaat[[#This Row],[Code]],Locaties[#All],2,FALSE)</f>
        <v>Marke Noord</v>
      </c>
      <c r="C927" s="24" t="str">
        <f>VLOOKUP(Ruimtestaat[[#This Row],[Code]],Locaties[#All],4,FALSE)</f>
        <v>Lebuïnuslaan 1</v>
      </c>
      <c r="D927" s="24" t="str">
        <f>VLOOKUP(Ruimtestaat[[#This Row],[Code]],Locaties[#All],5,FALSE)</f>
        <v>7415 DM</v>
      </c>
      <c r="E927" s="24" t="str">
        <f>VLOOKUP(Ruimtestaat[[#This Row],[Code]],Locaties[#All],6,FALSE)</f>
        <v>Deventer</v>
      </c>
      <c r="F927" s="54"/>
      <c r="G927" s="24" t="s">
        <v>367</v>
      </c>
      <c r="H927" s="24" t="s">
        <v>416</v>
      </c>
      <c r="I927" s="4" t="s">
        <v>292</v>
      </c>
      <c r="J927" s="24">
        <v>20</v>
      </c>
      <c r="K927" s="54" t="str">
        <f>VLOOKUP(J927,Ruimtegroepen[],2,FALSE)</f>
        <v>Kabinet</v>
      </c>
      <c r="L927" s="24" t="s">
        <v>300</v>
      </c>
      <c r="M927" s="24" t="s">
        <v>909</v>
      </c>
      <c r="N927" s="83">
        <v>42.87</v>
      </c>
      <c r="O927" s="83"/>
      <c r="P927" s="93" t="str">
        <f>LEFT(VLOOKUP(Ruimtestaat[[#This Row],[Ruimte code]],Ruimtegroepen[#All],4,1),2)</f>
        <v>Ve</v>
      </c>
      <c r="Q927" s="93"/>
      <c r="R927" s="84">
        <v>40</v>
      </c>
      <c r="S927" s="84" t="s">
        <v>318</v>
      </c>
      <c r="T927" s="85">
        <f>IF(R927&gt;0,IF(RIGHT(Ruimtestaat[[#This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7" s="85">
        <f>IF(T927&gt;0,VLOOKUP($J927,Ruimtegroepen[],3,FALSE)*VLOOKUP($L927,Vloersoorten[],3,FALSE)*VLOOKUP($S927,Frequenties[],3,FALSE)*VLOOKUP($A927,Locaties[],3,FALSE),0)</f>
        <v>0</v>
      </c>
      <c r="V927" s="86">
        <f>Ruimtestaat[[#This Row],[Uitvoeringen werkdagen]]*Ruimtestaat[[#This Row],[Oppervlak (netto)]]</f>
        <v>8574</v>
      </c>
      <c r="W927" s="87">
        <f>IF(U927&gt;0,Ruimtestaat[[#This Row],[Prest. (m2 /jaar) werkdagen]]/Ruimtestaat[[#This Row],[Norm (m2/uur) werkdagen]],0)</f>
        <v>0</v>
      </c>
      <c r="X927" s="88">
        <f>Ruimtestaat[[#This Row],[uren / jaar werkdagen]]*Tariefsopbouw!$E$35</f>
        <v>0</v>
      </c>
      <c r="Y927" s="85"/>
      <c r="Z927" s="89">
        <f>IF(Ruimtestaat[[#This Row],[Frequentie weekend]]&gt;0,VALUE(LEFT(Y927,1))*R927,0)</f>
        <v>0</v>
      </c>
      <c r="AA927" s="85">
        <f>IF($Z927&gt;0,VLOOKUP($J927,Ruimtegroepen[],3,FALSE)*VLOOKUP($L927,Vloersoorten[],3,FALSE)*VLOOKUP($Y927,Frequenties[],3,FALSE)*VLOOKUP(#REF!,Locaties[],3,FALSE),0)</f>
        <v>0</v>
      </c>
      <c r="AB927" s="87">
        <f>Ruimtestaat[[#This Row],[Uitvoeringen weekend]]*Ruimtestaat[[#This Row],[Oppervlak (netto)]]</f>
        <v>0</v>
      </c>
      <c r="AC927" s="90">
        <f>IF(AB927&gt;0,Ruimtestaat[[#This Row],[Prest. (m2 /jaar) weekend]]/Ruimtestaat[[#This Row],[Norm (m2/uur) weekend]],0)</f>
        <v>0</v>
      </c>
      <c r="AD927" s="91">
        <f>Ruimtestaat[[#This Row],[uren / jaar weekend]]*Tariefsopbouw!$D$40</f>
        <v>0</v>
      </c>
      <c r="AE927" s="60">
        <f>Ruimtestaat[[#This Row],[Prest. (m2 /jaar) weekend]]+Ruimtestaat[[#This Row],[Prest. (m2 /jaar) werkdagen]]</f>
        <v>8574</v>
      </c>
      <c r="AF927" s="60">
        <f>Ruimtestaat[[#This Row],[uren / jaar weekend]]+Ruimtestaat[[#This Row],[uren / jaar werkdagen]]</f>
        <v>0</v>
      </c>
      <c r="AG927" s="61">
        <f>Ruimtestaat[[#This Row],[kosten / jaar weekend]]+Ruimtestaat[[#This Row],[kosten / jaar werkdagen]]</f>
        <v>0</v>
      </c>
      <c r="AH927" s="92"/>
      <c r="HL927" s="59"/>
    </row>
    <row r="928" spans="1:220">
      <c r="A928" s="24">
        <v>6</v>
      </c>
      <c r="B928" s="24" t="str">
        <f>VLOOKUP(Ruimtestaat[[#This Row],[Code]],Locaties[#All],2,FALSE)</f>
        <v>Marke Noord</v>
      </c>
      <c r="C928" s="24" t="str">
        <f>VLOOKUP(Ruimtestaat[[#This Row],[Code]],Locaties[#All],4,FALSE)</f>
        <v>Lebuïnuslaan 1</v>
      </c>
      <c r="D928" s="24" t="str">
        <f>VLOOKUP(Ruimtestaat[[#This Row],[Code]],Locaties[#All],5,FALSE)</f>
        <v>7415 DM</v>
      </c>
      <c r="E928" s="24" t="str">
        <f>VLOOKUP(Ruimtestaat[[#This Row],[Code]],Locaties[#All],6,FALSE)</f>
        <v>Deventer</v>
      </c>
      <c r="F928" s="54"/>
      <c r="G928" s="24" t="s">
        <v>367</v>
      </c>
      <c r="H928" s="24" t="s">
        <v>417</v>
      </c>
      <c r="I928" s="4" t="s">
        <v>557</v>
      </c>
      <c r="J928" s="24">
        <v>14</v>
      </c>
      <c r="K928" s="54" t="str">
        <f>VLOOKUP(J928,Ruimtegroepen[],2,FALSE)</f>
        <v>Praktijklokalen binas/zorg</v>
      </c>
      <c r="L928" s="24" t="s">
        <v>300</v>
      </c>
      <c r="M928" s="24" t="s">
        <v>909</v>
      </c>
      <c r="N928" s="83">
        <v>67.319999999999993</v>
      </c>
      <c r="O928" s="83"/>
      <c r="P928" s="93" t="str">
        <f>LEFT(VLOOKUP(Ruimtestaat[[#This Row],[Ruimte code]],Ruimtegroepen[#All],4,1),2)</f>
        <v>Le</v>
      </c>
      <c r="Q928" s="93"/>
      <c r="R928" s="84">
        <v>40</v>
      </c>
      <c r="S928" s="84" t="s">
        <v>318</v>
      </c>
      <c r="T928" s="85">
        <f>IF(R928&gt;0,IF(RIGHT(Ruimtestaat[[#This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8" s="85">
        <f>IF(T928&gt;0,VLOOKUP($J928,Ruimtegroepen[],3,FALSE)*VLOOKUP($L928,Vloersoorten[],3,FALSE)*VLOOKUP($S928,Frequenties[],3,FALSE)*VLOOKUP($A928,Locaties[],3,FALSE),0)</f>
        <v>0</v>
      </c>
      <c r="V928" s="86">
        <f>Ruimtestaat[[#This Row],[Uitvoeringen werkdagen]]*Ruimtestaat[[#This Row],[Oppervlak (netto)]]</f>
        <v>13463.999999999998</v>
      </c>
      <c r="W928" s="87">
        <f>IF(U928&gt;0,Ruimtestaat[[#This Row],[Prest. (m2 /jaar) werkdagen]]/Ruimtestaat[[#This Row],[Norm (m2/uur) werkdagen]],0)</f>
        <v>0</v>
      </c>
      <c r="X928" s="88">
        <f>Ruimtestaat[[#This Row],[uren / jaar werkdagen]]*Tariefsopbouw!$E$35</f>
        <v>0</v>
      </c>
      <c r="Y928" s="85"/>
      <c r="Z928" s="89">
        <f>IF(Ruimtestaat[[#This Row],[Frequentie weekend]]&gt;0,VALUE(LEFT(Y928,1))*R928,0)</f>
        <v>0</v>
      </c>
      <c r="AA928" s="85">
        <f>IF($Z928&gt;0,VLOOKUP($J928,Ruimtegroepen[],3,FALSE)*VLOOKUP($L928,Vloersoorten[],3,FALSE)*VLOOKUP($Y928,Frequenties[],3,FALSE)*VLOOKUP(#REF!,Locaties[],3,FALSE),0)</f>
        <v>0</v>
      </c>
      <c r="AB928" s="87">
        <f>Ruimtestaat[[#This Row],[Uitvoeringen weekend]]*Ruimtestaat[[#This Row],[Oppervlak (netto)]]</f>
        <v>0</v>
      </c>
      <c r="AC928" s="90">
        <f>IF(AB928&gt;0,Ruimtestaat[[#This Row],[Prest. (m2 /jaar) weekend]]/Ruimtestaat[[#This Row],[Norm (m2/uur) weekend]],0)</f>
        <v>0</v>
      </c>
      <c r="AD928" s="91">
        <f>Ruimtestaat[[#This Row],[uren / jaar weekend]]*Tariefsopbouw!$D$40</f>
        <v>0</v>
      </c>
      <c r="AE928" s="60">
        <f>Ruimtestaat[[#This Row],[Prest. (m2 /jaar) weekend]]+Ruimtestaat[[#This Row],[Prest. (m2 /jaar) werkdagen]]</f>
        <v>13463.999999999998</v>
      </c>
      <c r="AF928" s="60">
        <f>Ruimtestaat[[#This Row],[uren / jaar weekend]]+Ruimtestaat[[#This Row],[uren / jaar werkdagen]]</f>
        <v>0</v>
      </c>
      <c r="AG928" s="61">
        <f>Ruimtestaat[[#This Row],[kosten / jaar weekend]]+Ruimtestaat[[#This Row],[kosten / jaar werkdagen]]</f>
        <v>0</v>
      </c>
      <c r="AH928" s="92"/>
      <c r="HL928" s="59"/>
    </row>
    <row r="929" spans="1:220">
      <c r="A929" s="24">
        <v>6</v>
      </c>
      <c r="B929" s="24" t="str">
        <f>VLOOKUP(Ruimtestaat[[#This Row],[Code]],Locaties[#All],2,FALSE)</f>
        <v>Marke Noord</v>
      </c>
      <c r="C929" s="24" t="str">
        <f>VLOOKUP(Ruimtestaat[[#This Row],[Code]],Locaties[#All],4,FALSE)</f>
        <v>Lebuïnuslaan 1</v>
      </c>
      <c r="D929" s="24" t="str">
        <f>VLOOKUP(Ruimtestaat[[#This Row],[Code]],Locaties[#All],5,FALSE)</f>
        <v>7415 DM</v>
      </c>
      <c r="E929" s="24" t="str">
        <f>VLOOKUP(Ruimtestaat[[#This Row],[Code]],Locaties[#All],6,FALSE)</f>
        <v>Deventer</v>
      </c>
      <c r="F929" s="54"/>
      <c r="G929" s="24" t="s">
        <v>367</v>
      </c>
      <c r="H929" s="24" t="s">
        <v>418</v>
      </c>
      <c r="I929" s="4" t="s">
        <v>769</v>
      </c>
      <c r="J929" s="24">
        <v>2</v>
      </c>
      <c r="K929" s="54" t="str">
        <f>VLOOKUP(J929,Ruimtegroepen[],2,FALSE)</f>
        <v>Kantoren</v>
      </c>
      <c r="L929" s="24" t="s">
        <v>300</v>
      </c>
      <c r="M929" s="24" t="s">
        <v>909</v>
      </c>
      <c r="N929" s="83">
        <v>54.95</v>
      </c>
      <c r="O929" s="83"/>
      <c r="P929" s="93" t="str">
        <f>LEFT(VLOOKUP(Ruimtestaat[[#This Row],[Ruimte code]],Ruimtegroepen[#All],4,1),2)</f>
        <v>Bu</v>
      </c>
      <c r="Q929" s="93"/>
      <c r="R929" s="84">
        <v>42</v>
      </c>
      <c r="S929" s="84" t="s">
        <v>322</v>
      </c>
      <c r="T929" s="85">
        <f>IF(R929&gt;0,IF(RIGHT(Ruimtestaat[[#This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29" s="85">
        <f>IF(T929&gt;0,VLOOKUP($J929,Ruimtegroepen[],3,FALSE)*VLOOKUP($L929,Vloersoorten[],3,FALSE)*VLOOKUP($S929,Frequenties[],3,FALSE)*VLOOKUP($A929,Locaties[],3,FALSE),0)</f>
        <v>0</v>
      </c>
      <c r="V929" s="86">
        <f>Ruimtestaat[[#This Row],[Uitvoeringen werkdagen]]*Ruimtestaat[[#This Row],[Oppervlak (netto)]]</f>
        <v>6923.7000000000007</v>
      </c>
      <c r="W929" s="87">
        <f>IF(U929&gt;0,Ruimtestaat[[#This Row],[Prest. (m2 /jaar) werkdagen]]/Ruimtestaat[[#This Row],[Norm (m2/uur) werkdagen]],0)</f>
        <v>0</v>
      </c>
      <c r="X929" s="88">
        <f>Ruimtestaat[[#This Row],[uren / jaar werkdagen]]*Tariefsopbouw!$E$35</f>
        <v>0</v>
      </c>
      <c r="Y929" s="85"/>
      <c r="Z929" s="89">
        <f>IF(Ruimtestaat[[#This Row],[Frequentie weekend]]&gt;0,VALUE(LEFT(Y929,1))*R929,0)</f>
        <v>0</v>
      </c>
      <c r="AA929" s="85">
        <f>IF($Z929&gt;0,VLOOKUP($J929,Ruimtegroepen[],3,FALSE)*VLOOKUP($L929,Vloersoorten[],3,FALSE)*VLOOKUP($Y929,Frequenties[],3,FALSE)*VLOOKUP(#REF!,Locaties[],3,FALSE),0)</f>
        <v>0</v>
      </c>
      <c r="AB929" s="87">
        <f>Ruimtestaat[[#This Row],[Uitvoeringen weekend]]*Ruimtestaat[[#This Row],[Oppervlak (netto)]]</f>
        <v>0</v>
      </c>
      <c r="AC929" s="90">
        <f>IF(AB929&gt;0,Ruimtestaat[[#This Row],[Prest. (m2 /jaar) weekend]]/Ruimtestaat[[#This Row],[Norm (m2/uur) weekend]],0)</f>
        <v>0</v>
      </c>
      <c r="AD929" s="91">
        <f>Ruimtestaat[[#This Row],[uren / jaar weekend]]*Tariefsopbouw!$D$40</f>
        <v>0</v>
      </c>
      <c r="AE929" s="60">
        <f>Ruimtestaat[[#This Row],[Prest. (m2 /jaar) weekend]]+Ruimtestaat[[#This Row],[Prest. (m2 /jaar) werkdagen]]</f>
        <v>6923.7000000000007</v>
      </c>
      <c r="AF929" s="60">
        <f>Ruimtestaat[[#This Row],[uren / jaar weekend]]+Ruimtestaat[[#This Row],[uren / jaar werkdagen]]</f>
        <v>0</v>
      </c>
      <c r="AG929" s="61">
        <f>Ruimtestaat[[#This Row],[kosten / jaar weekend]]+Ruimtestaat[[#This Row],[kosten / jaar werkdagen]]</f>
        <v>0</v>
      </c>
      <c r="AH929" s="92"/>
      <c r="HL929" s="59"/>
    </row>
    <row r="930" spans="1:220">
      <c r="A930" s="24">
        <v>6</v>
      </c>
      <c r="B930" s="24" t="str">
        <f>VLOOKUP(Ruimtestaat[[#This Row],[Code]],Locaties[#All],2,FALSE)</f>
        <v>Marke Noord</v>
      </c>
      <c r="C930" s="24" t="str">
        <f>VLOOKUP(Ruimtestaat[[#This Row],[Code]],Locaties[#All],4,FALSE)</f>
        <v>Lebuïnuslaan 1</v>
      </c>
      <c r="D930" s="24" t="str">
        <f>VLOOKUP(Ruimtestaat[[#This Row],[Code]],Locaties[#All],5,FALSE)</f>
        <v>7415 DM</v>
      </c>
      <c r="E930" s="24" t="str">
        <f>VLOOKUP(Ruimtestaat[[#This Row],[Code]],Locaties[#All],6,FALSE)</f>
        <v>Deventer</v>
      </c>
      <c r="F930" s="54"/>
      <c r="G930" s="24" t="s">
        <v>367</v>
      </c>
      <c r="H930" s="24" t="s">
        <v>419</v>
      </c>
      <c r="I930" s="4" t="s">
        <v>1266</v>
      </c>
      <c r="J930" s="24">
        <v>7</v>
      </c>
      <c r="K930" s="54" t="str">
        <f>VLOOKUP(J930,Ruimtegroepen[],2,FALSE)</f>
        <v>Entree</v>
      </c>
      <c r="L930" s="24" t="s">
        <v>300</v>
      </c>
      <c r="M930" s="24" t="s">
        <v>909</v>
      </c>
      <c r="N930" s="83">
        <v>6.62</v>
      </c>
      <c r="O930" s="83"/>
      <c r="P930" s="93" t="str">
        <f>LEFT(VLOOKUP(Ruimtestaat[[#This Row],[Ruimte code]],Ruimtegroepen[#All],4,1),2)</f>
        <v>Ve</v>
      </c>
      <c r="Q930" s="93"/>
      <c r="R930" s="84">
        <v>40</v>
      </c>
      <c r="S930" s="84" t="s">
        <v>318</v>
      </c>
      <c r="T930" s="85">
        <f>IF(R930&gt;0,IF(RIGHT(Ruimtestaat[[#This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0" s="85">
        <f>IF(T930&gt;0,VLOOKUP($J930,Ruimtegroepen[],3,FALSE)*VLOOKUP($L930,Vloersoorten[],3,FALSE)*VLOOKUP($S930,Frequenties[],3,FALSE)*VLOOKUP($A930,Locaties[],3,FALSE),0)</f>
        <v>0</v>
      </c>
      <c r="V930" s="86">
        <f>Ruimtestaat[[#This Row],[Uitvoeringen werkdagen]]*Ruimtestaat[[#This Row],[Oppervlak (netto)]]</f>
        <v>1324</v>
      </c>
      <c r="W930" s="87">
        <f>IF(U930&gt;0,Ruimtestaat[[#This Row],[Prest. (m2 /jaar) werkdagen]]/Ruimtestaat[[#This Row],[Norm (m2/uur) werkdagen]],0)</f>
        <v>0</v>
      </c>
      <c r="X930" s="88">
        <f>Ruimtestaat[[#This Row],[uren / jaar werkdagen]]*Tariefsopbouw!$E$35</f>
        <v>0</v>
      </c>
      <c r="Y930" s="85"/>
      <c r="Z930" s="89">
        <f>IF(Ruimtestaat[[#This Row],[Frequentie weekend]]&gt;0,VALUE(LEFT(Y930,1))*R930,0)</f>
        <v>0</v>
      </c>
      <c r="AA930" s="85">
        <f>IF($Z930&gt;0,VLOOKUP($J930,Ruimtegroepen[],3,FALSE)*VLOOKUP($L930,Vloersoorten[],3,FALSE)*VLOOKUP($Y930,Frequenties[],3,FALSE)*VLOOKUP(#REF!,Locaties[],3,FALSE),0)</f>
        <v>0</v>
      </c>
      <c r="AB930" s="87">
        <f>Ruimtestaat[[#This Row],[Uitvoeringen weekend]]*Ruimtestaat[[#This Row],[Oppervlak (netto)]]</f>
        <v>0</v>
      </c>
      <c r="AC930" s="90">
        <f>IF(AB930&gt;0,Ruimtestaat[[#This Row],[Prest. (m2 /jaar) weekend]]/Ruimtestaat[[#This Row],[Norm (m2/uur) weekend]],0)</f>
        <v>0</v>
      </c>
      <c r="AD930" s="91">
        <f>Ruimtestaat[[#This Row],[uren / jaar weekend]]*Tariefsopbouw!$D$40</f>
        <v>0</v>
      </c>
      <c r="AE930" s="60">
        <f>Ruimtestaat[[#This Row],[Prest. (m2 /jaar) weekend]]+Ruimtestaat[[#This Row],[Prest. (m2 /jaar) werkdagen]]</f>
        <v>1324</v>
      </c>
      <c r="AF930" s="60">
        <f>Ruimtestaat[[#This Row],[uren / jaar weekend]]+Ruimtestaat[[#This Row],[uren / jaar werkdagen]]</f>
        <v>0</v>
      </c>
      <c r="AG930" s="61">
        <f>Ruimtestaat[[#This Row],[kosten / jaar weekend]]+Ruimtestaat[[#This Row],[kosten / jaar werkdagen]]</f>
        <v>0</v>
      </c>
      <c r="AH930" s="92"/>
      <c r="HL930" s="59"/>
    </row>
    <row r="931" spans="1:220">
      <c r="A931" s="24">
        <v>6</v>
      </c>
      <c r="B931" s="24" t="str">
        <f>VLOOKUP(Ruimtestaat[[#This Row],[Code]],Locaties[#All],2,FALSE)</f>
        <v>Marke Noord</v>
      </c>
      <c r="C931" s="24" t="str">
        <f>VLOOKUP(Ruimtestaat[[#This Row],[Code]],Locaties[#All],4,FALSE)</f>
        <v>Lebuïnuslaan 1</v>
      </c>
      <c r="D931" s="24" t="str">
        <f>VLOOKUP(Ruimtestaat[[#This Row],[Code]],Locaties[#All],5,FALSE)</f>
        <v>7415 DM</v>
      </c>
      <c r="E931" s="24" t="str">
        <f>VLOOKUP(Ruimtestaat[[#This Row],[Code]],Locaties[#All],6,FALSE)</f>
        <v>Deventer</v>
      </c>
      <c r="F931" s="54"/>
      <c r="G931" s="24" t="s">
        <v>367</v>
      </c>
      <c r="H931" s="24" t="s">
        <v>1367</v>
      </c>
      <c r="I931" s="4" t="s">
        <v>1368</v>
      </c>
      <c r="J931" s="24">
        <v>7</v>
      </c>
      <c r="K931" s="54" t="str">
        <f>VLOOKUP(J931,Ruimtegroepen[],2,FALSE)</f>
        <v>Entree</v>
      </c>
      <c r="L931" s="24" t="s">
        <v>300</v>
      </c>
      <c r="M931" s="24" t="s">
        <v>909</v>
      </c>
      <c r="N931" s="83">
        <v>18.62</v>
      </c>
      <c r="O931" s="83"/>
      <c r="P931" s="93" t="str">
        <f>LEFT(VLOOKUP(Ruimtestaat[[#This Row],[Ruimte code]],Ruimtegroepen[#All],4,1),2)</f>
        <v>Ve</v>
      </c>
      <c r="Q931" s="93"/>
      <c r="R931" s="84">
        <v>40</v>
      </c>
      <c r="S931" s="84" t="s">
        <v>318</v>
      </c>
      <c r="T931" s="85">
        <f>IF(R931&gt;0,IF(RIGHT(Ruimtestaat[[#This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1" s="85">
        <f>IF(T931&gt;0,VLOOKUP($J931,Ruimtegroepen[],3,FALSE)*VLOOKUP($L931,Vloersoorten[],3,FALSE)*VLOOKUP($S931,Frequenties[],3,FALSE)*VLOOKUP($A931,Locaties[],3,FALSE),0)</f>
        <v>0</v>
      </c>
      <c r="V931" s="86">
        <f>Ruimtestaat[[#This Row],[Uitvoeringen werkdagen]]*Ruimtestaat[[#This Row],[Oppervlak (netto)]]</f>
        <v>3724</v>
      </c>
      <c r="W931" s="87">
        <f>IF(U931&gt;0,Ruimtestaat[[#This Row],[Prest. (m2 /jaar) werkdagen]]/Ruimtestaat[[#This Row],[Norm (m2/uur) werkdagen]],0)</f>
        <v>0</v>
      </c>
      <c r="X931" s="88">
        <f>Ruimtestaat[[#This Row],[uren / jaar werkdagen]]*Tariefsopbouw!$E$35</f>
        <v>0</v>
      </c>
      <c r="Y931" s="85"/>
      <c r="Z931" s="89">
        <f>IF(Ruimtestaat[[#This Row],[Frequentie weekend]]&gt;0,VALUE(LEFT(Y931,1))*R931,0)</f>
        <v>0</v>
      </c>
      <c r="AA931" s="85">
        <f>IF($Z931&gt;0,VLOOKUP($J931,Ruimtegroepen[],3,FALSE)*VLOOKUP($L931,Vloersoorten[],3,FALSE)*VLOOKUP($Y931,Frequenties[],3,FALSE)*VLOOKUP(#REF!,Locaties[],3,FALSE),0)</f>
        <v>0</v>
      </c>
      <c r="AB931" s="87">
        <f>Ruimtestaat[[#This Row],[Uitvoeringen weekend]]*Ruimtestaat[[#This Row],[Oppervlak (netto)]]</f>
        <v>0</v>
      </c>
      <c r="AC931" s="90">
        <f>IF(AB931&gt;0,Ruimtestaat[[#This Row],[Prest. (m2 /jaar) weekend]]/Ruimtestaat[[#This Row],[Norm (m2/uur) weekend]],0)</f>
        <v>0</v>
      </c>
      <c r="AD931" s="91">
        <f>Ruimtestaat[[#This Row],[uren / jaar weekend]]*Tariefsopbouw!$D$40</f>
        <v>0</v>
      </c>
      <c r="AE931" s="60">
        <f>Ruimtestaat[[#This Row],[Prest. (m2 /jaar) weekend]]+Ruimtestaat[[#This Row],[Prest. (m2 /jaar) werkdagen]]</f>
        <v>3724</v>
      </c>
      <c r="AF931" s="60">
        <f>Ruimtestaat[[#This Row],[uren / jaar weekend]]+Ruimtestaat[[#This Row],[uren / jaar werkdagen]]</f>
        <v>0</v>
      </c>
      <c r="AG931" s="61">
        <f>Ruimtestaat[[#This Row],[kosten / jaar weekend]]+Ruimtestaat[[#This Row],[kosten / jaar werkdagen]]</f>
        <v>0</v>
      </c>
      <c r="AH931" s="92"/>
      <c r="HL931" s="59"/>
    </row>
    <row r="932" spans="1:220">
      <c r="A932" s="24">
        <v>6</v>
      </c>
      <c r="B932" s="24" t="str">
        <f>VLOOKUP(Ruimtestaat[[#This Row],[Code]],Locaties[#All],2,FALSE)</f>
        <v>Marke Noord</v>
      </c>
      <c r="C932" s="24" t="str">
        <f>VLOOKUP(Ruimtestaat[[#This Row],[Code]],Locaties[#All],4,FALSE)</f>
        <v>Lebuïnuslaan 1</v>
      </c>
      <c r="D932" s="24" t="str">
        <f>VLOOKUP(Ruimtestaat[[#This Row],[Code]],Locaties[#All],5,FALSE)</f>
        <v>7415 DM</v>
      </c>
      <c r="E932" s="24" t="str">
        <f>VLOOKUP(Ruimtestaat[[#This Row],[Code]],Locaties[#All],6,FALSE)</f>
        <v>Deventer</v>
      </c>
      <c r="F932" s="54"/>
      <c r="G932" s="24" t="s">
        <v>367</v>
      </c>
      <c r="H932" s="24" t="s">
        <v>423</v>
      </c>
      <c r="I932" s="4" t="s">
        <v>1266</v>
      </c>
      <c r="J932" s="24">
        <v>7</v>
      </c>
      <c r="K932" s="54" t="str">
        <f>VLOOKUP(J932,Ruimtegroepen[],2,FALSE)</f>
        <v>Entree</v>
      </c>
      <c r="L932" s="24" t="s">
        <v>300</v>
      </c>
      <c r="M932" s="24" t="s">
        <v>909</v>
      </c>
      <c r="N932" s="83">
        <v>6.87</v>
      </c>
      <c r="O932" s="83"/>
      <c r="P932" s="93" t="str">
        <f>LEFT(VLOOKUP(Ruimtestaat[[#This Row],[Ruimte code]],Ruimtegroepen[#All],4,1),2)</f>
        <v>Ve</v>
      </c>
      <c r="Q932" s="93"/>
      <c r="R932" s="84">
        <v>40</v>
      </c>
      <c r="S932" s="84" t="s">
        <v>318</v>
      </c>
      <c r="T932" s="85">
        <f>IF(R932&gt;0,IF(RIGHT(Ruimtestaat[[#This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2" s="85">
        <f>IF(T932&gt;0,VLOOKUP($J932,Ruimtegroepen[],3,FALSE)*VLOOKUP($L932,Vloersoorten[],3,FALSE)*VLOOKUP($S932,Frequenties[],3,FALSE)*VLOOKUP($A932,Locaties[],3,FALSE),0)</f>
        <v>0</v>
      </c>
      <c r="V932" s="86">
        <f>Ruimtestaat[[#This Row],[Uitvoeringen werkdagen]]*Ruimtestaat[[#This Row],[Oppervlak (netto)]]</f>
        <v>1374</v>
      </c>
      <c r="W932" s="87">
        <f>IF(U932&gt;0,Ruimtestaat[[#This Row],[Prest. (m2 /jaar) werkdagen]]/Ruimtestaat[[#This Row],[Norm (m2/uur) werkdagen]],0)</f>
        <v>0</v>
      </c>
      <c r="X932" s="88">
        <f>Ruimtestaat[[#This Row],[uren / jaar werkdagen]]*Tariefsopbouw!$E$35</f>
        <v>0</v>
      </c>
      <c r="Y932" s="85"/>
      <c r="Z932" s="89">
        <f>IF(Ruimtestaat[[#This Row],[Frequentie weekend]]&gt;0,VALUE(LEFT(Y932,1))*R932,0)</f>
        <v>0</v>
      </c>
      <c r="AA932" s="85">
        <f>IF($Z932&gt;0,VLOOKUP($J932,Ruimtegroepen[],3,FALSE)*VLOOKUP($L932,Vloersoorten[],3,FALSE)*VLOOKUP($Y932,Frequenties[],3,FALSE)*VLOOKUP(#REF!,Locaties[],3,FALSE),0)</f>
        <v>0</v>
      </c>
      <c r="AB932" s="87">
        <f>Ruimtestaat[[#This Row],[Uitvoeringen weekend]]*Ruimtestaat[[#This Row],[Oppervlak (netto)]]</f>
        <v>0</v>
      </c>
      <c r="AC932" s="90">
        <f>IF(AB932&gt;0,Ruimtestaat[[#This Row],[Prest. (m2 /jaar) weekend]]/Ruimtestaat[[#This Row],[Norm (m2/uur) weekend]],0)</f>
        <v>0</v>
      </c>
      <c r="AD932" s="91">
        <f>Ruimtestaat[[#This Row],[uren / jaar weekend]]*Tariefsopbouw!$D$40</f>
        <v>0</v>
      </c>
      <c r="AE932" s="60">
        <f>Ruimtestaat[[#This Row],[Prest. (m2 /jaar) weekend]]+Ruimtestaat[[#This Row],[Prest. (m2 /jaar) werkdagen]]</f>
        <v>1374</v>
      </c>
      <c r="AF932" s="60">
        <f>Ruimtestaat[[#This Row],[uren / jaar weekend]]+Ruimtestaat[[#This Row],[uren / jaar werkdagen]]</f>
        <v>0</v>
      </c>
      <c r="AG932" s="61">
        <f>Ruimtestaat[[#This Row],[kosten / jaar weekend]]+Ruimtestaat[[#This Row],[kosten / jaar werkdagen]]</f>
        <v>0</v>
      </c>
      <c r="AH932" s="92"/>
      <c r="HL932" s="59"/>
    </row>
    <row r="933" spans="1:220">
      <c r="A933" s="24">
        <v>6</v>
      </c>
      <c r="B933" s="24" t="str">
        <f>VLOOKUP(Ruimtestaat[[#This Row],[Code]],Locaties[#All],2,FALSE)</f>
        <v>Marke Noord</v>
      </c>
      <c r="C933" s="24" t="str">
        <f>VLOOKUP(Ruimtestaat[[#This Row],[Code]],Locaties[#All],4,FALSE)</f>
        <v>Lebuïnuslaan 1</v>
      </c>
      <c r="D933" s="24" t="str">
        <f>VLOOKUP(Ruimtestaat[[#This Row],[Code]],Locaties[#All],5,FALSE)</f>
        <v>7415 DM</v>
      </c>
      <c r="E933" s="24" t="str">
        <f>VLOOKUP(Ruimtestaat[[#This Row],[Code]],Locaties[#All],6,FALSE)</f>
        <v>Deventer</v>
      </c>
      <c r="F933" s="54"/>
      <c r="G933" s="24" t="s">
        <v>367</v>
      </c>
      <c r="H933" s="24" t="s">
        <v>1369</v>
      </c>
      <c r="I933" s="4" t="s">
        <v>941</v>
      </c>
      <c r="J933" s="24">
        <v>2</v>
      </c>
      <c r="K933" s="54" t="str">
        <f>VLOOKUP(J933,Ruimtegroepen[],2,FALSE)</f>
        <v>Kantoren</v>
      </c>
      <c r="L933" s="24" t="s">
        <v>300</v>
      </c>
      <c r="M933" s="24" t="s">
        <v>909</v>
      </c>
      <c r="N933" s="83">
        <v>18.829999999999998</v>
      </c>
      <c r="O933" s="83"/>
      <c r="P933" s="93" t="str">
        <f>LEFT(VLOOKUP(Ruimtestaat[[#This Row],[Ruimte code]],Ruimtegroepen[#All],4,1),2)</f>
        <v>Bu</v>
      </c>
      <c r="Q933" s="93"/>
      <c r="R933" s="84">
        <v>42</v>
      </c>
      <c r="S933" s="84" t="s">
        <v>322</v>
      </c>
      <c r="T933" s="85">
        <f>IF(R933&gt;0,IF(RIGHT(Ruimtestaat[[#This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33" s="85">
        <f>IF(T933&gt;0,VLOOKUP($J933,Ruimtegroepen[],3,FALSE)*VLOOKUP($L933,Vloersoorten[],3,FALSE)*VLOOKUP($S933,Frequenties[],3,FALSE)*VLOOKUP($A933,Locaties[],3,FALSE),0)</f>
        <v>0</v>
      </c>
      <c r="V933" s="86">
        <f>Ruimtestaat[[#This Row],[Uitvoeringen werkdagen]]*Ruimtestaat[[#This Row],[Oppervlak (netto)]]</f>
        <v>2372.58</v>
      </c>
      <c r="W933" s="87">
        <f>IF(U933&gt;0,Ruimtestaat[[#This Row],[Prest. (m2 /jaar) werkdagen]]/Ruimtestaat[[#This Row],[Norm (m2/uur) werkdagen]],0)</f>
        <v>0</v>
      </c>
      <c r="X933" s="88">
        <f>Ruimtestaat[[#This Row],[uren / jaar werkdagen]]*Tariefsopbouw!$E$35</f>
        <v>0</v>
      </c>
      <c r="Y933" s="85"/>
      <c r="Z933" s="89">
        <f>IF(Ruimtestaat[[#This Row],[Frequentie weekend]]&gt;0,VALUE(LEFT(Y933,1))*R933,0)</f>
        <v>0</v>
      </c>
      <c r="AA933" s="85">
        <f>IF($Z933&gt;0,VLOOKUP($J933,Ruimtegroepen[],3,FALSE)*VLOOKUP($L933,Vloersoorten[],3,FALSE)*VLOOKUP($Y933,Frequenties[],3,FALSE)*VLOOKUP(#REF!,Locaties[],3,FALSE),0)</f>
        <v>0</v>
      </c>
      <c r="AB933" s="87">
        <f>Ruimtestaat[[#This Row],[Uitvoeringen weekend]]*Ruimtestaat[[#This Row],[Oppervlak (netto)]]</f>
        <v>0</v>
      </c>
      <c r="AC933" s="90">
        <f>IF(AB933&gt;0,Ruimtestaat[[#This Row],[Prest. (m2 /jaar) weekend]]/Ruimtestaat[[#This Row],[Norm (m2/uur) weekend]],0)</f>
        <v>0</v>
      </c>
      <c r="AD933" s="91">
        <f>Ruimtestaat[[#This Row],[uren / jaar weekend]]*Tariefsopbouw!$D$40</f>
        <v>0</v>
      </c>
      <c r="AE933" s="60">
        <f>Ruimtestaat[[#This Row],[Prest. (m2 /jaar) weekend]]+Ruimtestaat[[#This Row],[Prest. (m2 /jaar) werkdagen]]</f>
        <v>2372.58</v>
      </c>
      <c r="AF933" s="60">
        <f>Ruimtestaat[[#This Row],[uren / jaar weekend]]+Ruimtestaat[[#This Row],[uren / jaar werkdagen]]</f>
        <v>0</v>
      </c>
      <c r="AG933" s="61">
        <f>Ruimtestaat[[#This Row],[kosten / jaar weekend]]+Ruimtestaat[[#This Row],[kosten / jaar werkdagen]]</f>
        <v>0</v>
      </c>
      <c r="AH933" s="92"/>
      <c r="HL933" s="59"/>
    </row>
    <row r="934" spans="1:220">
      <c r="A934" s="24">
        <v>6</v>
      </c>
      <c r="B934" s="24" t="str">
        <f>VLOOKUP(Ruimtestaat[[#This Row],[Code]],Locaties[#All],2,FALSE)</f>
        <v>Marke Noord</v>
      </c>
      <c r="C934" s="24" t="str">
        <f>VLOOKUP(Ruimtestaat[[#This Row],[Code]],Locaties[#All],4,FALSE)</f>
        <v>Lebuïnuslaan 1</v>
      </c>
      <c r="D934" s="24" t="str">
        <f>VLOOKUP(Ruimtestaat[[#This Row],[Code]],Locaties[#All],5,FALSE)</f>
        <v>7415 DM</v>
      </c>
      <c r="E934" s="24" t="str">
        <f>VLOOKUP(Ruimtestaat[[#This Row],[Code]],Locaties[#All],6,FALSE)</f>
        <v>Deventer</v>
      </c>
      <c r="F934" s="54"/>
      <c r="G934" s="24" t="s">
        <v>367</v>
      </c>
      <c r="H934" s="24" t="s">
        <v>425</v>
      </c>
      <c r="I934" s="4" t="s">
        <v>941</v>
      </c>
      <c r="J934" s="24">
        <v>2</v>
      </c>
      <c r="K934" s="54" t="str">
        <f>VLOOKUP(J934,Ruimtegroepen[],2,FALSE)</f>
        <v>Kantoren</v>
      </c>
      <c r="L934" s="24" t="s">
        <v>300</v>
      </c>
      <c r="M934" s="24" t="s">
        <v>909</v>
      </c>
      <c r="N934" s="83">
        <v>25.13</v>
      </c>
      <c r="O934" s="83"/>
      <c r="P934" s="93" t="str">
        <f>LEFT(VLOOKUP(Ruimtestaat[[#This Row],[Ruimte code]],Ruimtegroepen[#All],4,1),2)</f>
        <v>Bu</v>
      </c>
      <c r="Q934" s="93"/>
      <c r="R934" s="84">
        <v>42</v>
      </c>
      <c r="S934" s="84" t="s">
        <v>322</v>
      </c>
      <c r="T934" s="85">
        <f>IF(R934&gt;0,IF(RIGHT(Ruimtestaat[[#This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34" s="85">
        <f>IF(T934&gt;0,VLOOKUP($J934,Ruimtegroepen[],3,FALSE)*VLOOKUP($L934,Vloersoorten[],3,FALSE)*VLOOKUP($S934,Frequenties[],3,FALSE)*VLOOKUP($A934,Locaties[],3,FALSE),0)</f>
        <v>0</v>
      </c>
      <c r="V934" s="86">
        <f>Ruimtestaat[[#This Row],[Uitvoeringen werkdagen]]*Ruimtestaat[[#This Row],[Oppervlak (netto)]]</f>
        <v>3166.3799999999997</v>
      </c>
      <c r="W934" s="87">
        <f>IF(U934&gt;0,Ruimtestaat[[#This Row],[Prest. (m2 /jaar) werkdagen]]/Ruimtestaat[[#This Row],[Norm (m2/uur) werkdagen]],0)</f>
        <v>0</v>
      </c>
      <c r="X934" s="88">
        <f>Ruimtestaat[[#This Row],[uren / jaar werkdagen]]*Tariefsopbouw!$E$35</f>
        <v>0</v>
      </c>
      <c r="Y934" s="85"/>
      <c r="Z934" s="89">
        <f>IF(Ruimtestaat[[#This Row],[Frequentie weekend]]&gt;0,VALUE(LEFT(Y934,1))*R934,0)</f>
        <v>0</v>
      </c>
      <c r="AA934" s="85">
        <f>IF($Z934&gt;0,VLOOKUP($J934,Ruimtegroepen[],3,FALSE)*VLOOKUP($L934,Vloersoorten[],3,FALSE)*VLOOKUP($Y934,Frequenties[],3,FALSE)*VLOOKUP(#REF!,Locaties[],3,FALSE),0)</f>
        <v>0</v>
      </c>
      <c r="AB934" s="87">
        <f>Ruimtestaat[[#This Row],[Uitvoeringen weekend]]*Ruimtestaat[[#This Row],[Oppervlak (netto)]]</f>
        <v>0</v>
      </c>
      <c r="AC934" s="90">
        <f>IF(AB934&gt;0,Ruimtestaat[[#This Row],[Prest. (m2 /jaar) weekend]]/Ruimtestaat[[#This Row],[Norm (m2/uur) weekend]],0)</f>
        <v>0</v>
      </c>
      <c r="AD934" s="91">
        <f>Ruimtestaat[[#This Row],[uren / jaar weekend]]*Tariefsopbouw!$D$40</f>
        <v>0</v>
      </c>
      <c r="AE934" s="60">
        <f>Ruimtestaat[[#This Row],[Prest. (m2 /jaar) weekend]]+Ruimtestaat[[#This Row],[Prest. (m2 /jaar) werkdagen]]</f>
        <v>3166.3799999999997</v>
      </c>
      <c r="AF934" s="60">
        <f>Ruimtestaat[[#This Row],[uren / jaar weekend]]+Ruimtestaat[[#This Row],[uren / jaar werkdagen]]</f>
        <v>0</v>
      </c>
      <c r="AG934" s="61">
        <f>Ruimtestaat[[#This Row],[kosten / jaar weekend]]+Ruimtestaat[[#This Row],[kosten / jaar werkdagen]]</f>
        <v>0</v>
      </c>
      <c r="AH934" s="92"/>
      <c r="HL934" s="59"/>
    </row>
    <row r="935" spans="1:220">
      <c r="A935" s="24">
        <v>6</v>
      </c>
      <c r="B935" s="24" t="str">
        <f>VLOOKUP(Ruimtestaat[[#This Row],[Code]],Locaties[#All],2,FALSE)</f>
        <v>Marke Noord</v>
      </c>
      <c r="C935" s="24" t="str">
        <f>VLOOKUP(Ruimtestaat[[#This Row],[Code]],Locaties[#All],4,FALSE)</f>
        <v>Lebuïnuslaan 1</v>
      </c>
      <c r="D935" s="24" t="str">
        <f>VLOOKUP(Ruimtestaat[[#This Row],[Code]],Locaties[#All],5,FALSE)</f>
        <v>7415 DM</v>
      </c>
      <c r="E935" s="24" t="str">
        <f>VLOOKUP(Ruimtestaat[[#This Row],[Code]],Locaties[#All],6,FALSE)</f>
        <v>Deventer</v>
      </c>
      <c r="F935" s="54"/>
      <c r="G935" s="24" t="s">
        <v>367</v>
      </c>
      <c r="H935" s="24" t="s">
        <v>428</v>
      </c>
      <c r="I935" s="4" t="s">
        <v>293</v>
      </c>
      <c r="J935" s="24">
        <v>21</v>
      </c>
      <c r="K935" s="54" t="str">
        <f>VLOOKUP(J935,Ruimtegroepen[],2,FALSE)</f>
        <v>Personeelskamer</v>
      </c>
      <c r="L935" s="24" t="s">
        <v>311</v>
      </c>
      <c r="M935" s="24" t="s">
        <v>1370</v>
      </c>
      <c r="N935" s="83">
        <v>135.07</v>
      </c>
      <c r="O935" s="83"/>
      <c r="P935" s="93" t="str">
        <f>LEFT(VLOOKUP(Ruimtestaat[[#This Row],[Ruimte code]],Ruimtegroepen[#All],4,1),2)</f>
        <v>Ve</v>
      </c>
      <c r="Q935" s="93"/>
      <c r="R935" s="84">
        <v>40</v>
      </c>
      <c r="S935" s="84" t="s">
        <v>318</v>
      </c>
      <c r="T935" s="85">
        <f>IF(R935&gt;0,IF(RIGHT(Ruimtestaat[[#This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5" s="85">
        <f>IF(T935&gt;0,VLOOKUP($J935,Ruimtegroepen[],3,FALSE)*VLOOKUP($L935,Vloersoorten[],3,FALSE)*VLOOKUP($S935,Frequenties[],3,FALSE)*VLOOKUP($A935,Locaties[],3,FALSE),0)</f>
        <v>0</v>
      </c>
      <c r="V935" s="86">
        <f>Ruimtestaat[[#This Row],[Uitvoeringen werkdagen]]*Ruimtestaat[[#This Row],[Oppervlak (netto)]]</f>
        <v>27014</v>
      </c>
      <c r="W935" s="87">
        <f>IF(U935&gt;0,Ruimtestaat[[#This Row],[Prest. (m2 /jaar) werkdagen]]/Ruimtestaat[[#This Row],[Norm (m2/uur) werkdagen]],0)</f>
        <v>0</v>
      </c>
      <c r="X935" s="88">
        <f>Ruimtestaat[[#This Row],[uren / jaar werkdagen]]*Tariefsopbouw!$E$35</f>
        <v>0</v>
      </c>
      <c r="Y935" s="85"/>
      <c r="Z935" s="89">
        <f>IF(Ruimtestaat[[#This Row],[Frequentie weekend]]&gt;0,VALUE(LEFT(Y935,1))*R935,0)</f>
        <v>0</v>
      </c>
      <c r="AA935" s="85">
        <f>IF($Z935&gt;0,VLOOKUP($J935,Ruimtegroepen[],3,FALSE)*VLOOKUP($L935,Vloersoorten[],3,FALSE)*VLOOKUP($Y935,Frequenties[],3,FALSE)*VLOOKUP(#REF!,Locaties[],3,FALSE),0)</f>
        <v>0</v>
      </c>
      <c r="AB935" s="87">
        <f>Ruimtestaat[[#This Row],[Uitvoeringen weekend]]*Ruimtestaat[[#This Row],[Oppervlak (netto)]]</f>
        <v>0</v>
      </c>
      <c r="AC935" s="90">
        <f>IF(AB935&gt;0,Ruimtestaat[[#This Row],[Prest. (m2 /jaar) weekend]]/Ruimtestaat[[#This Row],[Norm (m2/uur) weekend]],0)</f>
        <v>0</v>
      </c>
      <c r="AD935" s="91">
        <f>Ruimtestaat[[#This Row],[uren / jaar weekend]]*Tariefsopbouw!$D$40</f>
        <v>0</v>
      </c>
      <c r="AE935" s="60">
        <f>Ruimtestaat[[#This Row],[Prest. (m2 /jaar) weekend]]+Ruimtestaat[[#This Row],[Prest. (m2 /jaar) werkdagen]]</f>
        <v>27014</v>
      </c>
      <c r="AF935" s="60">
        <f>Ruimtestaat[[#This Row],[uren / jaar weekend]]+Ruimtestaat[[#This Row],[uren / jaar werkdagen]]</f>
        <v>0</v>
      </c>
      <c r="AG935" s="61">
        <f>Ruimtestaat[[#This Row],[kosten / jaar weekend]]+Ruimtestaat[[#This Row],[kosten / jaar werkdagen]]</f>
        <v>0</v>
      </c>
      <c r="AH935" s="92"/>
      <c r="HL935" s="59"/>
    </row>
    <row r="936" spans="1:220">
      <c r="A936" s="24">
        <v>6</v>
      </c>
      <c r="B936" s="24" t="str">
        <f>VLOOKUP(Ruimtestaat[[#This Row],[Code]],Locaties[#All],2,FALSE)</f>
        <v>Marke Noord</v>
      </c>
      <c r="C936" s="24" t="str">
        <f>VLOOKUP(Ruimtestaat[[#This Row],[Code]],Locaties[#All],4,FALSE)</f>
        <v>Lebuïnuslaan 1</v>
      </c>
      <c r="D936" s="24" t="str">
        <f>VLOOKUP(Ruimtestaat[[#This Row],[Code]],Locaties[#All],5,FALSE)</f>
        <v>7415 DM</v>
      </c>
      <c r="E936" s="24" t="str">
        <f>VLOOKUP(Ruimtestaat[[#This Row],[Code]],Locaties[#All],6,FALSE)</f>
        <v>Deventer</v>
      </c>
      <c r="F936" s="54"/>
      <c r="G936" s="24" t="s">
        <v>367</v>
      </c>
      <c r="H936" s="24" t="s">
        <v>429</v>
      </c>
      <c r="I936" s="4" t="s">
        <v>1224</v>
      </c>
      <c r="J936" s="24">
        <v>22</v>
      </c>
      <c r="K936" s="54" t="str">
        <f>VLOOKUP(J936,Ruimtegroepen[],2,FALSE)</f>
        <v>Niet in onderhoud</v>
      </c>
      <c r="L936" s="24" t="s">
        <v>300</v>
      </c>
      <c r="M936" s="24" t="s">
        <v>909</v>
      </c>
      <c r="N936" s="83"/>
      <c r="O936" s="83">
        <v>19.510000000000002</v>
      </c>
      <c r="P936" s="93" t="str">
        <f>LEFT(VLOOKUP(Ruimtestaat[[#This Row],[Ruimte code]],Ruimtegroepen[#All],4,1),2)</f>
        <v/>
      </c>
      <c r="Q936" s="93"/>
      <c r="R936" s="84"/>
      <c r="S936" s="84"/>
      <c r="T936" s="85">
        <f>IF(R936&gt;0,IF(RIGHT(Ruimtestaat[[#This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36" s="85">
        <f>IF(T936&gt;0,VLOOKUP($J936,Ruimtegroepen[],3,FALSE)*VLOOKUP($L936,Vloersoorten[],3,FALSE)*VLOOKUP($S936,Frequenties[],3,FALSE)*VLOOKUP($A936,Locaties[],3,FALSE),0)</f>
        <v>0</v>
      </c>
      <c r="V936" s="86">
        <f>Ruimtestaat[[#This Row],[Uitvoeringen werkdagen]]*Ruimtestaat[[#This Row],[Oppervlak (netto)]]</f>
        <v>0</v>
      </c>
      <c r="W936" s="87">
        <f>IF(U936&gt;0,Ruimtestaat[[#This Row],[Prest. (m2 /jaar) werkdagen]]/Ruimtestaat[[#This Row],[Norm (m2/uur) werkdagen]],0)</f>
        <v>0</v>
      </c>
      <c r="X936" s="88">
        <f>Ruimtestaat[[#This Row],[uren / jaar werkdagen]]*Tariefsopbouw!$E$35</f>
        <v>0</v>
      </c>
      <c r="Y936" s="85"/>
      <c r="Z936" s="89">
        <f>IF(Ruimtestaat[[#This Row],[Frequentie weekend]]&gt;0,VALUE(LEFT(Y936,1))*R936,0)</f>
        <v>0</v>
      </c>
      <c r="AA936" s="85">
        <f>IF($Z936&gt;0,VLOOKUP($J936,Ruimtegroepen[],3,FALSE)*VLOOKUP($L936,Vloersoorten[],3,FALSE)*VLOOKUP($Y936,Frequenties[],3,FALSE)*VLOOKUP(#REF!,Locaties[],3,FALSE),0)</f>
        <v>0</v>
      </c>
      <c r="AB936" s="87">
        <f>Ruimtestaat[[#This Row],[Uitvoeringen weekend]]*Ruimtestaat[[#This Row],[Oppervlak (netto)]]</f>
        <v>0</v>
      </c>
      <c r="AC936" s="90">
        <f>IF(AB936&gt;0,Ruimtestaat[[#This Row],[Prest. (m2 /jaar) weekend]]/Ruimtestaat[[#This Row],[Norm (m2/uur) weekend]],0)</f>
        <v>0</v>
      </c>
      <c r="AD936" s="91">
        <f>Ruimtestaat[[#This Row],[uren / jaar weekend]]*Tariefsopbouw!$D$40</f>
        <v>0</v>
      </c>
      <c r="AE936" s="60">
        <f>Ruimtestaat[[#This Row],[Prest. (m2 /jaar) weekend]]+Ruimtestaat[[#This Row],[Prest. (m2 /jaar) werkdagen]]</f>
        <v>0</v>
      </c>
      <c r="AF936" s="60">
        <f>Ruimtestaat[[#This Row],[uren / jaar weekend]]+Ruimtestaat[[#This Row],[uren / jaar werkdagen]]</f>
        <v>0</v>
      </c>
      <c r="AG936" s="61">
        <f>Ruimtestaat[[#This Row],[kosten / jaar weekend]]+Ruimtestaat[[#This Row],[kosten / jaar werkdagen]]</f>
        <v>0</v>
      </c>
      <c r="AH936" s="92"/>
      <c r="HL936" s="59"/>
    </row>
    <row r="937" spans="1:220">
      <c r="A937" s="24">
        <v>6</v>
      </c>
      <c r="B937" s="24" t="str">
        <f>VLOOKUP(Ruimtestaat[[#This Row],[Code]],Locaties[#All],2,FALSE)</f>
        <v>Marke Noord</v>
      </c>
      <c r="C937" s="24" t="str">
        <f>VLOOKUP(Ruimtestaat[[#This Row],[Code]],Locaties[#All],4,FALSE)</f>
        <v>Lebuïnuslaan 1</v>
      </c>
      <c r="D937" s="24" t="str">
        <f>VLOOKUP(Ruimtestaat[[#This Row],[Code]],Locaties[#All],5,FALSE)</f>
        <v>7415 DM</v>
      </c>
      <c r="E937" s="24" t="str">
        <f>VLOOKUP(Ruimtestaat[[#This Row],[Code]],Locaties[#All],6,FALSE)</f>
        <v>Deventer</v>
      </c>
      <c r="F937" s="54"/>
      <c r="G937" s="24" t="s">
        <v>367</v>
      </c>
      <c r="H937" s="24" t="s">
        <v>1371</v>
      </c>
      <c r="I937" s="4" t="s">
        <v>1372</v>
      </c>
      <c r="J937" s="24">
        <v>6</v>
      </c>
      <c r="K937" s="54" t="str">
        <f>VLOOKUP(J937,Ruimtegroepen[],2,FALSE)</f>
        <v>Gangen/hallen</v>
      </c>
      <c r="L937" s="24" t="s">
        <v>300</v>
      </c>
      <c r="M937" s="24" t="s">
        <v>909</v>
      </c>
      <c r="N937" s="83">
        <v>6.48</v>
      </c>
      <c r="O937" s="83"/>
      <c r="P937" s="93" t="str">
        <f>LEFT(VLOOKUP(Ruimtestaat[[#This Row],[Ruimte code]],Ruimtegroepen[#All],4,1),2)</f>
        <v>Ve</v>
      </c>
      <c r="Q937" s="93"/>
      <c r="R937" s="84">
        <v>40</v>
      </c>
      <c r="S937" s="84" t="s">
        <v>318</v>
      </c>
      <c r="T937" s="85">
        <f>IF(R937&gt;0,IF(RIGHT(Ruimtestaat[[#This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7" s="85">
        <f>IF(T937&gt;0,VLOOKUP($J937,Ruimtegroepen[],3,FALSE)*VLOOKUP($L937,Vloersoorten[],3,FALSE)*VLOOKUP($S937,Frequenties[],3,FALSE)*VLOOKUP($A937,Locaties[],3,FALSE),0)</f>
        <v>0</v>
      </c>
      <c r="V937" s="86">
        <f>Ruimtestaat[[#This Row],[Uitvoeringen werkdagen]]*Ruimtestaat[[#This Row],[Oppervlak (netto)]]</f>
        <v>1296</v>
      </c>
      <c r="W937" s="87">
        <f>IF(U937&gt;0,Ruimtestaat[[#This Row],[Prest. (m2 /jaar) werkdagen]]/Ruimtestaat[[#This Row],[Norm (m2/uur) werkdagen]],0)</f>
        <v>0</v>
      </c>
      <c r="X937" s="88">
        <f>Ruimtestaat[[#This Row],[uren / jaar werkdagen]]*Tariefsopbouw!$E$35</f>
        <v>0</v>
      </c>
      <c r="Y937" s="85"/>
      <c r="Z937" s="89">
        <f>IF(Ruimtestaat[[#This Row],[Frequentie weekend]]&gt;0,VALUE(LEFT(Y937,1))*R937,0)</f>
        <v>0</v>
      </c>
      <c r="AA937" s="85">
        <f>IF($Z937&gt;0,VLOOKUP($J937,Ruimtegroepen[],3,FALSE)*VLOOKUP($L937,Vloersoorten[],3,FALSE)*VLOOKUP($Y937,Frequenties[],3,FALSE)*VLOOKUP(#REF!,Locaties[],3,FALSE),0)</f>
        <v>0</v>
      </c>
      <c r="AB937" s="87">
        <f>Ruimtestaat[[#This Row],[Uitvoeringen weekend]]*Ruimtestaat[[#This Row],[Oppervlak (netto)]]</f>
        <v>0</v>
      </c>
      <c r="AC937" s="90">
        <f>IF(AB937&gt;0,Ruimtestaat[[#This Row],[Prest. (m2 /jaar) weekend]]/Ruimtestaat[[#This Row],[Norm (m2/uur) weekend]],0)</f>
        <v>0</v>
      </c>
      <c r="AD937" s="91">
        <f>Ruimtestaat[[#This Row],[uren / jaar weekend]]*Tariefsopbouw!$D$40</f>
        <v>0</v>
      </c>
      <c r="AE937" s="60">
        <f>Ruimtestaat[[#This Row],[Prest. (m2 /jaar) weekend]]+Ruimtestaat[[#This Row],[Prest. (m2 /jaar) werkdagen]]</f>
        <v>1296</v>
      </c>
      <c r="AF937" s="60">
        <f>Ruimtestaat[[#This Row],[uren / jaar weekend]]+Ruimtestaat[[#This Row],[uren / jaar werkdagen]]</f>
        <v>0</v>
      </c>
      <c r="AG937" s="61">
        <f>Ruimtestaat[[#This Row],[kosten / jaar weekend]]+Ruimtestaat[[#This Row],[kosten / jaar werkdagen]]</f>
        <v>0</v>
      </c>
      <c r="AH937" s="92"/>
      <c r="HL937" s="59"/>
    </row>
    <row r="938" spans="1:220">
      <c r="A938" s="24">
        <v>6</v>
      </c>
      <c r="B938" s="24" t="str">
        <f>VLOOKUP(Ruimtestaat[[#This Row],[Code]],Locaties[#All],2,FALSE)</f>
        <v>Marke Noord</v>
      </c>
      <c r="C938" s="24" t="str">
        <f>VLOOKUP(Ruimtestaat[[#This Row],[Code]],Locaties[#All],4,FALSE)</f>
        <v>Lebuïnuslaan 1</v>
      </c>
      <c r="D938" s="24" t="str">
        <f>VLOOKUP(Ruimtestaat[[#This Row],[Code]],Locaties[#All],5,FALSE)</f>
        <v>7415 DM</v>
      </c>
      <c r="E938" s="24" t="str">
        <f>VLOOKUP(Ruimtestaat[[#This Row],[Code]],Locaties[#All],6,FALSE)</f>
        <v>Deventer</v>
      </c>
      <c r="F938" s="54"/>
      <c r="G938" s="24" t="s">
        <v>367</v>
      </c>
      <c r="H938" s="24" t="s">
        <v>431</v>
      </c>
      <c r="I938" s="4" t="s">
        <v>449</v>
      </c>
      <c r="J938" s="24">
        <v>11</v>
      </c>
      <c r="K938" s="54" t="str">
        <f>VLOOKUP(J938,Ruimtegroepen[],2,FALSE)</f>
        <v>Kooklokaal/leskeuken</v>
      </c>
      <c r="L938" s="24" t="s">
        <v>300</v>
      </c>
      <c r="M938" s="24" t="s">
        <v>909</v>
      </c>
      <c r="N938" s="83">
        <v>25.73</v>
      </c>
      <c r="O938" s="83"/>
      <c r="P938" s="93" t="str">
        <f>LEFT(VLOOKUP(Ruimtestaat[[#This Row],[Ruimte code]],Ruimtegroepen[#All],4,1),2)</f>
        <v>Le</v>
      </c>
      <c r="Q938" s="93"/>
      <c r="R938" s="84">
        <v>40</v>
      </c>
      <c r="S938" s="84" t="s">
        <v>318</v>
      </c>
      <c r="T938" s="85">
        <f>IF(R938&gt;0,IF(RIGHT(Ruimtestaat[[#This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8" s="85">
        <f>IF(T938&gt;0,VLOOKUP($J938,Ruimtegroepen[],3,FALSE)*VLOOKUP($L938,Vloersoorten[],3,FALSE)*VLOOKUP($S938,Frequenties[],3,FALSE)*VLOOKUP($A938,Locaties[],3,FALSE),0)</f>
        <v>0</v>
      </c>
      <c r="V938" s="86">
        <f>Ruimtestaat[[#This Row],[Uitvoeringen werkdagen]]*Ruimtestaat[[#This Row],[Oppervlak (netto)]]</f>
        <v>5146</v>
      </c>
      <c r="W938" s="87">
        <f>IF(U938&gt;0,Ruimtestaat[[#This Row],[Prest. (m2 /jaar) werkdagen]]/Ruimtestaat[[#This Row],[Norm (m2/uur) werkdagen]],0)</f>
        <v>0</v>
      </c>
      <c r="X938" s="88">
        <f>Ruimtestaat[[#This Row],[uren / jaar werkdagen]]*Tariefsopbouw!$E$35</f>
        <v>0</v>
      </c>
      <c r="Y938" s="85"/>
      <c r="Z938" s="89">
        <f>IF(Ruimtestaat[[#This Row],[Frequentie weekend]]&gt;0,VALUE(LEFT(Y938,1))*R938,0)</f>
        <v>0</v>
      </c>
      <c r="AA938" s="85">
        <f>IF($Z938&gt;0,VLOOKUP($J938,Ruimtegroepen[],3,FALSE)*VLOOKUP($L938,Vloersoorten[],3,FALSE)*VLOOKUP($Y938,Frequenties[],3,FALSE)*VLOOKUP(#REF!,Locaties[],3,FALSE),0)</f>
        <v>0</v>
      </c>
      <c r="AB938" s="87">
        <f>Ruimtestaat[[#This Row],[Uitvoeringen weekend]]*Ruimtestaat[[#This Row],[Oppervlak (netto)]]</f>
        <v>0</v>
      </c>
      <c r="AC938" s="90">
        <f>IF(AB938&gt;0,Ruimtestaat[[#This Row],[Prest. (m2 /jaar) weekend]]/Ruimtestaat[[#This Row],[Norm (m2/uur) weekend]],0)</f>
        <v>0</v>
      </c>
      <c r="AD938" s="91">
        <f>Ruimtestaat[[#This Row],[uren / jaar weekend]]*Tariefsopbouw!$D$40</f>
        <v>0</v>
      </c>
      <c r="AE938" s="60">
        <f>Ruimtestaat[[#This Row],[Prest. (m2 /jaar) weekend]]+Ruimtestaat[[#This Row],[Prest. (m2 /jaar) werkdagen]]</f>
        <v>5146</v>
      </c>
      <c r="AF938" s="60">
        <f>Ruimtestaat[[#This Row],[uren / jaar weekend]]+Ruimtestaat[[#This Row],[uren / jaar werkdagen]]</f>
        <v>0</v>
      </c>
      <c r="AG938" s="61">
        <f>Ruimtestaat[[#This Row],[kosten / jaar weekend]]+Ruimtestaat[[#This Row],[kosten / jaar werkdagen]]</f>
        <v>0</v>
      </c>
      <c r="AH938" s="92"/>
      <c r="HL938" s="59"/>
    </row>
    <row r="939" spans="1:220">
      <c r="A939" s="24">
        <v>6</v>
      </c>
      <c r="B939" s="24" t="str">
        <f>VLOOKUP(Ruimtestaat[[#This Row],[Code]],Locaties[#All],2,FALSE)</f>
        <v>Marke Noord</v>
      </c>
      <c r="C939" s="24" t="str">
        <f>VLOOKUP(Ruimtestaat[[#This Row],[Code]],Locaties[#All],4,FALSE)</f>
        <v>Lebuïnuslaan 1</v>
      </c>
      <c r="D939" s="24" t="str">
        <f>VLOOKUP(Ruimtestaat[[#This Row],[Code]],Locaties[#All],5,FALSE)</f>
        <v>7415 DM</v>
      </c>
      <c r="E939" s="24" t="str">
        <f>VLOOKUP(Ruimtestaat[[#This Row],[Code]],Locaties[#All],6,FALSE)</f>
        <v>Deventer</v>
      </c>
      <c r="F939" s="54"/>
      <c r="G939" s="24" t="s">
        <v>367</v>
      </c>
      <c r="H939" s="24" t="s">
        <v>433</v>
      </c>
      <c r="I939" s="4" t="s">
        <v>1373</v>
      </c>
      <c r="J939" s="24">
        <v>22</v>
      </c>
      <c r="K939" s="54" t="str">
        <f>VLOOKUP(J939,Ruimtegroepen[],2,FALSE)</f>
        <v>Niet in onderhoud</v>
      </c>
      <c r="L939" s="24" t="s">
        <v>300</v>
      </c>
      <c r="M939" s="24" t="s">
        <v>909</v>
      </c>
      <c r="N939" s="83"/>
      <c r="O939" s="83">
        <v>11.72</v>
      </c>
      <c r="P939" s="93" t="str">
        <f>LEFT(VLOOKUP(Ruimtestaat[[#This Row],[Ruimte code]],Ruimtegroepen[#All],4,1),2)</f>
        <v/>
      </c>
      <c r="Q939" s="93"/>
      <c r="R939" s="84"/>
      <c r="S939" s="84"/>
      <c r="T939" s="85">
        <f>IF(R939&gt;0,IF(RIGHT(Ruimtestaat[[#This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39" s="85">
        <f>IF(T939&gt;0,VLOOKUP($J939,Ruimtegroepen[],3,FALSE)*VLOOKUP($L939,Vloersoorten[],3,FALSE)*VLOOKUP($S939,Frequenties[],3,FALSE)*VLOOKUP($A939,Locaties[],3,FALSE),0)</f>
        <v>0</v>
      </c>
      <c r="V939" s="86">
        <f>Ruimtestaat[[#This Row],[Uitvoeringen werkdagen]]*Ruimtestaat[[#This Row],[Oppervlak (netto)]]</f>
        <v>0</v>
      </c>
      <c r="W939" s="87">
        <f>IF(U939&gt;0,Ruimtestaat[[#This Row],[Prest. (m2 /jaar) werkdagen]]/Ruimtestaat[[#This Row],[Norm (m2/uur) werkdagen]],0)</f>
        <v>0</v>
      </c>
      <c r="X939" s="88">
        <f>Ruimtestaat[[#This Row],[uren / jaar werkdagen]]*Tariefsopbouw!$E$35</f>
        <v>0</v>
      </c>
      <c r="Y939" s="85"/>
      <c r="Z939" s="89">
        <f>IF(Ruimtestaat[[#This Row],[Frequentie weekend]]&gt;0,VALUE(LEFT(Y939,1))*R939,0)</f>
        <v>0</v>
      </c>
      <c r="AA939" s="85">
        <f>IF($Z939&gt;0,VLOOKUP($J939,Ruimtegroepen[],3,FALSE)*VLOOKUP($L939,Vloersoorten[],3,FALSE)*VLOOKUP($Y939,Frequenties[],3,FALSE)*VLOOKUP(#REF!,Locaties[],3,FALSE),0)</f>
        <v>0</v>
      </c>
      <c r="AB939" s="87">
        <f>Ruimtestaat[[#This Row],[Uitvoeringen weekend]]*Ruimtestaat[[#This Row],[Oppervlak (netto)]]</f>
        <v>0</v>
      </c>
      <c r="AC939" s="90">
        <f>IF(AB939&gt;0,Ruimtestaat[[#This Row],[Prest. (m2 /jaar) weekend]]/Ruimtestaat[[#This Row],[Norm (m2/uur) weekend]],0)</f>
        <v>0</v>
      </c>
      <c r="AD939" s="91">
        <f>Ruimtestaat[[#This Row],[uren / jaar weekend]]*Tariefsopbouw!$D$40</f>
        <v>0</v>
      </c>
      <c r="AE939" s="60">
        <f>Ruimtestaat[[#This Row],[Prest. (m2 /jaar) weekend]]+Ruimtestaat[[#This Row],[Prest. (m2 /jaar) werkdagen]]</f>
        <v>0</v>
      </c>
      <c r="AF939" s="60">
        <f>Ruimtestaat[[#This Row],[uren / jaar weekend]]+Ruimtestaat[[#This Row],[uren / jaar werkdagen]]</f>
        <v>0</v>
      </c>
      <c r="AG939" s="61">
        <f>Ruimtestaat[[#This Row],[kosten / jaar weekend]]+Ruimtestaat[[#This Row],[kosten / jaar werkdagen]]</f>
        <v>0</v>
      </c>
      <c r="AH939" s="92"/>
      <c r="HL939" s="59"/>
    </row>
    <row r="940" spans="1:220">
      <c r="A940" s="24">
        <v>6</v>
      </c>
      <c r="B940" s="24" t="str">
        <f>VLOOKUP(Ruimtestaat[[#This Row],[Code]],Locaties[#All],2,FALSE)</f>
        <v>Marke Noord</v>
      </c>
      <c r="C940" s="24" t="str">
        <f>VLOOKUP(Ruimtestaat[[#This Row],[Code]],Locaties[#All],4,FALSE)</f>
        <v>Lebuïnuslaan 1</v>
      </c>
      <c r="D940" s="24" t="str">
        <f>VLOOKUP(Ruimtestaat[[#This Row],[Code]],Locaties[#All],5,FALSE)</f>
        <v>7415 DM</v>
      </c>
      <c r="E940" s="24" t="str">
        <f>VLOOKUP(Ruimtestaat[[#This Row],[Code]],Locaties[#All],6,FALSE)</f>
        <v>Deventer</v>
      </c>
      <c r="F940" s="54"/>
      <c r="G940" s="24" t="s">
        <v>367</v>
      </c>
      <c r="H940" s="24" t="s">
        <v>435</v>
      </c>
      <c r="I940" s="4" t="s">
        <v>434</v>
      </c>
      <c r="J940" s="24">
        <v>8</v>
      </c>
      <c r="K940" s="54" t="str">
        <f>VLOOKUP(J940,Ruimtegroepen[],2,FALSE)</f>
        <v>Mediatheek / OLC</v>
      </c>
      <c r="L940" s="24" t="s">
        <v>300</v>
      </c>
      <c r="M940" s="24" t="s">
        <v>909</v>
      </c>
      <c r="N940" s="83">
        <v>105.67</v>
      </c>
      <c r="O940" s="83"/>
      <c r="P940" s="93" t="str">
        <f>LEFT(VLOOKUP(Ruimtestaat[[#This Row],[Ruimte code]],Ruimtegroepen[#All],4,1),2)</f>
        <v>Le</v>
      </c>
      <c r="Q940" s="93"/>
      <c r="R940" s="84">
        <v>40</v>
      </c>
      <c r="S940" s="84" t="s">
        <v>318</v>
      </c>
      <c r="T940" s="85">
        <f>IF(R940&gt;0,IF(RIGHT(Ruimtestaat[[#This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0" s="85">
        <f>IF(T940&gt;0,VLOOKUP($J940,Ruimtegroepen[],3,FALSE)*VLOOKUP($L940,Vloersoorten[],3,FALSE)*VLOOKUP($S940,Frequenties[],3,FALSE)*VLOOKUP($A940,Locaties[],3,FALSE),0)</f>
        <v>0</v>
      </c>
      <c r="V940" s="86">
        <f>Ruimtestaat[[#This Row],[Uitvoeringen werkdagen]]*Ruimtestaat[[#This Row],[Oppervlak (netto)]]</f>
        <v>21134</v>
      </c>
      <c r="W940" s="87">
        <f>IF(U940&gt;0,Ruimtestaat[[#This Row],[Prest. (m2 /jaar) werkdagen]]/Ruimtestaat[[#This Row],[Norm (m2/uur) werkdagen]],0)</f>
        <v>0</v>
      </c>
      <c r="X940" s="88">
        <f>Ruimtestaat[[#This Row],[uren / jaar werkdagen]]*Tariefsopbouw!$E$35</f>
        <v>0</v>
      </c>
      <c r="Y940" s="85"/>
      <c r="Z940" s="89">
        <f>IF(Ruimtestaat[[#This Row],[Frequentie weekend]]&gt;0,VALUE(LEFT(Y940,1))*R940,0)</f>
        <v>0</v>
      </c>
      <c r="AA940" s="85">
        <f>IF($Z940&gt;0,VLOOKUP($J940,Ruimtegroepen[],3,FALSE)*VLOOKUP($L940,Vloersoorten[],3,FALSE)*VLOOKUP($Y940,Frequenties[],3,FALSE)*VLOOKUP(#REF!,Locaties[],3,FALSE),0)</f>
        <v>0</v>
      </c>
      <c r="AB940" s="87">
        <f>Ruimtestaat[[#This Row],[Uitvoeringen weekend]]*Ruimtestaat[[#This Row],[Oppervlak (netto)]]</f>
        <v>0</v>
      </c>
      <c r="AC940" s="90">
        <f>IF(AB940&gt;0,Ruimtestaat[[#This Row],[Prest. (m2 /jaar) weekend]]/Ruimtestaat[[#This Row],[Norm (m2/uur) weekend]],0)</f>
        <v>0</v>
      </c>
      <c r="AD940" s="91">
        <f>Ruimtestaat[[#This Row],[uren / jaar weekend]]*Tariefsopbouw!$D$40</f>
        <v>0</v>
      </c>
      <c r="AE940" s="60">
        <f>Ruimtestaat[[#This Row],[Prest. (m2 /jaar) weekend]]+Ruimtestaat[[#This Row],[Prest. (m2 /jaar) werkdagen]]</f>
        <v>21134</v>
      </c>
      <c r="AF940" s="60">
        <f>Ruimtestaat[[#This Row],[uren / jaar weekend]]+Ruimtestaat[[#This Row],[uren / jaar werkdagen]]</f>
        <v>0</v>
      </c>
      <c r="AG940" s="61">
        <f>Ruimtestaat[[#This Row],[kosten / jaar weekend]]+Ruimtestaat[[#This Row],[kosten / jaar werkdagen]]</f>
        <v>0</v>
      </c>
      <c r="AH940" s="92"/>
      <c r="HL940" s="59"/>
    </row>
    <row r="941" spans="1:220">
      <c r="A941" s="24">
        <v>6</v>
      </c>
      <c r="B941" s="24" t="str">
        <f>VLOOKUP(Ruimtestaat[[#This Row],[Code]],Locaties[#All],2,FALSE)</f>
        <v>Marke Noord</v>
      </c>
      <c r="C941" s="24" t="str">
        <f>VLOOKUP(Ruimtestaat[[#This Row],[Code]],Locaties[#All],4,FALSE)</f>
        <v>Lebuïnuslaan 1</v>
      </c>
      <c r="D941" s="24" t="str">
        <f>VLOOKUP(Ruimtestaat[[#This Row],[Code]],Locaties[#All],5,FALSE)</f>
        <v>7415 DM</v>
      </c>
      <c r="E941" s="24" t="str">
        <f>VLOOKUP(Ruimtestaat[[#This Row],[Code]],Locaties[#All],6,FALSE)</f>
        <v>Deventer</v>
      </c>
      <c r="F941" s="54"/>
      <c r="G941" s="24" t="s">
        <v>367</v>
      </c>
      <c r="H941" s="24" t="s">
        <v>1374</v>
      </c>
      <c r="I941" s="4" t="s">
        <v>1363</v>
      </c>
      <c r="J941" s="24">
        <v>2</v>
      </c>
      <c r="K941" s="54" t="str">
        <f>VLOOKUP(J941,Ruimtegroepen[],2,FALSE)</f>
        <v>Kantoren</v>
      </c>
      <c r="L941" s="24" t="s">
        <v>300</v>
      </c>
      <c r="M941" s="24" t="s">
        <v>909</v>
      </c>
      <c r="N941" s="83">
        <v>52.2</v>
      </c>
      <c r="O941" s="83"/>
      <c r="P941" s="93" t="str">
        <f>LEFT(VLOOKUP(Ruimtestaat[[#This Row],[Ruimte code]],Ruimtegroepen[#All],4,1),2)</f>
        <v>Bu</v>
      </c>
      <c r="Q941" s="93"/>
      <c r="R941" s="84">
        <v>42</v>
      </c>
      <c r="S941" s="84" t="s">
        <v>322</v>
      </c>
      <c r="T941" s="85">
        <f>IF(R941&gt;0,IF(RIGHT(Ruimtestaat[[#This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41" s="85">
        <f>IF(T941&gt;0,VLOOKUP($J941,Ruimtegroepen[],3,FALSE)*VLOOKUP($L941,Vloersoorten[],3,FALSE)*VLOOKUP($S941,Frequenties[],3,FALSE)*VLOOKUP($A941,Locaties[],3,FALSE),0)</f>
        <v>0</v>
      </c>
      <c r="V941" s="86">
        <f>Ruimtestaat[[#This Row],[Uitvoeringen werkdagen]]*Ruimtestaat[[#This Row],[Oppervlak (netto)]]</f>
        <v>6577.2000000000007</v>
      </c>
      <c r="W941" s="87">
        <f>IF(U941&gt;0,Ruimtestaat[[#This Row],[Prest. (m2 /jaar) werkdagen]]/Ruimtestaat[[#This Row],[Norm (m2/uur) werkdagen]],0)</f>
        <v>0</v>
      </c>
      <c r="X941" s="88">
        <f>Ruimtestaat[[#This Row],[uren / jaar werkdagen]]*Tariefsopbouw!$E$35</f>
        <v>0</v>
      </c>
      <c r="Y941" s="85"/>
      <c r="Z941" s="89">
        <f>IF(Ruimtestaat[[#This Row],[Frequentie weekend]]&gt;0,VALUE(LEFT(Y941,1))*R941,0)</f>
        <v>0</v>
      </c>
      <c r="AA941" s="85">
        <f>IF($Z941&gt;0,VLOOKUP($J941,Ruimtegroepen[],3,FALSE)*VLOOKUP($L941,Vloersoorten[],3,FALSE)*VLOOKUP($Y941,Frequenties[],3,FALSE)*VLOOKUP(#REF!,Locaties[],3,FALSE),0)</f>
        <v>0</v>
      </c>
      <c r="AB941" s="87">
        <f>Ruimtestaat[[#This Row],[Uitvoeringen weekend]]*Ruimtestaat[[#This Row],[Oppervlak (netto)]]</f>
        <v>0</v>
      </c>
      <c r="AC941" s="90">
        <f>IF(AB941&gt;0,Ruimtestaat[[#This Row],[Prest. (m2 /jaar) weekend]]/Ruimtestaat[[#This Row],[Norm (m2/uur) weekend]],0)</f>
        <v>0</v>
      </c>
      <c r="AD941" s="91">
        <f>Ruimtestaat[[#This Row],[uren / jaar weekend]]*Tariefsopbouw!$D$40</f>
        <v>0</v>
      </c>
      <c r="AE941" s="60">
        <f>Ruimtestaat[[#This Row],[Prest. (m2 /jaar) weekend]]+Ruimtestaat[[#This Row],[Prest. (m2 /jaar) werkdagen]]</f>
        <v>6577.2000000000007</v>
      </c>
      <c r="AF941" s="60">
        <f>Ruimtestaat[[#This Row],[uren / jaar weekend]]+Ruimtestaat[[#This Row],[uren / jaar werkdagen]]</f>
        <v>0</v>
      </c>
      <c r="AG941" s="61">
        <f>Ruimtestaat[[#This Row],[kosten / jaar weekend]]+Ruimtestaat[[#This Row],[kosten / jaar werkdagen]]</f>
        <v>0</v>
      </c>
      <c r="AH941" s="92"/>
      <c r="HL941" s="59"/>
    </row>
    <row r="942" spans="1:220">
      <c r="A942" s="24">
        <v>6</v>
      </c>
      <c r="B942" s="24" t="str">
        <f>VLOOKUP(Ruimtestaat[[#This Row],[Code]],Locaties[#All],2,FALSE)</f>
        <v>Marke Noord</v>
      </c>
      <c r="C942" s="24" t="str">
        <f>VLOOKUP(Ruimtestaat[[#This Row],[Code]],Locaties[#All],4,FALSE)</f>
        <v>Lebuïnuslaan 1</v>
      </c>
      <c r="D942" s="24" t="str">
        <f>VLOOKUP(Ruimtestaat[[#This Row],[Code]],Locaties[#All],5,FALSE)</f>
        <v>7415 DM</v>
      </c>
      <c r="E942" s="24" t="str">
        <f>VLOOKUP(Ruimtestaat[[#This Row],[Code]],Locaties[#All],6,FALSE)</f>
        <v>Deventer</v>
      </c>
      <c r="F942" s="54"/>
      <c r="G942" s="24"/>
      <c r="H942" s="24" t="s">
        <v>1375</v>
      </c>
      <c r="I942" s="4" t="s">
        <v>1363</v>
      </c>
      <c r="J942" s="24">
        <v>2</v>
      </c>
      <c r="K942" s="54" t="str">
        <f>VLOOKUP(J942,Ruimtegroepen[],2,FALSE)</f>
        <v>Kantoren</v>
      </c>
      <c r="L942" s="24" t="s">
        <v>300</v>
      </c>
      <c r="M942" s="24" t="s">
        <v>909</v>
      </c>
      <c r="N942" s="83">
        <v>5.6</v>
      </c>
      <c r="O942" s="83"/>
      <c r="P942" s="93" t="str">
        <f>LEFT(VLOOKUP(Ruimtestaat[[#This Row],[Ruimte code]],Ruimtegroepen[#All],4,1),2)</f>
        <v>Bu</v>
      </c>
      <c r="Q942" s="93"/>
      <c r="R942" s="84">
        <v>42</v>
      </c>
      <c r="S942" s="84" t="s">
        <v>322</v>
      </c>
      <c r="T942" s="85">
        <f>IF(R942&gt;0,IF(RIGHT(Ruimtestaat[[#This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42" s="85">
        <f>IF(T942&gt;0,VLOOKUP($J942,Ruimtegroepen[],3,FALSE)*VLOOKUP($L942,Vloersoorten[],3,FALSE)*VLOOKUP($S942,Frequenties[],3,FALSE)*VLOOKUP($A942,Locaties[],3,FALSE),0)</f>
        <v>0</v>
      </c>
      <c r="V942" s="86">
        <f>Ruimtestaat[[#This Row],[Uitvoeringen werkdagen]]*Ruimtestaat[[#This Row],[Oppervlak (netto)]]</f>
        <v>705.59999999999991</v>
      </c>
      <c r="W942" s="87">
        <f>IF(U942&gt;0,Ruimtestaat[[#This Row],[Prest. (m2 /jaar) werkdagen]]/Ruimtestaat[[#This Row],[Norm (m2/uur) werkdagen]],0)</f>
        <v>0</v>
      </c>
      <c r="X942" s="88">
        <f>Ruimtestaat[[#This Row],[uren / jaar werkdagen]]*Tariefsopbouw!$E$35</f>
        <v>0</v>
      </c>
      <c r="Y942" s="85"/>
      <c r="Z942" s="89">
        <f>IF(Ruimtestaat[[#This Row],[Frequentie weekend]]&gt;0,VALUE(LEFT(Y942,1))*R942,0)</f>
        <v>0</v>
      </c>
      <c r="AA942" s="85">
        <f>IF($Z942&gt;0,VLOOKUP($J942,Ruimtegroepen[],3,FALSE)*VLOOKUP($L942,Vloersoorten[],3,FALSE)*VLOOKUP($Y942,Frequenties[],3,FALSE)*VLOOKUP(#REF!,Locaties[],3,FALSE),0)</f>
        <v>0</v>
      </c>
      <c r="AB942" s="87">
        <f>Ruimtestaat[[#This Row],[Uitvoeringen weekend]]*Ruimtestaat[[#This Row],[Oppervlak (netto)]]</f>
        <v>0</v>
      </c>
      <c r="AC942" s="90">
        <f>IF(AB942&gt;0,Ruimtestaat[[#This Row],[Prest. (m2 /jaar) weekend]]/Ruimtestaat[[#This Row],[Norm (m2/uur) weekend]],0)</f>
        <v>0</v>
      </c>
      <c r="AD942" s="91">
        <f>Ruimtestaat[[#This Row],[uren / jaar weekend]]*Tariefsopbouw!$D$40</f>
        <v>0</v>
      </c>
      <c r="AE942" s="60">
        <f>Ruimtestaat[[#This Row],[Prest. (m2 /jaar) weekend]]+Ruimtestaat[[#This Row],[Prest. (m2 /jaar) werkdagen]]</f>
        <v>705.59999999999991</v>
      </c>
      <c r="AF942" s="60">
        <f>Ruimtestaat[[#This Row],[uren / jaar weekend]]+Ruimtestaat[[#This Row],[uren / jaar werkdagen]]</f>
        <v>0</v>
      </c>
      <c r="AG942" s="61">
        <f>Ruimtestaat[[#This Row],[kosten / jaar weekend]]+Ruimtestaat[[#This Row],[kosten / jaar werkdagen]]</f>
        <v>0</v>
      </c>
      <c r="AH942" s="92"/>
      <c r="HL942" s="59"/>
    </row>
    <row r="943" spans="1:220">
      <c r="A943" s="24">
        <v>6</v>
      </c>
      <c r="B943" s="24" t="str">
        <f>VLOOKUP(Ruimtestaat[[#This Row],[Code]],Locaties[#All],2,FALSE)</f>
        <v>Marke Noord</v>
      </c>
      <c r="C943" s="24" t="str">
        <f>VLOOKUP(Ruimtestaat[[#This Row],[Code]],Locaties[#All],4,FALSE)</f>
        <v>Lebuïnuslaan 1</v>
      </c>
      <c r="D943" s="24" t="str">
        <f>VLOOKUP(Ruimtestaat[[#This Row],[Code]],Locaties[#All],5,FALSE)</f>
        <v>7415 DM</v>
      </c>
      <c r="E943" s="24" t="str">
        <f>VLOOKUP(Ruimtestaat[[#This Row],[Code]],Locaties[#All],6,FALSE)</f>
        <v>Deventer</v>
      </c>
      <c r="F943" s="54"/>
      <c r="G943" s="24" t="s">
        <v>367</v>
      </c>
      <c r="H943" s="24" t="s">
        <v>438</v>
      </c>
      <c r="I943" s="4" t="s">
        <v>1363</v>
      </c>
      <c r="J943" s="24">
        <v>2</v>
      </c>
      <c r="K943" s="54" t="str">
        <f>VLOOKUP(J943,Ruimtegroepen[],2,FALSE)</f>
        <v>Kantoren</v>
      </c>
      <c r="L943" s="24" t="s">
        <v>300</v>
      </c>
      <c r="M943" s="24" t="s">
        <v>909</v>
      </c>
      <c r="N943" s="83">
        <v>12.15</v>
      </c>
      <c r="O943" s="83"/>
      <c r="P943" s="93" t="str">
        <f>LEFT(VLOOKUP(Ruimtestaat[[#This Row],[Ruimte code]],Ruimtegroepen[#All],4,1),2)</f>
        <v>Bu</v>
      </c>
      <c r="Q943" s="93"/>
      <c r="R943" s="84">
        <v>42</v>
      </c>
      <c r="S943" s="84" t="s">
        <v>322</v>
      </c>
      <c r="T943" s="85">
        <f>IF(R943&gt;0,IF(RIGHT(Ruimtestaat[[#This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43" s="85">
        <f>IF(T943&gt;0,VLOOKUP($J943,Ruimtegroepen[],3,FALSE)*VLOOKUP($L943,Vloersoorten[],3,FALSE)*VLOOKUP($S943,Frequenties[],3,FALSE)*VLOOKUP($A943,Locaties[],3,FALSE),0)</f>
        <v>0</v>
      </c>
      <c r="V943" s="86">
        <f>Ruimtestaat[[#This Row],[Uitvoeringen werkdagen]]*Ruimtestaat[[#This Row],[Oppervlak (netto)]]</f>
        <v>1530.9</v>
      </c>
      <c r="W943" s="87">
        <f>IF(U943&gt;0,Ruimtestaat[[#This Row],[Prest. (m2 /jaar) werkdagen]]/Ruimtestaat[[#This Row],[Norm (m2/uur) werkdagen]],0)</f>
        <v>0</v>
      </c>
      <c r="X943" s="88">
        <f>Ruimtestaat[[#This Row],[uren / jaar werkdagen]]*Tariefsopbouw!$E$35</f>
        <v>0</v>
      </c>
      <c r="Y943" s="85"/>
      <c r="Z943" s="89">
        <f>IF(Ruimtestaat[[#This Row],[Frequentie weekend]]&gt;0,VALUE(LEFT(Y943,1))*R943,0)</f>
        <v>0</v>
      </c>
      <c r="AA943" s="85">
        <f>IF($Z943&gt;0,VLOOKUP($J943,Ruimtegroepen[],3,FALSE)*VLOOKUP($L943,Vloersoorten[],3,FALSE)*VLOOKUP($Y943,Frequenties[],3,FALSE)*VLOOKUP(#REF!,Locaties[],3,FALSE),0)</f>
        <v>0</v>
      </c>
      <c r="AB943" s="87">
        <f>Ruimtestaat[[#This Row],[Uitvoeringen weekend]]*Ruimtestaat[[#This Row],[Oppervlak (netto)]]</f>
        <v>0</v>
      </c>
      <c r="AC943" s="90">
        <f>IF(AB943&gt;0,Ruimtestaat[[#This Row],[Prest. (m2 /jaar) weekend]]/Ruimtestaat[[#This Row],[Norm (m2/uur) weekend]],0)</f>
        <v>0</v>
      </c>
      <c r="AD943" s="91">
        <f>Ruimtestaat[[#This Row],[uren / jaar weekend]]*Tariefsopbouw!$D$40</f>
        <v>0</v>
      </c>
      <c r="AE943" s="60">
        <f>Ruimtestaat[[#This Row],[Prest. (m2 /jaar) weekend]]+Ruimtestaat[[#This Row],[Prest. (m2 /jaar) werkdagen]]</f>
        <v>1530.9</v>
      </c>
      <c r="AF943" s="60">
        <f>Ruimtestaat[[#This Row],[uren / jaar weekend]]+Ruimtestaat[[#This Row],[uren / jaar werkdagen]]</f>
        <v>0</v>
      </c>
      <c r="AG943" s="61">
        <f>Ruimtestaat[[#This Row],[kosten / jaar weekend]]+Ruimtestaat[[#This Row],[kosten / jaar werkdagen]]</f>
        <v>0</v>
      </c>
      <c r="AH943" s="92"/>
      <c r="HL943" s="59"/>
    </row>
    <row r="944" spans="1:220">
      <c r="A944" s="24">
        <v>6</v>
      </c>
      <c r="B944" s="24" t="str">
        <f>VLOOKUP(Ruimtestaat[[#This Row],[Code]],Locaties[#All],2,FALSE)</f>
        <v>Marke Noord</v>
      </c>
      <c r="C944" s="24" t="str">
        <f>VLOOKUP(Ruimtestaat[[#This Row],[Code]],Locaties[#All],4,FALSE)</f>
        <v>Lebuïnuslaan 1</v>
      </c>
      <c r="D944" s="24" t="str">
        <f>VLOOKUP(Ruimtestaat[[#This Row],[Code]],Locaties[#All],5,FALSE)</f>
        <v>7415 DM</v>
      </c>
      <c r="E944" s="24" t="str">
        <f>VLOOKUP(Ruimtestaat[[#This Row],[Code]],Locaties[#All],6,FALSE)</f>
        <v>Deventer</v>
      </c>
      <c r="F944" s="54"/>
      <c r="G944" s="24" t="s">
        <v>367</v>
      </c>
      <c r="H944" s="24" t="s">
        <v>441</v>
      </c>
      <c r="I944" s="4" t="s">
        <v>639</v>
      </c>
      <c r="J944" s="24">
        <v>22</v>
      </c>
      <c r="K944" s="54" t="str">
        <f>VLOOKUP(J944,Ruimtegroepen[],2,FALSE)</f>
        <v>Niet in onderhoud</v>
      </c>
      <c r="L944" s="24" t="s">
        <v>300</v>
      </c>
      <c r="M944" s="24" t="s">
        <v>909</v>
      </c>
      <c r="N944" s="83"/>
      <c r="O944" s="83">
        <v>35.42</v>
      </c>
      <c r="P944" s="93" t="str">
        <f>LEFT(VLOOKUP(Ruimtestaat[[#This Row],[Ruimte code]],Ruimtegroepen[#All],4,1),2)</f>
        <v/>
      </c>
      <c r="Q944" s="93"/>
      <c r="R944" s="84"/>
      <c r="S944" s="84"/>
      <c r="T944" s="85">
        <f>IF(R944&gt;0,IF(RIGHT(Ruimtestaat[[#This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44" s="85">
        <f>IF(T944&gt;0,VLOOKUP($J944,Ruimtegroepen[],3,FALSE)*VLOOKUP($L944,Vloersoorten[],3,FALSE)*VLOOKUP($S944,Frequenties[],3,FALSE)*VLOOKUP($A944,Locaties[],3,FALSE),0)</f>
        <v>0</v>
      </c>
      <c r="V944" s="86">
        <f>Ruimtestaat[[#This Row],[Uitvoeringen werkdagen]]*Ruimtestaat[[#This Row],[Oppervlak (netto)]]</f>
        <v>0</v>
      </c>
      <c r="W944" s="87">
        <f>IF(U944&gt;0,Ruimtestaat[[#This Row],[Prest. (m2 /jaar) werkdagen]]/Ruimtestaat[[#This Row],[Norm (m2/uur) werkdagen]],0)</f>
        <v>0</v>
      </c>
      <c r="X944" s="88">
        <f>Ruimtestaat[[#This Row],[uren / jaar werkdagen]]*Tariefsopbouw!$E$35</f>
        <v>0</v>
      </c>
      <c r="Y944" s="85"/>
      <c r="Z944" s="89">
        <f>IF(Ruimtestaat[[#This Row],[Frequentie weekend]]&gt;0,VALUE(LEFT(Y944,1))*R944,0)</f>
        <v>0</v>
      </c>
      <c r="AA944" s="85">
        <f>IF($Z944&gt;0,VLOOKUP($J944,Ruimtegroepen[],3,FALSE)*VLOOKUP($L944,Vloersoorten[],3,FALSE)*VLOOKUP($Y944,Frequenties[],3,FALSE)*VLOOKUP(#REF!,Locaties[],3,FALSE),0)</f>
        <v>0</v>
      </c>
      <c r="AB944" s="87">
        <f>Ruimtestaat[[#This Row],[Uitvoeringen weekend]]*Ruimtestaat[[#This Row],[Oppervlak (netto)]]</f>
        <v>0</v>
      </c>
      <c r="AC944" s="90">
        <f>IF(AB944&gt;0,Ruimtestaat[[#This Row],[Prest. (m2 /jaar) weekend]]/Ruimtestaat[[#This Row],[Norm (m2/uur) weekend]],0)</f>
        <v>0</v>
      </c>
      <c r="AD944" s="91">
        <f>Ruimtestaat[[#This Row],[uren / jaar weekend]]*Tariefsopbouw!$D$40</f>
        <v>0</v>
      </c>
      <c r="AE944" s="60">
        <f>Ruimtestaat[[#This Row],[Prest. (m2 /jaar) weekend]]+Ruimtestaat[[#This Row],[Prest. (m2 /jaar) werkdagen]]</f>
        <v>0</v>
      </c>
      <c r="AF944" s="60">
        <f>Ruimtestaat[[#This Row],[uren / jaar weekend]]+Ruimtestaat[[#This Row],[uren / jaar werkdagen]]</f>
        <v>0</v>
      </c>
      <c r="AG944" s="61">
        <f>Ruimtestaat[[#This Row],[kosten / jaar weekend]]+Ruimtestaat[[#This Row],[kosten / jaar werkdagen]]</f>
        <v>0</v>
      </c>
      <c r="AH944" s="92"/>
      <c r="HL944" s="59"/>
    </row>
    <row r="945" spans="1:220">
      <c r="A945" s="24">
        <v>6</v>
      </c>
      <c r="B945" s="24" t="str">
        <f>VLOOKUP(Ruimtestaat[[#This Row],[Code]],Locaties[#All],2,FALSE)</f>
        <v>Marke Noord</v>
      </c>
      <c r="C945" s="24" t="str">
        <f>VLOOKUP(Ruimtestaat[[#This Row],[Code]],Locaties[#All],4,FALSE)</f>
        <v>Lebuïnuslaan 1</v>
      </c>
      <c r="D945" s="24" t="str">
        <f>VLOOKUP(Ruimtestaat[[#This Row],[Code]],Locaties[#All],5,FALSE)</f>
        <v>7415 DM</v>
      </c>
      <c r="E945" s="24" t="str">
        <f>VLOOKUP(Ruimtestaat[[#This Row],[Code]],Locaties[#All],6,FALSE)</f>
        <v>Deventer</v>
      </c>
      <c r="F945" s="54"/>
      <c r="G945" s="24"/>
      <c r="H945" s="24" t="s">
        <v>1376</v>
      </c>
      <c r="I945" s="4" t="s">
        <v>1363</v>
      </c>
      <c r="J945" s="24">
        <v>2</v>
      </c>
      <c r="K945" s="54" t="str">
        <f>VLOOKUP(J945,Ruimtegroepen[],2,FALSE)</f>
        <v>Kantoren</v>
      </c>
      <c r="L945" s="24" t="s">
        <v>300</v>
      </c>
      <c r="M945" s="24" t="s">
        <v>909</v>
      </c>
      <c r="N945" s="83">
        <v>12.2</v>
      </c>
      <c r="O945" s="83"/>
      <c r="P945" s="93" t="str">
        <f>LEFT(VLOOKUP(Ruimtestaat[[#This Row],[Ruimte code]],Ruimtegroepen[#All],4,1),2)</f>
        <v>Bu</v>
      </c>
      <c r="Q945" s="93"/>
      <c r="R945" s="84">
        <v>42</v>
      </c>
      <c r="S945" s="84" t="s">
        <v>322</v>
      </c>
      <c r="T945" s="85">
        <f>IF(R945&gt;0,IF(RIGHT(Ruimtestaat[[#This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45" s="85">
        <f>IF(T945&gt;0,VLOOKUP($J945,Ruimtegroepen[],3,FALSE)*VLOOKUP($L945,Vloersoorten[],3,FALSE)*VLOOKUP($S945,Frequenties[],3,FALSE)*VLOOKUP($A945,Locaties[],3,FALSE),0)</f>
        <v>0</v>
      </c>
      <c r="V945" s="86">
        <f>Ruimtestaat[[#This Row],[Uitvoeringen werkdagen]]*Ruimtestaat[[#This Row],[Oppervlak (netto)]]</f>
        <v>1537.1999999999998</v>
      </c>
      <c r="W945" s="87">
        <f>IF(U945&gt;0,Ruimtestaat[[#This Row],[Prest. (m2 /jaar) werkdagen]]/Ruimtestaat[[#This Row],[Norm (m2/uur) werkdagen]],0)</f>
        <v>0</v>
      </c>
      <c r="X945" s="88">
        <f>Ruimtestaat[[#This Row],[uren / jaar werkdagen]]*Tariefsopbouw!$E$35</f>
        <v>0</v>
      </c>
      <c r="Y945" s="85"/>
      <c r="Z945" s="89">
        <f>IF(Ruimtestaat[[#This Row],[Frequentie weekend]]&gt;0,VALUE(LEFT(Y945,1))*R945,0)</f>
        <v>0</v>
      </c>
      <c r="AA945" s="85">
        <f>IF($Z945&gt;0,VLOOKUP($J945,Ruimtegroepen[],3,FALSE)*VLOOKUP($L945,Vloersoorten[],3,FALSE)*VLOOKUP($Y945,Frequenties[],3,FALSE)*VLOOKUP(#REF!,Locaties[],3,FALSE),0)</f>
        <v>0</v>
      </c>
      <c r="AB945" s="87">
        <f>Ruimtestaat[[#This Row],[Uitvoeringen weekend]]*Ruimtestaat[[#This Row],[Oppervlak (netto)]]</f>
        <v>0</v>
      </c>
      <c r="AC945" s="90">
        <f>IF(AB945&gt;0,Ruimtestaat[[#This Row],[Prest. (m2 /jaar) weekend]]/Ruimtestaat[[#This Row],[Norm (m2/uur) weekend]],0)</f>
        <v>0</v>
      </c>
      <c r="AD945" s="91">
        <f>Ruimtestaat[[#This Row],[uren / jaar weekend]]*Tariefsopbouw!$D$40</f>
        <v>0</v>
      </c>
      <c r="AE945" s="60">
        <f>Ruimtestaat[[#This Row],[Prest. (m2 /jaar) weekend]]+Ruimtestaat[[#This Row],[Prest. (m2 /jaar) werkdagen]]</f>
        <v>1537.1999999999998</v>
      </c>
      <c r="AF945" s="60">
        <f>Ruimtestaat[[#This Row],[uren / jaar weekend]]+Ruimtestaat[[#This Row],[uren / jaar werkdagen]]</f>
        <v>0</v>
      </c>
      <c r="AG945" s="61">
        <f>Ruimtestaat[[#This Row],[kosten / jaar weekend]]+Ruimtestaat[[#This Row],[kosten / jaar werkdagen]]</f>
        <v>0</v>
      </c>
      <c r="AH945" s="92"/>
      <c r="HL945" s="59"/>
    </row>
    <row r="946" spans="1:220">
      <c r="A946" s="24">
        <v>6</v>
      </c>
      <c r="B946" s="24" t="str">
        <f>VLOOKUP(Ruimtestaat[[#This Row],[Code]],Locaties[#All],2,FALSE)</f>
        <v>Marke Noord</v>
      </c>
      <c r="C946" s="24" t="str">
        <f>VLOOKUP(Ruimtestaat[[#This Row],[Code]],Locaties[#All],4,FALSE)</f>
        <v>Lebuïnuslaan 1</v>
      </c>
      <c r="D946" s="24" t="str">
        <f>VLOOKUP(Ruimtestaat[[#This Row],[Code]],Locaties[#All],5,FALSE)</f>
        <v>7415 DM</v>
      </c>
      <c r="E946" s="24" t="str">
        <f>VLOOKUP(Ruimtestaat[[#This Row],[Code]],Locaties[#All],6,FALSE)</f>
        <v>Deventer</v>
      </c>
      <c r="F946" s="54"/>
      <c r="G946" s="24" t="s">
        <v>367</v>
      </c>
      <c r="H946" s="24" t="s">
        <v>1377</v>
      </c>
      <c r="I946" s="4" t="s">
        <v>1378</v>
      </c>
      <c r="J946" s="24">
        <v>5</v>
      </c>
      <c r="K946" s="54" t="str">
        <f>VLOOKUP(J946,Ruimtegroepen[],2,FALSE)</f>
        <v>Sanitair</v>
      </c>
      <c r="L946" s="24" t="s">
        <v>305</v>
      </c>
      <c r="M946" s="24" t="s">
        <v>400</v>
      </c>
      <c r="N946" s="83">
        <v>11.5</v>
      </c>
      <c r="O946" s="83"/>
      <c r="P946" s="93" t="str">
        <f>LEFT(VLOOKUP(Ruimtestaat[[#This Row],[Ruimte code]],Ruimtegroepen[#All],4,1),2)</f>
        <v>Sa</v>
      </c>
      <c r="Q946" s="93"/>
      <c r="R946" s="84">
        <v>42</v>
      </c>
      <c r="S946" s="84" t="s">
        <v>316</v>
      </c>
      <c r="T946" s="85">
        <f>IF(R946&gt;0,IF(RIGHT(Ruimtestaat[[#This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46" s="85">
        <f>IF(T946&gt;0,VLOOKUP($J946,Ruimtegroepen[],3,FALSE)*VLOOKUP($L946,Vloersoorten[],3,FALSE)*VLOOKUP($S946,Frequenties[],3,FALSE)*VLOOKUP($A946,Locaties[],3,FALSE),0)</f>
        <v>0</v>
      </c>
      <c r="V946" s="86">
        <f>Ruimtestaat[[#This Row],[Uitvoeringen werkdagen]]*Ruimtestaat[[#This Row],[Oppervlak (netto)]]</f>
        <v>4830</v>
      </c>
      <c r="W946" s="87">
        <f>IF(U946&gt;0,Ruimtestaat[[#This Row],[Prest. (m2 /jaar) werkdagen]]/Ruimtestaat[[#This Row],[Norm (m2/uur) werkdagen]],0)</f>
        <v>0</v>
      </c>
      <c r="X946" s="88">
        <f>Ruimtestaat[[#This Row],[uren / jaar werkdagen]]*Tariefsopbouw!$E$35</f>
        <v>0</v>
      </c>
      <c r="Y946" s="85"/>
      <c r="Z946" s="89">
        <f>IF(Ruimtestaat[[#This Row],[Frequentie weekend]]&gt;0,VALUE(LEFT(Y946,1))*R946,0)</f>
        <v>0</v>
      </c>
      <c r="AA946" s="85">
        <f>IF($Z946&gt;0,VLOOKUP($J946,Ruimtegroepen[],3,FALSE)*VLOOKUP($L946,Vloersoorten[],3,FALSE)*VLOOKUP($Y946,Frequenties[],3,FALSE)*VLOOKUP(#REF!,Locaties[],3,FALSE),0)</f>
        <v>0</v>
      </c>
      <c r="AB946" s="87">
        <f>Ruimtestaat[[#This Row],[Uitvoeringen weekend]]*Ruimtestaat[[#This Row],[Oppervlak (netto)]]</f>
        <v>0</v>
      </c>
      <c r="AC946" s="90">
        <f>IF(AB946&gt;0,Ruimtestaat[[#This Row],[Prest. (m2 /jaar) weekend]]/Ruimtestaat[[#This Row],[Norm (m2/uur) weekend]],0)</f>
        <v>0</v>
      </c>
      <c r="AD946" s="91">
        <f>Ruimtestaat[[#This Row],[uren / jaar weekend]]*Tariefsopbouw!$D$40</f>
        <v>0</v>
      </c>
      <c r="AE946" s="60">
        <f>Ruimtestaat[[#This Row],[Prest. (m2 /jaar) weekend]]+Ruimtestaat[[#This Row],[Prest. (m2 /jaar) werkdagen]]</f>
        <v>4830</v>
      </c>
      <c r="AF946" s="60">
        <f>Ruimtestaat[[#This Row],[uren / jaar weekend]]+Ruimtestaat[[#This Row],[uren / jaar werkdagen]]</f>
        <v>0</v>
      </c>
      <c r="AG946" s="61">
        <f>Ruimtestaat[[#This Row],[kosten / jaar weekend]]+Ruimtestaat[[#This Row],[kosten / jaar werkdagen]]</f>
        <v>0</v>
      </c>
      <c r="AH946" s="92"/>
      <c r="HL946" s="59"/>
    </row>
    <row r="947" spans="1:220">
      <c r="A947" s="24">
        <v>6</v>
      </c>
      <c r="B947" s="24" t="str">
        <f>VLOOKUP(Ruimtestaat[[#This Row],[Code]],Locaties[#All],2,FALSE)</f>
        <v>Marke Noord</v>
      </c>
      <c r="C947" s="24" t="str">
        <f>VLOOKUP(Ruimtestaat[[#This Row],[Code]],Locaties[#All],4,FALSE)</f>
        <v>Lebuïnuslaan 1</v>
      </c>
      <c r="D947" s="24" t="str">
        <f>VLOOKUP(Ruimtestaat[[#This Row],[Code]],Locaties[#All],5,FALSE)</f>
        <v>7415 DM</v>
      </c>
      <c r="E947" s="24" t="str">
        <f>VLOOKUP(Ruimtestaat[[#This Row],[Code]],Locaties[#All],6,FALSE)</f>
        <v>Deventer</v>
      </c>
      <c r="F947" s="54"/>
      <c r="G947" s="24" t="s">
        <v>367</v>
      </c>
      <c r="H947" s="24" t="s">
        <v>1379</v>
      </c>
      <c r="I947" s="4" t="s">
        <v>1380</v>
      </c>
      <c r="J947" s="24">
        <v>5</v>
      </c>
      <c r="K947" s="54" t="str">
        <f>VLOOKUP(J947,Ruimtegroepen[],2,FALSE)</f>
        <v>Sanitair</v>
      </c>
      <c r="L947" s="24" t="s">
        <v>305</v>
      </c>
      <c r="M947" s="24" t="s">
        <v>400</v>
      </c>
      <c r="N947" s="83">
        <v>16.079999999999998</v>
      </c>
      <c r="O947" s="83"/>
      <c r="P947" s="93" t="str">
        <f>LEFT(VLOOKUP(Ruimtestaat[[#This Row],[Ruimte code]],Ruimtegroepen[#All],4,1),2)</f>
        <v>Sa</v>
      </c>
      <c r="Q947" s="93"/>
      <c r="R947" s="84">
        <v>42</v>
      </c>
      <c r="S947" s="84" t="s">
        <v>316</v>
      </c>
      <c r="T947" s="85">
        <f>IF(R947&gt;0,IF(RIGHT(Ruimtestaat[[#This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47" s="85">
        <f>IF(T947&gt;0,VLOOKUP($J947,Ruimtegroepen[],3,FALSE)*VLOOKUP($L947,Vloersoorten[],3,FALSE)*VLOOKUP($S947,Frequenties[],3,FALSE)*VLOOKUP($A947,Locaties[],3,FALSE),0)</f>
        <v>0</v>
      </c>
      <c r="V947" s="86">
        <f>Ruimtestaat[[#This Row],[Uitvoeringen werkdagen]]*Ruimtestaat[[#This Row],[Oppervlak (netto)]]</f>
        <v>6753.5999999999995</v>
      </c>
      <c r="W947" s="87">
        <f>IF(U947&gt;0,Ruimtestaat[[#This Row],[Prest. (m2 /jaar) werkdagen]]/Ruimtestaat[[#This Row],[Norm (m2/uur) werkdagen]],0)</f>
        <v>0</v>
      </c>
      <c r="X947" s="88">
        <f>Ruimtestaat[[#This Row],[uren / jaar werkdagen]]*Tariefsopbouw!$E$35</f>
        <v>0</v>
      </c>
      <c r="Y947" s="85"/>
      <c r="Z947" s="89">
        <f>IF(Ruimtestaat[[#This Row],[Frequentie weekend]]&gt;0,VALUE(LEFT(Y947,1))*R947,0)</f>
        <v>0</v>
      </c>
      <c r="AA947" s="85">
        <f>IF($Z947&gt;0,VLOOKUP($J947,Ruimtegroepen[],3,FALSE)*VLOOKUP($L947,Vloersoorten[],3,FALSE)*VLOOKUP($Y947,Frequenties[],3,FALSE)*VLOOKUP(#REF!,Locaties[],3,FALSE),0)</f>
        <v>0</v>
      </c>
      <c r="AB947" s="87">
        <f>Ruimtestaat[[#This Row],[Uitvoeringen weekend]]*Ruimtestaat[[#This Row],[Oppervlak (netto)]]</f>
        <v>0</v>
      </c>
      <c r="AC947" s="90">
        <f>IF(AB947&gt;0,Ruimtestaat[[#This Row],[Prest. (m2 /jaar) weekend]]/Ruimtestaat[[#This Row],[Norm (m2/uur) weekend]],0)</f>
        <v>0</v>
      </c>
      <c r="AD947" s="91">
        <f>Ruimtestaat[[#This Row],[uren / jaar weekend]]*Tariefsopbouw!$D$40</f>
        <v>0</v>
      </c>
      <c r="AE947" s="60">
        <f>Ruimtestaat[[#This Row],[Prest. (m2 /jaar) weekend]]+Ruimtestaat[[#This Row],[Prest. (m2 /jaar) werkdagen]]</f>
        <v>6753.5999999999995</v>
      </c>
      <c r="AF947" s="60">
        <f>Ruimtestaat[[#This Row],[uren / jaar weekend]]+Ruimtestaat[[#This Row],[uren / jaar werkdagen]]</f>
        <v>0</v>
      </c>
      <c r="AG947" s="61">
        <f>Ruimtestaat[[#This Row],[kosten / jaar weekend]]+Ruimtestaat[[#This Row],[kosten / jaar werkdagen]]</f>
        <v>0</v>
      </c>
      <c r="AH947" s="92"/>
      <c r="HL947" s="59"/>
    </row>
    <row r="948" spans="1:220">
      <c r="A948" s="24">
        <v>6</v>
      </c>
      <c r="B948" s="24" t="str">
        <f>VLOOKUP(Ruimtestaat[[#This Row],[Code]],Locaties[#All],2,FALSE)</f>
        <v>Marke Noord</v>
      </c>
      <c r="C948" s="24" t="str">
        <f>VLOOKUP(Ruimtestaat[[#This Row],[Code]],Locaties[#All],4,FALSE)</f>
        <v>Lebuïnuslaan 1</v>
      </c>
      <c r="D948" s="24" t="str">
        <f>VLOOKUP(Ruimtestaat[[#This Row],[Code]],Locaties[#All],5,FALSE)</f>
        <v>7415 DM</v>
      </c>
      <c r="E948" s="24" t="str">
        <f>VLOOKUP(Ruimtestaat[[#This Row],[Code]],Locaties[#All],6,FALSE)</f>
        <v>Deventer</v>
      </c>
      <c r="F948" s="54"/>
      <c r="G948" s="24" t="s">
        <v>367</v>
      </c>
      <c r="H948" s="24" t="s">
        <v>1381</v>
      </c>
      <c r="I948" s="4" t="s">
        <v>1382</v>
      </c>
      <c r="J948" s="24">
        <v>5</v>
      </c>
      <c r="K948" s="54" t="str">
        <f>VLOOKUP(J948,Ruimtegroepen[],2,FALSE)</f>
        <v>Sanitair</v>
      </c>
      <c r="L948" s="24" t="s">
        <v>305</v>
      </c>
      <c r="M948" s="24" t="s">
        <v>400</v>
      </c>
      <c r="N948" s="83">
        <v>4.53</v>
      </c>
      <c r="O948" s="83"/>
      <c r="P948" s="93" t="str">
        <f>LEFT(VLOOKUP(Ruimtestaat[[#This Row],[Ruimte code]],Ruimtegroepen[#All],4,1),2)</f>
        <v>Sa</v>
      </c>
      <c r="Q948" s="93"/>
      <c r="R948" s="84">
        <v>42</v>
      </c>
      <c r="S948" s="84" t="s">
        <v>316</v>
      </c>
      <c r="T948" s="85">
        <f>IF(R948&gt;0,IF(RIGHT(Ruimtestaat[[#This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48" s="85">
        <f>IF(T948&gt;0,VLOOKUP($J948,Ruimtegroepen[],3,FALSE)*VLOOKUP($L948,Vloersoorten[],3,FALSE)*VLOOKUP($S948,Frequenties[],3,FALSE)*VLOOKUP($A948,Locaties[],3,FALSE),0)</f>
        <v>0</v>
      </c>
      <c r="V948" s="86">
        <f>Ruimtestaat[[#This Row],[Uitvoeringen werkdagen]]*Ruimtestaat[[#This Row],[Oppervlak (netto)]]</f>
        <v>1902.6000000000001</v>
      </c>
      <c r="W948" s="87">
        <f>IF(U948&gt;0,Ruimtestaat[[#This Row],[Prest. (m2 /jaar) werkdagen]]/Ruimtestaat[[#This Row],[Norm (m2/uur) werkdagen]],0)</f>
        <v>0</v>
      </c>
      <c r="X948" s="88">
        <f>Ruimtestaat[[#This Row],[uren / jaar werkdagen]]*Tariefsopbouw!$E$35</f>
        <v>0</v>
      </c>
      <c r="Y948" s="85"/>
      <c r="Z948" s="89">
        <f>IF(Ruimtestaat[[#This Row],[Frequentie weekend]]&gt;0,VALUE(LEFT(Y948,1))*R948,0)</f>
        <v>0</v>
      </c>
      <c r="AA948" s="85">
        <f>IF($Z948&gt;0,VLOOKUP($J948,Ruimtegroepen[],3,FALSE)*VLOOKUP($L948,Vloersoorten[],3,FALSE)*VLOOKUP($Y948,Frequenties[],3,FALSE)*VLOOKUP(#REF!,Locaties[],3,FALSE),0)</f>
        <v>0</v>
      </c>
      <c r="AB948" s="87">
        <f>Ruimtestaat[[#This Row],[Uitvoeringen weekend]]*Ruimtestaat[[#This Row],[Oppervlak (netto)]]</f>
        <v>0</v>
      </c>
      <c r="AC948" s="90">
        <f>IF(AB948&gt;0,Ruimtestaat[[#This Row],[Prest. (m2 /jaar) weekend]]/Ruimtestaat[[#This Row],[Norm (m2/uur) weekend]],0)</f>
        <v>0</v>
      </c>
      <c r="AD948" s="91">
        <f>Ruimtestaat[[#This Row],[uren / jaar weekend]]*Tariefsopbouw!$D$40</f>
        <v>0</v>
      </c>
      <c r="AE948" s="60">
        <f>Ruimtestaat[[#This Row],[Prest. (m2 /jaar) weekend]]+Ruimtestaat[[#This Row],[Prest. (m2 /jaar) werkdagen]]</f>
        <v>1902.6000000000001</v>
      </c>
      <c r="AF948" s="60">
        <f>Ruimtestaat[[#This Row],[uren / jaar weekend]]+Ruimtestaat[[#This Row],[uren / jaar werkdagen]]</f>
        <v>0</v>
      </c>
      <c r="AG948" s="61">
        <f>Ruimtestaat[[#This Row],[kosten / jaar weekend]]+Ruimtestaat[[#This Row],[kosten / jaar werkdagen]]</f>
        <v>0</v>
      </c>
      <c r="AH948" s="92"/>
      <c r="HL948" s="59"/>
    </row>
    <row r="949" spans="1:220">
      <c r="A949" s="24">
        <v>6</v>
      </c>
      <c r="B949" s="24" t="str">
        <f>VLOOKUP(Ruimtestaat[[#This Row],[Code]],Locaties[#All],2,FALSE)</f>
        <v>Marke Noord</v>
      </c>
      <c r="C949" s="24" t="str">
        <f>VLOOKUP(Ruimtestaat[[#This Row],[Code]],Locaties[#All],4,FALSE)</f>
        <v>Lebuïnuslaan 1</v>
      </c>
      <c r="D949" s="24" t="str">
        <f>VLOOKUP(Ruimtestaat[[#This Row],[Code]],Locaties[#All],5,FALSE)</f>
        <v>7415 DM</v>
      </c>
      <c r="E949" s="24" t="str">
        <f>VLOOKUP(Ruimtestaat[[#This Row],[Code]],Locaties[#All],6,FALSE)</f>
        <v>Deventer</v>
      </c>
      <c r="F949" s="54"/>
      <c r="G949" s="24" t="s">
        <v>367</v>
      </c>
      <c r="H949" s="24" t="s">
        <v>486</v>
      </c>
      <c r="I949" s="4" t="s">
        <v>487</v>
      </c>
      <c r="J949" s="24">
        <v>6</v>
      </c>
      <c r="K949" s="54" t="str">
        <f>VLOOKUP(J949,Ruimtegroepen[],2,FALSE)</f>
        <v>Gangen/hallen</v>
      </c>
      <c r="L949" s="24" t="s">
        <v>300</v>
      </c>
      <c r="M949" s="24" t="s">
        <v>909</v>
      </c>
      <c r="N949" s="83">
        <v>64.63</v>
      </c>
      <c r="O949" s="83"/>
      <c r="P949" s="93" t="str">
        <f>LEFT(VLOOKUP(Ruimtestaat[[#This Row],[Ruimte code]],Ruimtegroepen[#All],4,1),2)</f>
        <v>Ve</v>
      </c>
      <c r="Q949" s="93"/>
      <c r="R949" s="84">
        <v>40</v>
      </c>
      <c r="S949" s="84" t="s">
        <v>318</v>
      </c>
      <c r="T949" s="85">
        <f>IF(R949&gt;0,IF(RIGHT(Ruimtestaat[[#This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9" s="85">
        <f>IF(T949&gt;0,VLOOKUP($J949,Ruimtegroepen[],3,FALSE)*VLOOKUP($L949,Vloersoorten[],3,FALSE)*VLOOKUP($S949,Frequenties[],3,FALSE)*VLOOKUP($A949,Locaties[],3,FALSE),0)</f>
        <v>0</v>
      </c>
      <c r="V949" s="86">
        <f>Ruimtestaat[[#This Row],[Uitvoeringen werkdagen]]*Ruimtestaat[[#This Row],[Oppervlak (netto)]]</f>
        <v>12926</v>
      </c>
      <c r="W949" s="87">
        <f>IF(U949&gt;0,Ruimtestaat[[#This Row],[Prest. (m2 /jaar) werkdagen]]/Ruimtestaat[[#This Row],[Norm (m2/uur) werkdagen]],0)</f>
        <v>0</v>
      </c>
      <c r="X949" s="88">
        <f>Ruimtestaat[[#This Row],[uren / jaar werkdagen]]*Tariefsopbouw!$E$35</f>
        <v>0</v>
      </c>
      <c r="Y949" s="85"/>
      <c r="Z949" s="89">
        <f>IF(Ruimtestaat[[#This Row],[Frequentie weekend]]&gt;0,VALUE(LEFT(Y949,1))*R949,0)</f>
        <v>0</v>
      </c>
      <c r="AA949" s="85">
        <f>IF($Z949&gt;0,VLOOKUP($J949,Ruimtegroepen[],3,FALSE)*VLOOKUP($L949,Vloersoorten[],3,FALSE)*VLOOKUP($Y949,Frequenties[],3,FALSE)*VLOOKUP(#REF!,Locaties[],3,FALSE),0)</f>
        <v>0</v>
      </c>
      <c r="AB949" s="87">
        <f>Ruimtestaat[[#This Row],[Uitvoeringen weekend]]*Ruimtestaat[[#This Row],[Oppervlak (netto)]]</f>
        <v>0</v>
      </c>
      <c r="AC949" s="90">
        <f>IF(AB949&gt;0,Ruimtestaat[[#This Row],[Prest. (m2 /jaar) weekend]]/Ruimtestaat[[#This Row],[Norm (m2/uur) weekend]],0)</f>
        <v>0</v>
      </c>
      <c r="AD949" s="91">
        <f>Ruimtestaat[[#This Row],[uren / jaar weekend]]*Tariefsopbouw!$D$40</f>
        <v>0</v>
      </c>
      <c r="AE949" s="60">
        <f>Ruimtestaat[[#This Row],[Prest. (m2 /jaar) weekend]]+Ruimtestaat[[#This Row],[Prest. (m2 /jaar) werkdagen]]</f>
        <v>12926</v>
      </c>
      <c r="AF949" s="60">
        <f>Ruimtestaat[[#This Row],[uren / jaar weekend]]+Ruimtestaat[[#This Row],[uren / jaar werkdagen]]</f>
        <v>0</v>
      </c>
      <c r="AG949" s="61">
        <f>Ruimtestaat[[#This Row],[kosten / jaar weekend]]+Ruimtestaat[[#This Row],[kosten / jaar werkdagen]]</f>
        <v>0</v>
      </c>
      <c r="AH949" s="92"/>
      <c r="HL949" s="59"/>
    </row>
    <row r="950" spans="1:220">
      <c r="A950" s="24">
        <v>6</v>
      </c>
      <c r="B950" s="24" t="str">
        <f>VLOOKUP(Ruimtestaat[[#This Row],[Code]],Locaties[#All],2,FALSE)</f>
        <v>Marke Noord</v>
      </c>
      <c r="C950" s="24" t="str">
        <f>VLOOKUP(Ruimtestaat[[#This Row],[Code]],Locaties[#All],4,FALSE)</f>
        <v>Lebuïnuslaan 1</v>
      </c>
      <c r="D950" s="24" t="str">
        <f>VLOOKUP(Ruimtestaat[[#This Row],[Code]],Locaties[#All],5,FALSE)</f>
        <v>7415 DM</v>
      </c>
      <c r="E950" s="24" t="str">
        <f>VLOOKUP(Ruimtestaat[[#This Row],[Code]],Locaties[#All],6,FALSE)</f>
        <v>Deventer</v>
      </c>
      <c r="F950" s="54"/>
      <c r="G950" s="24" t="s">
        <v>367</v>
      </c>
      <c r="H950" s="24" t="s">
        <v>488</v>
      </c>
      <c r="I950" s="4" t="s">
        <v>487</v>
      </c>
      <c r="J950" s="24">
        <v>6</v>
      </c>
      <c r="K950" s="54" t="str">
        <f>VLOOKUP(J950,Ruimtegroepen[],2,FALSE)</f>
        <v>Gangen/hallen</v>
      </c>
      <c r="L950" s="24" t="s">
        <v>300</v>
      </c>
      <c r="M950" s="24" t="s">
        <v>909</v>
      </c>
      <c r="N950" s="83">
        <v>311.05</v>
      </c>
      <c r="O950" s="83"/>
      <c r="P950" s="93" t="str">
        <f>LEFT(VLOOKUP(Ruimtestaat[[#This Row],[Ruimte code]],Ruimtegroepen[#All],4,1),2)</f>
        <v>Ve</v>
      </c>
      <c r="Q950" s="93"/>
      <c r="R950" s="84">
        <v>40</v>
      </c>
      <c r="S950" s="84" t="s">
        <v>318</v>
      </c>
      <c r="T950" s="85">
        <f>IF(R950&gt;0,IF(RIGHT(Ruimtestaat[[#This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0" s="85">
        <f>IF(T950&gt;0,VLOOKUP($J950,Ruimtegroepen[],3,FALSE)*VLOOKUP($L950,Vloersoorten[],3,FALSE)*VLOOKUP($S950,Frequenties[],3,FALSE)*VLOOKUP($A950,Locaties[],3,FALSE),0)</f>
        <v>0</v>
      </c>
      <c r="V950" s="86">
        <f>Ruimtestaat[[#This Row],[Uitvoeringen werkdagen]]*Ruimtestaat[[#This Row],[Oppervlak (netto)]]</f>
        <v>62210</v>
      </c>
      <c r="W950" s="87">
        <f>IF(U950&gt;0,Ruimtestaat[[#This Row],[Prest. (m2 /jaar) werkdagen]]/Ruimtestaat[[#This Row],[Norm (m2/uur) werkdagen]],0)</f>
        <v>0</v>
      </c>
      <c r="X950" s="88">
        <f>Ruimtestaat[[#This Row],[uren / jaar werkdagen]]*Tariefsopbouw!$E$35</f>
        <v>0</v>
      </c>
      <c r="Y950" s="85"/>
      <c r="Z950" s="89">
        <f>IF(Ruimtestaat[[#This Row],[Frequentie weekend]]&gt;0,VALUE(LEFT(Y950,1))*R950,0)</f>
        <v>0</v>
      </c>
      <c r="AA950" s="85">
        <f>IF($Z950&gt;0,VLOOKUP($J950,Ruimtegroepen[],3,FALSE)*VLOOKUP($L950,Vloersoorten[],3,FALSE)*VLOOKUP($Y950,Frequenties[],3,FALSE)*VLOOKUP(#REF!,Locaties[],3,FALSE),0)</f>
        <v>0</v>
      </c>
      <c r="AB950" s="87">
        <f>Ruimtestaat[[#This Row],[Uitvoeringen weekend]]*Ruimtestaat[[#This Row],[Oppervlak (netto)]]</f>
        <v>0</v>
      </c>
      <c r="AC950" s="90">
        <f>IF(AB950&gt;0,Ruimtestaat[[#This Row],[Prest. (m2 /jaar) weekend]]/Ruimtestaat[[#This Row],[Norm (m2/uur) weekend]],0)</f>
        <v>0</v>
      </c>
      <c r="AD950" s="91">
        <f>Ruimtestaat[[#This Row],[uren / jaar weekend]]*Tariefsopbouw!$D$40</f>
        <v>0</v>
      </c>
      <c r="AE950" s="60">
        <f>Ruimtestaat[[#This Row],[Prest. (m2 /jaar) weekend]]+Ruimtestaat[[#This Row],[Prest. (m2 /jaar) werkdagen]]</f>
        <v>62210</v>
      </c>
      <c r="AF950" s="60">
        <f>Ruimtestaat[[#This Row],[uren / jaar weekend]]+Ruimtestaat[[#This Row],[uren / jaar werkdagen]]</f>
        <v>0</v>
      </c>
      <c r="AG950" s="61">
        <f>Ruimtestaat[[#This Row],[kosten / jaar weekend]]+Ruimtestaat[[#This Row],[kosten / jaar werkdagen]]</f>
        <v>0</v>
      </c>
      <c r="AH950" s="92"/>
      <c r="HL950" s="59"/>
    </row>
    <row r="951" spans="1:220">
      <c r="A951" s="24">
        <v>6</v>
      </c>
      <c r="B951" s="24" t="str">
        <f>VLOOKUP(Ruimtestaat[[#This Row],[Code]],Locaties[#All],2,FALSE)</f>
        <v>Marke Noord</v>
      </c>
      <c r="C951" s="24" t="str">
        <f>VLOOKUP(Ruimtestaat[[#This Row],[Code]],Locaties[#All],4,FALSE)</f>
        <v>Lebuïnuslaan 1</v>
      </c>
      <c r="D951" s="24" t="str">
        <f>VLOOKUP(Ruimtestaat[[#This Row],[Code]],Locaties[#All],5,FALSE)</f>
        <v>7415 DM</v>
      </c>
      <c r="E951" s="24" t="str">
        <f>VLOOKUP(Ruimtestaat[[#This Row],[Code]],Locaties[#All],6,FALSE)</f>
        <v>Deventer</v>
      </c>
      <c r="F951" s="54"/>
      <c r="G951" s="24" t="s">
        <v>367</v>
      </c>
      <c r="H951" s="24" t="s">
        <v>489</v>
      </c>
      <c r="I951" s="4" t="s">
        <v>487</v>
      </c>
      <c r="J951" s="24">
        <v>6</v>
      </c>
      <c r="K951" s="54" t="str">
        <f>VLOOKUP(J951,Ruimtegroepen[],2,FALSE)</f>
        <v>Gangen/hallen</v>
      </c>
      <c r="L951" s="24" t="s">
        <v>300</v>
      </c>
      <c r="M951" s="24" t="s">
        <v>909</v>
      </c>
      <c r="N951" s="83">
        <v>140.24</v>
      </c>
      <c r="O951" s="83"/>
      <c r="P951" s="93" t="str">
        <f>LEFT(VLOOKUP(Ruimtestaat[[#This Row],[Ruimte code]],Ruimtegroepen[#All],4,1),2)</f>
        <v>Ve</v>
      </c>
      <c r="Q951" s="93"/>
      <c r="R951" s="84">
        <v>40</v>
      </c>
      <c r="S951" s="84" t="s">
        <v>318</v>
      </c>
      <c r="T951" s="85">
        <f>IF(R951&gt;0,IF(RIGHT(Ruimtestaat[[#This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1" s="85">
        <f>IF(T951&gt;0,VLOOKUP($J951,Ruimtegroepen[],3,FALSE)*VLOOKUP($L951,Vloersoorten[],3,FALSE)*VLOOKUP($S951,Frequenties[],3,FALSE)*VLOOKUP($A951,Locaties[],3,FALSE),0)</f>
        <v>0</v>
      </c>
      <c r="V951" s="86">
        <f>Ruimtestaat[[#This Row],[Uitvoeringen werkdagen]]*Ruimtestaat[[#This Row],[Oppervlak (netto)]]</f>
        <v>28048</v>
      </c>
      <c r="W951" s="87">
        <f>IF(U951&gt;0,Ruimtestaat[[#This Row],[Prest. (m2 /jaar) werkdagen]]/Ruimtestaat[[#This Row],[Norm (m2/uur) werkdagen]],0)</f>
        <v>0</v>
      </c>
      <c r="X951" s="88">
        <f>Ruimtestaat[[#This Row],[uren / jaar werkdagen]]*Tariefsopbouw!$E$35</f>
        <v>0</v>
      </c>
      <c r="Y951" s="85"/>
      <c r="Z951" s="89">
        <f>IF(Ruimtestaat[[#This Row],[Frequentie weekend]]&gt;0,VALUE(LEFT(Y951,1))*R951,0)</f>
        <v>0</v>
      </c>
      <c r="AA951" s="85">
        <f>IF($Z951&gt;0,VLOOKUP($J951,Ruimtegroepen[],3,FALSE)*VLOOKUP($L951,Vloersoorten[],3,FALSE)*VLOOKUP($Y951,Frequenties[],3,FALSE)*VLOOKUP(#REF!,Locaties[],3,FALSE),0)</f>
        <v>0</v>
      </c>
      <c r="AB951" s="87">
        <f>Ruimtestaat[[#This Row],[Uitvoeringen weekend]]*Ruimtestaat[[#This Row],[Oppervlak (netto)]]</f>
        <v>0</v>
      </c>
      <c r="AC951" s="90">
        <f>IF(AB951&gt;0,Ruimtestaat[[#This Row],[Prest. (m2 /jaar) weekend]]/Ruimtestaat[[#This Row],[Norm (m2/uur) weekend]],0)</f>
        <v>0</v>
      </c>
      <c r="AD951" s="91">
        <f>Ruimtestaat[[#This Row],[uren / jaar weekend]]*Tariefsopbouw!$D$40</f>
        <v>0</v>
      </c>
      <c r="AE951" s="60">
        <f>Ruimtestaat[[#This Row],[Prest. (m2 /jaar) weekend]]+Ruimtestaat[[#This Row],[Prest. (m2 /jaar) werkdagen]]</f>
        <v>28048</v>
      </c>
      <c r="AF951" s="60">
        <f>Ruimtestaat[[#This Row],[uren / jaar weekend]]+Ruimtestaat[[#This Row],[uren / jaar werkdagen]]</f>
        <v>0</v>
      </c>
      <c r="AG951" s="61">
        <f>Ruimtestaat[[#This Row],[kosten / jaar weekend]]+Ruimtestaat[[#This Row],[kosten / jaar werkdagen]]</f>
        <v>0</v>
      </c>
      <c r="AH951" s="92"/>
      <c r="HL951" s="59"/>
    </row>
    <row r="952" spans="1:220">
      <c r="A952" s="24">
        <v>6</v>
      </c>
      <c r="B952" s="24" t="str">
        <f>VLOOKUP(Ruimtestaat[[#This Row],[Code]],Locaties[#All],2,FALSE)</f>
        <v>Marke Noord</v>
      </c>
      <c r="C952" s="24" t="str">
        <f>VLOOKUP(Ruimtestaat[[#This Row],[Code]],Locaties[#All],4,FALSE)</f>
        <v>Lebuïnuslaan 1</v>
      </c>
      <c r="D952" s="24" t="str">
        <f>VLOOKUP(Ruimtestaat[[#This Row],[Code]],Locaties[#All],5,FALSE)</f>
        <v>7415 DM</v>
      </c>
      <c r="E952" s="24" t="str">
        <f>VLOOKUP(Ruimtestaat[[#This Row],[Code]],Locaties[#All],6,FALSE)</f>
        <v>Deventer</v>
      </c>
      <c r="F952" s="54"/>
      <c r="G952" s="24" t="s">
        <v>367</v>
      </c>
      <c r="H952" s="24" t="s">
        <v>490</v>
      </c>
      <c r="I952" s="4" t="s">
        <v>487</v>
      </c>
      <c r="J952" s="24">
        <v>6</v>
      </c>
      <c r="K952" s="54" t="str">
        <f>VLOOKUP(J952,Ruimtegroepen[],2,FALSE)</f>
        <v>Gangen/hallen</v>
      </c>
      <c r="L952" s="24" t="s">
        <v>300</v>
      </c>
      <c r="M952" s="24" t="s">
        <v>909</v>
      </c>
      <c r="N952" s="83">
        <v>77.069999999999993</v>
      </c>
      <c r="O952" s="83"/>
      <c r="P952" s="93" t="str">
        <f>LEFT(VLOOKUP(Ruimtestaat[[#This Row],[Ruimte code]],Ruimtegroepen[#All],4,1),2)</f>
        <v>Ve</v>
      </c>
      <c r="Q952" s="93"/>
      <c r="R952" s="84">
        <v>40</v>
      </c>
      <c r="S952" s="84" t="s">
        <v>318</v>
      </c>
      <c r="T952" s="85">
        <f>IF(R952&gt;0,IF(RIGHT(Ruimtestaat[[#This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2" s="85">
        <f>IF(T952&gt;0,VLOOKUP($J952,Ruimtegroepen[],3,FALSE)*VLOOKUP($L952,Vloersoorten[],3,FALSE)*VLOOKUP($S952,Frequenties[],3,FALSE)*VLOOKUP($A952,Locaties[],3,FALSE),0)</f>
        <v>0</v>
      </c>
      <c r="V952" s="86">
        <f>Ruimtestaat[[#This Row],[Uitvoeringen werkdagen]]*Ruimtestaat[[#This Row],[Oppervlak (netto)]]</f>
        <v>15413.999999999998</v>
      </c>
      <c r="W952" s="87">
        <f>IF(U952&gt;0,Ruimtestaat[[#This Row],[Prest. (m2 /jaar) werkdagen]]/Ruimtestaat[[#This Row],[Norm (m2/uur) werkdagen]],0)</f>
        <v>0</v>
      </c>
      <c r="X952" s="88">
        <f>Ruimtestaat[[#This Row],[uren / jaar werkdagen]]*Tariefsopbouw!$E$35</f>
        <v>0</v>
      </c>
      <c r="Y952" s="85"/>
      <c r="Z952" s="89">
        <f>IF(Ruimtestaat[[#This Row],[Frequentie weekend]]&gt;0,VALUE(LEFT(Y952,1))*R952,0)</f>
        <v>0</v>
      </c>
      <c r="AA952" s="85">
        <f>IF($Z952&gt;0,VLOOKUP($J952,Ruimtegroepen[],3,FALSE)*VLOOKUP($L952,Vloersoorten[],3,FALSE)*VLOOKUP($Y952,Frequenties[],3,FALSE)*VLOOKUP(#REF!,Locaties[],3,FALSE),0)</f>
        <v>0</v>
      </c>
      <c r="AB952" s="87">
        <f>Ruimtestaat[[#This Row],[Uitvoeringen weekend]]*Ruimtestaat[[#This Row],[Oppervlak (netto)]]</f>
        <v>0</v>
      </c>
      <c r="AC952" s="90">
        <f>IF(AB952&gt;0,Ruimtestaat[[#This Row],[Prest. (m2 /jaar) weekend]]/Ruimtestaat[[#This Row],[Norm (m2/uur) weekend]],0)</f>
        <v>0</v>
      </c>
      <c r="AD952" s="91">
        <f>Ruimtestaat[[#This Row],[uren / jaar weekend]]*Tariefsopbouw!$D$40</f>
        <v>0</v>
      </c>
      <c r="AE952" s="60">
        <f>Ruimtestaat[[#This Row],[Prest. (m2 /jaar) weekend]]+Ruimtestaat[[#This Row],[Prest. (m2 /jaar) werkdagen]]</f>
        <v>15413.999999999998</v>
      </c>
      <c r="AF952" s="60">
        <f>Ruimtestaat[[#This Row],[uren / jaar weekend]]+Ruimtestaat[[#This Row],[uren / jaar werkdagen]]</f>
        <v>0</v>
      </c>
      <c r="AG952" s="61">
        <f>Ruimtestaat[[#This Row],[kosten / jaar weekend]]+Ruimtestaat[[#This Row],[kosten / jaar werkdagen]]</f>
        <v>0</v>
      </c>
      <c r="AH952" s="92"/>
      <c r="HL952" s="59"/>
    </row>
    <row r="953" spans="1:220">
      <c r="A953" s="24">
        <v>6</v>
      </c>
      <c r="B953" s="24" t="str">
        <f>VLOOKUP(Ruimtestaat[[#This Row],[Code]],Locaties[#All],2,FALSE)</f>
        <v>Marke Noord</v>
      </c>
      <c r="C953" s="24" t="str">
        <f>VLOOKUP(Ruimtestaat[[#This Row],[Code]],Locaties[#All],4,FALSE)</f>
        <v>Lebuïnuslaan 1</v>
      </c>
      <c r="D953" s="24" t="str">
        <f>VLOOKUP(Ruimtestaat[[#This Row],[Code]],Locaties[#All],5,FALSE)</f>
        <v>7415 DM</v>
      </c>
      <c r="E953" s="24" t="str">
        <f>VLOOKUP(Ruimtestaat[[#This Row],[Code]],Locaties[#All],6,FALSE)</f>
        <v>Deventer</v>
      </c>
      <c r="F953" s="54"/>
      <c r="G953" s="24" t="s">
        <v>367</v>
      </c>
      <c r="H953" s="24" t="s">
        <v>706</v>
      </c>
      <c r="I953" s="4" t="s">
        <v>487</v>
      </c>
      <c r="J953" s="24">
        <v>6</v>
      </c>
      <c r="K953" s="54" t="str">
        <f>VLOOKUP(J953,Ruimtegroepen[],2,FALSE)</f>
        <v>Gangen/hallen</v>
      </c>
      <c r="L953" s="24" t="s">
        <v>300</v>
      </c>
      <c r="M953" s="24" t="s">
        <v>909</v>
      </c>
      <c r="N953" s="83">
        <v>55.37</v>
      </c>
      <c r="O953" s="83"/>
      <c r="P953" s="93" t="str">
        <f>LEFT(VLOOKUP(Ruimtestaat[[#This Row],[Ruimte code]],Ruimtegroepen[#All],4,1),2)</f>
        <v>Ve</v>
      </c>
      <c r="Q953" s="93"/>
      <c r="R953" s="84">
        <v>40</v>
      </c>
      <c r="S953" s="84" t="s">
        <v>318</v>
      </c>
      <c r="T953" s="85">
        <f>IF(R953&gt;0,IF(RIGHT(Ruimtestaat[[#This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3" s="85">
        <f>IF(T953&gt;0,VLOOKUP($J953,Ruimtegroepen[],3,FALSE)*VLOOKUP($L953,Vloersoorten[],3,FALSE)*VLOOKUP($S953,Frequenties[],3,FALSE)*VLOOKUP($A953,Locaties[],3,FALSE),0)</f>
        <v>0</v>
      </c>
      <c r="V953" s="86">
        <f>Ruimtestaat[[#This Row],[Uitvoeringen werkdagen]]*Ruimtestaat[[#This Row],[Oppervlak (netto)]]</f>
        <v>11074</v>
      </c>
      <c r="W953" s="87">
        <f>IF(U953&gt;0,Ruimtestaat[[#This Row],[Prest. (m2 /jaar) werkdagen]]/Ruimtestaat[[#This Row],[Norm (m2/uur) werkdagen]],0)</f>
        <v>0</v>
      </c>
      <c r="X953" s="88">
        <f>Ruimtestaat[[#This Row],[uren / jaar werkdagen]]*Tariefsopbouw!$E$35</f>
        <v>0</v>
      </c>
      <c r="Y953" s="85"/>
      <c r="Z953" s="89">
        <f>IF(Ruimtestaat[[#This Row],[Frequentie weekend]]&gt;0,VALUE(LEFT(Y953,1))*R953,0)</f>
        <v>0</v>
      </c>
      <c r="AA953" s="85">
        <f>IF($Z953&gt;0,VLOOKUP($J953,Ruimtegroepen[],3,FALSE)*VLOOKUP($L953,Vloersoorten[],3,FALSE)*VLOOKUP($Y953,Frequenties[],3,FALSE)*VLOOKUP(#REF!,Locaties[],3,FALSE),0)</f>
        <v>0</v>
      </c>
      <c r="AB953" s="87">
        <f>Ruimtestaat[[#This Row],[Uitvoeringen weekend]]*Ruimtestaat[[#This Row],[Oppervlak (netto)]]</f>
        <v>0</v>
      </c>
      <c r="AC953" s="90">
        <f>IF(AB953&gt;0,Ruimtestaat[[#This Row],[Prest. (m2 /jaar) weekend]]/Ruimtestaat[[#This Row],[Norm (m2/uur) weekend]],0)</f>
        <v>0</v>
      </c>
      <c r="AD953" s="91">
        <f>Ruimtestaat[[#This Row],[uren / jaar weekend]]*Tariefsopbouw!$D$40</f>
        <v>0</v>
      </c>
      <c r="AE953" s="60">
        <f>Ruimtestaat[[#This Row],[Prest. (m2 /jaar) weekend]]+Ruimtestaat[[#This Row],[Prest. (m2 /jaar) werkdagen]]</f>
        <v>11074</v>
      </c>
      <c r="AF953" s="60">
        <f>Ruimtestaat[[#This Row],[uren / jaar weekend]]+Ruimtestaat[[#This Row],[uren / jaar werkdagen]]</f>
        <v>0</v>
      </c>
      <c r="AG953" s="61">
        <f>Ruimtestaat[[#This Row],[kosten / jaar weekend]]+Ruimtestaat[[#This Row],[kosten / jaar werkdagen]]</f>
        <v>0</v>
      </c>
      <c r="AH953" s="92"/>
      <c r="HL953" s="59"/>
    </row>
    <row r="954" spans="1:220">
      <c r="A954" s="24">
        <v>6</v>
      </c>
      <c r="B954" s="24" t="str">
        <f>VLOOKUP(Ruimtestaat[[#This Row],[Code]],Locaties[#All],2,FALSE)</f>
        <v>Marke Noord</v>
      </c>
      <c r="C954" s="24" t="str">
        <f>VLOOKUP(Ruimtestaat[[#This Row],[Code]],Locaties[#All],4,FALSE)</f>
        <v>Lebuïnuslaan 1</v>
      </c>
      <c r="D954" s="24" t="str">
        <f>VLOOKUP(Ruimtestaat[[#This Row],[Code]],Locaties[#All],5,FALSE)</f>
        <v>7415 DM</v>
      </c>
      <c r="E954" s="24" t="str">
        <f>VLOOKUP(Ruimtestaat[[#This Row],[Code]],Locaties[#All],6,FALSE)</f>
        <v>Deventer</v>
      </c>
      <c r="F954" s="54"/>
      <c r="G954" s="24" t="s">
        <v>367</v>
      </c>
      <c r="H954" s="24" t="s">
        <v>498</v>
      </c>
      <c r="I954" s="4" t="s">
        <v>487</v>
      </c>
      <c r="J954" s="24">
        <v>6</v>
      </c>
      <c r="K954" s="54" t="str">
        <f>VLOOKUP(J954,Ruimtegroepen[],2,FALSE)</f>
        <v>Gangen/hallen</v>
      </c>
      <c r="L954" s="24" t="s">
        <v>300</v>
      </c>
      <c r="M954" s="24" t="s">
        <v>909</v>
      </c>
      <c r="N954" s="83">
        <v>31.76</v>
      </c>
      <c r="O954" s="83"/>
      <c r="P954" s="93" t="str">
        <f>LEFT(VLOOKUP(Ruimtestaat[[#This Row],[Ruimte code]],Ruimtegroepen[#All],4,1),2)</f>
        <v>Ve</v>
      </c>
      <c r="Q954" s="93"/>
      <c r="R954" s="84">
        <v>40</v>
      </c>
      <c r="S954" s="84" t="s">
        <v>318</v>
      </c>
      <c r="T954" s="85">
        <f>IF(R954&gt;0,IF(RIGHT(Ruimtestaat[[#This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4" s="85">
        <f>IF(T954&gt;0,VLOOKUP($J954,Ruimtegroepen[],3,FALSE)*VLOOKUP($L954,Vloersoorten[],3,FALSE)*VLOOKUP($S954,Frequenties[],3,FALSE)*VLOOKUP($A954,Locaties[],3,FALSE),0)</f>
        <v>0</v>
      </c>
      <c r="V954" s="86">
        <f>Ruimtestaat[[#This Row],[Uitvoeringen werkdagen]]*Ruimtestaat[[#This Row],[Oppervlak (netto)]]</f>
        <v>6352</v>
      </c>
      <c r="W954" s="87">
        <f>IF(U954&gt;0,Ruimtestaat[[#This Row],[Prest. (m2 /jaar) werkdagen]]/Ruimtestaat[[#This Row],[Norm (m2/uur) werkdagen]],0)</f>
        <v>0</v>
      </c>
      <c r="X954" s="88">
        <f>Ruimtestaat[[#This Row],[uren / jaar werkdagen]]*Tariefsopbouw!$E$35</f>
        <v>0</v>
      </c>
      <c r="Y954" s="85"/>
      <c r="Z954" s="89">
        <f>IF(Ruimtestaat[[#This Row],[Frequentie weekend]]&gt;0,VALUE(LEFT(Y954,1))*R954,0)</f>
        <v>0</v>
      </c>
      <c r="AA954" s="85">
        <f>IF($Z954&gt;0,VLOOKUP($J954,Ruimtegroepen[],3,FALSE)*VLOOKUP($L954,Vloersoorten[],3,FALSE)*VLOOKUP($Y954,Frequenties[],3,FALSE)*VLOOKUP(#REF!,Locaties[],3,FALSE),0)</f>
        <v>0</v>
      </c>
      <c r="AB954" s="87">
        <f>Ruimtestaat[[#This Row],[Uitvoeringen weekend]]*Ruimtestaat[[#This Row],[Oppervlak (netto)]]</f>
        <v>0</v>
      </c>
      <c r="AC954" s="90">
        <f>IF(AB954&gt;0,Ruimtestaat[[#This Row],[Prest. (m2 /jaar) weekend]]/Ruimtestaat[[#This Row],[Norm (m2/uur) weekend]],0)</f>
        <v>0</v>
      </c>
      <c r="AD954" s="91">
        <f>Ruimtestaat[[#This Row],[uren / jaar weekend]]*Tariefsopbouw!$D$40</f>
        <v>0</v>
      </c>
      <c r="AE954" s="60">
        <f>Ruimtestaat[[#This Row],[Prest. (m2 /jaar) weekend]]+Ruimtestaat[[#This Row],[Prest. (m2 /jaar) werkdagen]]</f>
        <v>6352</v>
      </c>
      <c r="AF954" s="60">
        <f>Ruimtestaat[[#This Row],[uren / jaar weekend]]+Ruimtestaat[[#This Row],[uren / jaar werkdagen]]</f>
        <v>0</v>
      </c>
      <c r="AG954" s="61">
        <f>Ruimtestaat[[#This Row],[kosten / jaar weekend]]+Ruimtestaat[[#This Row],[kosten / jaar werkdagen]]</f>
        <v>0</v>
      </c>
      <c r="AH954" s="92"/>
      <c r="HL954" s="59"/>
    </row>
    <row r="955" spans="1:220">
      <c r="A955" s="24">
        <v>6</v>
      </c>
      <c r="B955" s="24" t="str">
        <f>VLOOKUP(Ruimtestaat[[#This Row],[Code]],Locaties[#All],2,FALSE)</f>
        <v>Marke Noord</v>
      </c>
      <c r="C955" s="24" t="str">
        <f>VLOOKUP(Ruimtestaat[[#This Row],[Code]],Locaties[#All],4,FALSE)</f>
        <v>Lebuïnuslaan 1</v>
      </c>
      <c r="D955" s="24" t="str">
        <f>VLOOKUP(Ruimtestaat[[#This Row],[Code]],Locaties[#All],5,FALSE)</f>
        <v>7415 DM</v>
      </c>
      <c r="E955" s="24" t="str">
        <f>VLOOKUP(Ruimtestaat[[#This Row],[Code]],Locaties[#All],6,FALSE)</f>
        <v>Deventer</v>
      </c>
      <c r="F955" s="54"/>
      <c r="G955" s="24" t="s">
        <v>367</v>
      </c>
      <c r="H955" s="24" t="s">
        <v>499</v>
      </c>
      <c r="I955" s="4" t="s">
        <v>487</v>
      </c>
      <c r="J955" s="24">
        <v>6</v>
      </c>
      <c r="K955" s="54" t="str">
        <f>VLOOKUP(J955,Ruimtegroepen[],2,FALSE)</f>
        <v>Gangen/hallen</v>
      </c>
      <c r="L955" s="24" t="s">
        <v>300</v>
      </c>
      <c r="M955" s="24" t="s">
        <v>909</v>
      </c>
      <c r="N955" s="83">
        <v>11.81</v>
      </c>
      <c r="O955" s="83"/>
      <c r="P955" s="93" t="str">
        <f>LEFT(VLOOKUP(Ruimtestaat[[#This Row],[Ruimte code]],Ruimtegroepen[#All],4,1),2)</f>
        <v>Ve</v>
      </c>
      <c r="Q955" s="93"/>
      <c r="R955" s="84">
        <v>40</v>
      </c>
      <c r="S955" s="84" t="s">
        <v>318</v>
      </c>
      <c r="T955" s="85">
        <f>IF(R955&gt;0,IF(RIGHT(Ruimtestaat[[#This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5" s="85">
        <f>IF(T955&gt;0,VLOOKUP($J955,Ruimtegroepen[],3,FALSE)*VLOOKUP($L955,Vloersoorten[],3,FALSE)*VLOOKUP($S955,Frequenties[],3,FALSE)*VLOOKUP($A955,Locaties[],3,FALSE),0)</f>
        <v>0</v>
      </c>
      <c r="V955" s="86">
        <f>Ruimtestaat[[#This Row],[Uitvoeringen werkdagen]]*Ruimtestaat[[#This Row],[Oppervlak (netto)]]</f>
        <v>2362</v>
      </c>
      <c r="W955" s="87">
        <f>IF(U955&gt;0,Ruimtestaat[[#This Row],[Prest. (m2 /jaar) werkdagen]]/Ruimtestaat[[#This Row],[Norm (m2/uur) werkdagen]],0)</f>
        <v>0</v>
      </c>
      <c r="X955" s="88">
        <f>Ruimtestaat[[#This Row],[uren / jaar werkdagen]]*Tariefsopbouw!$E$35</f>
        <v>0</v>
      </c>
      <c r="Y955" s="85"/>
      <c r="Z955" s="89">
        <f>IF(Ruimtestaat[[#This Row],[Frequentie weekend]]&gt;0,VALUE(LEFT(Y955,1))*R955,0)</f>
        <v>0</v>
      </c>
      <c r="AA955" s="85">
        <f>IF($Z955&gt;0,VLOOKUP($J955,Ruimtegroepen[],3,FALSE)*VLOOKUP($L955,Vloersoorten[],3,FALSE)*VLOOKUP($Y955,Frequenties[],3,FALSE)*VLOOKUP(#REF!,Locaties[],3,FALSE),0)</f>
        <v>0</v>
      </c>
      <c r="AB955" s="87">
        <f>Ruimtestaat[[#This Row],[Uitvoeringen weekend]]*Ruimtestaat[[#This Row],[Oppervlak (netto)]]</f>
        <v>0</v>
      </c>
      <c r="AC955" s="90">
        <f>IF(AB955&gt;0,Ruimtestaat[[#This Row],[Prest. (m2 /jaar) weekend]]/Ruimtestaat[[#This Row],[Norm (m2/uur) weekend]],0)</f>
        <v>0</v>
      </c>
      <c r="AD955" s="91">
        <f>Ruimtestaat[[#This Row],[uren / jaar weekend]]*Tariefsopbouw!$D$40</f>
        <v>0</v>
      </c>
      <c r="AE955" s="60">
        <f>Ruimtestaat[[#This Row],[Prest. (m2 /jaar) weekend]]+Ruimtestaat[[#This Row],[Prest. (m2 /jaar) werkdagen]]</f>
        <v>2362</v>
      </c>
      <c r="AF955" s="60">
        <f>Ruimtestaat[[#This Row],[uren / jaar weekend]]+Ruimtestaat[[#This Row],[uren / jaar werkdagen]]</f>
        <v>0</v>
      </c>
      <c r="AG955" s="61">
        <f>Ruimtestaat[[#This Row],[kosten / jaar weekend]]+Ruimtestaat[[#This Row],[kosten / jaar werkdagen]]</f>
        <v>0</v>
      </c>
      <c r="AH955" s="92"/>
      <c r="HL955" s="59"/>
    </row>
    <row r="956" spans="1:220">
      <c r="A956" s="24">
        <v>6</v>
      </c>
      <c r="B956" s="24" t="str">
        <f>VLOOKUP(Ruimtestaat[[#This Row],[Code]],Locaties[#All],2,FALSE)</f>
        <v>Marke Noord</v>
      </c>
      <c r="C956" s="24" t="str">
        <f>VLOOKUP(Ruimtestaat[[#This Row],[Code]],Locaties[#All],4,FALSE)</f>
        <v>Lebuïnuslaan 1</v>
      </c>
      <c r="D956" s="24" t="str">
        <f>VLOOKUP(Ruimtestaat[[#This Row],[Code]],Locaties[#All],5,FALSE)</f>
        <v>7415 DM</v>
      </c>
      <c r="E956" s="24" t="str">
        <f>VLOOKUP(Ruimtestaat[[#This Row],[Code]],Locaties[#All],6,FALSE)</f>
        <v>Deventer</v>
      </c>
      <c r="F956" s="54"/>
      <c r="G956" s="24" t="s">
        <v>367</v>
      </c>
      <c r="H956" s="24" t="s">
        <v>707</v>
      </c>
      <c r="I956" s="4" t="s">
        <v>103</v>
      </c>
      <c r="J956" s="24">
        <v>10</v>
      </c>
      <c r="K956" s="54" t="str">
        <f>VLOOKUP(J956,Ruimtegroepen[],2,FALSE)</f>
        <v>Trappenhuizen/lift</v>
      </c>
      <c r="L956" s="24" t="s">
        <v>300</v>
      </c>
      <c r="M956" s="24" t="s">
        <v>909</v>
      </c>
      <c r="N956" s="83">
        <v>2.94</v>
      </c>
      <c r="O956" s="83"/>
      <c r="P956" s="93" t="str">
        <f>LEFT(VLOOKUP(Ruimtestaat[[#This Row],[Ruimte code]],Ruimtegroepen[#All],4,1),2)</f>
        <v>Ve</v>
      </c>
      <c r="Q956" s="93"/>
      <c r="R956" s="84">
        <v>40</v>
      </c>
      <c r="S956" s="84" t="s">
        <v>318</v>
      </c>
      <c r="T956" s="85">
        <f>IF(R956&gt;0,IF(RIGHT(Ruimtestaat[[#This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6" s="85">
        <f>IF(T956&gt;0,VLOOKUP($J956,Ruimtegroepen[],3,FALSE)*VLOOKUP($L956,Vloersoorten[],3,FALSE)*VLOOKUP($S956,Frequenties[],3,FALSE)*VLOOKUP($A956,Locaties[],3,FALSE),0)</f>
        <v>0</v>
      </c>
      <c r="V956" s="86">
        <f>Ruimtestaat[[#This Row],[Uitvoeringen werkdagen]]*Ruimtestaat[[#This Row],[Oppervlak (netto)]]</f>
        <v>588</v>
      </c>
      <c r="W956" s="87">
        <f>IF(U956&gt;0,Ruimtestaat[[#This Row],[Prest. (m2 /jaar) werkdagen]]/Ruimtestaat[[#This Row],[Norm (m2/uur) werkdagen]],0)</f>
        <v>0</v>
      </c>
      <c r="X956" s="88">
        <f>Ruimtestaat[[#This Row],[uren / jaar werkdagen]]*Tariefsopbouw!$E$35</f>
        <v>0</v>
      </c>
      <c r="Y956" s="85"/>
      <c r="Z956" s="89">
        <f>IF(Ruimtestaat[[#This Row],[Frequentie weekend]]&gt;0,VALUE(LEFT(Y956,1))*R956,0)</f>
        <v>0</v>
      </c>
      <c r="AA956" s="85">
        <f>IF($Z956&gt;0,VLOOKUP($J956,Ruimtegroepen[],3,FALSE)*VLOOKUP($L956,Vloersoorten[],3,FALSE)*VLOOKUP($Y956,Frequenties[],3,FALSE)*VLOOKUP(#REF!,Locaties[],3,FALSE),0)</f>
        <v>0</v>
      </c>
      <c r="AB956" s="87">
        <f>Ruimtestaat[[#This Row],[Uitvoeringen weekend]]*Ruimtestaat[[#This Row],[Oppervlak (netto)]]</f>
        <v>0</v>
      </c>
      <c r="AC956" s="90">
        <f>IF(AB956&gt;0,Ruimtestaat[[#This Row],[Prest. (m2 /jaar) weekend]]/Ruimtestaat[[#This Row],[Norm (m2/uur) weekend]],0)</f>
        <v>0</v>
      </c>
      <c r="AD956" s="91">
        <f>Ruimtestaat[[#This Row],[uren / jaar weekend]]*Tariefsopbouw!$D$40</f>
        <v>0</v>
      </c>
      <c r="AE956" s="60">
        <f>Ruimtestaat[[#This Row],[Prest. (m2 /jaar) weekend]]+Ruimtestaat[[#This Row],[Prest. (m2 /jaar) werkdagen]]</f>
        <v>588</v>
      </c>
      <c r="AF956" s="60">
        <f>Ruimtestaat[[#This Row],[uren / jaar weekend]]+Ruimtestaat[[#This Row],[uren / jaar werkdagen]]</f>
        <v>0</v>
      </c>
      <c r="AG956" s="61">
        <f>Ruimtestaat[[#This Row],[kosten / jaar weekend]]+Ruimtestaat[[#This Row],[kosten / jaar werkdagen]]</f>
        <v>0</v>
      </c>
      <c r="AH956" s="92"/>
      <c r="HL956" s="59"/>
    </row>
    <row r="957" spans="1:220">
      <c r="A957" s="24">
        <v>6</v>
      </c>
      <c r="B957" s="24" t="str">
        <f>VLOOKUP(Ruimtestaat[[#This Row],[Code]],Locaties[#All],2,FALSE)</f>
        <v>Marke Noord</v>
      </c>
      <c r="C957" s="24" t="str">
        <f>VLOOKUP(Ruimtestaat[[#This Row],[Code]],Locaties[#All],4,FALSE)</f>
        <v>Lebuïnuslaan 1</v>
      </c>
      <c r="D957" s="24" t="str">
        <f>VLOOKUP(Ruimtestaat[[#This Row],[Code]],Locaties[#All],5,FALSE)</f>
        <v>7415 DM</v>
      </c>
      <c r="E957" s="24" t="str">
        <f>VLOOKUP(Ruimtestaat[[#This Row],[Code]],Locaties[#All],6,FALSE)</f>
        <v>Deventer</v>
      </c>
      <c r="F957" s="54"/>
      <c r="G957" s="24" t="s">
        <v>367</v>
      </c>
      <c r="H957" s="24" t="s">
        <v>1383</v>
      </c>
      <c r="I957" s="4" t="s">
        <v>1384</v>
      </c>
      <c r="J957" s="24">
        <v>6</v>
      </c>
      <c r="K957" s="54" t="str">
        <f>VLOOKUP(J957,Ruimtegroepen[],2,FALSE)</f>
        <v>Gangen/hallen</v>
      </c>
      <c r="L957" s="24" t="s">
        <v>300</v>
      </c>
      <c r="M957" s="24" t="s">
        <v>909</v>
      </c>
      <c r="N957" s="83">
        <v>404.92</v>
      </c>
      <c r="O957" s="83"/>
      <c r="P957" s="93" t="str">
        <f>LEFT(VLOOKUP(Ruimtestaat[[#This Row],[Ruimte code]],Ruimtegroepen[#All],4,1),2)</f>
        <v>Ve</v>
      </c>
      <c r="Q957" s="93"/>
      <c r="R957" s="84">
        <v>40</v>
      </c>
      <c r="S957" s="84" t="s">
        <v>318</v>
      </c>
      <c r="T957" s="85">
        <f>IF(R957&gt;0,IF(RIGHT(Ruimtestaat[[#This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7" s="85">
        <f>IF(T957&gt;0,VLOOKUP($J957,Ruimtegroepen[],3,FALSE)*VLOOKUP($L957,Vloersoorten[],3,FALSE)*VLOOKUP($S957,Frequenties[],3,FALSE)*VLOOKUP($A957,Locaties[],3,FALSE),0)</f>
        <v>0</v>
      </c>
      <c r="V957" s="86">
        <f>Ruimtestaat[[#This Row],[Uitvoeringen werkdagen]]*Ruimtestaat[[#This Row],[Oppervlak (netto)]]</f>
        <v>80984</v>
      </c>
      <c r="W957" s="87">
        <f>IF(U957&gt;0,Ruimtestaat[[#This Row],[Prest. (m2 /jaar) werkdagen]]/Ruimtestaat[[#This Row],[Norm (m2/uur) werkdagen]],0)</f>
        <v>0</v>
      </c>
      <c r="X957" s="88">
        <f>Ruimtestaat[[#This Row],[uren / jaar werkdagen]]*Tariefsopbouw!$E$35</f>
        <v>0</v>
      </c>
      <c r="Y957" s="85"/>
      <c r="Z957" s="89">
        <f>IF(Ruimtestaat[[#This Row],[Frequentie weekend]]&gt;0,VALUE(LEFT(Y957,1))*R957,0)</f>
        <v>0</v>
      </c>
      <c r="AA957" s="85">
        <f>IF($Z957&gt;0,VLOOKUP($J957,Ruimtegroepen[],3,FALSE)*VLOOKUP($L957,Vloersoorten[],3,FALSE)*VLOOKUP($Y957,Frequenties[],3,FALSE)*VLOOKUP(#REF!,Locaties[],3,FALSE),0)</f>
        <v>0</v>
      </c>
      <c r="AB957" s="87">
        <f>Ruimtestaat[[#This Row],[Uitvoeringen weekend]]*Ruimtestaat[[#This Row],[Oppervlak (netto)]]</f>
        <v>0</v>
      </c>
      <c r="AC957" s="90">
        <f>IF(AB957&gt;0,Ruimtestaat[[#This Row],[Prest. (m2 /jaar) weekend]]/Ruimtestaat[[#This Row],[Norm (m2/uur) weekend]],0)</f>
        <v>0</v>
      </c>
      <c r="AD957" s="91">
        <f>Ruimtestaat[[#This Row],[uren / jaar weekend]]*Tariefsopbouw!$D$40</f>
        <v>0</v>
      </c>
      <c r="AE957" s="60">
        <f>Ruimtestaat[[#This Row],[Prest. (m2 /jaar) weekend]]+Ruimtestaat[[#This Row],[Prest. (m2 /jaar) werkdagen]]</f>
        <v>80984</v>
      </c>
      <c r="AF957" s="60">
        <f>Ruimtestaat[[#This Row],[uren / jaar weekend]]+Ruimtestaat[[#This Row],[uren / jaar werkdagen]]</f>
        <v>0</v>
      </c>
      <c r="AG957" s="61">
        <f>Ruimtestaat[[#This Row],[kosten / jaar weekend]]+Ruimtestaat[[#This Row],[kosten / jaar werkdagen]]</f>
        <v>0</v>
      </c>
      <c r="AH957" s="92"/>
      <c r="HL957" s="59"/>
    </row>
    <row r="958" spans="1:220">
      <c r="A958" s="24">
        <v>6</v>
      </c>
      <c r="B958" s="24" t="str">
        <f>VLOOKUP(Ruimtestaat[[#This Row],[Code]],Locaties[#All],2,FALSE)</f>
        <v>Marke Noord</v>
      </c>
      <c r="C958" s="24" t="str">
        <f>VLOOKUP(Ruimtestaat[[#This Row],[Code]],Locaties[#All],4,FALSE)</f>
        <v>Lebuïnuslaan 1</v>
      </c>
      <c r="D958" s="24" t="str">
        <f>VLOOKUP(Ruimtestaat[[#This Row],[Code]],Locaties[#All],5,FALSE)</f>
        <v>7415 DM</v>
      </c>
      <c r="E958" s="24" t="str">
        <f>VLOOKUP(Ruimtestaat[[#This Row],[Code]],Locaties[#All],6,FALSE)</f>
        <v>Deventer</v>
      </c>
      <c r="F958" s="54"/>
      <c r="G958" s="24" t="s">
        <v>367</v>
      </c>
      <c r="H958" s="24" t="s">
        <v>1385</v>
      </c>
      <c r="I958" s="4" t="s">
        <v>716</v>
      </c>
      <c r="J958" s="24">
        <v>10</v>
      </c>
      <c r="K958" s="54" t="str">
        <f>VLOOKUP(J958,Ruimtegroepen[],2,FALSE)</f>
        <v>Trappenhuizen/lift</v>
      </c>
      <c r="L958" s="24" t="s">
        <v>300</v>
      </c>
      <c r="M958" s="24" t="s">
        <v>909</v>
      </c>
      <c r="N958" s="83">
        <v>12.61</v>
      </c>
      <c r="O958" s="83"/>
      <c r="P958" s="93" t="str">
        <f>LEFT(VLOOKUP(Ruimtestaat[[#This Row],[Ruimte code]],Ruimtegroepen[#All],4,1),2)</f>
        <v>Ve</v>
      </c>
      <c r="Q958" s="93"/>
      <c r="R958" s="84">
        <v>40</v>
      </c>
      <c r="S958" s="84" t="s">
        <v>318</v>
      </c>
      <c r="T958" s="85">
        <f>IF(R958&gt;0,IF(RIGHT(Ruimtestaat[[#This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8" s="85">
        <f>IF(T958&gt;0,VLOOKUP($J958,Ruimtegroepen[],3,FALSE)*VLOOKUP($L958,Vloersoorten[],3,FALSE)*VLOOKUP($S958,Frequenties[],3,FALSE)*VLOOKUP($A958,Locaties[],3,FALSE),0)</f>
        <v>0</v>
      </c>
      <c r="V958" s="86">
        <f>Ruimtestaat[[#This Row],[Uitvoeringen werkdagen]]*Ruimtestaat[[#This Row],[Oppervlak (netto)]]</f>
        <v>2522</v>
      </c>
      <c r="W958" s="87">
        <f>IF(U958&gt;0,Ruimtestaat[[#This Row],[Prest. (m2 /jaar) werkdagen]]/Ruimtestaat[[#This Row],[Norm (m2/uur) werkdagen]],0)</f>
        <v>0</v>
      </c>
      <c r="X958" s="88">
        <f>Ruimtestaat[[#This Row],[uren / jaar werkdagen]]*Tariefsopbouw!$E$35</f>
        <v>0</v>
      </c>
      <c r="Y958" s="85"/>
      <c r="Z958" s="89">
        <f>IF(Ruimtestaat[[#This Row],[Frequentie weekend]]&gt;0,VALUE(LEFT(Y958,1))*R958,0)</f>
        <v>0</v>
      </c>
      <c r="AA958" s="85">
        <f>IF($Z958&gt;0,VLOOKUP($J958,Ruimtegroepen[],3,FALSE)*VLOOKUP($L958,Vloersoorten[],3,FALSE)*VLOOKUP($Y958,Frequenties[],3,FALSE)*VLOOKUP(#REF!,Locaties[],3,FALSE),0)</f>
        <v>0</v>
      </c>
      <c r="AB958" s="87">
        <f>Ruimtestaat[[#This Row],[Uitvoeringen weekend]]*Ruimtestaat[[#This Row],[Oppervlak (netto)]]</f>
        <v>0</v>
      </c>
      <c r="AC958" s="90">
        <f>IF(AB958&gt;0,Ruimtestaat[[#This Row],[Prest. (m2 /jaar) weekend]]/Ruimtestaat[[#This Row],[Norm (m2/uur) weekend]],0)</f>
        <v>0</v>
      </c>
      <c r="AD958" s="91">
        <f>Ruimtestaat[[#This Row],[uren / jaar weekend]]*Tariefsopbouw!$D$40</f>
        <v>0</v>
      </c>
      <c r="AE958" s="60">
        <f>Ruimtestaat[[#This Row],[Prest. (m2 /jaar) weekend]]+Ruimtestaat[[#This Row],[Prest. (m2 /jaar) werkdagen]]</f>
        <v>2522</v>
      </c>
      <c r="AF958" s="60">
        <f>Ruimtestaat[[#This Row],[uren / jaar weekend]]+Ruimtestaat[[#This Row],[uren / jaar werkdagen]]</f>
        <v>0</v>
      </c>
      <c r="AG958" s="61">
        <f>Ruimtestaat[[#This Row],[kosten / jaar weekend]]+Ruimtestaat[[#This Row],[kosten / jaar werkdagen]]</f>
        <v>0</v>
      </c>
      <c r="AH958" s="92"/>
      <c r="HL958" s="59"/>
    </row>
    <row r="959" spans="1:220">
      <c r="A959" s="24">
        <v>6</v>
      </c>
      <c r="B959" s="24" t="str">
        <f>VLOOKUP(Ruimtestaat[[#This Row],[Code]],Locaties[#All],2,FALSE)</f>
        <v>Marke Noord</v>
      </c>
      <c r="C959" s="24" t="str">
        <f>VLOOKUP(Ruimtestaat[[#This Row],[Code]],Locaties[#All],4,FALSE)</f>
        <v>Lebuïnuslaan 1</v>
      </c>
      <c r="D959" s="24" t="str">
        <f>VLOOKUP(Ruimtestaat[[#This Row],[Code]],Locaties[#All],5,FALSE)</f>
        <v>7415 DM</v>
      </c>
      <c r="E959" s="24" t="str">
        <f>VLOOKUP(Ruimtestaat[[#This Row],[Code]],Locaties[#All],6,FALSE)</f>
        <v>Deventer</v>
      </c>
      <c r="F959" s="54"/>
      <c r="G959" s="24" t="s">
        <v>367</v>
      </c>
      <c r="H959" s="24" t="s">
        <v>504</v>
      </c>
      <c r="I959" s="4" t="s">
        <v>716</v>
      </c>
      <c r="J959" s="24">
        <v>10</v>
      </c>
      <c r="K959" s="54" t="str">
        <f>VLOOKUP(J959,Ruimtegroepen[],2,FALSE)</f>
        <v>Trappenhuizen/lift</v>
      </c>
      <c r="L959" s="24" t="s">
        <v>300</v>
      </c>
      <c r="M959" s="24" t="s">
        <v>909</v>
      </c>
      <c r="N959" s="83">
        <v>87.46</v>
      </c>
      <c r="O959" s="83"/>
      <c r="P959" s="93" t="str">
        <f>LEFT(VLOOKUP(Ruimtestaat[[#This Row],[Ruimte code]],Ruimtegroepen[#All],4,1),2)</f>
        <v>Ve</v>
      </c>
      <c r="Q959" s="93"/>
      <c r="R959" s="84">
        <v>40</v>
      </c>
      <c r="S959" s="84" t="s">
        <v>318</v>
      </c>
      <c r="T959" s="85">
        <f>IF(R959&gt;0,IF(RIGHT(Ruimtestaat[[#This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9" s="85">
        <f>IF(T959&gt;0,VLOOKUP($J959,Ruimtegroepen[],3,FALSE)*VLOOKUP($L959,Vloersoorten[],3,FALSE)*VLOOKUP($S959,Frequenties[],3,FALSE)*VLOOKUP($A959,Locaties[],3,FALSE),0)</f>
        <v>0</v>
      </c>
      <c r="V959" s="86">
        <f>Ruimtestaat[[#This Row],[Uitvoeringen werkdagen]]*Ruimtestaat[[#This Row],[Oppervlak (netto)]]</f>
        <v>17492</v>
      </c>
      <c r="W959" s="87">
        <f>IF(U959&gt;0,Ruimtestaat[[#This Row],[Prest. (m2 /jaar) werkdagen]]/Ruimtestaat[[#This Row],[Norm (m2/uur) werkdagen]],0)</f>
        <v>0</v>
      </c>
      <c r="X959" s="88">
        <f>Ruimtestaat[[#This Row],[uren / jaar werkdagen]]*Tariefsopbouw!$E$35</f>
        <v>0</v>
      </c>
      <c r="Y959" s="85"/>
      <c r="Z959" s="89">
        <f>IF(Ruimtestaat[[#This Row],[Frequentie weekend]]&gt;0,VALUE(LEFT(Y959,1))*R959,0)</f>
        <v>0</v>
      </c>
      <c r="AA959" s="85">
        <f>IF($Z959&gt;0,VLOOKUP($J959,Ruimtegroepen[],3,FALSE)*VLOOKUP($L959,Vloersoorten[],3,FALSE)*VLOOKUP($Y959,Frequenties[],3,FALSE)*VLOOKUP(#REF!,Locaties[],3,FALSE),0)</f>
        <v>0</v>
      </c>
      <c r="AB959" s="87">
        <f>Ruimtestaat[[#This Row],[Uitvoeringen weekend]]*Ruimtestaat[[#This Row],[Oppervlak (netto)]]</f>
        <v>0</v>
      </c>
      <c r="AC959" s="90">
        <f>IF(AB959&gt;0,Ruimtestaat[[#This Row],[Prest. (m2 /jaar) weekend]]/Ruimtestaat[[#This Row],[Norm (m2/uur) weekend]],0)</f>
        <v>0</v>
      </c>
      <c r="AD959" s="91">
        <f>Ruimtestaat[[#This Row],[uren / jaar weekend]]*Tariefsopbouw!$D$40</f>
        <v>0</v>
      </c>
      <c r="AE959" s="60">
        <f>Ruimtestaat[[#This Row],[Prest. (m2 /jaar) weekend]]+Ruimtestaat[[#This Row],[Prest. (m2 /jaar) werkdagen]]</f>
        <v>17492</v>
      </c>
      <c r="AF959" s="60">
        <f>Ruimtestaat[[#This Row],[uren / jaar weekend]]+Ruimtestaat[[#This Row],[uren / jaar werkdagen]]</f>
        <v>0</v>
      </c>
      <c r="AG959" s="61">
        <f>Ruimtestaat[[#This Row],[kosten / jaar weekend]]+Ruimtestaat[[#This Row],[kosten / jaar werkdagen]]</f>
        <v>0</v>
      </c>
      <c r="AH959" s="92"/>
      <c r="HL959" s="59"/>
    </row>
    <row r="960" spans="1:220">
      <c r="A960" s="24">
        <v>6</v>
      </c>
      <c r="B960" s="24" t="str">
        <f>VLOOKUP(Ruimtestaat[[#This Row],[Code]],Locaties[#All],2,FALSE)</f>
        <v>Marke Noord</v>
      </c>
      <c r="C960" s="24" t="str">
        <f>VLOOKUP(Ruimtestaat[[#This Row],[Code]],Locaties[#All],4,FALSE)</f>
        <v>Lebuïnuslaan 1</v>
      </c>
      <c r="D960" s="24" t="str">
        <f>VLOOKUP(Ruimtestaat[[#This Row],[Code]],Locaties[#All],5,FALSE)</f>
        <v>7415 DM</v>
      </c>
      <c r="E960" s="24" t="str">
        <f>VLOOKUP(Ruimtestaat[[#This Row],[Code]],Locaties[#All],6,FALSE)</f>
        <v>Deventer</v>
      </c>
      <c r="F960" s="54"/>
      <c r="G960" s="24" t="s">
        <v>367</v>
      </c>
      <c r="H960" s="24" t="s">
        <v>1386</v>
      </c>
      <c r="I960" s="4" t="s">
        <v>1387</v>
      </c>
      <c r="J960" s="24">
        <v>22</v>
      </c>
      <c r="K960" s="54" t="str">
        <f>VLOOKUP(J960,Ruimtegroepen[],2,FALSE)</f>
        <v>Niet in onderhoud</v>
      </c>
      <c r="L960" s="24" t="s">
        <v>300</v>
      </c>
      <c r="M960" s="24" t="s">
        <v>909</v>
      </c>
      <c r="N960" s="83"/>
      <c r="O960" s="83">
        <v>1.41</v>
      </c>
      <c r="P960" s="93" t="str">
        <f>LEFT(VLOOKUP(Ruimtestaat[[#This Row],[Ruimte code]],Ruimtegroepen[#All],4,1),2)</f>
        <v/>
      </c>
      <c r="Q960" s="93"/>
      <c r="R960" s="84"/>
      <c r="S960" s="84"/>
      <c r="T960" s="85">
        <f>IF(R960&gt;0,IF(RIGHT(Ruimtestaat[[#This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0" s="85">
        <f>IF(T960&gt;0,VLOOKUP($J960,Ruimtegroepen[],3,FALSE)*VLOOKUP($L960,Vloersoorten[],3,FALSE)*VLOOKUP($S960,Frequenties[],3,FALSE)*VLOOKUP($A960,Locaties[],3,FALSE),0)</f>
        <v>0</v>
      </c>
      <c r="V960" s="86">
        <f>Ruimtestaat[[#This Row],[Uitvoeringen werkdagen]]*Ruimtestaat[[#This Row],[Oppervlak (netto)]]</f>
        <v>0</v>
      </c>
      <c r="W960" s="87">
        <f>IF(U960&gt;0,Ruimtestaat[[#This Row],[Prest. (m2 /jaar) werkdagen]]/Ruimtestaat[[#This Row],[Norm (m2/uur) werkdagen]],0)</f>
        <v>0</v>
      </c>
      <c r="X960" s="88">
        <f>Ruimtestaat[[#This Row],[uren / jaar werkdagen]]*Tariefsopbouw!$E$35</f>
        <v>0</v>
      </c>
      <c r="Y960" s="85"/>
      <c r="Z960" s="89">
        <f>IF(Ruimtestaat[[#This Row],[Frequentie weekend]]&gt;0,VALUE(LEFT(Y960,1))*R960,0)</f>
        <v>0</v>
      </c>
      <c r="AA960" s="85">
        <f>IF($Z960&gt;0,VLOOKUP($J960,Ruimtegroepen[],3,FALSE)*VLOOKUP($L960,Vloersoorten[],3,FALSE)*VLOOKUP($Y960,Frequenties[],3,FALSE)*VLOOKUP(#REF!,Locaties[],3,FALSE),0)</f>
        <v>0</v>
      </c>
      <c r="AB960" s="87">
        <f>Ruimtestaat[[#This Row],[Uitvoeringen weekend]]*Ruimtestaat[[#This Row],[Oppervlak (netto)]]</f>
        <v>0</v>
      </c>
      <c r="AC960" s="90">
        <f>IF(AB960&gt;0,Ruimtestaat[[#This Row],[Prest. (m2 /jaar) weekend]]/Ruimtestaat[[#This Row],[Norm (m2/uur) weekend]],0)</f>
        <v>0</v>
      </c>
      <c r="AD960" s="91">
        <f>Ruimtestaat[[#This Row],[uren / jaar weekend]]*Tariefsopbouw!$D$40</f>
        <v>0</v>
      </c>
      <c r="AE960" s="60">
        <f>Ruimtestaat[[#This Row],[Prest. (m2 /jaar) weekend]]+Ruimtestaat[[#This Row],[Prest. (m2 /jaar) werkdagen]]</f>
        <v>0</v>
      </c>
      <c r="AF960" s="60">
        <f>Ruimtestaat[[#This Row],[uren / jaar weekend]]+Ruimtestaat[[#This Row],[uren / jaar werkdagen]]</f>
        <v>0</v>
      </c>
      <c r="AG960" s="61">
        <f>Ruimtestaat[[#This Row],[kosten / jaar weekend]]+Ruimtestaat[[#This Row],[kosten / jaar werkdagen]]</f>
        <v>0</v>
      </c>
      <c r="AH960" s="92"/>
      <c r="HL960" s="59"/>
    </row>
    <row r="961" spans="1:220">
      <c r="A961" s="24">
        <v>6</v>
      </c>
      <c r="B961" s="24" t="str">
        <f>VLOOKUP(Ruimtestaat[[#This Row],[Code]],Locaties[#All],2,FALSE)</f>
        <v>Marke Noord</v>
      </c>
      <c r="C961" s="24" t="str">
        <f>VLOOKUP(Ruimtestaat[[#This Row],[Code]],Locaties[#All],4,FALSE)</f>
        <v>Lebuïnuslaan 1</v>
      </c>
      <c r="D961" s="24" t="str">
        <f>VLOOKUP(Ruimtestaat[[#This Row],[Code]],Locaties[#All],5,FALSE)</f>
        <v>7415 DM</v>
      </c>
      <c r="E961" s="24" t="str">
        <f>VLOOKUP(Ruimtestaat[[#This Row],[Code]],Locaties[#All],6,FALSE)</f>
        <v>Deventer</v>
      </c>
      <c r="F961" s="54"/>
      <c r="G961" s="24" t="s">
        <v>367</v>
      </c>
      <c r="H961" s="24" t="s">
        <v>505</v>
      </c>
      <c r="I961" s="4" t="s">
        <v>716</v>
      </c>
      <c r="J961" s="24">
        <v>10</v>
      </c>
      <c r="K961" s="54" t="str">
        <f>VLOOKUP(J961,Ruimtegroepen[],2,FALSE)</f>
        <v>Trappenhuizen/lift</v>
      </c>
      <c r="L961" s="24" t="s">
        <v>300</v>
      </c>
      <c r="M961" s="24" t="s">
        <v>909</v>
      </c>
      <c r="N961" s="83">
        <v>98.32</v>
      </c>
      <c r="O961" s="83"/>
      <c r="P961" s="93" t="str">
        <f>LEFT(VLOOKUP(Ruimtestaat[[#This Row],[Ruimte code]],Ruimtegroepen[#All],4,1),2)</f>
        <v>Ve</v>
      </c>
      <c r="Q961" s="93"/>
      <c r="R961" s="84">
        <v>40</v>
      </c>
      <c r="S961" s="84" t="s">
        <v>318</v>
      </c>
      <c r="T961" s="85">
        <f>IF(R961&gt;0,IF(RIGHT(Ruimtestaat[[#This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1" s="85">
        <f>IF(T961&gt;0,VLOOKUP($J961,Ruimtegroepen[],3,FALSE)*VLOOKUP($L961,Vloersoorten[],3,FALSE)*VLOOKUP($S961,Frequenties[],3,FALSE)*VLOOKUP($A961,Locaties[],3,FALSE),0)</f>
        <v>0</v>
      </c>
      <c r="V961" s="86">
        <f>Ruimtestaat[[#This Row],[Uitvoeringen werkdagen]]*Ruimtestaat[[#This Row],[Oppervlak (netto)]]</f>
        <v>19664</v>
      </c>
      <c r="W961" s="87">
        <f>IF(U961&gt;0,Ruimtestaat[[#This Row],[Prest. (m2 /jaar) werkdagen]]/Ruimtestaat[[#This Row],[Norm (m2/uur) werkdagen]],0)</f>
        <v>0</v>
      </c>
      <c r="X961" s="88">
        <f>Ruimtestaat[[#This Row],[uren / jaar werkdagen]]*Tariefsopbouw!$E$35</f>
        <v>0</v>
      </c>
      <c r="Y961" s="85"/>
      <c r="Z961" s="89">
        <f>IF(Ruimtestaat[[#This Row],[Frequentie weekend]]&gt;0,VALUE(LEFT(Y961,1))*R961,0)</f>
        <v>0</v>
      </c>
      <c r="AA961" s="85">
        <f>IF($Z961&gt;0,VLOOKUP($J961,Ruimtegroepen[],3,FALSE)*VLOOKUP($L961,Vloersoorten[],3,FALSE)*VLOOKUP($Y961,Frequenties[],3,FALSE)*VLOOKUP(#REF!,Locaties[],3,FALSE),0)</f>
        <v>0</v>
      </c>
      <c r="AB961" s="87">
        <f>Ruimtestaat[[#This Row],[Uitvoeringen weekend]]*Ruimtestaat[[#This Row],[Oppervlak (netto)]]</f>
        <v>0</v>
      </c>
      <c r="AC961" s="90">
        <f>IF(AB961&gt;0,Ruimtestaat[[#This Row],[Prest. (m2 /jaar) weekend]]/Ruimtestaat[[#This Row],[Norm (m2/uur) weekend]],0)</f>
        <v>0</v>
      </c>
      <c r="AD961" s="91">
        <f>Ruimtestaat[[#This Row],[uren / jaar weekend]]*Tariefsopbouw!$D$40</f>
        <v>0</v>
      </c>
      <c r="AE961" s="60">
        <f>Ruimtestaat[[#This Row],[Prest. (m2 /jaar) weekend]]+Ruimtestaat[[#This Row],[Prest. (m2 /jaar) werkdagen]]</f>
        <v>19664</v>
      </c>
      <c r="AF961" s="60">
        <f>Ruimtestaat[[#This Row],[uren / jaar weekend]]+Ruimtestaat[[#This Row],[uren / jaar werkdagen]]</f>
        <v>0</v>
      </c>
      <c r="AG961" s="61">
        <f>Ruimtestaat[[#This Row],[kosten / jaar weekend]]+Ruimtestaat[[#This Row],[kosten / jaar werkdagen]]</f>
        <v>0</v>
      </c>
      <c r="AH961" s="92"/>
      <c r="HL961" s="59"/>
    </row>
    <row r="962" spans="1:220">
      <c r="A962" s="24">
        <v>6</v>
      </c>
      <c r="B962" s="24" t="str">
        <f>VLOOKUP(Ruimtestaat[[#This Row],[Code]],Locaties[#All],2,FALSE)</f>
        <v>Marke Noord</v>
      </c>
      <c r="C962" s="24" t="str">
        <f>VLOOKUP(Ruimtestaat[[#This Row],[Code]],Locaties[#All],4,FALSE)</f>
        <v>Lebuïnuslaan 1</v>
      </c>
      <c r="D962" s="24" t="str">
        <f>VLOOKUP(Ruimtestaat[[#This Row],[Code]],Locaties[#All],5,FALSE)</f>
        <v>7415 DM</v>
      </c>
      <c r="E962" s="24" t="str">
        <f>VLOOKUP(Ruimtestaat[[#This Row],[Code]],Locaties[#All],6,FALSE)</f>
        <v>Deventer</v>
      </c>
      <c r="F962" s="54"/>
      <c r="G962" s="24" t="s">
        <v>367</v>
      </c>
      <c r="H962" s="24" t="s">
        <v>1388</v>
      </c>
      <c r="I962" s="4" t="s">
        <v>1389</v>
      </c>
      <c r="J962" s="24">
        <v>22</v>
      </c>
      <c r="K962" s="54" t="str">
        <f>VLOOKUP(J962,Ruimtegroepen[],2,FALSE)</f>
        <v>Niet in onderhoud</v>
      </c>
      <c r="L962" s="24" t="s">
        <v>300</v>
      </c>
      <c r="M962" s="24" t="s">
        <v>909</v>
      </c>
      <c r="N962" s="83"/>
      <c r="O962" s="83">
        <v>2.5499999999999998</v>
      </c>
      <c r="P962" s="93" t="str">
        <f>LEFT(VLOOKUP(Ruimtestaat[[#This Row],[Ruimte code]],Ruimtegroepen[#All],4,1),2)</f>
        <v/>
      </c>
      <c r="Q962" s="93"/>
      <c r="R962" s="84"/>
      <c r="S962" s="84"/>
      <c r="T962" s="85">
        <f>IF(R962&gt;0,IF(RIGHT(Ruimtestaat[[#This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2" s="85">
        <f>IF(T962&gt;0,VLOOKUP($J962,Ruimtegroepen[],3,FALSE)*VLOOKUP($L962,Vloersoorten[],3,FALSE)*VLOOKUP($S962,Frequenties[],3,FALSE)*VLOOKUP($A962,Locaties[],3,FALSE),0)</f>
        <v>0</v>
      </c>
      <c r="V962" s="86">
        <f>Ruimtestaat[[#This Row],[Uitvoeringen werkdagen]]*Ruimtestaat[[#This Row],[Oppervlak (netto)]]</f>
        <v>0</v>
      </c>
      <c r="W962" s="87">
        <f>IF(U962&gt;0,Ruimtestaat[[#This Row],[Prest. (m2 /jaar) werkdagen]]/Ruimtestaat[[#This Row],[Norm (m2/uur) werkdagen]],0)</f>
        <v>0</v>
      </c>
      <c r="X962" s="88">
        <f>Ruimtestaat[[#This Row],[uren / jaar werkdagen]]*Tariefsopbouw!$E$35</f>
        <v>0</v>
      </c>
      <c r="Y962" s="85"/>
      <c r="Z962" s="89">
        <f>IF(Ruimtestaat[[#This Row],[Frequentie weekend]]&gt;0,VALUE(LEFT(Y962,1))*R962,0)</f>
        <v>0</v>
      </c>
      <c r="AA962" s="85">
        <f>IF($Z962&gt;0,VLOOKUP($J962,Ruimtegroepen[],3,FALSE)*VLOOKUP($L962,Vloersoorten[],3,FALSE)*VLOOKUP($Y962,Frequenties[],3,FALSE)*VLOOKUP(#REF!,Locaties[],3,FALSE),0)</f>
        <v>0</v>
      </c>
      <c r="AB962" s="87">
        <f>Ruimtestaat[[#This Row],[Uitvoeringen weekend]]*Ruimtestaat[[#This Row],[Oppervlak (netto)]]</f>
        <v>0</v>
      </c>
      <c r="AC962" s="90">
        <f>IF(AB962&gt;0,Ruimtestaat[[#This Row],[Prest. (m2 /jaar) weekend]]/Ruimtestaat[[#This Row],[Norm (m2/uur) weekend]],0)</f>
        <v>0</v>
      </c>
      <c r="AD962" s="91">
        <f>Ruimtestaat[[#This Row],[uren / jaar weekend]]*Tariefsopbouw!$D$40</f>
        <v>0</v>
      </c>
      <c r="AE962" s="60">
        <f>Ruimtestaat[[#This Row],[Prest. (m2 /jaar) weekend]]+Ruimtestaat[[#This Row],[Prest. (m2 /jaar) werkdagen]]</f>
        <v>0</v>
      </c>
      <c r="AF962" s="60">
        <f>Ruimtestaat[[#This Row],[uren / jaar weekend]]+Ruimtestaat[[#This Row],[uren / jaar werkdagen]]</f>
        <v>0</v>
      </c>
      <c r="AG962" s="61">
        <f>Ruimtestaat[[#This Row],[kosten / jaar weekend]]+Ruimtestaat[[#This Row],[kosten / jaar werkdagen]]</f>
        <v>0</v>
      </c>
      <c r="AH962" s="92"/>
      <c r="HL962" s="59"/>
    </row>
    <row r="963" spans="1:220">
      <c r="A963" s="24">
        <v>6</v>
      </c>
      <c r="B963" s="24" t="str">
        <f>VLOOKUP(Ruimtestaat[[#This Row],[Code]],Locaties[#All],2,FALSE)</f>
        <v>Marke Noord</v>
      </c>
      <c r="C963" s="24" t="str">
        <f>VLOOKUP(Ruimtestaat[[#This Row],[Code]],Locaties[#All],4,FALSE)</f>
        <v>Lebuïnuslaan 1</v>
      </c>
      <c r="D963" s="24" t="str">
        <f>VLOOKUP(Ruimtestaat[[#This Row],[Code]],Locaties[#All],5,FALSE)</f>
        <v>7415 DM</v>
      </c>
      <c r="E963" s="24" t="str">
        <f>VLOOKUP(Ruimtestaat[[#This Row],[Code]],Locaties[#All],6,FALSE)</f>
        <v>Deventer</v>
      </c>
      <c r="F963" s="54"/>
      <c r="G963" s="24" t="s">
        <v>367</v>
      </c>
      <c r="H963" s="24" t="s">
        <v>506</v>
      </c>
      <c r="I963" s="4" t="s">
        <v>716</v>
      </c>
      <c r="J963" s="24">
        <v>10</v>
      </c>
      <c r="K963" s="54" t="str">
        <f>VLOOKUP(J963,Ruimtegroepen[],2,FALSE)</f>
        <v>Trappenhuizen/lift</v>
      </c>
      <c r="L963" s="24" t="s">
        <v>300</v>
      </c>
      <c r="M963" s="24" t="s">
        <v>909</v>
      </c>
      <c r="N963" s="83">
        <v>41.89</v>
      </c>
      <c r="O963" s="83"/>
      <c r="P963" s="93" t="str">
        <f>LEFT(VLOOKUP(Ruimtestaat[[#This Row],[Ruimte code]],Ruimtegroepen[#All],4,1),2)</f>
        <v>Ve</v>
      </c>
      <c r="Q963" s="93"/>
      <c r="R963" s="84">
        <v>40</v>
      </c>
      <c r="S963" s="84" t="s">
        <v>318</v>
      </c>
      <c r="T963" s="85">
        <f>IF(R963&gt;0,IF(RIGHT(Ruimtestaat[[#This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3" s="85">
        <f>IF(T963&gt;0,VLOOKUP($J963,Ruimtegroepen[],3,FALSE)*VLOOKUP($L963,Vloersoorten[],3,FALSE)*VLOOKUP($S963,Frequenties[],3,FALSE)*VLOOKUP($A963,Locaties[],3,FALSE),0)</f>
        <v>0</v>
      </c>
      <c r="V963" s="86">
        <f>Ruimtestaat[[#This Row],[Uitvoeringen werkdagen]]*Ruimtestaat[[#This Row],[Oppervlak (netto)]]</f>
        <v>8378</v>
      </c>
      <c r="W963" s="87">
        <f>IF(U963&gt;0,Ruimtestaat[[#This Row],[Prest. (m2 /jaar) werkdagen]]/Ruimtestaat[[#This Row],[Norm (m2/uur) werkdagen]],0)</f>
        <v>0</v>
      </c>
      <c r="X963" s="88">
        <f>Ruimtestaat[[#This Row],[uren / jaar werkdagen]]*Tariefsopbouw!$E$35</f>
        <v>0</v>
      </c>
      <c r="Y963" s="85"/>
      <c r="Z963" s="89">
        <f>IF(Ruimtestaat[[#This Row],[Frequentie weekend]]&gt;0,VALUE(LEFT(Y963,1))*R963,0)</f>
        <v>0</v>
      </c>
      <c r="AA963" s="85">
        <f>IF($Z963&gt;0,VLOOKUP($J963,Ruimtegroepen[],3,FALSE)*VLOOKUP($L963,Vloersoorten[],3,FALSE)*VLOOKUP($Y963,Frequenties[],3,FALSE)*VLOOKUP(#REF!,Locaties[],3,FALSE),0)</f>
        <v>0</v>
      </c>
      <c r="AB963" s="87">
        <f>Ruimtestaat[[#This Row],[Uitvoeringen weekend]]*Ruimtestaat[[#This Row],[Oppervlak (netto)]]</f>
        <v>0</v>
      </c>
      <c r="AC963" s="90">
        <f>IF(AB963&gt;0,Ruimtestaat[[#This Row],[Prest. (m2 /jaar) weekend]]/Ruimtestaat[[#This Row],[Norm (m2/uur) weekend]],0)</f>
        <v>0</v>
      </c>
      <c r="AD963" s="91">
        <f>Ruimtestaat[[#This Row],[uren / jaar weekend]]*Tariefsopbouw!$D$40</f>
        <v>0</v>
      </c>
      <c r="AE963" s="60">
        <f>Ruimtestaat[[#This Row],[Prest. (m2 /jaar) weekend]]+Ruimtestaat[[#This Row],[Prest. (m2 /jaar) werkdagen]]</f>
        <v>8378</v>
      </c>
      <c r="AF963" s="60">
        <f>Ruimtestaat[[#This Row],[uren / jaar weekend]]+Ruimtestaat[[#This Row],[uren / jaar werkdagen]]</f>
        <v>0</v>
      </c>
      <c r="AG963" s="61">
        <f>Ruimtestaat[[#This Row],[kosten / jaar weekend]]+Ruimtestaat[[#This Row],[kosten / jaar werkdagen]]</f>
        <v>0</v>
      </c>
      <c r="AH963" s="92"/>
      <c r="HL963" s="59"/>
    </row>
    <row r="964" spans="1:220">
      <c r="A964" s="24">
        <v>6</v>
      </c>
      <c r="B964" s="24" t="str">
        <f>VLOOKUP(Ruimtestaat[[#This Row],[Code]],Locaties[#All],2,FALSE)</f>
        <v>Marke Noord</v>
      </c>
      <c r="C964" s="24" t="str">
        <f>VLOOKUP(Ruimtestaat[[#This Row],[Code]],Locaties[#All],4,FALSE)</f>
        <v>Lebuïnuslaan 1</v>
      </c>
      <c r="D964" s="24" t="str">
        <f>VLOOKUP(Ruimtestaat[[#This Row],[Code]],Locaties[#All],5,FALSE)</f>
        <v>7415 DM</v>
      </c>
      <c r="E964" s="24" t="str">
        <f>VLOOKUP(Ruimtestaat[[#This Row],[Code]],Locaties[#All],6,FALSE)</f>
        <v>Deventer</v>
      </c>
      <c r="F964" s="54"/>
      <c r="G964" s="24" t="s">
        <v>367</v>
      </c>
      <c r="H964" s="24" t="s">
        <v>509</v>
      </c>
      <c r="I964" s="4" t="s">
        <v>716</v>
      </c>
      <c r="J964" s="24">
        <v>10</v>
      </c>
      <c r="K964" s="54" t="str">
        <f>VLOOKUP(J964,Ruimtegroepen[],2,FALSE)</f>
        <v>Trappenhuizen/lift</v>
      </c>
      <c r="L964" s="24" t="s">
        <v>300</v>
      </c>
      <c r="M964" s="24" t="s">
        <v>909</v>
      </c>
      <c r="N964" s="83">
        <v>18.55</v>
      </c>
      <c r="O964" s="83"/>
      <c r="P964" s="93" t="str">
        <f>LEFT(VLOOKUP(Ruimtestaat[[#This Row],[Ruimte code]],Ruimtegroepen[#All],4,1),2)</f>
        <v>Ve</v>
      </c>
      <c r="Q964" s="93"/>
      <c r="R964" s="84">
        <v>40</v>
      </c>
      <c r="S964" s="84" t="s">
        <v>318</v>
      </c>
      <c r="T964" s="85">
        <f>IF(R964&gt;0,IF(RIGHT(Ruimtestaat[[#This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4" s="85">
        <f>IF(T964&gt;0,VLOOKUP($J964,Ruimtegroepen[],3,FALSE)*VLOOKUP($L964,Vloersoorten[],3,FALSE)*VLOOKUP($S964,Frequenties[],3,FALSE)*VLOOKUP($A964,Locaties[],3,FALSE),0)</f>
        <v>0</v>
      </c>
      <c r="V964" s="86">
        <f>Ruimtestaat[[#This Row],[Uitvoeringen werkdagen]]*Ruimtestaat[[#This Row],[Oppervlak (netto)]]</f>
        <v>3710</v>
      </c>
      <c r="W964" s="87">
        <f>IF(U964&gt;0,Ruimtestaat[[#This Row],[Prest. (m2 /jaar) werkdagen]]/Ruimtestaat[[#This Row],[Norm (m2/uur) werkdagen]],0)</f>
        <v>0</v>
      </c>
      <c r="X964" s="88">
        <f>Ruimtestaat[[#This Row],[uren / jaar werkdagen]]*Tariefsopbouw!$E$35</f>
        <v>0</v>
      </c>
      <c r="Y964" s="85"/>
      <c r="Z964" s="89">
        <f>IF(Ruimtestaat[[#This Row],[Frequentie weekend]]&gt;0,VALUE(LEFT(Y964,1))*R964,0)</f>
        <v>0</v>
      </c>
      <c r="AA964" s="85">
        <f>IF($Z964&gt;0,VLOOKUP($J964,Ruimtegroepen[],3,FALSE)*VLOOKUP($L964,Vloersoorten[],3,FALSE)*VLOOKUP($Y964,Frequenties[],3,FALSE)*VLOOKUP(#REF!,Locaties[],3,FALSE),0)</f>
        <v>0</v>
      </c>
      <c r="AB964" s="87">
        <f>Ruimtestaat[[#This Row],[Uitvoeringen weekend]]*Ruimtestaat[[#This Row],[Oppervlak (netto)]]</f>
        <v>0</v>
      </c>
      <c r="AC964" s="90">
        <f>IF(AB964&gt;0,Ruimtestaat[[#This Row],[Prest. (m2 /jaar) weekend]]/Ruimtestaat[[#This Row],[Norm (m2/uur) weekend]],0)</f>
        <v>0</v>
      </c>
      <c r="AD964" s="91">
        <f>Ruimtestaat[[#This Row],[uren / jaar weekend]]*Tariefsopbouw!$D$40</f>
        <v>0</v>
      </c>
      <c r="AE964" s="60">
        <f>Ruimtestaat[[#This Row],[Prest. (m2 /jaar) weekend]]+Ruimtestaat[[#This Row],[Prest. (m2 /jaar) werkdagen]]</f>
        <v>3710</v>
      </c>
      <c r="AF964" s="60">
        <f>Ruimtestaat[[#This Row],[uren / jaar weekend]]+Ruimtestaat[[#This Row],[uren / jaar werkdagen]]</f>
        <v>0</v>
      </c>
      <c r="AG964" s="61">
        <f>Ruimtestaat[[#This Row],[kosten / jaar weekend]]+Ruimtestaat[[#This Row],[kosten / jaar werkdagen]]</f>
        <v>0</v>
      </c>
      <c r="AH964" s="92"/>
      <c r="HL964" s="59"/>
    </row>
    <row r="965" spans="1:220">
      <c r="A965" s="24">
        <v>6</v>
      </c>
      <c r="B965" s="24" t="str">
        <f>VLOOKUP(Ruimtestaat[[#This Row],[Code]],Locaties[#All],2,FALSE)</f>
        <v>Marke Noord</v>
      </c>
      <c r="C965" s="24" t="str">
        <f>VLOOKUP(Ruimtestaat[[#This Row],[Code]],Locaties[#All],4,FALSE)</f>
        <v>Lebuïnuslaan 1</v>
      </c>
      <c r="D965" s="24" t="str">
        <f>VLOOKUP(Ruimtestaat[[#This Row],[Code]],Locaties[#All],5,FALSE)</f>
        <v>7415 DM</v>
      </c>
      <c r="E965" s="24" t="str">
        <f>VLOOKUP(Ruimtestaat[[#This Row],[Code]],Locaties[#All],6,FALSE)</f>
        <v>Deventer</v>
      </c>
      <c r="F965" s="54"/>
      <c r="G965" s="24" t="s">
        <v>512</v>
      </c>
      <c r="H965" s="24" t="s">
        <v>1390</v>
      </c>
      <c r="I965" s="4" t="s">
        <v>941</v>
      </c>
      <c r="J965" s="24">
        <v>2</v>
      </c>
      <c r="K965" s="54" t="str">
        <f>VLOOKUP(J965,Ruimtegroepen[],2,FALSE)</f>
        <v>Kantoren</v>
      </c>
      <c r="L965" s="24" t="s">
        <v>300</v>
      </c>
      <c r="M965" s="24" t="s">
        <v>909</v>
      </c>
      <c r="N965" s="83">
        <v>14.85</v>
      </c>
      <c r="O965" s="83"/>
      <c r="P965" s="93" t="str">
        <f>LEFT(VLOOKUP(Ruimtestaat[[#This Row],[Ruimte code]],Ruimtegroepen[#All],4,1),2)</f>
        <v>Bu</v>
      </c>
      <c r="Q965" s="93"/>
      <c r="R965" s="84">
        <v>42</v>
      </c>
      <c r="S965" s="84" t="s">
        <v>322</v>
      </c>
      <c r="T965" s="85">
        <f>IF(R965&gt;0,IF(RIGHT(Ruimtestaat[[#This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65" s="85">
        <f>IF(T965&gt;0,VLOOKUP($J965,Ruimtegroepen[],3,FALSE)*VLOOKUP($L965,Vloersoorten[],3,FALSE)*VLOOKUP($S965,Frequenties[],3,FALSE)*VLOOKUP($A965,Locaties[],3,FALSE),0)</f>
        <v>0</v>
      </c>
      <c r="V965" s="86">
        <f>Ruimtestaat[[#This Row],[Uitvoeringen werkdagen]]*Ruimtestaat[[#This Row],[Oppervlak (netto)]]</f>
        <v>1871.1</v>
      </c>
      <c r="W965" s="87">
        <f>IF(U965&gt;0,Ruimtestaat[[#This Row],[Prest. (m2 /jaar) werkdagen]]/Ruimtestaat[[#This Row],[Norm (m2/uur) werkdagen]],0)</f>
        <v>0</v>
      </c>
      <c r="X965" s="88">
        <f>Ruimtestaat[[#This Row],[uren / jaar werkdagen]]*Tariefsopbouw!$E$35</f>
        <v>0</v>
      </c>
      <c r="Y965" s="85"/>
      <c r="Z965" s="89">
        <f>IF(Ruimtestaat[[#This Row],[Frequentie weekend]]&gt;0,VALUE(LEFT(Y965,1))*R965,0)</f>
        <v>0</v>
      </c>
      <c r="AA965" s="85">
        <f>IF($Z965&gt;0,VLOOKUP($J965,Ruimtegroepen[],3,FALSE)*VLOOKUP($L965,Vloersoorten[],3,FALSE)*VLOOKUP($Y965,Frequenties[],3,FALSE)*VLOOKUP(#REF!,Locaties[],3,FALSE),0)</f>
        <v>0</v>
      </c>
      <c r="AB965" s="87">
        <f>Ruimtestaat[[#This Row],[Uitvoeringen weekend]]*Ruimtestaat[[#This Row],[Oppervlak (netto)]]</f>
        <v>0</v>
      </c>
      <c r="AC965" s="90">
        <f>IF(AB965&gt;0,Ruimtestaat[[#This Row],[Prest. (m2 /jaar) weekend]]/Ruimtestaat[[#This Row],[Norm (m2/uur) weekend]],0)</f>
        <v>0</v>
      </c>
      <c r="AD965" s="91">
        <f>Ruimtestaat[[#This Row],[uren / jaar weekend]]*Tariefsopbouw!$D$40</f>
        <v>0</v>
      </c>
      <c r="AE965" s="60">
        <f>Ruimtestaat[[#This Row],[Prest. (m2 /jaar) weekend]]+Ruimtestaat[[#This Row],[Prest. (m2 /jaar) werkdagen]]</f>
        <v>1871.1</v>
      </c>
      <c r="AF965" s="60">
        <f>Ruimtestaat[[#This Row],[uren / jaar weekend]]+Ruimtestaat[[#This Row],[uren / jaar werkdagen]]</f>
        <v>0</v>
      </c>
      <c r="AG965" s="61">
        <f>Ruimtestaat[[#This Row],[kosten / jaar weekend]]+Ruimtestaat[[#This Row],[kosten / jaar werkdagen]]</f>
        <v>0</v>
      </c>
      <c r="AH965" s="92"/>
      <c r="HL965" s="59"/>
    </row>
    <row r="966" spans="1:220">
      <c r="A966" s="24">
        <v>6</v>
      </c>
      <c r="B966" s="24" t="str">
        <f>VLOOKUP(Ruimtestaat[[#This Row],[Code]],Locaties[#All],2,FALSE)</f>
        <v>Marke Noord</v>
      </c>
      <c r="C966" s="24" t="str">
        <f>VLOOKUP(Ruimtestaat[[#This Row],[Code]],Locaties[#All],4,FALSE)</f>
        <v>Lebuïnuslaan 1</v>
      </c>
      <c r="D966" s="24" t="str">
        <f>VLOOKUP(Ruimtestaat[[#This Row],[Code]],Locaties[#All],5,FALSE)</f>
        <v>7415 DM</v>
      </c>
      <c r="E966" s="24" t="str">
        <f>VLOOKUP(Ruimtestaat[[#This Row],[Code]],Locaties[#All],6,FALSE)</f>
        <v>Deventer</v>
      </c>
      <c r="F966" s="54"/>
      <c r="G966" s="24" t="s">
        <v>512</v>
      </c>
      <c r="H966" s="24" t="s">
        <v>513</v>
      </c>
      <c r="I966" s="4" t="s">
        <v>394</v>
      </c>
      <c r="J966" s="24">
        <v>22</v>
      </c>
      <c r="K966" s="54" t="str">
        <f>VLOOKUP(J966,Ruimtegroepen[],2,FALSE)</f>
        <v>Niet in onderhoud</v>
      </c>
      <c r="L966" s="24" t="s">
        <v>300</v>
      </c>
      <c r="M966" s="24" t="s">
        <v>909</v>
      </c>
      <c r="N966" s="83"/>
      <c r="O966" s="83">
        <v>6.74</v>
      </c>
      <c r="P966" s="93" t="str">
        <f>LEFT(VLOOKUP(Ruimtestaat[[#This Row],[Ruimte code]],Ruimtegroepen[#All],4,1),2)</f>
        <v/>
      </c>
      <c r="Q966" s="93"/>
      <c r="R966" s="84"/>
      <c r="S966" s="84"/>
      <c r="T966" s="85">
        <f>IF(R966&gt;0,IF(RIGHT(Ruimtestaat[[#This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6" s="85">
        <f>IF(T966&gt;0,VLOOKUP($J966,Ruimtegroepen[],3,FALSE)*VLOOKUP($L966,Vloersoorten[],3,FALSE)*VLOOKUP($S966,Frequenties[],3,FALSE)*VLOOKUP($A966,Locaties[],3,FALSE),0)</f>
        <v>0</v>
      </c>
      <c r="V966" s="86">
        <f>Ruimtestaat[[#This Row],[Uitvoeringen werkdagen]]*Ruimtestaat[[#This Row],[Oppervlak (netto)]]</f>
        <v>0</v>
      </c>
      <c r="W966" s="87">
        <f>IF(U966&gt;0,Ruimtestaat[[#This Row],[Prest. (m2 /jaar) werkdagen]]/Ruimtestaat[[#This Row],[Norm (m2/uur) werkdagen]],0)</f>
        <v>0</v>
      </c>
      <c r="X966" s="88">
        <f>Ruimtestaat[[#This Row],[uren / jaar werkdagen]]*Tariefsopbouw!$E$35</f>
        <v>0</v>
      </c>
      <c r="Y966" s="85"/>
      <c r="Z966" s="89">
        <f>IF(Ruimtestaat[[#This Row],[Frequentie weekend]]&gt;0,VALUE(LEFT(Y966,1))*R966,0)</f>
        <v>0</v>
      </c>
      <c r="AA966" s="85">
        <f>IF($Z966&gt;0,VLOOKUP($J966,Ruimtegroepen[],3,FALSE)*VLOOKUP($L966,Vloersoorten[],3,FALSE)*VLOOKUP($Y966,Frequenties[],3,FALSE)*VLOOKUP(#REF!,Locaties[],3,FALSE),0)</f>
        <v>0</v>
      </c>
      <c r="AB966" s="87">
        <f>Ruimtestaat[[#This Row],[Uitvoeringen weekend]]*Ruimtestaat[[#This Row],[Oppervlak (netto)]]</f>
        <v>0</v>
      </c>
      <c r="AC966" s="90">
        <f>IF(AB966&gt;0,Ruimtestaat[[#This Row],[Prest. (m2 /jaar) weekend]]/Ruimtestaat[[#This Row],[Norm (m2/uur) weekend]],0)</f>
        <v>0</v>
      </c>
      <c r="AD966" s="91">
        <f>Ruimtestaat[[#This Row],[uren / jaar weekend]]*Tariefsopbouw!$D$40</f>
        <v>0</v>
      </c>
      <c r="AE966" s="60">
        <f>Ruimtestaat[[#This Row],[Prest. (m2 /jaar) weekend]]+Ruimtestaat[[#This Row],[Prest. (m2 /jaar) werkdagen]]</f>
        <v>0</v>
      </c>
      <c r="AF966" s="60">
        <f>Ruimtestaat[[#This Row],[uren / jaar weekend]]+Ruimtestaat[[#This Row],[uren / jaar werkdagen]]</f>
        <v>0</v>
      </c>
      <c r="AG966" s="61">
        <f>Ruimtestaat[[#This Row],[kosten / jaar weekend]]+Ruimtestaat[[#This Row],[kosten / jaar werkdagen]]</f>
        <v>0</v>
      </c>
      <c r="AH966" s="92"/>
      <c r="HL966" s="59"/>
    </row>
    <row r="967" spans="1:220">
      <c r="A967" s="24">
        <v>6</v>
      </c>
      <c r="B967" s="24" t="str">
        <f>VLOOKUP(Ruimtestaat[[#This Row],[Code]],Locaties[#All],2,FALSE)</f>
        <v>Marke Noord</v>
      </c>
      <c r="C967" s="24" t="str">
        <f>VLOOKUP(Ruimtestaat[[#This Row],[Code]],Locaties[#All],4,FALSE)</f>
        <v>Lebuïnuslaan 1</v>
      </c>
      <c r="D967" s="24" t="str">
        <f>VLOOKUP(Ruimtestaat[[#This Row],[Code]],Locaties[#All],5,FALSE)</f>
        <v>7415 DM</v>
      </c>
      <c r="E967" s="24" t="str">
        <f>VLOOKUP(Ruimtestaat[[#This Row],[Code]],Locaties[#All],6,FALSE)</f>
        <v>Deventer</v>
      </c>
      <c r="F967" s="54"/>
      <c r="G967" s="24" t="s">
        <v>512</v>
      </c>
      <c r="H967" s="24" t="s">
        <v>1207</v>
      </c>
      <c r="I967" s="4" t="s">
        <v>394</v>
      </c>
      <c r="J967" s="24">
        <v>22</v>
      </c>
      <c r="K967" s="54" t="str">
        <f>VLOOKUP(J967,Ruimtegroepen[],2,FALSE)</f>
        <v>Niet in onderhoud</v>
      </c>
      <c r="L967" s="24" t="s">
        <v>300</v>
      </c>
      <c r="M967" s="24" t="s">
        <v>909</v>
      </c>
      <c r="N967" s="83"/>
      <c r="O967" s="83">
        <v>9.5</v>
      </c>
      <c r="P967" s="93" t="str">
        <f>LEFT(VLOOKUP(Ruimtestaat[[#This Row],[Ruimte code]],Ruimtegroepen[#All],4,1),2)</f>
        <v/>
      </c>
      <c r="Q967" s="93"/>
      <c r="R967" s="84"/>
      <c r="S967" s="84"/>
      <c r="T967" s="85">
        <f>IF(R967&gt;0,IF(RIGHT(Ruimtestaat[[#This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7" s="85">
        <f>IF(T967&gt;0,VLOOKUP($J967,Ruimtegroepen[],3,FALSE)*VLOOKUP($L967,Vloersoorten[],3,FALSE)*VLOOKUP($S967,Frequenties[],3,FALSE)*VLOOKUP($A967,Locaties[],3,FALSE),0)</f>
        <v>0</v>
      </c>
      <c r="V967" s="86">
        <f>Ruimtestaat[[#This Row],[Uitvoeringen werkdagen]]*Ruimtestaat[[#This Row],[Oppervlak (netto)]]</f>
        <v>0</v>
      </c>
      <c r="W967" s="87">
        <f>IF(U967&gt;0,Ruimtestaat[[#This Row],[Prest. (m2 /jaar) werkdagen]]/Ruimtestaat[[#This Row],[Norm (m2/uur) werkdagen]],0)</f>
        <v>0</v>
      </c>
      <c r="X967" s="88">
        <f>Ruimtestaat[[#This Row],[uren / jaar werkdagen]]*Tariefsopbouw!$E$35</f>
        <v>0</v>
      </c>
      <c r="Y967" s="85"/>
      <c r="Z967" s="89">
        <f>IF(Ruimtestaat[[#This Row],[Frequentie weekend]]&gt;0,VALUE(LEFT(Y967,1))*R967,0)</f>
        <v>0</v>
      </c>
      <c r="AA967" s="85">
        <f>IF($Z967&gt;0,VLOOKUP($J967,Ruimtegroepen[],3,FALSE)*VLOOKUP($L967,Vloersoorten[],3,FALSE)*VLOOKUP($Y967,Frequenties[],3,FALSE)*VLOOKUP(#REF!,Locaties[],3,FALSE),0)</f>
        <v>0</v>
      </c>
      <c r="AB967" s="87">
        <f>Ruimtestaat[[#This Row],[Uitvoeringen weekend]]*Ruimtestaat[[#This Row],[Oppervlak (netto)]]</f>
        <v>0</v>
      </c>
      <c r="AC967" s="90">
        <f>IF(AB967&gt;0,Ruimtestaat[[#This Row],[Prest. (m2 /jaar) weekend]]/Ruimtestaat[[#This Row],[Norm (m2/uur) weekend]],0)</f>
        <v>0</v>
      </c>
      <c r="AD967" s="91">
        <f>Ruimtestaat[[#This Row],[uren / jaar weekend]]*Tariefsopbouw!$D$40</f>
        <v>0</v>
      </c>
      <c r="AE967" s="60">
        <f>Ruimtestaat[[#This Row],[Prest. (m2 /jaar) weekend]]+Ruimtestaat[[#This Row],[Prest. (m2 /jaar) werkdagen]]</f>
        <v>0</v>
      </c>
      <c r="AF967" s="60">
        <f>Ruimtestaat[[#This Row],[uren / jaar weekend]]+Ruimtestaat[[#This Row],[uren / jaar werkdagen]]</f>
        <v>0</v>
      </c>
      <c r="AG967" s="61">
        <f>Ruimtestaat[[#This Row],[kosten / jaar weekend]]+Ruimtestaat[[#This Row],[kosten / jaar werkdagen]]</f>
        <v>0</v>
      </c>
      <c r="AH967" s="92"/>
      <c r="HL967" s="59"/>
    </row>
    <row r="968" spans="1:220">
      <c r="A968" s="24">
        <v>6</v>
      </c>
      <c r="B968" s="24" t="str">
        <f>VLOOKUP(Ruimtestaat[[#This Row],[Code]],Locaties[#All],2,FALSE)</f>
        <v>Marke Noord</v>
      </c>
      <c r="C968" s="24" t="str">
        <f>VLOOKUP(Ruimtestaat[[#This Row],[Code]],Locaties[#All],4,FALSE)</f>
        <v>Lebuïnuslaan 1</v>
      </c>
      <c r="D968" s="24" t="str">
        <f>VLOOKUP(Ruimtestaat[[#This Row],[Code]],Locaties[#All],5,FALSE)</f>
        <v>7415 DM</v>
      </c>
      <c r="E968" s="24" t="str">
        <f>VLOOKUP(Ruimtestaat[[#This Row],[Code]],Locaties[#All],6,FALSE)</f>
        <v>Deventer</v>
      </c>
      <c r="F968" s="54"/>
      <c r="G968" s="24" t="s">
        <v>512</v>
      </c>
      <c r="H968" s="24" t="s">
        <v>1209</v>
      </c>
      <c r="I968" s="4" t="s">
        <v>394</v>
      </c>
      <c r="J968" s="24">
        <v>22</v>
      </c>
      <c r="K968" s="54" t="str">
        <f>VLOOKUP(J968,Ruimtegroepen[],2,FALSE)</f>
        <v>Niet in onderhoud</v>
      </c>
      <c r="L968" s="24" t="s">
        <v>300</v>
      </c>
      <c r="M968" s="24" t="s">
        <v>909</v>
      </c>
      <c r="N968" s="83"/>
      <c r="O968" s="83">
        <v>19.48</v>
      </c>
      <c r="P968" s="93" t="str">
        <f>LEFT(VLOOKUP(Ruimtestaat[[#This Row],[Ruimte code]],Ruimtegroepen[#All],4,1),2)</f>
        <v/>
      </c>
      <c r="Q968" s="93"/>
      <c r="R968" s="84"/>
      <c r="S968" s="84"/>
      <c r="T968" s="85">
        <f>IF(R968&gt;0,IF(RIGHT(Ruimtestaat[[#This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8" s="85">
        <f>IF(T968&gt;0,VLOOKUP($J968,Ruimtegroepen[],3,FALSE)*VLOOKUP($L968,Vloersoorten[],3,FALSE)*VLOOKUP($S968,Frequenties[],3,FALSE)*VLOOKUP($A968,Locaties[],3,FALSE),0)</f>
        <v>0</v>
      </c>
      <c r="V968" s="86">
        <f>Ruimtestaat[[#This Row],[Uitvoeringen werkdagen]]*Ruimtestaat[[#This Row],[Oppervlak (netto)]]</f>
        <v>0</v>
      </c>
      <c r="W968" s="87">
        <f>IF(U968&gt;0,Ruimtestaat[[#This Row],[Prest. (m2 /jaar) werkdagen]]/Ruimtestaat[[#This Row],[Norm (m2/uur) werkdagen]],0)</f>
        <v>0</v>
      </c>
      <c r="X968" s="88">
        <f>Ruimtestaat[[#This Row],[uren / jaar werkdagen]]*Tariefsopbouw!$E$35</f>
        <v>0</v>
      </c>
      <c r="Y968" s="85"/>
      <c r="Z968" s="89">
        <f>IF(Ruimtestaat[[#This Row],[Frequentie weekend]]&gt;0,VALUE(LEFT(Y968,1))*R968,0)</f>
        <v>0</v>
      </c>
      <c r="AA968" s="85">
        <f>IF($Z968&gt;0,VLOOKUP($J968,Ruimtegroepen[],3,FALSE)*VLOOKUP($L968,Vloersoorten[],3,FALSE)*VLOOKUP($Y968,Frequenties[],3,FALSE)*VLOOKUP(#REF!,Locaties[],3,FALSE),0)</f>
        <v>0</v>
      </c>
      <c r="AB968" s="87">
        <f>Ruimtestaat[[#This Row],[Uitvoeringen weekend]]*Ruimtestaat[[#This Row],[Oppervlak (netto)]]</f>
        <v>0</v>
      </c>
      <c r="AC968" s="90">
        <f>IF(AB968&gt;0,Ruimtestaat[[#This Row],[Prest. (m2 /jaar) weekend]]/Ruimtestaat[[#This Row],[Norm (m2/uur) weekend]],0)</f>
        <v>0</v>
      </c>
      <c r="AD968" s="91">
        <f>Ruimtestaat[[#This Row],[uren / jaar weekend]]*Tariefsopbouw!$D$40</f>
        <v>0</v>
      </c>
      <c r="AE968" s="60">
        <f>Ruimtestaat[[#This Row],[Prest. (m2 /jaar) weekend]]+Ruimtestaat[[#This Row],[Prest. (m2 /jaar) werkdagen]]</f>
        <v>0</v>
      </c>
      <c r="AF968" s="60">
        <f>Ruimtestaat[[#This Row],[uren / jaar weekend]]+Ruimtestaat[[#This Row],[uren / jaar werkdagen]]</f>
        <v>0</v>
      </c>
      <c r="AG968" s="61">
        <f>Ruimtestaat[[#This Row],[kosten / jaar weekend]]+Ruimtestaat[[#This Row],[kosten / jaar werkdagen]]</f>
        <v>0</v>
      </c>
      <c r="AH968" s="92"/>
      <c r="HL968" s="59"/>
    </row>
    <row r="969" spans="1:220">
      <c r="A969" s="24">
        <v>6</v>
      </c>
      <c r="B969" s="24" t="str">
        <f>VLOOKUP(Ruimtestaat[[#This Row],[Code]],Locaties[#All],2,FALSE)</f>
        <v>Marke Noord</v>
      </c>
      <c r="C969" s="24" t="str">
        <f>VLOOKUP(Ruimtestaat[[#This Row],[Code]],Locaties[#All],4,FALSE)</f>
        <v>Lebuïnuslaan 1</v>
      </c>
      <c r="D969" s="24" t="str">
        <f>VLOOKUP(Ruimtestaat[[#This Row],[Code]],Locaties[#All],5,FALSE)</f>
        <v>7415 DM</v>
      </c>
      <c r="E969" s="24" t="str">
        <f>VLOOKUP(Ruimtestaat[[#This Row],[Code]],Locaties[#All],6,FALSE)</f>
        <v>Deventer</v>
      </c>
      <c r="F969" s="54"/>
      <c r="G969" s="24" t="s">
        <v>512</v>
      </c>
      <c r="H969" s="24" t="s">
        <v>514</v>
      </c>
      <c r="I969" s="4" t="s">
        <v>1098</v>
      </c>
      <c r="J969" s="24">
        <v>16</v>
      </c>
      <c r="K969" s="54" t="str">
        <f>VLOOKUP(J969,Ruimtegroepen[],2,FALSE)</f>
        <v>Leslokalen theorie</v>
      </c>
      <c r="L969" s="24" t="s">
        <v>300</v>
      </c>
      <c r="M969" s="24" t="s">
        <v>909</v>
      </c>
      <c r="N969" s="83">
        <v>58.89</v>
      </c>
      <c r="O969" s="83"/>
      <c r="P969" s="93" t="str">
        <f>LEFT(VLOOKUP(Ruimtestaat[[#This Row],[Ruimte code]],Ruimtegroepen[#All],4,1),2)</f>
        <v>Le</v>
      </c>
      <c r="Q969" s="93"/>
      <c r="R969" s="84">
        <v>40</v>
      </c>
      <c r="S969" s="84" t="s">
        <v>318</v>
      </c>
      <c r="T969" s="85">
        <f>IF(R969&gt;0,IF(RIGHT(Ruimtestaat[[#This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9" s="85">
        <f>IF(T969&gt;0,VLOOKUP($J969,Ruimtegroepen[],3,FALSE)*VLOOKUP($L969,Vloersoorten[],3,FALSE)*VLOOKUP($S969,Frequenties[],3,FALSE)*VLOOKUP($A969,Locaties[],3,FALSE),0)</f>
        <v>0</v>
      </c>
      <c r="V969" s="86">
        <f>Ruimtestaat[[#This Row],[Uitvoeringen werkdagen]]*Ruimtestaat[[#This Row],[Oppervlak (netto)]]</f>
        <v>11778</v>
      </c>
      <c r="W969" s="87">
        <f>IF(U969&gt;0,Ruimtestaat[[#This Row],[Prest. (m2 /jaar) werkdagen]]/Ruimtestaat[[#This Row],[Norm (m2/uur) werkdagen]],0)</f>
        <v>0</v>
      </c>
      <c r="X969" s="88">
        <f>Ruimtestaat[[#This Row],[uren / jaar werkdagen]]*Tariefsopbouw!$E$35</f>
        <v>0</v>
      </c>
      <c r="Y969" s="85"/>
      <c r="Z969" s="89">
        <f>IF(Ruimtestaat[[#This Row],[Frequentie weekend]]&gt;0,VALUE(LEFT(Y969,1))*R969,0)</f>
        <v>0</v>
      </c>
      <c r="AA969" s="85">
        <f>IF($Z969&gt;0,VLOOKUP($J969,Ruimtegroepen[],3,FALSE)*VLOOKUP($L969,Vloersoorten[],3,FALSE)*VLOOKUP($Y969,Frequenties[],3,FALSE)*VLOOKUP(#REF!,Locaties[],3,FALSE),0)</f>
        <v>0</v>
      </c>
      <c r="AB969" s="87">
        <f>Ruimtestaat[[#This Row],[Uitvoeringen weekend]]*Ruimtestaat[[#This Row],[Oppervlak (netto)]]</f>
        <v>0</v>
      </c>
      <c r="AC969" s="90">
        <f>IF(AB969&gt;0,Ruimtestaat[[#This Row],[Prest. (m2 /jaar) weekend]]/Ruimtestaat[[#This Row],[Norm (m2/uur) weekend]],0)</f>
        <v>0</v>
      </c>
      <c r="AD969" s="91">
        <f>Ruimtestaat[[#This Row],[uren / jaar weekend]]*Tariefsopbouw!$D$40</f>
        <v>0</v>
      </c>
      <c r="AE969" s="60">
        <f>Ruimtestaat[[#This Row],[Prest. (m2 /jaar) weekend]]+Ruimtestaat[[#This Row],[Prest. (m2 /jaar) werkdagen]]</f>
        <v>11778</v>
      </c>
      <c r="AF969" s="60">
        <f>Ruimtestaat[[#This Row],[uren / jaar weekend]]+Ruimtestaat[[#This Row],[uren / jaar werkdagen]]</f>
        <v>0</v>
      </c>
      <c r="AG969" s="61">
        <f>Ruimtestaat[[#This Row],[kosten / jaar weekend]]+Ruimtestaat[[#This Row],[kosten / jaar werkdagen]]</f>
        <v>0</v>
      </c>
      <c r="AH969" s="92"/>
      <c r="HL969" s="59"/>
    </row>
    <row r="970" spans="1:220">
      <c r="A970" s="24">
        <v>6</v>
      </c>
      <c r="B970" s="24" t="str">
        <f>VLOOKUP(Ruimtestaat[[#This Row],[Code]],Locaties[#All],2,FALSE)</f>
        <v>Marke Noord</v>
      </c>
      <c r="C970" s="24" t="str">
        <f>VLOOKUP(Ruimtestaat[[#This Row],[Code]],Locaties[#All],4,FALSE)</f>
        <v>Lebuïnuslaan 1</v>
      </c>
      <c r="D970" s="24" t="str">
        <f>VLOOKUP(Ruimtestaat[[#This Row],[Code]],Locaties[#All],5,FALSE)</f>
        <v>7415 DM</v>
      </c>
      <c r="E970" s="24" t="str">
        <f>VLOOKUP(Ruimtestaat[[#This Row],[Code]],Locaties[#All],6,FALSE)</f>
        <v>Deventer</v>
      </c>
      <c r="F970" s="54"/>
      <c r="G970" s="24" t="s">
        <v>512</v>
      </c>
      <c r="H970" s="24" t="s">
        <v>516</v>
      </c>
      <c r="I970" s="4" t="s">
        <v>1098</v>
      </c>
      <c r="J970" s="24">
        <v>16</v>
      </c>
      <c r="K970" s="54" t="str">
        <f>VLOOKUP(J970,Ruimtegroepen[],2,FALSE)</f>
        <v>Leslokalen theorie</v>
      </c>
      <c r="L970" s="24" t="s">
        <v>300</v>
      </c>
      <c r="M970" s="24" t="s">
        <v>909</v>
      </c>
      <c r="N970" s="83">
        <v>57.72</v>
      </c>
      <c r="O970" s="83"/>
      <c r="P970" s="93" t="str">
        <f>LEFT(VLOOKUP(Ruimtestaat[[#This Row],[Ruimte code]],Ruimtegroepen[#All],4,1),2)</f>
        <v>Le</v>
      </c>
      <c r="Q970" s="93"/>
      <c r="R970" s="84">
        <v>40</v>
      </c>
      <c r="S970" s="84" t="s">
        <v>318</v>
      </c>
      <c r="T970" s="85">
        <f>IF(R970&gt;0,IF(RIGHT(Ruimtestaat[[#This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0" s="85">
        <f>IF(T970&gt;0,VLOOKUP($J970,Ruimtegroepen[],3,FALSE)*VLOOKUP($L970,Vloersoorten[],3,FALSE)*VLOOKUP($S970,Frequenties[],3,FALSE)*VLOOKUP($A970,Locaties[],3,FALSE),0)</f>
        <v>0</v>
      </c>
      <c r="V970" s="86">
        <f>Ruimtestaat[[#This Row],[Uitvoeringen werkdagen]]*Ruimtestaat[[#This Row],[Oppervlak (netto)]]</f>
        <v>11544</v>
      </c>
      <c r="W970" s="87">
        <f>IF(U970&gt;0,Ruimtestaat[[#This Row],[Prest. (m2 /jaar) werkdagen]]/Ruimtestaat[[#This Row],[Norm (m2/uur) werkdagen]],0)</f>
        <v>0</v>
      </c>
      <c r="X970" s="88">
        <f>Ruimtestaat[[#This Row],[uren / jaar werkdagen]]*Tariefsopbouw!$E$35</f>
        <v>0</v>
      </c>
      <c r="Y970" s="85"/>
      <c r="Z970" s="89">
        <f>IF(Ruimtestaat[[#This Row],[Frequentie weekend]]&gt;0,VALUE(LEFT(Y970,1))*R970,0)</f>
        <v>0</v>
      </c>
      <c r="AA970" s="85">
        <f>IF($Z970&gt;0,VLOOKUP($J970,Ruimtegroepen[],3,FALSE)*VLOOKUP($L970,Vloersoorten[],3,FALSE)*VLOOKUP($Y970,Frequenties[],3,FALSE)*VLOOKUP(#REF!,Locaties[],3,FALSE),0)</f>
        <v>0</v>
      </c>
      <c r="AB970" s="87">
        <f>Ruimtestaat[[#This Row],[Uitvoeringen weekend]]*Ruimtestaat[[#This Row],[Oppervlak (netto)]]</f>
        <v>0</v>
      </c>
      <c r="AC970" s="90">
        <f>IF(AB970&gt;0,Ruimtestaat[[#This Row],[Prest. (m2 /jaar) weekend]]/Ruimtestaat[[#This Row],[Norm (m2/uur) weekend]],0)</f>
        <v>0</v>
      </c>
      <c r="AD970" s="91">
        <f>Ruimtestaat[[#This Row],[uren / jaar weekend]]*Tariefsopbouw!$D$40</f>
        <v>0</v>
      </c>
      <c r="AE970" s="60">
        <f>Ruimtestaat[[#This Row],[Prest. (m2 /jaar) weekend]]+Ruimtestaat[[#This Row],[Prest. (m2 /jaar) werkdagen]]</f>
        <v>11544</v>
      </c>
      <c r="AF970" s="60">
        <f>Ruimtestaat[[#This Row],[uren / jaar weekend]]+Ruimtestaat[[#This Row],[uren / jaar werkdagen]]</f>
        <v>0</v>
      </c>
      <c r="AG970" s="61">
        <f>Ruimtestaat[[#This Row],[kosten / jaar weekend]]+Ruimtestaat[[#This Row],[kosten / jaar werkdagen]]</f>
        <v>0</v>
      </c>
      <c r="AH970" s="92"/>
      <c r="HL970" s="59"/>
    </row>
    <row r="971" spans="1:220">
      <c r="A971" s="24">
        <v>6</v>
      </c>
      <c r="B971" s="24" t="str">
        <f>VLOOKUP(Ruimtestaat[[#This Row],[Code]],Locaties[#All],2,FALSE)</f>
        <v>Marke Noord</v>
      </c>
      <c r="C971" s="24" t="str">
        <f>VLOOKUP(Ruimtestaat[[#This Row],[Code]],Locaties[#All],4,FALSE)</f>
        <v>Lebuïnuslaan 1</v>
      </c>
      <c r="D971" s="24" t="str">
        <f>VLOOKUP(Ruimtestaat[[#This Row],[Code]],Locaties[#All],5,FALSE)</f>
        <v>7415 DM</v>
      </c>
      <c r="E971" s="24" t="str">
        <f>VLOOKUP(Ruimtestaat[[#This Row],[Code]],Locaties[#All],6,FALSE)</f>
        <v>Deventer</v>
      </c>
      <c r="F971" s="54"/>
      <c r="G971" s="24" t="s">
        <v>512</v>
      </c>
      <c r="H971" s="24" t="s">
        <v>517</v>
      </c>
      <c r="I971" s="4" t="s">
        <v>1363</v>
      </c>
      <c r="J971" s="24">
        <v>2</v>
      </c>
      <c r="K971" s="54" t="str">
        <f>VLOOKUP(J971,Ruimtegroepen[],2,FALSE)</f>
        <v>Kantoren</v>
      </c>
      <c r="L971" s="24" t="s">
        <v>300</v>
      </c>
      <c r="M971" s="24" t="s">
        <v>909</v>
      </c>
      <c r="N971" s="83">
        <v>27.7</v>
      </c>
      <c r="O971" s="83"/>
      <c r="P971" s="93" t="str">
        <f>LEFT(VLOOKUP(Ruimtestaat[[#This Row],[Ruimte code]],Ruimtegroepen[#All],4,1),2)</f>
        <v>Bu</v>
      </c>
      <c r="Q971" s="93"/>
      <c r="R971" s="84">
        <v>42</v>
      </c>
      <c r="S971" s="84" t="s">
        <v>322</v>
      </c>
      <c r="T971" s="85">
        <f>IF(R971&gt;0,IF(RIGHT(Ruimtestaat[[#This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1" s="85">
        <f>IF(T971&gt;0,VLOOKUP($J971,Ruimtegroepen[],3,FALSE)*VLOOKUP($L971,Vloersoorten[],3,FALSE)*VLOOKUP($S971,Frequenties[],3,FALSE)*VLOOKUP($A971,Locaties[],3,FALSE),0)</f>
        <v>0</v>
      </c>
      <c r="V971" s="86">
        <f>Ruimtestaat[[#This Row],[Uitvoeringen werkdagen]]*Ruimtestaat[[#This Row],[Oppervlak (netto)]]</f>
        <v>3490.2</v>
      </c>
      <c r="W971" s="87">
        <f>IF(U971&gt;0,Ruimtestaat[[#This Row],[Prest. (m2 /jaar) werkdagen]]/Ruimtestaat[[#This Row],[Norm (m2/uur) werkdagen]],0)</f>
        <v>0</v>
      </c>
      <c r="X971" s="88">
        <f>Ruimtestaat[[#This Row],[uren / jaar werkdagen]]*Tariefsopbouw!$E$35</f>
        <v>0</v>
      </c>
      <c r="Y971" s="85"/>
      <c r="Z971" s="89">
        <f>IF(Ruimtestaat[[#This Row],[Frequentie weekend]]&gt;0,VALUE(LEFT(Y971,1))*R971,0)</f>
        <v>0</v>
      </c>
      <c r="AA971" s="85">
        <f>IF($Z971&gt;0,VLOOKUP($J971,Ruimtegroepen[],3,FALSE)*VLOOKUP($L971,Vloersoorten[],3,FALSE)*VLOOKUP($Y971,Frequenties[],3,FALSE)*VLOOKUP(#REF!,Locaties[],3,FALSE),0)</f>
        <v>0</v>
      </c>
      <c r="AB971" s="87">
        <f>Ruimtestaat[[#This Row],[Uitvoeringen weekend]]*Ruimtestaat[[#This Row],[Oppervlak (netto)]]</f>
        <v>0</v>
      </c>
      <c r="AC971" s="90">
        <f>IF(AB971&gt;0,Ruimtestaat[[#This Row],[Prest. (m2 /jaar) weekend]]/Ruimtestaat[[#This Row],[Norm (m2/uur) weekend]],0)</f>
        <v>0</v>
      </c>
      <c r="AD971" s="91">
        <f>Ruimtestaat[[#This Row],[uren / jaar weekend]]*Tariefsopbouw!$D$40</f>
        <v>0</v>
      </c>
      <c r="AE971" s="60">
        <f>Ruimtestaat[[#This Row],[Prest. (m2 /jaar) weekend]]+Ruimtestaat[[#This Row],[Prest. (m2 /jaar) werkdagen]]</f>
        <v>3490.2</v>
      </c>
      <c r="AF971" s="60">
        <f>Ruimtestaat[[#This Row],[uren / jaar weekend]]+Ruimtestaat[[#This Row],[uren / jaar werkdagen]]</f>
        <v>0</v>
      </c>
      <c r="AG971" s="61">
        <f>Ruimtestaat[[#This Row],[kosten / jaar weekend]]+Ruimtestaat[[#This Row],[kosten / jaar werkdagen]]</f>
        <v>0</v>
      </c>
      <c r="AH971" s="92"/>
      <c r="HL971" s="59"/>
    </row>
    <row r="972" spans="1:220">
      <c r="A972" s="24">
        <v>6</v>
      </c>
      <c r="B972" s="24" t="str">
        <f>VLOOKUP(Ruimtestaat[[#This Row],[Code]],Locaties[#All],2,FALSE)</f>
        <v>Marke Noord</v>
      </c>
      <c r="C972" s="24" t="str">
        <f>VLOOKUP(Ruimtestaat[[#This Row],[Code]],Locaties[#All],4,FALSE)</f>
        <v>Lebuïnuslaan 1</v>
      </c>
      <c r="D972" s="24" t="str">
        <f>VLOOKUP(Ruimtestaat[[#This Row],[Code]],Locaties[#All],5,FALSE)</f>
        <v>7415 DM</v>
      </c>
      <c r="E972" s="24" t="str">
        <f>VLOOKUP(Ruimtestaat[[#This Row],[Code]],Locaties[#All],6,FALSE)</f>
        <v>Deventer</v>
      </c>
      <c r="F972" s="54"/>
      <c r="G972" s="24"/>
      <c r="H972" s="24">
        <v>104</v>
      </c>
      <c r="I972" s="4" t="s">
        <v>1363</v>
      </c>
      <c r="J972" s="24">
        <v>2</v>
      </c>
      <c r="K972" s="54" t="str">
        <f>VLOOKUP(J972,Ruimtegroepen[],2,FALSE)</f>
        <v>Kantoren</v>
      </c>
      <c r="L972" s="24" t="s">
        <v>300</v>
      </c>
      <c r="M972" s="24" t="s">
        <v>909</v>
      </c>
      <c r="N972" s="83">
        <v>27.7</v>
      </c>
      <c r="O972" s="83"/>
      <c r="P972" s="93" t="str">
        <f>LEFT(VLOOKUP(Ruimtestaat[[#This Row],[Ruimte code]],Ruimtegroepen[#All],4,1),2)</f>
        <v>Bu</v>
      </c>
      <c r="Q972" s="93"/>
      <c r="R972" s="84">
        <v>42</v>
      </c>
      <c r="S972" s="84" t="s">
        <v>322</v>
      </c>
      <c r="T972" s="85">
        <f>IF(R972&gt;0,IF(RIGHT(Ruimtestaat[[#This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2" s="85">
        <f>IF(T972&gt;0,VLOOKUP($J972,Ruimtegroepen[],3,FALSE)*VLOOKUP($L972,Vloersoorten[],3,FALSE)*VLOOKUP($S972,Frequenties[],3,FALSE)*VLOOKUP($A972,Locaties[],3,FALSE),0)</f>
        <v>0</v>
      </c>
      <c r="V972" s="86">
        <f>Ruimtestaat[[#This Row],[Uitvoeringen werkdagen]]*Ruimtestaat[[#This Row],[Oppervlak (netto)]]</f>
        <v>3490.2</v>
      </c>
      <c r="W972" s="87">
        <f>IF(U972&gt;0,Ruimtestaat[[#This Row],[Prest. (m2 /jaar) werkdagen]]/Ruimtestaat[[#This Row],[Norm (m2/uur) werkdagen]],0)</f>
        <v>0</v>
      </c>
      <c r="X972" s="88">
        <f>Ruimtestaat[[#This Row],[uren / jaar werkdagen]]*Tariefsopbouw!$E$35</f>
        <v>0</v>
      </c>
      <c r="Y972" s="85"/>
      <c r="Z972" s="89">
        <f>IF(Ruimtestaat[[#This Row],[Frequentie weekend]]&gt;0,VALUE(LEFT(Y972,1))*R972,0)</f>
        <v>0</v>
      </c>
      <c r="AA972" s="85">
        <f>IF($Z972&gt;0,VLOOKUP($J972,Ruimtegroepen[],3,FALSE)*VLOOKUP($L972,Vloersoorten[],3,FALSE)*VLOOKUP($Y972,Frequenties[],3,FALSE)*VLOOKUP(#REF!,Locaties[],3,FALSE),0)</f>
        <v>0</v>
      </c>
      <c r="AB972" s="87">
        <f>Ruimtestaat[[#This Row],[Uitvoeringen weekend]]*Ruimtestaat[[#This Row],[Oppervlak (netto)]]</f>
        <v>0</v>
      </c>
      <c r="AC972" s="90">
        <f>IF(AB972&gt;0,Ruimtestaat[[#This Row],[Prest. (m2 /jaar) weekend]]/Ruimtestaat[[#This Row],[Norm (m2/uur) weekend]],0)</f>
        <v>0</v>
      </c>
      <c r="AD972" s="91">
        <f>Ruimtestaat[[#This Row],[uren / jaar weekend]]*Tariefsopbouw!$D$40</f>
        <v>0</v>
      </c>
      <c r="AE972" s="60">
        <f>Ruimtestaat[[#This Row],[Prest. (m2 /jaar) weekend]]+Ruimtestaat[[#This Row],[Prest. (m2 /jaar) werkdagen]]</f>
        <v>3490.2</v>
      </c>
      <c r="AF972" s="60">
        <f>Ruimtestaat[[#This Row],[uren / jaar weekend]]+Ruimtestaat[[#This Row],[uren / jaar werkdagen]]</f>
        <v>0</v>
      </c>
      <c r="AG972" s="61">
        <f>Ruimtestaat[[#This Row],[kosten / jaar weekend]]+Ruimtestaat[[#This Row],[kosten / jaar werkdagen]]</f>
        <v>0</v>
      </c>
      <c r="AH972" s="92"/>
      <c r="HL972" s="59"/>
    </row>
    <row r="973" spans="1:220">
      <c r="A973" s="24">
        <v>6</v>
      </c>
      <c r="B973" s="24" t="str">
        <f>VLOOKUP(Ruimtestaat[[#This Row],[Code]],Locaties[#All],2,FALSE)</f>
        <v>Marke Noord</v>
      </c>
      <c r="C973" s="24" t="str">
        <f>VLOOKUP(Ruimtestaat[[#This Row],[Code]],Locaties[#All],4,FALSE)</f>
        <v>Lebuïnuslaan 1</v>
      </c>
      <c r="D973" s="24" t="str">
        <f>VLOOKUP(Ruimtestaat[[#This Row],[Code]],Locaties[#All],5,FALSE)</f>
        <v>7415 DM</v>
      </c>
      <c r="E973" s="24" t="str">
        <f>VLOOKUP(Ruimtestaat[[#This Row],[Code]],Locaties[#All],6,FALSE)</f>
        <v>Deventer</v>
      </c>
      <c r="F973" s="54"/>
      <c r="G973" s="24" t="s">
        <v>512</v>
      </c>
      <c r="H973" s="24" t="s">
        <v>520</v>
      </c>
      <c r="I973" s="4" t="s">
        <v>1098</v>
      </c>
      <c r="J973" s="24">
        <v>16</v>
      </c>
      <c r="K973" s="54" t="str">
        <f>VLOOKUP(J973,Ruimtegroepen[],2,FALSE)</f>
        <v>Leslokalen theorie</v>
      </c>
      <c r="L973" s="24" t="s">
        <v>300</v>
      </c>
      <c r="M973" s="24" t="s">
        <v>909</v>
      </c>
      <c r="N973" s="83">
        <v>58.48</v>
      </c>
      <c r="O973" s="83"/>
      <c r="P973" s="93" t="str">
        <f>LEFT(VLOOKUP(Ruimtestaat[[#This Row],[Ruimte code]],Ruimtegroepen[#All],4,1),2)</f>
        <v>Le</v>
      </c>
      <c r="Q973" s="93"/>
      <c r="R973" s="84">
        <v>40</v>
      </c>
      <c r="S973" s="84" t="s">
        <v>318</v>
      </c>
      <c r="T973" s="85">
        <f>IF(R973&gt;0,IF(RIGHT(Ruimtestaat[[#This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3" s="85">
        <f>IF(T973&gt;0,VLOOKUP($J973,Ruimtegroepen[],3,FALSE)*VLOOKUP($L973,Vloersoorten[],3,FALSE)*VLOOKUP($S973,Frequenties[],3,FALSE)*VLOOKUP($A973,Locaties[],3,FALSE),0)</f>
        <v>0</v>
      </c>
      <c r="V973" s="86">
        <f>Ruimtestaat[[#This Row],[Uitvoeringen werkdagen]]*Ruimtestaat[[#This Row],[Oppervlak (netto)]]</f>
        <v>11696</v>
      </c>
      <c r="W973" s="87">
        <f>IF(U973&gt;0,Ruimtestaat[[#This Row],[Prest. (m2 /jaar) werkdagen]]/Ruimtestaat[[#This Row],[Norm (m2/uur) werkdagen]],0)</f>
        <v>0</v>
      </c>
      <c r="X973" s="88">
        <f>Ruimtestaat[[#This Row],[uren / jaar werkdagen]]*Tariefsopbouw!$E$35</f>
        <v>0</v>
      </c>
      <c r="Y973" s="85"/>
      <c r="Z973" s="89">
        <f>IF(Ruimtestaat[[#This Row],[Frequentie weekend]]&gt;0,VALUE(LEFT(Y973,1))*R973,0)</f>
        <v>0</v>
      </c>
      <c r="AA973" s="85">
        <f>IF($Z973&gt;0,VLOOKUP($J973,Ruimtegroepen[],3,FALSE)*VLOOKUP($L973,Vloersoorten[],3,FALSE)*VLOOKUP($Y973,Frequenties[],3,FALSE)*VLOOKUP(#REF!,Locaties[],3,FALSE),0)</f>
        <v>0</v>
      </c>
      <c r="AB973" s="87">
        <f>Ruimtestaat[[#This Row],[Uitvoeringen weekend]]*Ruimtestaat[[#This Row],[Oppervlak (netto)]]</f>
        <v>0</v>
      </c>
      <c r="AC973" s="90">
        <f>IF(AB973&gt;0,Ruimtestaat[[#This Row],[Prest. (m2 /jaar) weekend]]/Ruimtestaat[[#This Row],[Norm (m2/uur) weekend]],0)</f>
        <v>0</v>
      </c>
      <c r="AD973" s="91">
        <f>Ruimtestaat[[#This Row],[uren / jaar weekend]]*Tariefsopbouw!$D$40</f>
        <v>0</v>
      </c>
      <c r="AE973" s="60">
        <f>Ruimtestaat[[#This Row],[Prest. (m2 /jaar) weekend]]+Ruimtestaat[[#This Row],[Prest. (m2 /jaar) werkdagen]]</f>
        <v>11696</v>
      </c>
      <c r="AF973" s="60">
        <f>Ruimtestaat[[#This Row],[uren / jaar weekend]]+Ruimtestaat[[#This Row],[uren / jaar werkdagen]]</f>
        <v>0</v>
      </c>
      <c r="AG973" s="61">
        <f>Ruimtestaat[[#This Row],[kosten / jaar weekend]]+Ruimtestaat[[#This Row],[kosten / jaar werkdagen]]</f>
        <v>0</v>
      </c>
      <c r="AH973" s="92"/>
      <c r="HL973" s="59"/>
    </row>
    <row r="974" spans="1:220">
      <c r="A974" s="24">
        <v>6</v>
      </c>
      <c r="B974" s="24" t="str">
        <f>VLOOKUP(Ruimtestaat[[#This Row],[Code]],Locaties[#All],2,FALSE)</f>
        <v>Marke Noord</v>
      </c>
      <c r="C974" s="24" t="str">
        <f>VLOOKUP(Ruimtestaat[[#This Row],[Code]],Locaties[#All],4,FALSE)</f>
        <v>Lebuïnuslaan 1</v>
      </c>
      <c r="D974" s="24" t="str">
        <f>VLOOKUP(Ruimtestaat[[#This Row],[Code]],Locaties[#All],5,FALSE)</f>
        <v>7415 DM</v>
      </c>
      <c r="E974" s="24" t="str">
        <f>VLOOKUP(Ruimtestaat[[#This Row],[Code]],Locaties[#All],6,FALSE)</f>
        <v>Deventer</v>
      </c>
      <c r="F974" s="54"/>
      <c r="G974" s="24" t="s">
        <v>512</v>
      </c>
      <c r="H974" s="24" t="s">
        <v>1391</v>
      </c>
      <c r="I974" s="4" t="s">
        <v>941</v>
      </c>
      <c r="J974" s="24">
        <v>2</v>
      </c>
      <c r="K974" s="54" t="str">
        <f>VLOOKUP(J974,Ruimtegroepen[],2,FALSE)</f>
        <v>Kantoren</v>
      </c>
      <c r="L974" s="24" t="s">
        <v>300</v>
      </c>
      <c r="M974" s="24" t="s">
        <v>909</v>
      </c>
      <c r="N974" s="83">
        <v>17</v>
      </c>
      <c r="O974" s="83"/>
      <c r="P974" s="93" t="str">
        <f>LEFT(VLOOKUP(Ruimtestaat[[#This Row],[Ruimte code]],Ruimtegroepen[#All],4,1),2)</f>
        <v>Bu</v>
      </c>
      <c r="Q974" s="93"/>
      <c r="R974" s="84">
        <v>42</v>
      </c>
      <c r="S974" s="84" t="s">
        <v>322</v>
      </c>
      <c r="T974" s="85">
        <f>IF(R974&gt;0,IF(RIGHT(Ruimtestaat[[#This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4" s="85">
        <f>IF(T974&gt;0,VLOOKUP($J974,Ruimtegroepen[],3,FALSE)*VLOOKUP($L974,Vloersoorten[],3,FALSE)*VLOOKUP($S974,Frequenties[],3,FALSE)*VLOOKUP($A974,Locaties[],3,FALSE),0)</f>
        <v>0</v>
      </c>
      <c r="V974" s="86">
        <f>Ruimtestaat[[#This Row],[Uitvoeringen werkdagen]]*Ruimtestaat[[#This Row],[Oppervlak (netto)]]</f>
        <v>2142</v>
      </c>
      <c r="W974" s="87">
        <f>IF(U974&gt;0,Ruimtestaat[[#This Row],[Prest. (m2 /jaar) werkdagen]]/Ruimtestaat[[#This Row],[Norm (m2/uur) werkdagen]],0)</f>
        <v>0</v>
      </c>
      <c r="X974" s="88">
        <f>Ruimtestaat[[#This Row],[uren / jaar werkdagen]]*Tariefsopbouw!$E$35</f>
        <v>0</v>
      </c>
      <c r="Y974" s="85"/>
      <c r="Z974" s="89">
        <f>IF(Ruimtestaat[[#This Row],[Frequentie weekend]]&gt;0,VALUE(LEFT(Y974,1))*R974,0)</f>
        <v>0</v>
      </c>
      <c r="AA974" s="85">
        <f>IF($Z974&gt;0,VLOOKUP($J974,Ruimtegroepen[],3,FALSE)*VLOOKUP($L974,Vloersoorten[],3,FALSE)*VLOOKUP($Y974,Frequenties[],3,FALSE)*VLOOKUP(#REF!,Locaties[],3,FALSE),0)</f>
        <v>0</v>
      </c>
      <c r="AB974" s="87">
        <f>Ruimtestaat[[#This Row],[Uitvoeringen weekend]]*Ruimtestaat[[#This Row],[Oppervlak (netto)]]</f>
        <v>0</v>
      </c>
      <c r="AC974" s="90">
        <f>IF(AB974&gt;0,Ruimtestaat[[#This Row],[Prest. (m2 /jaar) weekend]]/Ruimtestaat[[#This Row],[Norm (m2/uur) weekend]],0)</f>
        <v>0</v>
      </c>
      <c r="AD974" s="91">
        <f>Ruimtestaat[[#This Row],[uren / jaar weekend]]*Tariefsopbouw!$D$40</f>
        <v>0</v>
      </c>
      <c r="AE974" s="60">
        <f>Ruimtestaat[[#This Row],[Prest. (m2 /jaar) weekend]]+Ruimtestaat[[#This Row],[Prest. (m2 /jaar) werkdagen]]</f>
        <v>2142</v>
      </c>
      <c r="AF974" s="60">
        <f>Ruimtestaat[[#This Row],[uren / jaar weekend]]+Ruimtestaat[[#This Row],[uren / jaar werkdagen]]</f>
        <v>0</v>
      </c>
      <c r="AG974" s="61">
        <f>Ruimtestaat[[#This Row],[kosten / jaar weekend]]+Ruimtestaat[[#This Row],[kosten / jaar werkdagen]]</f>
        <v>0</v>
      </c>
      <c r="AH974" s="92"/>
      <c r="HL974" s="59"/>
    </row>
    <row r="975" spans="1:220">
      <c r="A975" s="24">
        <v>6</v>
      </c>
      <c r="B975" s="24" t="str">
        <f>VLOOKUP(Ruimtestaat[[#This Row],[Code]],Locaties[#All],2,FALSE)</f>
        <v>Marke Noord</v>
      </c>
      <c r="C975" s="24" t="str">
        <f>VLOOKUP(Ruimtestaat[[#This Row],[Code]],Locaties[#All],4,FALSE)</f>
        <v>Lebuïnuslaan 1</v>
      </c>
      <c r="D975" s="24" t="str">
        <f>VLOOKUP(Ruimtestaat[[#This Row],[Code]],Locaties[#All],5,FALSE)</f>
        <v>7415 DM</v>
      </c>
      <c r="E975" s="24" t="str">
        <f>VLOOKUP(Ruimtestaat[[#This Row],[Code]],Locaties[#All],6,FALSE)</f>
        <v>Deventer</v>
      </c>
      <c r="F975" s="54"/>
      <c r="G975" s="24" t="s">
        <v>512</v>
      </c>
      <c r="H975" s="24" t="s">
        <v>1392</v>
      </c>
      <c r="I975" s="4" t="s">
        <v>941</v>
      </c>
      <c r="J975" s="24">
        <v>2</v>
      </c>
      <c r="K975" s="54" t="str">
        <f>VLOOKUP(J975,Ruimtegroepen[],2,FALSE)</f>
        <v>Kantoren</v>
      </c>
      <c r="L975" s="24" t="s">
        <v>303</v>
      </c>
      <c r="M975" s="24" t="s">
        <v>387</v>
      </c>
      <c r="N975" s="83">
        <v>19.89</v>
      </c>
      <c r="O975" s="83"/>
      <c r="P975" s="93" t="str">
        <f>LEFT(VLOOKUP(Ruimtestaat[[#This Row],[Ruimte code]],Ruimtegroepen[#All],4,1),2)</f>
        <v>Bu</v>
      </c>
      <c r="Q975" s="93"/>
      <c r="R975" s="84">
        <v>42</v>
      </c>
      <c r="S975" s="84" t="s">
        <v>322</v>
      </c>
      <c r="T975" s="85">
        <f>IF(R975&gt;0,IF(RIGHT(Ruimtestaat[[#This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5" s="85">
        <f>IF(T975&gt;0,VLOOKUP($J975,Ruimtegroepen[],3,FALSE)*VLOOKUP($L975,Vloersoorten[],3,FALSE)*VLOOKUP($S975,Frequenties[],3,FALSE)*VLOOKUP($A975,Locaties[],3,FALSE),0)</f>
        <v>0</v>
      </c>
      <c r="V975" s="86">
        <f>Ruimtestaat[[#This Row],[Uitvoeringen werkdagen]]*Ruimtestaat[[#This Row],[Oppervlak (netto)]]</f>
        <v>2506.14</v>
      </c>
      <c r="W975" s="87">
        <f>IF(U975&gt;0,Ruimtestaat[[#This Row],[Prest. (m2 /jaar) werkdagen]]/Ruimtestaat[[#This Row],[Norm (m2/uur) werkdagen]],0)</f>
        <v>0</v>
      </c>
      <c r="X975" s="88">
        <f>Ruimtestaat[[#This Row],[uren / jaar werkdagen]]*Tariefsopbouw!$E$35</f>
        <v>0</v>
      </c>
      <c r="Y975" s="85"/>
      <c r="Z975" s="89">
        <f>IF(Ruimtestaat[[#This Row],[Frequentie weekend]]&gt;0,VALUE(LEFT(Y975,1))*R975,0)</f>
        <v>0</v>
      </c>
      <c r="AA975" s="85">
        <f>IF($Z975&gt;0,VLOOKUP($J975,Ruimtegroepen[],3,FALSE)*VLOOKUP($L975,Vloersoorten[],3,FALSE)*VLOOKUP($Y975,Frequenties[],3,FALSE)*VLOOKUP(#REF!,Locaties[],3,FALSE),0)</f>
        <v>0</v>
      </c>
      <c r="AB975" s="87">
        <f>Ruimtestaat[[#This Row],[Uitvoeringen weekend]]*Ruimtestaat[[#This Row],[Oppervlak (netto)]]</f>
        <v>0</v>
      </c>
      <c r="AC975" s="90">
        <f>IF(AB975&gt;0,Ruimtestaat[[#This Row],[Prest. (m2 /jaar) weekend]]/Ruimtestaat[[#This Row],[Norm (m2/uur) weekend]],0)</f>
        <v>0</v>
      </c>
      <c r="AD975" s="91">
        <f>Ruimtestaat[[#This Row],[uren / jaar weekend]]*Tariefsopbouw!$D$40</f>
        <v>0</v>
      </c>
      <c r="AE975" s="60">
        <f>Ruimtestaat[[#This Row],[Prest. (m2 /jaar) weekend]]+Ruimtestaat[[#This Row],[Prest. (m2 /jaar) werkdagen]]</f>
        <v>2506.14</v>
      </c>
      <c r="AF975" s="60">
        <f>Ruimtestaat[[#This Row],[uren / jaar weekend]]+Ruimtestaat[[#This Row],[uren / jaar werkdagen]]</f>
        <v>0</v>
      </c>
      <c r="AG975" s="61">
        <f>Ruimtestaat[[#This Row],[kosten / jaar weekend]]+Ruimtestaat[[#This Row],[kosten / jaar werkdagen]]</f>
        <v>0</v>
      </c>
      <c r="AH975" s="92"/>
      <c r="HL975" s="59"/>
    </row>
    <row r="976" spans="1:220">
      <c r="A976" s="24">
        <v>6</v>
      </c>
      <c r="B976" s="24" t="str">
        <f>VLOOKUP(Ruimtestaat[[#This Row],[Code]],Locaties[#All],2,FALSE)</f>
        <v>Marke Noord</v>
      </c>
      <c r="C976" s="24" t="str">
        <f>VLOOKUP(Ruimtestaat[[#This Row],[Code]],Locaties[#All],4,FALSE)</f>
        <v>Lebuïnuslaan 1</v>
      </c>
      <c r="D976" s="24" t="str">
        <f>VLOOKUP(Ruimtestaat[[#This Row],[Code]],Locaties[#All],5,FALSE)</f>
        <v>7415 DM</v>
      </c>
      <c r="E976" s="24" t="str">
        <f>VLOOKUP(Ruimtestaat[[#This Row],[Code]],Locaties[#All],6,FALSE)</f>
        <v>Deventer</v>
      </c>
      <c r="F976" s="54"/>
      <c r="G976" s="24" t="s">
        <v>512</v>
      </c>
      <c r="H976" s="24" t="s">
        <v>522</v>
      </c>
      <c r="I976" s="4" t="s">
        <v>1098</v>
      </c>
      <c r="J976" s="24">
        <v>16</v>
      </c>
      <c r="K976" s="54" t="str">
        <f>VLOOKUP(J976,Ruimtegroepen[],2,FALSE)</f>
        <v>Leslokalen theorie</v>
      </c>
      <c r="L976" s="24" t="s">
        <v>300</v>
      </c>
      <c r="M976" s="24" t="s">
        <v>909</v>
      </c>
      <c r="N976" s="83">
        <v>112.5</v>
      </c>
      <c r="O976" s="83"/>
      <c r="P976" s="93" t="str">
        <f>LEFT(VLOOKUP(Ruimtestaat[[#This Row],[Ruimte code]],Ruimtegroepen[#All],4,1),2)</f>
        <v>Le</v>
      </c>
      <c r="Q976" s="93"/>
      <c r="R976" s="84">
        <v>40</v>
      </c>
      <c r="S976" s="84" t="s">
        <v>318</v>
      </c>
      <c r="T976" s="85">
        <f>IF(R976&gt;0,IF(RIGHT(Ruimtestaat[[#This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6" s="85">
        <f>IF(T976&gt;0,VLOOKUP($J976,Ruimtegroepen[],3,FALSE)*VLOOKUP($L976,Vloersoorten[],3,FALSE)*VLOOKUP($S976,Frequenties[],3,FALSE)*VLOOKUP($A976,Locaties[],3,FALSE),0)</f>
        <v>0</v>
      </c>
      <c r="V976" s="86">
        <f>Ruimtestaat[[#This Row],[Uitvoeringen werkdagen]]*Ruimtestaat[[#This Row],[Oppervlak (netto)]]</f>
        <v>22500</v>
      </c>
      <c r="W976" s="87">
        <f>IF(U976&gt;0,Ruimtestaat[[#This Row],[Prest. (m2 /jaar) werkdagen]]/Ruimtestaat[[#This Row],[Norm (m2/uur) werkdagen]],0)</f>
        <v>0</v>
      </c>
      <c r="X976" s="88">
        <f>Ruimtestaat[[#This Row],[uren / jaar werkdagen]]*Tariefsopbouw!$E$35</f>
        <v>0</v>
      </c>
      <c r="Y976" s="85"/>
      <c r="Z976" s="89">
        <f>IF(Ruimtestaat[[#This Row],[Frequentie weekend]]&gt;0,VALUE(LEFT(Y976,1))*R976,0)</f>
        <v>0</v>
      </c>
      <c r="AA976" s="85">
        <f>IF($Z976&gt;0,VLOOKUP($J976,Ruimtegroepen[],3,FALSE)*VLOOKUP($L976,Vloersoorten[],3,FALSE)*VLOOKUP($Y976,Frequenties[],3,FALSE)*VLOOKUP(#REF!,Locaties[],3,FALSE),0)</f>
        <v>0</v>
      </c>
      <c r="AB976" s="87">
        <f>Ruimtestaat[[#This Row],[Uitvoeringen weekend]]*Ruimtestaat[[#This Row],[Oppervlak (netto)]]</f>
        <v>0</v>
      </c>
      <c r="AC976" s="90">
        <f>IF(AB976&gt;0,Ruimtestaat[[#This Row],[Prest. (m2 /jaar) weekend]]/Ruimtestaat[[#This Row],[Norm (m2/uur) weekend]],0)</f>
        <v>0</v>
      </c>
      <c r="AD976" s="91">
        <f>Ruimtestaat[[#This Row],[uren / jaar weekend]]*Tariefsopbouw!$D$40</f>
        <v>0</v>
      </c>
      <c r="AE976" s="60">
        <f>Ruimtestaat[[#This Row],[Prest. (m2 /jaar) weekend]]+Ruimtestaat[[#This Row],[Prest. (m2 /jaar) werkdagen]]</f>
        <v>22500</v>
      </c>
      <c r="AF976" s="60">
        <f>Ruimtestaat[[#This Row],[uren / jaar weekend]]+Ruimtestaat[[#This Row],[uren / jaar werkdagen]]</f>
        <v>0</v>
      </c>
      <c r="AG976" s="61">
        <f>Ruimtestaat[[#This Row],[kosten / jaar weekend]]+Ruimtestaat[[#This Row],[kosten / jaar werkdagen]]</f>
        <v>0</v>
      </c>
      <c r="AH976" s="92"/>
      <c r="HL976" s="59"/>
    </row>
    <row r="977" spans="1:220">
      <c r="A977" s="24">
        <v>6</v>
      </c>
      <c r="B977" s="24" t="str">
        <f>VLOOKUP(Ruimtestaat[[#This Row],[Code]],Locaties[#All],2,FALSE)</f>
        <v>Marke Noord</v>
      </c>
      <c r="C977" s="24" t="str">
        <f>VLOOKUP(Ruimtestaat[[#This Row],[Code]],Locaties[#All],4,FALSE)</f>
        <v>Lebuïnuslaan 1</v>
      </c>
      <c r="D977" s="24" t="str">
        <f>VLOOKUP(Ruimtestaat[[#This Row],[Code]],Locaties[#All],5,FALSE)</f>
        <v>7415 DM</v>
      </c>
      <c r="E977" s="24" t="str">
        <f>VLOOKUP(Ruimtestaat[[#This Row],[Code]],Locaties[#All],6,FALSE)</f>
        <v>Deventer</v>
      </c>
      <c r="F977" s="54"/>
      <c r="G977" s="24" t="s">
        <v>512</v>
      </c>
      <c r="H977" s="24" t="s">
        <v>1223</v>
      </c>
      <c r="I977" s="4" t="s">
        <v>1378</v>
      </c>
      <c r="J977" s="24">
        <v>5</v>
      </c>
      <c r="K977" s="54" t="str">
        <f>VLOOKUP(J977,Ruimtegroepen[],2,FALSE)</f>
        <v>Sanitair</v>
      </c>
      <c r="L977" s="24" t="s">
        <v>305</v>
      </c>
      <c r="M977" s="24" t="s">
        <v>400</v>
      </c>
      <c r="N977" s="83">
        <v>11.02</v>
      </c>
      <c r="O977" s="83"/>
      <c r="P977" s="93" t="str">
        <f>LEFT(VLOOKUP(Ruimtestaat[[#This Row],[Ruimte code]],Ruimtegroepen[#All],4,1),2)</f>
        <v>Sa</v>
      </c>
      <c r="Q977" s="93"/>
      <c r="R977" s="84">
        <v>42</v>
      </c>
      <c r="S977" s="84" t="s">
        <v>316</v>
      </c>
      <c r="T977" s="85">
        <f>IF(R977&gt;0,IF(RIGHT(Ruimtestaat[[#This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77" s="85">
        <f>IF(T977&gt;0,VLOOKUP($J977,Ruimtegroepen[],3,FALSE)*VLOOKUP($L977,Vloersoorten[],3,FALSE)*VLOOKUP($S977,Frequenties[],3,FALSE)*VLOOKUP($A977,Locaties[],3,FALSE),0)</f>
        <v>0</v>
      </c>
      <c r="V977" s="86">
        <f>Ruimtestaat[[#This Row],[Uitvoeringen werkdagen]]*Ruimtestaat[[#This Row],[Oppervlak (netto)]]</f>
        <v>4628.3999999999996</v>
      </c>
      <c r="W977" s="87">
        <f>IF(U977&gt;0,Ruimtestaat[[#This Row],[Prest. (m2 /jaar) werkdagen]]/Ruimtestaat[[#This Row],[Norm (m2/uur) werkdagen]],0)</f>
        <v>0</v>
      </c>
      <c r="X977" s="88">
        <f>Ruimtestaat[[#This Row],[uren / jaar werkdagen]]*Tariefsopbouw!$E$35</f>
        <v>0</v>
      </c>
      <c r="Y977" s="85"/>
      <c r="Z977" s="89">
        <f>IF(Ruimtestaat[[#This Row],[Frequentie weekend]]&gt;0,VALUE(LEFT(Y977,1))*R977,0)</f>
        <v>0</v>
      </c>
      <c r="AA977" s="85">
        <f>IF($Z977&gt;0,VLOOKUP($J977,Ruimtegroepen[],3,FALSE)*VLOOKUP($L977,Vloersoorten[],3,FALSE)*VLOOKUP($Y977,Frequenties[],3,FALSE)*VLOOKUP(#REF!,Locaties[],3,FALSE),0)</f>
        <v>0</v>
      </c>
      <c r="AB977" s="87">
        <f>Ruimtestaat[[#This Row],[Uitvoeringen weekend]]*Ruimtestaat[[#This Row],[Oppervlak (netto)]]</f>
        <v>0</v>
      </c>
      <c r="AC977" s="90">
        <f>IF(AB977&gt;0,Ruimtestaat[[#This Row],[Prest. (m2 /jaar) weekend]]/Ruimtestaat[[#This Row],[Norm (m2/uur) weekend]],0)</f>
        <v>0</v>
      </c>
      <c r="AD977" s="91">
        <f>Ruimtestaat[[#This Row],[uren / jaar weekend]]*Tariefsopbouw!$D$40</f>
        <v>0</v>
      </c>
      <c r="AE977" s="60">
        <f>Ruimtestaat[[#This Row],[Prest. (m2 /jaar) weekend]]+Ruimtestaat[[#This Row],[Prest. (m2 /jaar) werkdagen]]</f>
        <v>4628.3999999999996</v>
      </c>
      <c r="AF977" s="60">
        <f>Ruimtestaat[[#This Row],[uren / jaar weekend]]+Ruimtestaat[[#This Row],[uren / jaar werkdagen]]</f>
        <v>0</v>
      </c>
      <c r="AG977" s="61">
        <f>Ruimtestaat[[#This Row],[kosten / jaar weekend]]+Ruimtestaat[[#This Row],[kosten / jaar werkdagen]]</f>
        <v>0</v>
      </c>
      <c r="AH977" s="92"/>
      <c r="HL977" s="59"/>
    </row>
    <row r="978" spans="1:220">
      <c r="A978" s="24">
        <v>6</v>
      </c>
      <c r="B978" s="24" t="str">
        <f>VLOOKUP(Ruimtestaat[[#This Row],[Code]],Locaties[#All],2,FALSE)</f>
        <v>Marke Noord</v>
      </c>
      <c r="C978" s="24" t="str">
        <f>VLOOKUP(Ruimtestaat[[#This Row],[Code]],Locaties[#All],4,FALSE)</f>
        <v>Lebuïnuslaan 1</v>
      </c>
      <c r="D978" s="24" t="str">
        <f>VLOOKUP(Ruimtestaat[[#This Row],[Code]],Locaties[#All],5,FALSE)</f>
        <v>7415 DM</v>
      </c>
      <c r="E978" s="24" t="str">
        <f>VLOOKUP(Ruimtestaat[[#This Row],[Code]],Locaties[#All],6,FALSE)</f>
        <v>Deventer</v>
      </c>
      <c r="F978" s="54"/>
      <c r="G978" s="24" t="s">
        <v>512</v>
      </c>
      <c r="H978" s="24" t="s">
        <v>1223</v>
      </c>
      <c r="I978" s="4" t="s">
        <v>1010</v>
      </c>
      <c r="J978" s="24">
        <v>5</v>
      </c>
      <c r="K978" s="54" t="str">
        <f>VLOOKUP(J978,Ruimtegroepen[],2,FALSE)</f>
        <v>Sanitair</v>
      </c>
      <c r="L978" s="24" t="s">
        <v>305</v>
      </c>
      <c r="M978" s="24" t="s">
        <v>400</v>
      </c>
      <c r="N978" s="83">
        <v>1.1499999999999999</v>
      </c>
      <c r="O978" s="83"/>
      <c r="P978" s="93" t="str">
        <f>LEFT(VLOOKUP(Ruimtestaat[[#This Row],[Ruimte code]],Ruimtegroepen[#All],4,1),2)</f>
        <v>Sa</v>
      </c>
      <c r="Q978" s="93"/>
      <c r="R978" s="84">
        <v>42</v>
      </c>
      <c r="S978" s="84" t="s">
        <v>316</v>
      </c>
      <c r="T978" s="85">
        <f>IF(R978&gt;0,IF(RIGHT(Ruimtestaat[[#This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78" s="85">
        <f>IF(T978&gt;0,VLOOKUP($J978,Ruimtegroepen[],3,FALSE)*VLOOKUP($L978,Vloersoorten[],3,FALSE)*VLOOKUP($S978,Frequenties[],3,FALSE)*VLOOKUP($A978,Locaties[],3,FALSE),0)</f>
        <v>0</v>
      </c>
      <c r="V978" s="86">
        <f>Ruimtestaat[[#This Row],[Uitvoeringen werkdagen]]*Ruimtestaat[[#This Row],[Oppervlak (netto)]]</f>
        <v>482.99999999999994</v>
      </c>
      <c r="W978" s="87">
        <f>IF(U978&gt;0,Ruimtestaat[[#This Row],[Prest. (m2 /jaar) werkdagen]]/Ruimtestaat[[#This Row],[Norm (m2/uur) werkdagen]],0)</f>
        <v>0</v>
      </c>
      <c r="X978" s="88">
        <f>Ruimtestaat[[#This Row],[uren / jaar werkdagen]]*Tariefsopbouw!$E$35</f>
        <v>0</v>
      </c>
      <c r="Y978" s="85"/>
      <c r="Z978" s="89">
        <f>IF(Ruimtestaat[[#This Row],[Frequentie weekend]]&gt;0,VALUE(LEFT(Y978,1))*R978,0)</f>
        <v>0</v>
      </c>
      <c r="AA978" s="85">
        <f>IF($Z978&gt;0,VLOOKUP($J978,Ruimtegroepen[],3,FALSE)*VLOOKUP($L978,Vloersoorten[],3,FALSE)*VLOOKUP($Y978,Frequenties[],3,FALSE)*VLOOKUP(#REF!,Locaties[],3,FALSE),0)</f>
        <v>0</v>
      </c>
      <c r="AB978" s="87">
        <f>Ruimtestaat[[#This Row],[Uitvoeringen weekend]]*Ruimtestaat[[#This Row],[Oppervlak (netto)]]</f>
        <v>0</v>
      </c>
      <c r="AC978" s="90">
        <f>IF(AB978&gt;0,Ruimtestaat[[#This Row],[Prest. (m2 /jaar) weekend]]/Ruimtestaat[[#This Row],[Norm (m2/uur) weekend]],0)</f>
        <v>0</v>
      </c>
      <c r="AD978" s="91">
        <f>Ruimtestaat[[#This Row],[uren / jaar weekend]]*Tariefsopbouw!$D$40</f>
        <v>0</v>
      </c>
      <c r="AE978" s="60">
        <f>Ruimtestaat[[#This Row],[Prest. (m2 /jaar) weekend]]+Ruimtestaat[[#This Row],[Prest. (m2 /jaar) werkdagen]]</f>
        <v>482.99999999999994</v>
      </c>
      <c r="AF978" s="60">
        <f>Ruimtestaat[[#This Row],[uren / jaar weekend]]+Ruimtestaat[[#This Row],[uren / jaar werkdagen]]</f>
        <v>0</v>
      </c>
      <c r="AG978" s="61">
        <f>Ruimtestaat[[#This Row],[kosten / jaar weekend]]+Ruimtestaat[[#This Row],[kosten / jaar werkdagen]]</f>
        <v>0</v>
      </c>
      <c r="AH978" s="92"/>
      <c r="HL978" s="59"/>
    </row>
    <row r="979" spans="1:220">
      <c r="A979" s="24">
        <v>6</v>
      </c>
      <c r="B979" s="24" t="str">
        <f>VLOOKUP(Ruimtestaat[[#This Row],[Code]],Locaties[#All],2,FALSE)</f>
        <v>Marke Noord</v>
      </c>
      <c r="C979" s="24" t="str">
        <f>VLOOKUP(Ruimtestaat[[#This Row],[Code]],Locaties[#All],4,FALSE)</f>
        <v>Lebuïnuslaan 1</v>
      </c>
      <c r="D979" s="24" t="str">
        <f>VLOOKUP(Ruimtestaat[[#This Row],[Code]],Locaties[#All],5,FALSE)</f>
        <v>7415 DM</v>
      </c>
      <c r="E979" s="24" t="str">
        <f>VLOOKUP(Ruimtestaat[[#This Row],[Code]],Locaties[#All],6,FALSE)</f>
        <v>Deventer</v>
      </c>
      <c r="F979" s="54"/>
      <c r="G979" s="24" t="s">
        <v>512</v>
      </c>
      <c r="H979" s="24" t="s">
        <v>523</v>
      </c>
      <c r="I979" s="4" t="s">
        <v>1380</v>
      </c>
      <c r="J979" s="24">
        <v>5</v>
      </c>
      <c r="K979" s="54" t="str">
        <f>VLOOKUP(J979,Ruimtegroepen[],2,FALSE)</f>
        <v>Sanitair</v>
      </c>
      <c r="L979" s="24" t="s">
        <v>305</v>
      </c>
      <c r="M979" s="24" t="s">
        <v>400</v>
      </c>
      <c r="N979" s="83">
        <v>9</v>
      </c>
      <c r="O979" s="83"/>
      <c r="P979" s="93" t="str">
        <f>LEFT(VLOOKUP(Ruimtestaat[[#This Row],[Ruimte code]],Ruimtegroepen[#All],4,1),2)</f>
        <v>Sa</v>
      </c>
      <c r="Q979" s="93"/>
      <c r="R979" s="84">
        <v>42</v>
      </c>
      <c r="S979" s="84" t="s">
        <v>316</v>
      </c>
      <c r="T979" s="85">
        <f>IF(R979&gt;0,IF(RIGHT(Ruimtestaat[[#This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79" s="85">
        <f>IF(T979&gt;0,VLOOKUP($J979,Ruimtegroepen[],3,FALSE)*VLOOKUP($L979,Vloersoorten[],3,FALSE)*VLOOKUP($S979,Frequenties[],3,FALSE)*VLOOKUP($A979,Locaties[],3,FALSE),0)</f>
        <v>0</v>
      </c>
      <c r="V979" s="86">
        <f>Ruimtestaat[[#This Row],[Uitvoeringen werkdagen]]*Ruimtestaat[[#This Row],[Oppervlak (netto)]]</f>
        <v>3780</v>
      </c>
      <c r="W979" s="87">
        <f>IF(U979&gt;0,Ruimtestaat[[#This Row],[Prest. (m2 /jaar) werkdagen]]/Ruimtestaat[[#This Row],[Norm (m2/uur) werkdagen]],0)</f>
        <v>0</v>
      </c>
      <c r="X979" s="88">
        <f>Ruimtestaat[[#This Row],[uren / jaar werkdagen]]*Tariefsopbouw!$E$35</f>
        <v>0</v>
      </c>
      <c r="Y979" s="85"/>
      <c r="Z979" s="89">
        <f>IF(Ruimtestaat[[#This Row],[Frequentie weekend]]&gt;0,VALUE(LEFT(Y979,1))*R979,0)</f>
        <v>0</v>
      </c>
      <c r="AA979" s="85">
        <f>IF($Z979&gt;0,VLOOKUP($J979,Ruimtegroepen[],3,FALSE)*VLOOKUP($L979,Vloersoorten[],3,FALSE)*VLOOKUP($Y979,Frequenties[],3,FALSE)*VLOOKUP(#REF!,Locaties[],3,FALSE),0)</f>
        <v>0</v>
      </c>
      <c r="AB979" s="87">
        <f>Ruimtestaat[[#This Row],[Uitvoeringen weekend]]*Ruimtestaat[[#This Row],[Oppervlak (netto)]]</f>
        <v>0</v>
      </c>
      <c r="AC979" s="90">
        <f>IF(AB979&gt;0,Ruimtestaat[[#This Row],[Prest. (m2 /jaar) weekend]]/Ruimtestaat[[#This Row],[Norm (m2/uur) weekend]],0)</f>
        <v>0</v>
      </c>
      <c r="AD979" s="91">
        <f>Ruimtestaat[[#This Row],[uren / jaar weekend]]*Tariefsopbouw!$D$40</f>
        <v>0</v>
      </c>
      <c r="AE979" s="60">
        <f>Ruimtestaat[[#This Row],[Prest. (m2 /jaar) weekend]]+Ruimtestaat[[#This Row],[Prest. (m2 /jaar) werkdagen]]</f>
        <v>3780</v>
      </c>
      <c r="AF979" s="60">
        <f>Ruimtestaat[[#This Row],[uren / jaar weekend]]+Ruimtestaat[[#This Row],[uren / jaar werkdagen]]</f>
        <v>0</v>
      </c>
      <c r="AG979" s="61">
        <f>Ruimtestaat[[#This Row],[kosten / jaar weekend]]+Ruimtestaat[[#This Row],[kosten / jaar werkdagen]]</f>
        <v>0</v>
      </c>
      <c r="AH979" s="92"/>
      <c r="HL979" s="59"/>
    </row>
    <row r="980" spans="1:220">
      <c r="A980" s="24">
        <v>6</v>
      </c>
      <c r="B980" s="24" t="str">
        <f>VLOOKUP(Ruimtestaat[[#This Row],[Code]],Locaties[#All],2,FALSE)</f>
        <v>Marke Noord</v>
      </c>
      <c r="C980" s="24" t="str">
        <f>VLOOKUP(Ruimtestaat[[#This Row],[Code]],Locaties[#All],4,FALSE)</f>
        <v>Lebuïnuslaan 1</v>
      </c>
      <c r="D980" s="24" t="str">
        <f>VLOOKUP(Ruimtestaat[[#This Row],[Code]],Locaties[#All],5,FALSE)</f>
        <v>7415 DM</v>
      </c>
      <c r="E980" s="24" t="str">
        <f>VLOOKUP(Ruimtestaat[[#This Row],[Code]],Locaties[#All],6,FALSE)</f>
        <v>Deventer</v>
      </c>
      <c r="F980" s="54"/>
      <c r="G980" s="24" t="s">
        <v>512</v>
      </c>
      <c r="H980" s="24" t="s">
        <v>1393</v>
      </c>
      <c r="I980" s="4" t="s">
        <v>691</v>
      </c>
      <c r="J980" s="24">
        <v>22</v>
      </c>
      <c r="K980" s="54" t="str">
        <f>VLOOKUP(J980,Ruimtegroepen[],2,FALSE)</f>
        <v>Niet in onderhoud</v>
      </c>
      <c r="L980" s="24" t="s">
        <v>300</v>
      </c>
      <c r="M980" s="24" t="s">
        <v>909</v>
      </c>
      <c r="N980" s="83"/>
      <c r="O980" s="83">
        <v>3.16</v>
      </c>
      <c r="P980" s="93" t="str">
        <f>LEFT(VLOOKUP(Ruimtestaat[[#This Row],[Ruimte code]],Ruimtegroepen[#All],4,1),2)</f>
        <v/>
      </c>
      <c r="Q980" s="93"/>
      <c r="R980" s="84"/>
      <c r="S980" s="84"/>
      <c r="T980" s="85">
        <f>IF(R980&gt;0,IF(RIGHT(Ruimtestaat[[#This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80" s="85">
        <f>IF(T980&gt;0,VLOOKUP($J980,Ruimtegroepen[],3,FALSE)*VLOOKUP($L980,Vloersoorten[],3,FALSE)*VLOOKUP($S980,Frequenties[],3,FALSE)*VLOOKUP($A980,Locaties[],3,FALSE),0)</f>
        <v>0</v>
      </c>
      <c r="V980" s="86">
        <f>Ruimtestaat[[#This Row],[Uitvoeringen werkdagen]]*Ruimtestaat[[#This Row],[Oppervlak (netto)]]</f>
        <v>0</v>
      </c>
      <c r="W980" s="87">
        <f>IF(U980&gt;0,Ruimtestaat[[#This Row],[Prest. (m2 /jaar) werkdagen]]/Ruimtestaat[[#This Row],[Norm (m2/uur) werkdagen]],0)</f>
        <v>0</v>
      </c>
      <c r="X980" s="88">
        <f>Ruimtestaat[[#This Row],[uren / jaar werkdagen]]*Tariefsopbouw!$E$35</f>
        <v>0</v>
      </c>
      <c r="Y980" s="85"/>
      <c r="Z980" s="89">
        <f>IF(Ruimtestaat[[#This Row],[Frequentie weekend]]&gt;0,VALUE(LEFT(Y980,1))*R980,0)</f>
        <v>0</v>
      </c>
      <c r="AA980" s="85">
        <f>IF($Z980&gt;0,VLOOKUP($J980,Ruimtegroepen[],3,FALSE)*VLOOKUP($L980,Vloersoorten[],3,FALSE)*VLOOKUP($Y980,Frequenties[],3,FALSE)*VLOOKUP(#REF!,Locaties[],3,FALSE),0)</f>
        <v>0</v>
      </c>
      <c r="AB980" s="87">
        <f>Ruimtestaat[[#This Row],[Uitvoeringen weekend]]*Ruimtestaat[[#This Row],[Oppervlak (netto)]]</f>
        <v>0</v>
      </c>
      <c r="AC980" s="90">
        <f>IF(AB980&gt;0,Ruimtestaat[[#This Row],[Prest. (m2 /jaar) weekend]]/Ruimtestaat[[#This Row],[Norm (m2/uur) weekend]],0)</f>
        <v>0</v>
      </c>
      <c r="AD980" s="91">
        <f>Ruimtestaat[[#This Row],[uren / jaar weekend]]*Tariefsopbouw!$D$40</f>
        <v>0</v>
      </c>
      <c r="AE980" s="60">
        <f>Ruimtestaat[[#This Row],[Prest. (m2 /jaar) weekend]]+Ruimtestaat[[#This Row],[Prest. (m2 /jaar) werkdagen]]</f>
        <v>0</v>
      </c>
      <c r="AF980" s="60">
        <f>Ruimtestaat[[#This Row],[uren / jaar weekend]]+Ruimtestaat[[#This Row],[uren / jaar werkdagen]]</f>
        <v>0</v>
      </c>
      <c r="AG980" s="61">
        <f>Ruimtestaat[[#This Row],[kosten / jaar weekend]]+Ruimtestaat[[#This Row],[kosten / jaar werkdagen]]</f>
        <v>0</v>
      </c>
      <c r="AH980" s="92"/>
      <c r="HL980" s="59"/>
    </row>
    <row r="981" spans="1:220">
      <c r="A981" s="24">
        <v>6</v>
      </c>
      <c r="B981" s="24" t="str">
        <f>VLOOKUP(Ruimtestaat[[#This Row],[Code]],Locaties[#All],2,FALSE)</f>
        <v>Marke Noord</v>
      </c>
      <c r="C981" s="24" t="str">
        <f>VLOOKUP(Ruimtestaat[[#This Row],[Code]],Locaties[#All],4,FALSE)</f>
        <v>Lebuïnuslaan 1</v>
      </c>
      <c r="D981" s="24" t="str">
        <f>VLOOKUP(Ruimtestaat[[#This Row],[Code]],Locaties[#All],5,FALSE)</f>
        <v>7415 DM</v>
      </c>
      <c r="E981" s="24" t="str">
        <f>VLOOKUP(Ruimtestaat[[#This Row],[Code]],Locaties[#All],6,FALSE)</f>
        <v>Deventer</v>
      </c>
      <c r="F981" s="54"/>
      <c r="G981" s="24" t="s">
        <v>512</v>
      </c>
      <c r="H981" s="24" t="s">
        <v>1394</v>
      </c>
      <c r="I981" s="4" t="s">
        <v>1395</v>
      </c>
      <c r="J981" s="24">
        <v>22</v>
      </c>
      <c r="K981" s="54" t="str">
        <f>VLOOKUP(J981,Ruimtegroepen[],2,FALSE)</f>
        <v>Niet in onderhoud</v>
      </c>
      <c r="L981" s="24" t="s">
        <v>300</v>
      </c>
      <c r="M981" s="24" t="s">
        <v>909</v>
      </c>
      <c r="N981" s="83"/>
      <c r="O981" s="83">
        <v>10.23</v>
      </c>
      <c r="P981" s="93" t="str">
        <f>LEFT(VLOOKUP(Ruimtestaat[[#This Row],[Ruimte code]],Ruimtegroepen[#All],4,1),2)</f>
        <v/>
      </c>
      <c r="Q981" s="93"/>
      <c r="R981" s="84"/>
      <c r="S981" s="84"/>
      <c r="T981" s="85">
        <f>IF(R981&gt;0,IF(RIGHT(Ruimtestaat[[#This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81" s="85">
        <f>IF(T981&gt;0,VLOOKUP($J981,Ruimtegroepen[],3,FALSE)*VLOOKUP($L981,Vloersoorten[],3,FALSE)*VLOOKUP($S981,Frequenties[],3,FALSE)*VLOOKUP($A981,Locaties[],3,FALSE),0)</f>
        <v>0</v>
      </c>
      <c r="V981" s="86">
        <f>Ruimtestaat[[#This Row],[Uitvoeringen werkdagen]]*Ruimtestaat[[#This Row],[Oppervlak (netto)]]</f>
        <v>0</v>
      </c>
      <c r="W981" s="87">
        <f>IF(U981&gt;0,Ruimtestaat[[#This Row],[Prest. (m2 /jaar) werkdagen]]/Ruimtestaat[[#This Row],[Norm (m2/uur) werkdagen]],0)</f>
        <v>0</v>
      </c>
      <c r="X981" s="88">
        <f>Ruimtestaat[[#This Row],[uren / jaar werkdagen]]*Tariefsopbouw!$E$35</f>
        <v>0</v>
      </c>
      <c r="Y981" s="85"/>
      <c r="Z981" s="89">
        <f>IF(Ruimtestaat[[#This Row],[Frequentie weekend]]&gt;0,VALUE(LEFT(Y981,1))*R981,0)</f>
        <v>0</v>
      </c>
      <c r="AA981" s="85">
        <f>IF($Z981&gt;0,VLOOKUP($J981,Ruimtegroepen[],3,FALSE)*VLOOKUP($L981,Vloersoorten[],3,FALSE)*VLOOKUP($Y981,Frequenties[],3,FALSE)*VLOOKUP(#REF!,Locaties[],3,FALSE),0)</f>
        <v>0</v>
      </c>
      <c r="AB981" s="87">
        <f>Ruimtestaat[[#This Row],[Uitvoeringen weekend]]*Ruimtestaat[[#This Row],[Oppervlak (netto)]]</f>
        <v>0</v>
      </c>
      <c r="AC981" s="90">
        <f>IF(AB981&gt;0,Ruimtestaat[[#This Row],[Prest. (m2 /jaar) weekend]]/Ruimtestaat[[#This Row],[Norm (m2/uur) weekend]],0)</f>
        <v>0</v>
      </c>
      <c r="AD981" s="91">
        <f>Ruimtestaat[[#This Row],[uren / jaar weekend]]*Tariefsopbouw!$D$40</f>
        <v>0</v>
      </c>
      <c r="AE981" s="60">
        <f>Ruimtestaat[[#This Row],[Prest. (m2 /jaar) weekend]]+Ruimtestaat[[#This Row],[Prest. (m2 /jaar) werkdagen]]</f>
        <v>0</v>
      </c>
      <c r="AF981" s="60">
        <f>Ruimtestaat[[#This Row],[uren / jaar weekend]]+Ruimtestaat[[#This Row],[uren / jaar werkdagen]]</f>
        <v>0</v>
      </c>
      <c r="AG981" s="61">
        <f>Ruimtestaat[[#This Row],[kosten / jaar weekend]]+Ruimtestaat[[#This Row],[kosten / jaar werkdagen]]</f>
        <v>0</v>
      </c>
      <c r="AH981" s="92"/>
      <c r="HL981" s="59"/>
    </row>
    <row r="982" spans="1:220">
      <c r="A982" s="24">
        <v>6</v>
      </c>
      <c r="B982" s="24" t="str">
        <f>VLOOKUP(Ruimtestaat[[#This Row],[Code]],Locaties[#All],2,FALSE)</f>
        <v>Marke Noord</v>
      </c>
      <c r="C982" s="24" t="str">
        <f>VLOOKUP(Ruimtestaat[[#This Row],[Code]],Locaties[#All],4,FALSE)</f>
        <v>Lebuïnuslaan 1</v>
      </c>
      <c r="D982" s="24" t="str">
        <f>VLOOKUP(Ruimtestaat[[#This Row],[Code]],Locaties[#All],5,FALSE)</f>
        <v>7415 DM</v>
      </c>
      <c r="E982" s="24" t="str">
        <f>VLOOKUP(Ruimtestaat[[#This Row],[Code]],Locaties[#All],6,FALSE)</f>
        <v>Deventer</v>
      </c>
      <c r="F982" s="54"/>
      <c r="G982" s="24" t="s">
        <v>512</v>
      </c>
      <c r="H982" s="24" t="s">
        <v>1396</v>
      </c>
      <c r="I982" s="4" t="s">
        <v>1010</v>
      </c>
      <c r="J982" s="24">
        <v>5</v>
      </c>
      <c r="K982" s="54" t="str">
        <f>VLOOKUP(J982,Ruimtegroepen[],2,FALSE)</f>
        <v>Sanitair</v>
      </c>
      <c r="L982" s="24" t="s">
        <v>305</v>
      </c>
      <c r="M982" s="24" t="s">
        <v>400</v>
      </c>
      <c r="N982" s="83">
        <v>1.19</v>
      </c>
      <c r="O982" s="83"/>
      <c r="P982" s="93" t="str">
        <f>LEFT(VLOOKUP(Ruimtestaat[[#This Row],[Ruimte code]],Ruimtegroepen[#All],4,1),2)</f>
        <v>Sa</v>
      </c>
      <c r="Q982" s="93"/>
      <c r="R982" s="84">
        <v>42</v>
      </c>
      <c r="S982" s="84" t="s">
        <v>316</v>
      </c>
      <c r="T982" s="85">
        <f>IF(R982&gt;0,IF(RIGHT(Ruimtestaat[[#This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2" s="85">
        <f>IF(T982&gt;0,VLOOKUP($J982,Ruimtegroepen[],3,FALSE)*VLOOKUP($L982,Vloersoorten[],3,FALSE)*VLOOKUP($S982,Frequenties[],3,FALSE)*VLOOKUP($A982,Locaties[],3,FALSE),0)</f>
        <v>0</v>
      </c>
      <c r="V982" s="86">
        <f>Ruimtestaat[[#This Row],[Uitvoeringen werkdagen]]*Ruimtestaat[[#This Row],[Oppervlak (netto)]]</f>
        <v>499.79999999999995</v>
      </c>
      <c r="W982" s="87">
        <f>IF(U982&gt;0,Ruimtestaat[[#This Row],[Prest. (m2 /jaar) werkdagen]]/Ruimtestaat[[#This Row],[Norm (m2/uur) werkdagen]],0)</f>
        <v>0</v>
      </c>
      <c r="X982" s="88">
        <f>Ruimtestaat[[#This Row],[uren / jaar werkdagen]]*Tariefsopbouw!$E$35</f>
        <v>0</v>
      </c>
      <c r="Y982" s="85"/>
      <c r="Z982" s="89">
        <f>IF(Ruimtestaat[[#This Row],[Frequentie weekend]]&gt;0,VALUE(LEFT(Y982,1))*R982,0)</f>
        <v>0</v>
      </c>
      <c r="AA982" s="85">
        <f>IF($Z982&gt;0,VLOOKUP($J982,Ruimtegroepen[],3,FALSE)*VLOOKUP($L982,Vloersoorten[],3,FALSE)*VLOOKUP($Y982,Frequenties[],3,FALSE)*VLOOKUP(#REF!,Locaties[],3,FALSE),0)</f>
        <v>0</v>
      </c>
      <c r="AB982" s="87">
        <f>Ruimtestaat[[#This Row],[Uitvoeringen weekend]]*Ruimtestaat[[#This Row],[Oppervlak (netto)]]</f>
        <v>0</v>
      </c>
      <c r="AC982" s="90">
        <f>IF(AB982&gt;0,Ruimtestaat[[#This Row],[Prest. (m2 /jaar) weekend]]/Ruimtestaat[[#This Row],[Norm (m2/uur) weekend]],0)</f>
        <v>0</v>
      </c>
      <c r="AD982" s="91">
        <f>Ruimtestaat[[#This Row],[uren / jaar weekend]]*Tariefsopbouw!$D$40</f>
        <v>0</v>
      </c>
      <c r="AE982" s="60">
        <f>Ruimtestaat[[#This Row],[Prest. (m2 /jaar) weekend]]+Ruimtestaat[[#This Row],[Prest. (m2 /jaar) werkdagen]]</f>
        <v>499.79999999999995</v>
      </c>
      <c r="AF982" s="60">
        <f>Ruimtestaat[[#This Row],[uren / jaar weekend]]+Ruimtestaat[[#This Row],[uren / jaar werkdagen]]</f>
        <v>0</v>
      </c>
      <c r="AG982" s="61">
        <f>Ruimtestaat[[#This Row],[kosten / jaar weekend]]+Ruimtestaat[[#This Row],[kosten / jaar werkdagen]]</f>
        <v>0</v>
      </c>
      <c r="AH982" s="92"/>
      <c r="HL982" s="59"/>
    </row>
    <row r="983" spans="1:220">
      <c r="A983" s="24">
        <v>6</v>
      </c>
      <c r="B983" s="24" t="str">
        <f>VLOOKUP(Ruimtestaat[[#This Row],[Code]],Locaties[#All],2,FALSE)</f>
        <v>Marke Noord</v>
      </c>
      <c r="C983" s="24" t="str">
        <f>VLOOKUP(Ruimtestaat[[#This Row],[Code]],Locaties[#All],4,FALSE)</f>
        <v>Lebuïnuslaan 1</v>
      </c>
      <c r="D983" s="24" t="str">
        <f>VLOOKUP(Ruimtestaat[[#This Row],[Code]],Locaties[#All],5,FALSE)</f>
        <v>7415 DM</v>
      </c>
      <c r="E983" s="24" t="str">
        <f>VLOOKUP(Ruimtestaat[[#This Row],[Code]],Locaties[#All],6,FALSE)</f>
        <v>Deventer</v>
      </c>
      <c r="F983" s="54"/>
      <c r="G983" s="24" t="s">
        <v>512</v>
      </c>
      <c r="H983" s="24" t="s">
        <v>1397</v>
      </c>
      <c r="I983" s="4" t="s">
        <v>1010</v>
      </c>
      <c r="J983" s="24">
        <v>5</v>
      </c>
      <c r="K983" s="54" t="str">
        <f>VLOOKUP(J983,Ruimtegroepen[],2,FALSE)</f>
        <v>Sanitair</v>
      </c>
      <c r="L983" s="24" t="s">
        <v>305</v>
      </c>
      <c r="M983" s="24" t="s">
        <v>400</v>
      </c>
      <c r="N983" s="83">
        <v>1.19</v>
      </c>
      <c r="O983" s="83"/>
      <c r="P983" s="93" t="str">
        <f>LEFT(VLOOKUP(Ruimtestaat[[#This Row],[Ruimte code]],Ruimtegroepen[#All],4,1),2)</f>
        <v>Sa</v>
      </c>
      <c r="Q983" s="93"/>
      <c r="R983" s="84">
        <v>42</v>
      </c>
      <c r="S983" s="84" t="s">
        <v>316</v>
      </c>
      <c r="T983" s="85">
        <f>IF(R983&gt;0,IF(RIGHT(Ruimtestaat[[#This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3" s="85">
        <f>IF(T983&gt;0,VLOOKUP($J983,Ruimtegroepen[],3,FALSE)*VLOOKUP($L983,Vloersoorten[],3,FALSE)*VLOOKUP($S983,Frequenties[],3,FALSE)*VLOOKUP($A983,Locaties[],3,FALSE),0)</f>
        <v>0</v>
      </c>
      <c r="V983" s="86">
        <f>Ruimtestaat[[#This Row],[Uitvoeringen werkdagen]]*Ruimtestaat[[#This Row],[Oppervlak (netto)]]</f>
        <v>499.79999999999995</v>
      </c>
      <c r="W983" s="87">
        <f>IF(U983&gt;0,Ruimtestaat[[#This Row],[Prest. (m2 /jaar) werkdagen]]/Ruimtestaat[[#This Row],[Norm (m2/uur) werkdagen]],0)</f>
        <v>0</v>
      </c>
      <c r="X983" s="88">
        <f>Ruimtestaat[[#This Row],[uren / jaar werkdagen]]*Tariefsopbouw!$E$35</f>
        <v>0</v>
      </c>
      <c r="Y983" s="85"/>
      <c r="Z983" s="89">
        <f>IF(Ruimtestaat[[#This Row],[Frequentie weekend]]&gt;0,VALUE(LEFT(Y983,1))*R983,0)</f>
        <v>0</v>
      </c>
      <c r="AA983" s="85">
        <f>IF($Z983&gt;0,VLOOKUP($J983,Ruimtegroepen[],3,FALSE)*VLOOKUP($L983,Vloersoorten[],3,FALSE)*VLOOKUP($Y983,Frequenties[],3,FALSE)*VLOOKUP(#REF!,Locaties[],3,FALSE),0)</f>
        <v>0</v>
      </c>
      <c r="AB983" s="87">
        <f>Ruimtestaat[[#This Row],[Uitvoeringen weekend]]*Ruimtestaat[[#This Row],[Oppervlak (netto)]]</f>
        <v>0</v>
      </c>
      <c r="AC983" s="90">
        <f>IF(AB983&gt;0,Ruimtestaat[[#This Row],[Prest. (m2 /jaar) weekend]]/Ruimtestaat[[#This Row],[Norm (m2/uur) weekend]],0)</f>
        <v>0</v>
      </c>
      <c r="AD983" s="91">
        <f>Ruimtestaat[[#This Row],[uren / jaar weekend]]*Tariefsopbouw!$D$40</f>
        <v>0</v>
      </c>
      <c r="AE983" s="60">
        <f>Ruimtestaat[[#This Row],[Prest. (m2 /jaar) weekend]]+Ruimtestaat[[#This Row],[Prest. (m2 /jaar) werkdagen]]</f>
        <v>499.79999999999995</v>
      </c>
      <c r="AF983" s="60">
        <f>Ruimtestaat[[#This Row],[uren / jaar weekend]]+Ruimtestaat[[#This Row],[uren / jaar werkdagen]]</f>
        <v>0</v>
      </c>
      <c r="AG983" s="61">
        <f>Ruimtestaat[[#This Row],[kosten / jaar weekend]]+Ruimtestaat[[#This Row],[kosten / jaar werkdagen]]</f>
        <v>0</v>
      </c>
      <c r="AH983" s="92"/>
      <c r="HL983" s="59"/>
    </row>
    <row r="984" spans="1:220">
      <c r="A984" s="24">
        <v>6</v>
      </c>
      <c r="B984" s="24" t="str">
        <f>VLOOKUP(Ruimtestaat[[#This Row],[Code]],Locaties[#All],2,FALSE)</f>
        <v>Marke Noord</v>
      </c>
      <c r="C984" s="24" t="str">
        <f>VLOOKUP(Ruimtestaat[[#This Row],[Code]],Locaties[#All],4,FALSE)</f>
        <v>Lebuïnuslaan 1</v>
      </c>
      <c r="D984" s="24" t="str">
        <f>VLOOKUP(Ruimtestaat[[#This Row],[Code]],Locaties[#All],5,FALSE)</f>
        <v>7415 DM</v>
      </c>
      <c r="E984" s="24" t="str">
        <f>VLOOKUP(Ruimtestaat[[#This Row],[Code]],Locaties[#All],6,FALSE)</f>
        <v>Deventer</v>
      </c>
      <c r="F984" s="54"/>
      <c r="G984" s="24" t="s">
        <v>512</v>
      </c>
      <c r="H984" s="24" t="s">
        <v>1398</v>
      </c>
      <c r="I984" s="4" t="s">
        <v>1010</v>
      </c>
      <c r="J984" s="24">
        <v>5</v>
      </c>
      <c r="K984" s="54" t="str">
        <f>VLOOKUP(J984,Ruimtegroepen[],2,FALSE)</f>
        <v>Sanitair</v>
      </c>
      <c r="L984" s="24" t="s">
        <v>305</v>
      </c>
      <c r="M984" s="24" t="s">
        <v>400</v>
      </c>
      <c r="N984" s="83">
        <v>1.19</v>
      </c>
      <c r="O984" s="83"/>
      <c r="P984" s="93" t="str">
        <f>LEFT(VLOOKUP(Ruimtestaat[[#This Row],[Ruimte code]],Ruimtegroepen[#All],4,1),2)</f>
        <v>Sa</v>
      </c>
      <c r="Q984" s="93"/>
      <c r="R984" s="84">
        <v>42</v>
      </c>
      <c r="S984" s="84" t="s">
        <v>316</v>
      </c>
      <c r="T984" s="85">
        <f>IF(R984&gt;0,IF(RIGHT(Ruimtestaat[[#This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4" s="85">
        <f>IF(T984&gt;0,VLOOKUP($J984,Ruimtegroepen[],3,FALSE)*VLOOKUP($L984,Vloersoorten[],3,FALSE)*VLOOKUP($S984,Frequenties[],3,FALSE)*VLOOKUP($A984,Locaties[],3,FALSE),0)</f>
        <v>0</v>
      </c>
      <c r="V984" s="86">
        <f>Ruimtestaat[[#This Row],[Uitvoeringen werkdagen]]*Ruimtestaat[[#This Row],[Oppervlak (netto)]]</f>
        <v>499.79999999999995</v>
      </c>
      <c r="W984" s="87">
        <f>IF(U984&gt;0,Ruimtestaat[[#This Row],[Prest. (m2 /jaar) werkdagen]]/Ruimtestaat[[#This Row],[Norm (m2/uur) werkdagen]],0)</f>
        <v>0</v>
      </c>
      <c r="X984" s="88">
        <f>Ruimtestaat[[#This Row],[uren / jaar werkdagen]]*Tariefsopbouw!$E$35</f>
        <v>0</v>
      </c>
      <c r="Y984" s="85"/>
      <c r="Z984" s="89">
        <f>IF(Ruimtestaat[[#This Row],[Frequentie weekend]]&gt;0,VALUE(LEFT(Y984,1))*R984,0)</f>
        <v>0</v>
      </c>
      <c r="AA984" s="85">
        <f>IF($Z984&gt;0,VLOOKUP($J984,Ruimtegroepen[],3,FALSE)*VLOOKUP($L984,Vloersoorten[],3,FALSE)*VLOOKUP($Y984,Frequenties[],3,FALSE)*VLOOKUP(#REF!,Locaties[],3,FALSE),0)</f>
        <v>0</v>
      </c>
      <c r="AB984" s="87">
        <f>Ruimtestaat[[#This Row],[Uitvoeringen weekend]]*Ruimtestaat[[#This Row],[Oppervlak (netto)]]</f>
        <v>0</v>
      </c>
      <c r="AC984" s="90">
        <f>IF(AB984&gt;0,Ruimtestaat[[#This Row],[Prest. (m2 /jaar) weekend]]/Ruimtestaat[[#This Row],[Norm (m2/uur) weekend]],0)</f>
        <v>0</v>
      </c>
      <c r="AD984" s="91">
        <f>Ruimtestaat[[#This Row],[uren / jaar weekend]]*Tariefsopbouw!$D$40</f>
        <v>0</v>
      </c>
      <c r="AE984" s="60">
        <f>Ruimtestaat[[#This Row],[Prest. (m2 /jaar) weekend]]+Ruimtestaat[[#This Row],[Prest. (m2 /jaar) werkdagen]]</f>
        <v>499.79999999999995</v>
      </c>
      <c r="AF984" s="60">
        <f>Ruimtestaat[[#This Row],[uren / jaar weekend]]+Ruimtestaat[[#This Row],[uren / jaar werkdagen]]</f>
        <v>0</v>
      </c>
      <c r="AG984" s="61">
        <f>Ruimtestaat[[#This Row],[kosten / jaar weekend]]+Ruimtestaat[[#This Row],[kosten / jaar werkdagen]]</f>
        <v>0</v>
      </c>
      <c r="AH984" s="92"/>
      <c r="HL984" s="59"/>
    </row>
    <row r="985" spans="1:220">
      <c r="A985" s="24">
        <v>6</v>
      </c>
      <c r="B985" s="24" t="str">
        <f>VLOOKUP(Ruimtestaat[[#This Row],[Code]],Locaties[#All],2,FALSE)</f>
        <v>Marke Noord</v>
      </c>
      <c r="C985" s="24" t="str">
        <f>VLOOKUP(Ruimtestaat[[#This Row],[Code]],Locaties[#All],4,FALSE)</f>
        <v>Lebuïnuslaan 1</v>
      </c>
      <c r="D985" s="24" t="str">
        <f>VLOOKUP(Ruimtestaat[[#This Row],[Code]],Locaties[#All],5,FALSE)</f>
        <v>7415 DM</v>
      </c>
      <c r="E985" s="24" t="str">
        <f>VLOOKUP(Ruimtestaat[[#This Row],[Code]],Locaties[#All],6,FALSE)</f>
        <v>Deventer</v>
      </c>
      <c r="F985" s="54"/>
      <c r="G985" s="24" t="s">
        <v>512</v>
      </c>
      <c r="H985" s="24" t="s">
        <v>1399</v>
      </c>
      <c r="I985" s="4" t="s">
        <v>1010</v>
      </c>
      <c r="J985" s="24">
        <v>5</v>
      </c>
      <c r="K985" s="54" t="str">
        <f>VLOOKUP(J985,Ruimtegroepen[],2,FALSE)</f>
        <v>Sanitair</v>
      </c>
      <c r="L985" s="24" t="s">
        <v>305</v>
      </c>
      <c r="M985" s="24" t="s">
        <v>400</v>
      </c>
      <c r="N985" s="83">
        <v>0.9</v>
      </c>
      <c r="O985" s="83"/>
      <c r="P985" s="93" t="str">
        <f>LEFT(VLOOKUP(Ruimtestaat[[#This Row],[Ruimte code]],Ruimtegroepen[#All],4,1),2)</f>
        <v>Sa</v>
      </c>
      <c r="Q985" s="93"/>
      <c r="R985" s="84">
        <v>42</v>
      </c>
      <c r="S985" s="84" t="s">
        <v>316</v>
      </c>
      <c r="T985" s="85">
        <f>IF(R985&gt;0,IF(RIGHT(Ruimtestaat[[#This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5" s="85">
        <f>IF(T985&gt;0,VLOOKUP($J985,Ruimtegroepen[],3,FALSE)*VLOOKUP($L985,Vloersoorten[],3,FALSE)*VLOOKUP($S985,Frequenties[],3,FALSE)*VLOOKUP($A985,Locaties[],3,FALSE),0)</f>
        <v>0</v>
      </c>
      <c r="V985" s="86">
        <f>Ruimtestaat[[#This Row],[Uitvoeringen werkdagen]]*Ruimtestaat[[#This Row],[Oppervlak (netto)]]</f>
        <v>378</v>
      </c>
      <c r="W985" s="87">
        <f>IF(U985&gt;0,Ruimtestaat[[#This Row],[Prest. (m2 /jaar) werkdagen]]/Ruimtestaat[[#This Row],[Norm (m2/uur) werkdagen]],0)</f>
        <v>0</v>
      </c>
      <c r="X985" s="88">
        <f>Ruimtestaat[[#This Row],[uren / jaar werkdagen]]*Tariefsopbouw!$E$35</f>
        <v>0</v>
      </c>
      <c r="Y985" s="85"/>
      <c r="Z985" s="89">
        <f>IF(Ruimtestaat[[#This Row],[Frequentie weekend]]&gt;0,VALUE(LEFT(Y985,1))*R985,0)</f>
        <v>0</v>
      </c>
      <c r="AA985" s="85">
        <f>IF($Z985&gt;0,VLOOKUP($J985,Ruimtegroepen[],3,FALSE)*VLOOKUP($L985,Vloersoorten[],3,FALSE)*VLOOKUP($Y985,Frequenties[],3,FALSE)*VLOOKUP(#REF!,Locaties[],3,FALSE),0)</f>
        <v>0</v>
      </c>
      <c r="AB985" s="87">
        <f>Ruimtestaat[[#This Row],[Uitvoeringen weekend]]*Ruimtestaat[[#This Row],[Oppervlak (netto)]]</f>
        <v>0</v>
      </c>
      <c r="AC985" s="90">
        <f>IF(AB985&gt;0,Ruimtestaat[[#This Row],[Prest. (m2 /jaar) weekend]]/Ruimtestaat[[#This Row],[Norm (m2/uur) weekend]],0)</f>
        <v>0</v>
      </c>
      <c r="AD985" s="91">
        <f>Ruimtestaat[[#This Row],[uren / jaar weekend]]*Tariefsopbouw!$D$40</f>
        <v>0</v>
      </c>
      <c r="AE985" s="60">
        <f>Ruimtestaat[[#This Row],[Prest. (m2 /jaar) weekend]]+Ruimtestaat[[#This Row],[Prest. (m2 /jaar) werkdagen]]</f>
        <v>378</v>
      </c>
      <c r="AF985" s="60">
        <f>Ruimtestaat[[#This Row],[uren / jaar weekend]]+Ruimtestaat[[#This Row],[uren / jaar werkdagen]]</f>
        <v>0</v>
      </c>
      <c r="AG985" s="61">
        <f>Ruimtestaat[[#This Row],[kosten / jaar weekend]]+Ruimtestaat[[#This Row],[kosten / jaar werkdagen]]</f>
        <v>0</v>
      </c>
      <c r="AH985" s="92"/>
      <c r="HL985" s="59"/>
    </row>
    <row r="986" spans="1:220">
      <c r="A986" s="24">
        <v>6</v>
      </c>
      <c r="B986" s="24" t="str">
        <f>VLOOKUP(Ruimtestaat[[#This Row],[Code]],Locaties[#All],2,FALSE)</f>
        <v>Marke Noord</v>
      </c>
      <c r="C986" s="24" t="str">
        <f>VLOOKUP(Ruimtestaat[[#This Row],[Code]],Locaties[#All],4,FALSE)</f>
        <v>Lebuïnuslaan 1</v>
      </c>
      <c r="D986" s="24" t="str">
        <f>VLOOKUP(Ruimtestaat[[#This Row],[Code]],Locaties[#All],5,FALSE)</f>
        <v>7415 DM</v>
      </c>
      <c r="E986" s="24" t="str">
        <f>VLOOKUP(Ruimtestaat[[#This Row],[Code]],Locaties[#All],6,FALSE)</f>
        <v>Deventer</v>
      </c>
      <c r="F986" s="54"/>
      <c r="G986" s="24" t="s">
        <v>512</v>
      </c>
      <c r="H986" s="24" t="s">
        <v>1400</v>
      </c>
      <c r="I986" s="4" t="s">
        <v>1010</v>
      </c>
      <c r="J986" s="24">
        <v>5</v>
      </c>
      <c r="K986" s="54" t="str">
        <f>VLOOKUP(J986,Ruimtegroepen[],2,FALSE)</f>
        <v>Sanitair</v>
      </c>
      <c r="L986" s="24" t="s">
        <v>305</v>
      </c>
      <c r="M986" s="24" t="s">
        <v>400</v>
      </c>
      <c r="N986" s="83">
        <v>0.9</v>
      </c>
      <c r="O986" s="83"/>
      <c r="P986" s="93" t="str">
        <f>LEFT(VLOOKUP(Ruimtestaat[[#This Row],[Ruimte code]],Ruimtegroepen[#All],4,1),2)</f>
        <v>Sa</v>
      </c>
      <c r="Q986" s="93"/>
      <c r="R986" s="84">
        <v>42</v>
      </c>
      <c r="S986" s="84" t="s">
        <v>316</v>
      </c>
      <c r="T986" s="85">
        <f>IF(R986&gt;0,IF(RIGHT(Ruimtestaat[[#This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6" s="85">
        <f>IF(T986&gt;0,VLOOKUP($J986,Ruimtegroepen[],3,FALSE)*VLOOKUP($L986,Vloersoorten[],3,FALSE)*VLOOKUP($S986,Frequenties[],3,FALSE)*VLOOKUP($A986,Locaties[],3,FALSE),0)</f>
        <v>0</v>
      </c>
      <c r="V986" s="86">
        <f>Ruimtestaat[[#This Row],[Uitvoeringen werkdagen]]*Ruimtestaat[[#This Row],[Oppervlak (netto)]]</f>
        <v>378</v>
      </c>
      <c r="W986" s="87">
        <f>IF(U986&gt;0,Ruimtestaat[[#This Row],[Prest. (m2 /jaar) werkdagen]]/Ruimtestaat[[#This Row],[Norm (m2/uur) werkdagen]],0)</f>
        <v>0</v>
      </c>
      <c r="X986" s="88">
        <f>Ruimtestaat[[#This Row],[uren / jaar werkdagen]]*Tariefsopbouw!$E$35</f>
        <v>0</v>
      </c>
      <c r="Y986" s="85"/>
      <c r="Z986" s="89">
        <f>IF(Ruimtestaat[[#This Row],[Frequentie weekend]]&gt;0,VALUE(LEFT(Y986,1))*R986,0)</f>
        <v>0</v>
      </c>
      <c r="AA986" s="85">
        <f>IF($Z986&gt;0,VLOOKUP($J986,Ruimtegroepen[],3,FALSE)*VLOOKUP($L986,Vloersoorten[],3,FALSE)*VLOOKUP($Y986,Frequenties[],3,FALSE)*VLOOKUP(#REF!,Locaties[],3,FALSE),0)</f>
        <v>0</v>
      </c>
      <c r="AB986" s="87">
        <f>Ruimtestaat[[#This Row],[Uitvoeringen weekend]]*Ruimtestaat[[#This Row],[Oppervlak (netto)]]</f>
        <v>0</v>
      </c>
      <c r="AC986" s="90">
        <f>IF(AB986&gt;0,Ruimtestaat[[#This Row],[Prest. (m2 /jaar) weekend]]/Ruimtestaat[[#This Row],[Norm (m2/uur) weekend]],0)</f>
        <v>0</v>
      </c>
      <c r="AD986" s="91">
        <f>Ruimtestaat[[#This Row],[uren / jaar weekend]]*Tariefsopbouw!$D$40</f>
        <v>0</v>
      </c>
      <c r="AE986" s="60">
        <f>Ruimtestaat[[#This Row],[Prest. (m2 /jaar) weekend]]+Ruimtestaat[[#This Row],[Prest. (m2 /jaar) werkdagen]]</f>
        <v>378</v>
      </c>
      <c r="AF986" s="60">
        <f>Ruimtestaat[[#This Row],[uren / jaar weekend]]+Ruimtestaat[[#This Row],[uren / jaar werkdagen]]</f>
        <v>0</v>
      </c>
      <c r="AG986" s="61">
        <f>Ruimtestaat[[#This Row],[kosten / jaar weekend]]+Ruimtestaat[[#This Row],[kosten / jaar werkdagen]]</f>
        <v>0</v>
      </c>
      <c r="AH986" s="92"/>
      <c r="HL986" s="59"/>
    </row>
    <row r="987" spans="1:220">
      <c r="A987" s="24">
        <v>6</v>
      </c>
      <c r="B987" s="24" t="str">
        <f>VLOOKUP(Ruimtestaat[[#This Row],[Code]],Locaties[#All],2,FALSE)</f>
        <v>Marke Noord</v>
      </c>
      <c r="C987" s="24" t="str">
        <f>VLOOKUP(Ruimtestaat[[#This Row],[Code]],Locaties[#All],4,FALSE)</f>
        <v>Lebuïnuslaan 1</v>
      </c>
      <c r="D987" s="24" t="str">
        <f>VLOOKUP(Ruimtestaat[[#This Row],[Code]],Locaties[#All],5,FALSE)</f>
        <v>7415 DM</v>
      </c>
      <c r="E987" s="24" t="str">
        <f>VLOOKUP(Ruimtestaat[[#This Row],[Code]],Locaties[#All],6,FALSE)</f>
        <v>Deventer</v>
      </c>
      <c r="F987" s="54"/>
      <c r="G987" s="24" t="s">
        <v>512</v>
      </c>
      <c r="H987" s="24" t="s">
        <v>1401</v>
      </c>
      <c r="I987" s="4" t="s">
        <v>1387</v>
      </c>
      <c r="J987" s="24">
        <v>22</v>
      </c>
      <c r="K987" s="54" t="str">
        <f>VLOOKUP(J987,Ruimtegroepen[],2,FALSE)</f>
        <v>Niet in onderhoud</v>
      </c>
      <c r="L987" s="24" t="s">
        <v>300</v>
      </c>
      <c r="M987" s="24" t="s">
        <v>909</v>
      </c>
      <c r="N987" s="83"/>
      <c r="O987" s="83">
        <v>2.1800000000000002</v>
      </c>
      <c r="P987" s="93" t="str">
        <f>LEFT(VLOOKUP(Ruimtestaat[[#This Row],[Ruimte code]],Ruimtegroepen[#All],4,1),2)</f>
        <v/>
      </c>
      <c r="Q987" s="93"/>
      <c r="R987" s="84"/>
      <c r="S987" s="84"/>
      <c r="T987" s="85">
        <f>IF(R987&gt;0,IF(RIGHT(Ruimtestaat[[#This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87" s="85">
        <f>IF(T987&gt;0,VLOOKUP($J987,Ruimtegroepen[],3,FALSE)*VLOOKUP($L987,Vloersoorten[],3,FALSE)*VLOOKUP($S987,Frequenties[],3,FALSE)*VLOOKUP($A987,Locaties[],3,FALSE),0)</f>
        <v>0</v>
      </c>
      <c r="V987" s="86">
        <f>Ruimtestaat[[#This Row],[Uitvoeringen werkdagen]]*Ruimtestaat[[#This Row],[Oppervlak (netto)]]</f>
        <v>0</v>
      </c>
      <c r="W987" s="87">
        <f>IF(U987&gt;0,Ruimtestaat[[#This Row],[Prest. (m2 /jaar) werkdagen]]/Ruimtestaat[[#This Row],[Norm (m2/uur) werkdagen]],0)</f>
        <v>0</v>
      </c>
      <c r="X987" s="88">
        <f>Ruimtestaat[[#This Row],[uren / jaar werkdagen]]*Tariefsopbouw!$E$35</f>
        <v>0</v>
      </c>
      <c r="Y987" s="85"/>
      <c r="Z987" s="89">
        <f>IF(Ruimtestaat[[#This Row],[Frequentie weekend]]&gt;0,VALUE(LEFT(Y987,1))*R987,0)</f>
        <v>0</v>
      </c>
      <c r="AA987" s="85">
        <f>IF($Z987&gt;0,VLOOKUP($J987,Ruimtegroepen[],3,FALSE)*VLOOKUP($L987,Vloersoorten[],3,FALSE)*VLOOKUP($Y987,Frequenties[],3,FALSE)*VLOOKUP(#REF!,Locaties[],3,FALSE),0)</f>
        <v>0</v>
      </c>
      <c r="AB987" s="87">
        <f>Ruimtestaat[[#This Row],[Uitvoeringen weekend]]*Ruimtestaat[[#This Row],[Oppervlak (netto)]]</f>
        <v>0</v>
      </c>
      <c r="AC987" s="90">
        <f>IF(AB987&gt;0,Ruimtestaat[[#This Row],[Prest. (m2 /jaar) weekend]]/Ruimtestaat[[#This Row],[Norm (m2/uur) weekend]],0)</f>
        <v>0</v>
      </c>
      <c r="AD987" s="91">
        <f>Ruimtestaat[[#This Row],[uren / jaar weekend]]*Tariefsopbouw!$D$40</f>
        <v>0</v>
      </c>
      <c r="AE987" s="60">
        <f>Ruimtestaat[[#This Row],[Prest. (m2 /jaar) weekend]]+Ruimtestaat[[#This Row],[Prest. (m2 /jaar) werkdagen]]</f>
        <v>0</v>
      </c>
      <c r="AF987" s="60">
        <f>Ruimtestaat[[#This Row],[uren / jaar weekend]]+Ruimtestaat[[#This Row],[uren / jaar werkdagen]]</f>
        <v>0</v>
      </c>
      <c r="AG987" s="61">
        <f>Ruimtestaat[[#This Row],[kosten / jaar weekend]]+Ruimtestaat[[#This Row],[kosten / jaar werkdagen]]</f>
        <v>0</v>
      </c>
      <c r="AH987" s="92"/>
      <c r="HL987" s="59"/>
    </row>
    <row r="988" spans="1:220">
      <c r="A988" s="24">
        <v>6</v>
      </c>
      <c r="B988" s="24" t="str">
        <f>VLOOKUP(Ruimtestaat[[#This Row],[Code]],Locaties[#All],2,FALSE)</f>
        <v>Marke Noord</v>
      </c>
      <c r="C988" s="24" t="str">
        <f>VLOOKUP(Ruimtestaat[[#This Row],[Code]],Locaties[#All],4,FALSE)</f>
        <v>Lebuïnuslaan 1</v>
      </c>
      <c r="D988" s="24" t="str">
        <f>VLOOKUP(Ruimtestaat[[#This Row],[Code]],Locaties[#All],5,FALSE)</f>
        <v>7415 DM</v>
      </c>
      <c r="E988" s="24" t="str">
        <f>VLOOKUP(Ruimtestaat[[#This Row],[Code]],Locaties[#All],6,FALSE)</f>
        <v>Deventer</v>
      </c>
      <c r="F988" s="54"/>
      <c r="G988" s="24" t="s">
        <v>512</v>
      </c>
      <c r="H988" s="24" t="s">
        <v>525</v>
      </c>
      <c r="I988" s="4" t="s">
        <v>941</v>
      </c>
      <c r="J988" s="24">
        <v>2</v>
      </c>
      <c r="K988" s="54" t="str">
        <f>VLOOKUP(J988,Ruimtegroepen[],2,FALSE)</f>
        <v>Kantoren</v>
      </c>
      <c r="L988" s="24" t="s">
        <v>303</v>
      </c>
      <c r="M988" s="24" t="s">
        <v>387</v>
      </c>
      <c r="N988" s="83">
        <v>27.72</v>
      </c>
      <c r="O988" s="83"/>
      <c r="P988" s="93" t="str">
        <f>LEFT(VLOOKUP(Ruimtestaat[[#This Row],[Ruimte code]],Ruimtegroepen[#All],4,1),2)</f>
        <v>Bu</v>
      </c>
      <c r="Q988" s="93"/>
      <c r="R988" s="84">
        <v>42</v>
      </c>
      <c r="S988" s="84" t="s">
        <v>322</v>
      </c>
      <c r="T988" s="85">
        <f>IF(R988&gt;0,IF(RIGHT(Ruimtestaat[[#This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88" s="85">
        <f>IF(T988&gt;0,VLOOKUP($J988,Ruimtegroepen[],3,FALSE)*VLOOKUP($L988,Vloersoorten[],3,FALSE)*VLOOKUP($S988,Frequenties[],3,FALSE)*VLOOKUP($A988,Locaties[],3,FALSE),0)</f>
        <v>0</v>
      </c>
      <c r="V988" s="86">
        <f>Ruimtestaat[[#This Row],[Uitvoeringen werkdagen]]*Ruimtestaat[[#This Row],[Oppervlak (netto)]]</f>
        <v>3492.72</v>
      </c>
      <c r="W988" s="87">
        <f>IF(U988&gt;0,Ruimtestaat[[#This Row],[Prest. (m2 /jaar) werkdagen]]/Ruimtestaat[[#This Row],[Norm (m2/uur) werkdagen]],0)</f>
        <v>0</v>
      </c>
      <c r="X988" s="88">
        <f>Ruimtestaat[[#This Row],[uren / jaar werkdagen]]*Tariefsopbouw!$E$35</f>
        <v>0</v>
      </c>
      <c r="Y988" s="85"/>
      <c r="Z988" s="89">
        <f>IF(Ruimtestaat[[#This Row],[Frequentie weekend]]&gt;0,VALUE(LEFT(Y988,1))*R988,0)</f>
        <v>0</v>
      </c>
      <c r="AA988" s="85">
        <f>IF($Z988&gt;0,VLOOKUP($J988,Ruimtegroepen[],3,FALSE)*VLOOKUP($L988,Vloersoorten[],3,FALSE)*VLOOKUP($Y988,Frequenties[],3,FALSE)*VLOOKUP(#REF!,Locaties[],3,FALSE),0)</f>
        <v>0</v>
      </c>
      <c r="AB988" s="87">
        <f>Ruimtestaat[[#This Row],[Uitvoeringen weekend]]*Ruimtestaat[[#This Row],[Oppervlak (netto)]]</f>
        <v>0</v>
      </c>
      <c r="AC988" s="90">
        <f>IF(AB988&gt;0,Ruimtestaat[[#This Row],[Prest. (m2 /jaar) weekend]]/Ruimtestaat[[#This Row],[Norm (m2/uur) weekend]],0)</f>
        <v>0</v>
      </c>
      <c r="AD988" s="91">
        <f>Ruimtestaat[[#This Row],[uren / jaar weekend]]*Tariefsopbouw!$D$40</f>
        <v>0</v>
      </c>
      <c r="AE988" s="60">
        <f>Ruimtestaat[[#This Row],[Prest. (m2 /jaar) weekend]]+Ruimtestaat[[#This Row],[Prest. (m2 /jaar) werkdagen]]</f>
        <v>3492.72</v>
      </c>
      <c r="AF988" s="60">
        <f>Ruimtestaat[[#This Row],[uren / jaar weekend]]+Ruimtestaat[[#This Row],[uren / jaar werkdagen]]</f>
        <v>0</v>
      </c>
      <c r="AG988" s="61">
        <f>Ruimtestaat[[#This Row],[kosten / jaar weekend]]+Ruimtestaat[[#This Row],[kosten / jaar werkdagen]]</f>
        <v>0</v>
      </c>
      <c r="AH988" s="92"/>
      <c r="HL988" s="59"/>
    </row>
    <row r="989" spans="1:220">
      <c r="A989" s="24">
        <v>6</v>
      </c>
      <c r="B989" s="24" t="str">
        <f>VLOOKUP(Ruimtestaat[[#This Row],[Code]],Locaties[#All],2,FALSE)</f>
        <v>Marke Noord</v>
      </c>
      <c r="C989" s="24" t="str">
        <f>VLOOKUP(Ruimtestaat[[#This Row],[Code]],Locaties[#All],4,FALSE)</f>
        <v>Lebuïnuslaan 1</v>
      </c>
      <c r="D989" s="24" t="str">
        <f>VLOOKUP(Ruimtestaat[[#This Row],[Code]],Locaties[#All],5,FALSE)</f>
        <v>7415 DM</v>
      </c>
      <c r="E989" s="24" t="str">
        <f>VLOOKUP(Ruimtestaat[[#This Row],[Code]],Locaties[#All],6,FALSE)</f>
        <v>Deventer</v>
      </c>
      <c r="F989" s="54"/>
      <c r="G989" s="24" t="s">
        <v>512</v>
      </c>
      <c r="H989" s="24" t="s">
        <v>526</v>
      </c>
      <c r="I989" s="4" t="s">
        <v>941</v>
      </c>
      <c r="J989" s="24">
        <v>2</v>
      </c>
      <c r="K989" s="54" t="str">
        <f>VLOOKUP(J989,Ruimtegroepen[],2,FALSE)</f>
        <v>Kantoren</v>
      </c>
      <c r="L989" s="24" t="s">
        <v>303</v>
      </c>
      <c r="M989" s="24" t="s">
        <v>387</v>
      </c>
      <c r="N989" s="83">
        <v>27.72</v>
      </c>
      <c r="O989" s="83"/>
      <c r="P989" s="93" t="str">
        <f>LEFT(VLOOKUP(Ruimtestaat[[#This Row],[Ruimte code]],Ruimtegroepen[#All],4,1),2)</f>
        <v>Bu</v>
      </c>
      <c r="Q989" s="93"/>
      <c r="R989" s="84">
        <v>42</v>
      </c>
      <c r="S989" s="84" t="s">
        <v>322</v>
      </c>
      <c r="T989" s="85">
        <f>IF(R989&gt;0,IF(RIGHT(Ruimtestaat[[#This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89" s="85">
        <f>IF(T989&gt;0,VLOOKUP($J989,Ruimtegroepen[],3,FALSE)*VLOOKUP($L989,Vloersoorten[],3,FALSE)*VLOOKUP($S989,Frequenties[],3,FALSE)*VLOOKUP($A989,Locaties[],3,FALSE),0)</f>
        <v>0</v>
      </c>
      <c r="V989" s="86">
        <f>Ruimtestaat[[#This Row],[Uitvoeringen werkdagen]]*Ruimtestaat[[#This Row],[Oppervlak (netto)]]</f>
        <v>3492.72</v>
      </c>
      <c r="W989" s="87">
        <f>IF(U989&gt;0,Ruimtestaat[[#This Row],[Prest. (m2 /jaar) werkdagen]]/Ruimtestaat[[#This Row],[Norm (m2/uur) werkdagen]],0)</f>
        <v>0</v>
      </c>
      <c r="X989" s="88">
        <f>Ruimtestaat[[#This Row],[uren / jaar werkdagen]]*Tariefsopbouw!$E$35</f>
        <v>0</v>
      </c>
      <c r="Y989" s="85"/>
      <c r="Z989" s="89">
        <f>IF(Ruimtestaat[[#This Row],[Frequentie weekend]]&gt;0,VALUE(LEFT(Y989,1))*R989,0)</f>
        <v>0</v>
      </c>
      <c r="AA989" s="85">
        <f>IF($Z989&gt;0,VLOOKUP($J989,Ruimtegroepen[],3,FALSE)*VLOOKUP($L989,Vloersoorten[],3,FALSE)*VLOOKUP($Y989,Frequenties[],3,FALSE)*VLOOKUP(#REF!,Locaties[],3,FALSE),0)</f>
        <v>0</v>
      </c>
      <c r="AB989" s="87">
        <f>Ruimtestaat[[#This Row],[Uitvoeringen weekend]]*Ruimtestaat[[#This Row],[Oppervlak (netto)]]</f>
        <v>0</v>
      </c>
      <c r="AC989" s="90">
        <f>IF(AB989&gt;0,Ruimtestaat[[#This Row],[Prest. (m2 /jaar) weekend]]/Ruimtestaat[[#This Row],[Norm (m2/uur) weekend]],0)</f>
        <v>0</v>
      </c>
      <c r="AD989" s="91">
        <f>Ruimtestaat[[#This Row],[uren / jaar weekend]]*Tariefsopbouw!$D$40</f>
        <v>0</v>
      </c>
      <c r="AE989" s="60">
        <f>Ruimtestaat[[#This Row],[Prest. (m2 /jaar) weekend]]+Ruimtestaat[[#This Row],[Prest. (m2 /jaar) werkdagen]]</f>
        <v>3492.72</v>
      </c>
      <c r="AF989" s="60">
        <f>Ruimtestaat[[#This Row],[uren / jaar weekend]]+Ruimtestaat[[#This Row],[uren / jaar werkdagen]]</f>
        <v>0</v>
      </c>
      <c r="AG989" s="61">
        <f>Ruimtestaat[[#This Row],[kosten / jaar weekend]]+Ruimtestaat[[#This Row],[kosten / jaar werkdagen]]</f>
        <v>0</v>
      </c>
      <c r="AH989" s="92"/>
      <c r="HL989" s="59"/>
    </row>
    <row r="990" spans="1:220">
      <c r="A990" s="24">
        <v>6</v>
      </c>
      <c r="B990" s="24" t="str">
        <f>VLOOKUP(Ruimtestaat[[#This Row],[Code]],Locaties[#All],2,FALSE)</f>
        <v>Marke Noord</v>
      </c>
      <c r="C990" s="24" t="str">
        <f>VLOOKUP(Ruimtestaat[[#This Row],[Code]],Locaties[#All],4,FALSE)</f>
        <v>Lebuïnuslaan 1</v>
      </c>
      <c r="D990" s="24" t="str">
        <f>VLOOKUP(Ruimtestaat[[#This Row],[Code]],Locaties[#All],5,FALSE)</f>
        <v>7415 DM</v>
      </c>
      <c r="E990" s="24" t="str">
        <f>VLOOKUP(Ruimtestaat[[#This Row],[Code]],Locaties[#All],6,FALSE)</f>
        <v>Deventer</v>
      </c>
      <c r="F990" s="54"/>
      <c r="G990" s="24" t="s">
        <v>512</v>
      </c>
      <c r="H990" s="24" t="s">
        <v>527</v>
      </c>
      <c r="I990" s="4" t="s">
        <v>1098</v>
      </c>
      <c r="J990" s="24">
        <v>16</v>
      </c>
      <c r="K990" s="54" t="str">
        <f>VLOOKUP(J990,Ruimtegroepen[],2,FALSE)</f>
        <v>Leslokalen theorie</v>
      </c>
      <c r="L990" s="24" t="s">
        <v>300</v>
      </c>
      <c r="M990" s="24" t="s">
        <v>909</v>
      </c>
      <c r="N990" s="83">
        <v>85.47</v>
      </c>
      <c r="O990" s="83"/>
      <c r="P990" s="93" t="str">
        <f>LEFT(VLOOKUP(Ruimtestaat[[#This Row],[Ruimte code]],Ruimtegroepen[#All],4,1),2)</f>
        <v>Le</v>
      </c>
      <c r="Q990" s="93"/>
      <c r="R990" s="84">
        <v>40</v>
      </c>
      <c r="S990" s="84" t="s">
        <v>318</v>
      </c>
      <c r="T990" s="85">
        <f>IF(R990&gt;0,IF(RIGHT(Ruimtestaat[[#This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0" s="85">
        <f>IF(T990&gt;0,VLOOKUP($J990,Ruimtegroepen[],3,FALSE)*VLOOKUP($L990,Vloersoorten[],3,FALSE)*VLOOKUP($S990,Frequenties[],3,FALSE)*VLOOKUP($A990,Locaties[],3,FALSE),0)</f>
        <v>0</v>
      </c>
      <c r="V990" s="86">
        <f>Ruimtestaat[[#This Row],[Uitvoeringen werkdagen]]*Ruimtestaat[[#This Row],[Oppervlak (netto)]]</f>
        <v>17094</v>
      </c>
      <c r="W990" s="87">
        <f>IF(U990&gt;0,Ruimtestaat[[#This Row],[Prest. (m2 /jaar) werkdagen]]/Ruimtestaat[[#This Row],[Norm (m2/uur) werkdagen]],0)</f>
        <v>0</v>
      </c>
      <c r="X990" s="88">
        <f>Ruimtestaat[[#This Row],[uren / jaar werkdagen]]*Tariefsopbouw!$E$35</f>
        <v>0</v>
      </c>
      <c r="Y990" s="85"/>
      <c r="Z990" s="89">
        <f>IF(Ruimtestaat[[#This Row],[Frequentie weekend]]&gt;0,VALUE(LEFT(Y990,1))*R990,0)</f>
        <v>0</v>
      </c>
      <c r="AA990" s="85">
        <f>IF($Z990&gt;0,VLOOKUP($J990,Ruimtegroepen[],3,FALSE)*VLOOKUP($L990,Vloersoorten[],3,FALSE)*VLOOKUP($Y990,Frequenties[],3,FALSE)*VLOOKUP(#REF!,Locaties[],3,FALSE),0)</f>
        <v>0</v>
      </c>
      <c r="AB990" s="87">
        <f>Ruimtestaat[[#This Row],[Uitvoeringen weekend]]*Ruimtestaat[[#This Row],[Oppervlak (netto)]]</f>
        <v>0</v>
      </c>
      <c r="AC990" s="90">
        <f>IF(AB990&gt;0,Ruimtestaat[[#This Row],[Prest. (m2 /jaar) weekend]]/Ruimtestaat[[#This Row],[Norm (m2/uur) weekend]],0)</f>
        <v>0</v>
      </c>
      <c r="AD990" s="91">
        <f>Ruimtestaat[[#This Row],[uren / jaar weekend]]*Tariefsopbouw!$D$40</f>
        <v>0</v>
      </c>
      <c r="AE990" s="60">
        <f>Ruimtestaat[[#This Row],[Prest. (m2 /jaar) weekend]]+Ruimtestaat[[#This Row],[Prest. (m2 /jaar) werkdagen]]</f>
        <v>17094</v>
      </c>
      <c r="AF990" s="60">
        <f>Ruimtestaat[[#This Row],[uren / jaar weekend]]+Ruimtestaat[[#This Row],[uren / jaar werkdagen]]</f>
        <v>0</v>
      </c>
      <c r="AG990" s="61">
        <f>Ruimtestaat[[#This Row],[kosten / jaar weekend]]+Ruimtestaat[[#This Row],[kosten / jaar werkdagen]]</f>
        <v>0</v>
      </c>
      <c r="AH990" s="92"/>
      <c r="HL990" s="59"/>
    </row>
    <row r="991" spans="1:220">
      <c r="A991" s="24">
        <v>6</v>
      </c>
      <c r="B991" s="24" t="str">
        <f>VLOOKUP(Ruimtestaat[[#This Row],[Code]],Locaties[#All],2,FALSE)</f>
        <v>Marke Noord</v>
      </c>
      <c r="C991" s="24" t="str">
        <f>VLOOKUP(Ruimtestaat[[#This Row],[Code]],Locaties[#All],4,FALSE)</f>
        <v>Lebuïnuslaan 1</v>
      </c>
      <c r="D991" s="24" t="str">
        <f>VLOOKUP(Ruimtestaat[[#This Row],[Code]],Locaties[#All],5,FALSE)</f>
        <v>7415 DM</v>
      </c>
      <c r="E991" s="24" t="str">
        <f>VLOOKUP(Ruimtestaat[[#This Row],[Code]],Locaties[#All],6,FALSE)</f>
        <v>Deventer</v>
      </c>
      <c r="F991" s="54"/>
      <c r="G991" s="24" t="s">
        <v>512</v>
      </c>
      <c r="H991" s="24" t="s">
        <v>1402</v>
      </c>
      <c r="I991" s="4" t="s">
        <v>1098</v>
      </c>
      <c r="J991" s="24">
        <v>16</v>
      </c>
      <c r="K991" s="54" t="str">
        <f>VLOOKUP(J991,Ruimtegroepen[],2,FALSE)</f>
        <v>Leslokalen theorie</v>
      </c>
      <c r="L991" s="24" t="s">
        <v>300</v>
      </c>
      <c r="M991" s="24" t="s">
        <v>909</v>
      </c>
      <c r="N991" s="83">
        <v>55.13</v>
      </c>
      <c r="O991" s="83"/>
      <c r="P991" s="93" t="str">
        <f>LEFT(VLOOKUP(Ruimtestaat[[#This Row],[Ruimte code]],Ruimtegroepen[#All],4,1),2)</f>
        <v>Le</v>
      </c>
      <c r="Q991" s="93"/>
      <c r="R991" s="84">
        <v>40</v>
      </c>
      <c r="S991" s="84" t="s">
        <v>318</v>
      </c>
      <c r="T991" s="85">
        <f>IF(R991&gt;0,IF(RIGHT(Ruimtestaat[[#This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1" s="85">
        <f>IF(T991&gt;0,VLOOKUP($J991,Ruimtegroepen[],3,FALSE)*VLOOKUP($L991,Vloersoorten[],3,FALSE)*VLOOKUP($S991,Frequenties[],3,FALSE)*VLOOKUP($A991,Locaties[],3,FALSE),0)</f>
        <v>0</v>
      </c>
      <c r="V991" s="86">
        <f>Ruimtestaat[[#This Row],[Uitvoeringen werkdagen]]*Ruimtestaat[[#This Row],[Oppervlak (netto)]]</f>
        <v>11026</v>
      </c>
      <c r="W991" s="87">
        <f>IF(U991&gt;0,Ruimtestaat[[#This Row],[Prest. (m2 /jaar) werkdagen]]/Ruimtestaat[[#This Row],[Norm (m2/uur) werkdagen]],0)</f>
        <v>0</v>
      </c>
      <c r="X991" s="88">
        <f>Ruimtestaat[[#This Row],[uren / jaar werkdagen]]*Tariefsopbouw!$E$35</f>
        <v>0</v>
      </c>
      <c r="Y991" s="85"/>
      <c r="Z991" s="89">
        <f>IF(Ruimtestaat[[#This Row],[Frequentie weekend]]&gt;0,VALUE(LEFT(Y991,1))*R991,0)</f>
        <v>0</v>
      </c>
      <c r="AA991" s="85">
        <f>IF($Z991&gt;0,VLOOKUP($J991,Ruimtegroepen[],3,FALSE)*VLOOKUP($L991,Vloersoorten[],3,FALSE)*VLOOKUP($Y991,Frequenties[],3,FALSE)*VLOOKUP(#REF!,Locaties[],3,FALSE),0)</f>
        <v>0</v>
      </c>
      <c r="AB991" s="87">
        <f>Ruimtestaat[[#This Row],[Uitvoeringen weekend]]*Ruimtestaat[[#This Row],[Oppervlak (netto)]]</f>
        <v>0</v>
      </c>
      <c r="AC991" s="90">
        <f>IF(AB991&gt;0,Ruimtestaat[[#This Row],[Prest. (m2 /jaar) weekend]]/Ruimtestaat[[#This Row],[Norm (m2/uur) weekend]],0)</f>
        <v>0</v>
      </c>
      <c r="AD991" s="91">
        <f>Ruimtestaat[[#This Row],[uren / jaar weekend]]*Tariefsopbouw!$D$40</f>
        <v>0</v>
      </c>
      <c r="AE991" s="60">
        <f>Ruimtestaat[[#This Row],[Prest. (m2 /jaar) weekend]]+Ruimtestaat[[#This Row],[Prest. (m2 /jaar) werkdagen]]</f>
        <v>11026</v>
      </c>
      <c r="AF991" s="60">
        <f>Ruimtestaat[[#This Row],[uren / jaar weekend]]+Ruimtestaat[[#This Row],[uren / jaar werkdagen]]</f>
        <v>0</v>
      </c>
      <c r="AG991" s="61">
        <f>Ruimtestaat[[#This Row],[kosten / jaar weekend]]+Ruimtestaat[[#This Row],[kosten / jaar werkdagen]]</f>
        <v>0</v>
      </c>
      <c r="AH991" s="92"/>
      <c r="HL991" s="59"/>
    </row>
    <row r="992" spans="1:220">
      <c r="A992" s="24">
        <v>6</v>
      </c>
      <c r="B992" s="24" t="str">
        <f>VLOOKUP(Ruimtestaat[[#This Row],[Code]],Locaties[#All],2,FALSE)</f>
        <v>Marke Noord</v>
      </c>
      <c r="C992" s="24" t="str">
        <f>VLOOKUP(Ruimtestaat[[#This Row],[Code]],Locaties[#All],4,FALSE)</f>
        <v>Lebuïnuslaan 1</v>
      </c>
      <c r="D992" s="24" t="str">
        <f>VLOOKUP(Ruimtestaat[[#This Row],[Code]],Locaties[#All],5,FALSE)</f>
        <v>7415 DM</v>
      </c>
      <c r="E992" s="24" t="str">
        <f>VLOOKUP(Ruimtestaat[[#This Row],[Code]],Locaties[#All],6,FALSE)</f>
        <v>Deventer</v>
      </c>
      <c r="F992" s="54"/>
      <c r="G992" s="24" t="s">
        <v>512</v>
      </c>
      <c r="H992" s="24" t="s">
        <v>1403</v>
      </c>
      <c r="I992" s="4" t="s">
        <v>1098</v>
      </c>
      <c r="J992" s="24">
        <v>16</v>
      </c>
      <c r="K992" s="54" t="str">
        <f>VLOOKUP(J992,Ruimtegroepen[],2,FALSE)</f>
        <v>Leslokalen theorie</v>
      </c>
      <c r="L992" s="24" t="s">
        <v>300</v>
      </c>
      <c r="M992" s="24" t="s">
        <v>909</v>
      </c>
      <c r="N992" s="83">
        <v>55.13</v>
      </c>
      <c r="O992" s="83"/>
      <c r="P992" s="93" t="str">
        <f>LEFT(VLOOKUP(Ruimtestaat[[#This Row],[Ruimte code]],Ruimtegroepen[#All],4,1),2)</f>
        <v>Le</v>
      </c>
      <c r="Q992" s="93"/>
      <c r="R992" s="84">
        <v>40</v>
      </c>
      <c r="S992" s="84" t="s">
        <v>318</v>
      </c>
      <c r="T992" s="85">
        <f>IF(R992&gt;0,IF(RIGHT(Ruimtestaat[[#This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2" s="85">
        <f>IF(T992&gt;0,VLOOKUP($J992,Ruimtegroepen[],3,FALSE)*VLOOKUP($L992,Vloersoorten[],3,FALSE)*VLOOKUP($S992,Frequenties[],3,FALSE)*VLOOKUP($A992,Locaties[],3,FALSE),0)</f>
        <v>0</v>
      </c>
      <c r="V992" s="86">
        <f>Ruimtestaat[[#This Row],[Uitvoeringen werkdagen]]*Ruimtestaat[[#This Row],[Oppervlak (netto)]]</f>
        <v>11026</v>
      </c>
      <c r="W992" s="87">
        <f>IF(U992&gt;0,Ruimtestaat[[#This Row],[Prest. (m2 /jaar) werkdagen]]/Ruimtestaat[[#This Row],[Norm (m2/uur) werkdagen]],0)</f>
        <v>0</v>
      </c>
      <c r="X992" s="88">
        <f>Ruimtestaat[[#This Row],[uren / jaar werkdagen]]*Tariefsopbouw!$E$35</f>
        <v>0</v>
      </c>
      <c r="Y992" s="85"/>
      <c r="Z992" s="89">
        <f>IF(Ruimtestaat[[#This Row],[Frequentie weekend]]&gt;0,VALUE(LEFT(Y992,1))*R992,0)</f>
        <v>0</v>
      </c>
      <c r="AA992" s="85">
        <f>IF($Z992&gt;0,VLOOKUP($J992,Ruimtegroepen[],3,FALSE)*VLOOKUP($L992,Vloersoorten[],3,FALSE)*VLOOKUP($Y992,Frequenties[],3,FALSE)*VLOOKUP(#REF!,Locaties[],3,FALSE),0)</f>
        <v>0</v>
      </c>
      <c r="AB992" s="87">
        <f>Ruimtestaat[[#This Row],[Uitvoeringen weekend]]*Ruimtestaat[[#This Row],[Oppervlak (netto)]]</f>
        <v>0</v>
      </c>
      <c r="AC992" s="90">
        <f>IF(AB992&gt;0,Ruimtestaat[[#This Row],[Prest. (m2 /jaar) weekend]]/Ruimtestaat[[#This Row],[Norm (m2/uur) weekend]],0)</f>
        <v>0</v>
      </c>
      <c r="AD992" s="91">
        <f>Ruimtestaat[[#This Row],[uren / jaar weekend]]*Tariefsopbouw!$D$40</f>
        <v>0</v>
      </c>
      <c r="AE992" s="60">
        <f>Ruimtestaat[[#This Row],[Prest. (m2 /jaar) weekend]]+Ruimtestaat[[#This Row],[Prest. (m2 /jaar) werkdagen]]</f>
        <v>11026</v>
      </c>
      <c r="AF992" s="60">
        <f>Ruimtestaat[[#This Row],[uren / jaar weekend]]+Ruimtestaat[[#This Row],[uren / jaar werkdagen]]</f>
        <v>0</v>
      </c>
      <c r="AG992" s="61">
        <f>Ruimtestaat[[#This Row],[kosten / jaar weekend]]+Ruimtestaat[[#This Row],[kosten / jaar werkdagen]]</f>
        <v>0</v>
      </c>
      <c r="AH992" s="92"/>
      <c r="HL992" s="59"/>
    </row>
    <row r="993" spans="1:220">
      <c r="A993" s="24">
        <v>6</v>
      </c>
      <c r="B993" s="24" t="str">
        <f>VLOOKUP(Ruimtestaat[[#This Row],[Code]],Locaties[#All],2,FALSE)</f>
        <v>Marke Noord</v>
      </c>
      <c r="C993" s="24" t="str">
        <f>VLOOKUP(Ruimtestaat[[#This Row],[Code]],Locaties[#All],4,FALSE)</f>
        <v>Lebuïnuslaan 1</v>
      </c>
      <c r="D993" s="24" t="str">
        <f>VLOOKUP(Ruimtestaat[[#This Row],[Code]],Locaties[#All],5,FALSE)</f>
        <v>7415 DM</v>
      </c>
      <c r="E993" s="24" t="str">
        <f>VLOOKUP(Ruimtestaat[[#This Row],[Code]],Locaties[#All],6,FALSE)</f>
        <v>Deventer</v>
      </c>
      <c r="F993" s="54"/>
      <c r="G993" s="24" t="s">
        <v>512</v>
      </c>
      <c r="H993" s="24" t="s">
        <v>1404</v>
      </c>
      <c r="I993" s="4" t="s">
        <v>1098</v>
      </c>
      <c r="J993" s="24">
        <v>16</v>
      </c>
      <c r="K993" s="54" t="str">
        <f>VLOOKUP(J993,Ruimtegroepen[],2,FALSE)</f>
        <v>Leslokalen theorie</v>
      </c>
      <c r="L993" s="24" t="s">
        <v>300</v>
      </c>
      <c r="M993" s="24" t="s">
        <v>909</v>
      </c>
      <c r="N993" s="83">
        <v>56.62</v>
      </c>
      <c r="O993" s="83"/>
      <c r="P993" s="93" t="str">
        <f>LEFT(VLOOKUP(Ruimtestaat[[#This Row],[Ruimte code]],Ruimtegroepen[#All],4,1),2)</f>
        <v>Le</v>
      </c>
      <c r="Q993" s="93"/>
      <c r="R993" s="84">
        <v>40</v>
      </c>
      <c r="S993" s="84" t="s">
        <v>318</v>
      </c>
      <c r="T993" s="85">
        <f>IF(R993&gt;0,IF(RIGHT(Ruimtestaat[[#This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3" s="85">
        <f>IF(T993&gt;0,VLOOKUP($J993,Ruimtegroepen[],3,FALSE)*VLOOKUP($L993,Vloersoorten[],3,FALSE)*VLOOKUP($S993,Frequenties[],3,FALSE)*VLOOKUP($A993,Locaties[],3,FALSE),0)</f>
        <v>0</v>
      </c>
      <c r="V993" s="86">
        <f>Ruimtestaat[[#This Row],[Uitvoeringen werkdagen]]*Ruimtestaat[[#This Row],[Oppervlak (netto)]]</f>
        <v>11324</v>
      </c>
      <c r="W993" s="87">
        <f>IF(U993&gt;0,Ruimtestaat[[#This Row],[Prest. (m2 /jaar) werkdagen]]/Ruimtestaat[[#This Row],[Norm (m2/uur) werkdagen]],0)</f>
        <v>0</v>
      </c>
      <c r="X993" s="88">
        <f>Ruimtestaat[[#This Row],[uren / jaar werkdagen]]*Tariefsopbouw!$E$35</f>
        <v>0</v>
      </c>
      <c r="Y993" s="85"/>
      <c r="Z993" s="89">
        <f>IF(Ruimtestaat[[#This Row],[Frequentie weekend]]&gt;0,VALUE(LEFT(Y993,1))*R993,0)</f>
        <v>0</v>
      </c>
      <c r="AA993" s="85">
        <f>IF($Z993&gt;0,VLOOKUP($J993,Ruimtegroepen[],3,FALSE)*VLOOKUP($L993,Vloersoorten[],3,FALSE)*VLOOKUP($Y993,Frequenties[],3,FALSE)*VLOOKUP(#REF!,Locaties[],3,FALSE),0)</f>
        <v>0</v>
      </c>
      <c r="AB993" s="87">
        <f>Ruimtestaat[[#This Row],[Uitvoeringen weekend]]*Ruimtestaat[[#This Row],[Oppervlak (netto)]]</f>
        <v>0</v>
      </c>
      <c r="AC993" s="90">
        <f>IF(AB993&gt;0,Ruimtestaat[[#This Row],[Prest. (m2 /jaar) weekend]]/Ruimtestaat[[#This Row],[Norm (m2/uur) weekend]],0)</f>
        <v>0</v>
      </c>
      <c r="AD993" s="91">
        <f>Ruimtestaat[[#This Row],[uren / jaar weekend]]*Tariefsopbouw!$D$40</f>
        <v>0</v>
      </c>
      <c r="AE993" s="60">
        <f>Ruimtestaat[[#This Row],[Prest. (m2 /jaar) weekend]]+Ruimtestaat[[#This Row],[Prest. (m2 /jaar) werkdagen]]</f>
        <v>11324</v>
      </c>
      <c r="AF993" s="60">
        <f>Ruimtestaat[[#This Row],[uren / jaar weekend]]+Ruimtestaat[[#This Row],[uren / jaar werkdagen]]</f>
        <v>0</v>
      </c>
      <c r="AG993" s="61">
        <f>Ruimtestaat[[#This Row],[kosten / jaar weekend]]+Ruimtestaat[[#This Row],[kosten / jaar werkdagen]]</f>
        <v>0</v>
      </c>
      <c r="AH993" s="92"/>
      <c r="HL993" s="59"/>
    </row>
    <row r="994" spans="1:220">
      <c r="A994" s="24">
        <v>6</v>
      </c>
      <c r="B994" s="24" t="str">
        <f>VLOOKUP(Ruimtestaat[[#This Row],[Code]],Locaties[#All],2,FALSE)</f>
        <v>Marke Noord</v>
      </c>
      <c r="C994" s="24" t="str">
        <f>VLOOKUP(Ruimtestaat[[#This Row],[Code]],Locaties[#All],4,FALSE)</f>
        <v>Lebuïnuslaan 1</v>
      </c>
      <c r="D994" s="24" t="str">
        <f>VLOOKUP(Ruimtestaat[[#This Row],[Code]],Locaties[#All],5,FALSE)</f>
        <v>7415 DM</v>
      </c>
      <c r="E994" s="24" t="str">
        <f>VLOOKUP(Ruimtestaat[[#This Row],[Code]],Locaties[#All],6,FALSE)</f>
        <v>Deventer</v>
      </c>
      <c r="F994" s="54"/>
      <c r="G994" s="24" t="s">
        <v>512</v>
      </c>
      <c r="H994" s="24" t="s">
        <v>1405</v>
      </c>
      <c r="I994" s="4" t="s">
        <v>1098</v>
      </c>
      <c r="J994" s="24">
        <v>16</v>
      </c>
      <c r="K994" s="54" t="str">
        <f>VLOOKUP(J994,Ruimtegroepen[],2,FALSE)</f>
        <v>Leslokalen theorie</v>
      </c>
      <c r="L994" s="24" t="s">
        <v>300</v>
      </c>
      <c r="M994" s="24" t="s">
        <v>909</v>
      </c>
      <c r="N994" s="83">
        <v>57</v>
      </c>
      <c r="O994" s="83"/>
      <c r="P994" s="93" t="str">
        <f>LEFT(VLOOKUP(Ruimtestaat[[#This Row],[Ruimte code]],Ruimtegroepen[#All],4,1),2)</f>
        <v>Le</v>
      </c>
      <c r="Q994" s="93"/>
      <c r="R994" s="84">
        <v>40</v>
      </c>
      <c r="S994" s="84" t="s">
        <v>318</v>
      </c>
      <c r="T994" s="85">
        <f>IF(R994&gt;0,IF(RIGHT(Ruimtestaat[[#This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4" s="85">
        <f>IF(T994&gt;0,VLOOKUP($J994,Ruimtegroepen[],3,FALSE)*VLOOKUP($L994,Vloersoorten[],3,FALSE)*VLOOKUP($S994,Frequenties[],3,FALSE)*VLOOKUP($A994,Locaties[],3,FALSE),0)</f>
        <v>0</v>
      </c>
      <c r="V994" s="86">
        <f>Ruimtestaat[[#This Row],[Uitvoeringen werkdagen]]*Ruimtestaat[[#This Row],[Oppervlak (netto)]]</f>
        <v>11400</v>
      </c>
      <c r="W994" s="87">
        <f>IF(U994&gt;0,Ruimtestaat[[#This Row],[Prest. (m2 /jaar) werkdagen]]/Ruimtestaat[[#This Row],[Norm (m2/uur) werkdagen]],0)</f>
        <v>0</v>
      </c>
      <c r="X994" s="88">
        <f>Ruimtestaat[[#This Row],[uren / jaar werkdagen]]*Tariefsopbouw!$E$35</f>
        <v>0</v>
      </c>
      <c r="Y994" s="85"/>
      <c r="Z994" s="89">
        <f>IF(Ruimtestaat[[#This Row],[Frequentie weekend]]&gt;0,VALUE(LEFT(Y994,1))*R994,0)</f>
        <v>0</v>
      </c>
      <c r="AA994" s="85">
        <f>IF($Z994&gt;0,VLOOKUP($J994,Ruimtegroepen[],3,FALSE)*VLOOKUP($L994,Vloersoorten[],3,FALSE)*VLOOKUP($Y994,Frequenties[],3,FALSE)*VLOOKUP(#REF!,Locaties[],3,FALSE),0)</f>
        <v>0</v>
      </c>
      <c r="AB994" s="87">
        <f>Ruimtestaat[[#This Row],[Uitvoeringen weekend]]*Ruimtestaat[[#This Row],[Oppervlak (netto)]]</f>
        <v>0</v>
      </c>
      <c r="AC994" s="90">
        <f>IF(AB994&gt;0,Ruimtestaat[[#This Row],[Prest. (m2 /jaar) weekend]]/Ruimtestaat[[#This Row],[Norm (m2/uur) weekend]],0)</f>
        <v>0</v>
      </c>
      <c r="AD994" s="91">
        <f>Ruimtestaat[[#This Row],[uren / jaar weekend]]*Tariefsopbouw!$D$40</f>
        <v>0</v>
      </c>
      <c r="AE994" s="60">
        <f>Ruimtestaat[[#This Row],[Prest. (m2 /jaar) weekend]]+Ruimtestaat[[#This Row],[Prest. (m2 /jaar) werkdagen]]</f>
        <v>11400</v>
      </c>
      <c r="AF994" s="60">
        <f>Ruimtestaat[[#This Row],[uren / jaar weekend]]+Ruimtestaat[[#This Row],[uren / jaar werkdagen]]</f>
        <v>0</v>
      </c>
      <c r="AG994" s="61">
        <f>Ruimtestaat[[#This Row],[kosten / jaar weekend]]+Ruimtestaat[[#This Row],[kosten / jaar werkdagen]]</f>
        <v>0</v>
      </c>
      <c r="AH994" s="92"/>
      <c r="HL994" s="59"/>
    </row>
    <row r="995" spans="1:220">
      <c r="A995" s="24">
        <v>6</v>
      </c>
      <c r="B995" s="24" t="str">
        <f>VLOOKUP(Ruimtestaat[[#This Row],[Code]],Locaties[#All],2,FALSE)</f>
        <v>Marke Noord</v>
      </c>
      <c r="C995" s="24" t="str">
        <f>VLOOKUP(Ruimtestaat[[#This Row],[Code]],Locaties[#All],4,FALSE)</f>
        <v>Lebuïnuslaan 1</v>
      </c>
      <c r="D995" s="24" t="str">
        <f>VLOOKUP(Ruimtestaat[[#This Row],[Code]],Locaties[#All],5,FALSE)</f>
        <v>7415 DM</v>
      </c>
      <c r="E995" s="24" t="str">
        <f>VLOOKUP(Ruimtestaat[[#This Row],[Code]],Locaties[#All],6,FALSE)</f>
        <v>Deventer</v>
      </c>
      <c r="F995" s="54"/>
      <c r="G995" s="24" t="s">
        <v>512</v>
      </c>
      <c r="H995" s="24" t="s">
        <v>528</v>
      </c>
      <c r="I995" s="4" t="s">
        <v>667</v>
      </c>
      <c r="J995" s="24">
        <v>22</v>
      </c>
      <c r="K995" s="54" t="str">
        <f>VLOOKUP(J995,Ruimtegroepen[],2,FALSE)</f>
        <v>Niet in onderhoud</v>
      </c>
      <c r="L995" s="24" t="s">
        <v>300</v>
      </c>
      <c r="M995" s="24" t="s">
        <v>909</v>
      </c>
      <c r="N995" s="83"/>
      <c r="O995" s="83">
        <v>27.56</v>
      </c>
      <c r="P995" s="93" t="str">
        <f>LEFT(VLOOKUP(Ruimtestaat[[#This Row],[Ruimte code]],Ruimtegroepen[#All],4,1),2)</f>
        <v/>
      </c>
      <c r="Q995" s="93"/>
      <c r="R995" s="84"/>
      <c r="S995" s="84"/>
      <c r="T995" s="85">
        <f>IF(R995&gt;0,IF(RIGHT(Ruimtestaat[[#This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95" s="85">
        <f>IF(T995&gt;0,VLOOKUP($J995,Ruimtegroepen[],3,FALSE)*VLOOKUP($L995,Vloersoorten[],3,FALSE)*VLOOKUP($S995,Frequenties[],3,FALSE)*VLOOKUP($A995,Locaties[],3,FALSE),0)</f>
        <v>0</v>
      </c>
      <c r="V995" s="86">
        <f>Ruimtestaat[[#This Row],[Uitvoeringen werkdagen]]*Ruimtestaat[[#This Row],[Oppervlak (netto)]]</f>
        <v>0</v>
      </c>
      <c r="W995" s="87">
        <f>IF(U995&gt;0,Ruimtestaat[[#This Row],[Prest. (m2 /jaar) werkdagen]]/Ruimtestaat[[#This Row],[Norm (m2/uur) werkdagen]],0)</f>
        <v>0</v>
      </c>
      <c r="X995" s="88">
        <f>Ruimtestaat[[#This Row],[uren / jaar werkdagen]]*Tariefsopbouw!$E$35</f>
        <v>0</v>
      </c>
      <c r="Y995" s="85"/>
      <c r="Z995" s="89">
        <f>IF(Ruimtestaat[[#This Row],[Frequentie weekend]]&gt;0,VALUE(LEFT(Y995,1))*R995,0)</f>
        <v>0</v>
      </c>
      <c r="AA995" s="85">
        <f>IF($Z995&gt;0,VLOOKUP($J995,Ruimtegroepen[],3,FALSE)*VLOOKUP($L995,Vloersoorten[],3,FALSE)*VLOOKUP($Y995,Frequenties[],3,FALSE)*VLOOKUP(#REF!,Locaties[],3,FALSE),0)</f>
        <v>0</v>
      </c>
      <c r="AB995" s="87">
        <f>Ruimtestaat[[#This Row],[Uitvoeringen weekend]]*Ruimtestaat[[#This Row],[Oppervlak (netto)]]</f>
        <v>0</v>
      </c>
      <c r="AC995" s="90">
        <f>IF(AB995&gt;0,Ruimtestaat[[#This Row],[Prest. (m2 /jaar) weekend]]/Ruimtestaat[[#This Row],[Norm (m2/uur) weekend]],0)</f>
        <v>0</v>
      </c>
      <c r="AD995" s="91">
        <f>Ruimtestaat[[#This Row],[uren / jaar weekend]]*Tariefsopbouw!$D$40</f>
        <v>0</v>
      </c>
      <c r="AE995" s="60">
        <f>Ruimtestaat[[#This Row],[Prest. (m2 /jaar) weekend]]+Ruimtestaat[[#This Row],[Prest. (m2 /jaar) werkdagen]]</f>
        <v>0</v>
      </c>
      <c r="AF995" s="60">
        <f>Ruimtestaat[[#This Row],[uren / jaar weekend]]+Ruimtestaat[[#This Row],[uren / jaar werkdagen]]</f>
        <v>0</v>
      </c>
      <c r="AG995" s="61">
        <f>Ruimtestaat[[#This Row],[kosten / jaar weekend]]+Ruimtestaat[[#This Row],[kosten / jaar werkdagen]]</f>
        <v>0</v>
      </c>
      <c r="AH995" s="92"/>
      <c r="HL995" s="59"/>
    </row>
    <row r="996" spans="1:220">
      <c r="A996" s="24">
        <v>6</v>
      </c>
      <c r="B996" s="24" t="str">
        <f>VLOOKUP(Ruimtestaat[[#This Row],[Code]],Locaties[#All],2,FALSE)</f>
        <v>Marke Noord</v>
      </c>
      <c r="C996" s="24" t="str">
        <f>VLOOKUP(Ruimtestaat[[#This Row],[Code]],Locaties[#All],4,FALSE)</f>
        <v>Lebuïnuslaan 1</v>
      </c>
      <c r="D996" s="24" t="str">
        <f>VLOOKUP(Ruimtestaat[[#This Row],[Code]],Locaties[#All],5,FALSE)</f>
        <v>7415 DM</v>
      </c>
      <c r="E996" s="24" t="str">
        <f>VLOOKUP(Ruimtestaat[[#This Row],[Code]],Locaties[#All],6,FALSE)</f>
        <v>Deventer</v>
      </c>
      <c r="F996" s="54"/>
      <c r="G996" s="24" t="s">
        <v>512</v>
      </c>
      <c r="H996" s="24" t="s">
        <v>529</v>
      </c>
      <c r="I996" s="4" t="s">
        <v>667</v>
      </c>
      <c r="J996" s="24">
        <v>22</v>
      </c>
      <c r="K996" s="54" t="str">
        <f>VLOOKUP(J996,Ruimtegroepen[],2,FALSE)</f>
        <v>Niet in onderhoud</v>
      </c>
      <c r="L996" s="24" t="s">
        <v>300</v>
      </c>
      <c r="M996" s="24" t="s">
        <v>909</v>
      </c>
      <c r="N996" s="83"/>
      <c r="O996" s="83">
        <v>27.19</v>
      </c>
      <c r="P996" s="93" t="str">
        <f>LEFT(VLOOKUP(Ruimtestaat[[#This Row],[Ruimte code]],Ruimtegroepen[#All],4,1),2)</f>
        <v/>
      </c>
      <c r="Q996" s="93"/>
      <c r="R996" s="84"/>
      <c r="S996" s="84"/>
      <c r="T996" s="85">
        <f>IF(R996&gt;0,IF(RIGHT(Ruimtestaat[[#This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96" s="85">
        <f>IF(T996&gt;0,VLOOKUP($J996,Ruimtegroepen[],3,FALSE)*VLOOKUP($L996,Vloersoorten[],3,FALSE)*VLOOKUP($S996,Frequenties[],3,FALSE)*VLOOKUP($A996,Locaties[],3,FALSE),0)</f>
        <v>0</v>
      </c>
      <c r="V996" s="86">
        <f>Ruimtestaat[[#This Row],[Uitvoeringen werkdagen]]*Ruimtestaat[[#This Row],[Oppervlak (netto)]]</f>
        <v>0</v>
      </c>
      <c r="W996" s="87">
        <f>IF(U996&gt;0,Ruimtestaat[[#This Row],[Prest. (m2 /jaar) werkdagen]]/Ruimtestaat[[#This Row],[Norm (m2/uur) werkdagen]],0)</f>
        <v>0</v>
      </c>
      <c r="X996" s="88">
        <f>Ruimtestaat[[#This Row],[uren / jaar werkdagen]]*Tariefsopbouw!$E$35</f>
        <v>0</v>
      </c>
      <c r="Y996" s="85"/>
      <c r="Z996" s="89">
        <f>IF(Ruimtestaat[[#This Row],[Frequentie weekend]]&gt;0,VALUE(LEFT(Y996,1))*R996,0)</f>
        <v>0</v>
      </c>
      <c r="AA996" s="85">
        <f>IF($Z996&gt;0,VLOOKUP($J996,Ruimtegroepen[],3,FALSE)*VLOOKUP($L996,Vloersoorten[],3,FALSE)*VLOOKUP($Y996,Frequenties[],3,FALSE)*VLOOKUP(#REF!,Locaties[],3,FALSE),0)</f>
        <v>0</v>
      </c>
      <c r="AB996" s="87">
        <f>Ruimtestaat[[#This Row],[Uitvoeringen weekend]]*Ruimtestaat[[#This Row],[Oppervlak (netto)]]</f>
        <v>0</v>
      </c>
      <c r="AC996" s="90">
        <f>IF(AB996&gt;0,Ruimtestaat[[#This Row],[Prest. (m2 /jaar) weekend]]/Ruimtestaat[[#This Row],[Norm (m2/uur) weekend]],0)</f>
        <v>0</v>
      </c>
      <c r="AD996" s="91">
        <f>Ruimtestaat[[#This Row],[uren / jaar weekend]]*Tariefsopbouw!$D$40</f>
        <v>0</v>
      </c>
      <c r="AE996" s="60">
        <f>Ruimtestaat[[#This Row],[Prest. (m2 /jaar) weekend]]+Ruimtestaat[[#This Row],[Prest. (m2 /jaar) werkdagen]]</f>
        <v>0</v>
      </c>
      <c r="AF996" s="60">
        <f>Ruimtestaat[[#This Row],[uren / jaar weekend]]+Ruimtestaat[[#This Row],[uren / jaar werkdagen]]</f>
        <v>0</v>
      </c>
      <c r="AG996" s="61">
        <f>Ruimtestaat[[#This Row],[kosten / jaar weekend]]+Ruimtestaat[[#This Row],[kosten / jaar werkdagen]]</f>
        <v>0</v>
      </c>
      <c r="AH996" s="92"/>
      <c r="HL996" s="59"/>
    </row>
    <row r="997" spans="1:220">
      <c r="A997" s="24">
        <v>6</v>
      </c>
      <c r="B997" s="24" t="str">
        <f>VLOOKUP(Ruimtestaat[[#This Row],[Code]],Locaties[#All],2,FALSE)</f>
        <v>Marke Noord</v>
      </c>
      <c r="C997" s="24" t="str">
        <f>VLOOKUP(Ruimtestaat[[#This Row],[Code]],Locaties[#All],4,FALSE)</f>
        <v>Lebuïnuslaan 1</v>
      </c>
      <c r="D997" s="24" t="str">
        <f>VLOOKUP(Ruimtestaat[[#This Row],[Code]],Locaties[#All],5,FALSE)</f>
        <v>7415 DM</v>
      </c>
      <c r="E997" s="24" t="str">
        <f>VLOOKUP(Ruimtestaat[[#This Row],[Code]],Locaties[#All],6,FALSE)</f>
        <v>Deventer</v>
      </c>
      <c r="F997" s="54"/>
      <c r="G997" s="24" t="s">
        <v>512</v>
      </c>
      <c r="H997" s="24" t="s">
        <v>532</v>
      </c>
      <c r="I997" s="4" t="s">
        <v>1098</v>
      </c>
      <c r="J997" s="24">
        <v>16</v>
      </c>
      <c r="K997" s="54" t="str">
        <f>VLOOKUP(J997,Ruimtegroepen[],2,FALSE)</f>
        <v>Leslokalen theorie</v>
      </c>
      <c r="L997" s="24" t="s">
        <v>300</v>
      </c>
      <c r="M997" s="24" t="s">
        <v>909</v>
      </c>
      <c r="N997" s="83">
        <v>54.76</v>
      </c>
      <c r="O997" s="83"/>
      <c r="P997" s="93" t="str">
        <f>LEFT(VLOOKUP(Ruimtestaat[[#This Row],[Ruimte code]],Ruimtegroepen[#All],4,1),2)</f>
        <v>Le</v>
      </c>
      <c r="Q997" s="93"/>
      <c r="R997" s="84">
        <v>40</v>
      </c>
      <c r="S997" s="84" t="s">
        <v>318</v>
      </c>
      <c r="T997" s="85">
        <f>IF(R997&gt;0,IF(RIGHT(Ruimtestaat[[#This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7" s="85">
        <f>IF(T997&gt;0,VLOOKUP($J997,Ruimtegroepen[],3,FALSE)*VLOOKUP($L997,Vloersoorten[],3,FALSE)*VLOOKUP($S997,Frequenties[],3,FALSE)*VLOOKUP($A997,Locaties[],3,FALSE),0)</f>
        <v>0</v>
      </c>
      <c r="V997" s="86">
        <f>Ruimtestaat[[#This Row],[Uitvoeringen werkdagen]]*Ruimtestaat[[#This Row],[Oppervlak (netto)]]</f>
        <v>10952</v>
      </c>
      <c r="W997" s="87">
        <f>IF(U997&gt;0,Ruimtestaat[[#This Row],[Prest. (m2 /jaar) werkdagen]]/Ruimtestaat[[#This Row],[Norm (m2/uur) werkdagen]],0)</f>
        <v>0</v>
      </c>
      <c r="X997" s="88">
        <f>Ruimtestaat[[#This Row],[uren / jaar werkdagen]]*Tariefsopbouw!$E$35</f>
        <v>0</v>
      </c>
      <c r="Y997" s="85"/>
      <c r="Z997" s="89">
        <f>IF(Ruimtestaat[[#This Row],[Frequentie weekend]]&gt;0,VALUE(LEFT(Y997,1))*R997,0)</f>
        <v>0</v>
      </c>
      <c r="AA997" s="85">
        <f>IF($Z997&gt;0,VLOOKUP($J997,Ruimtegroepen[],3,FALSE)*VLOOKUP($L997,Vloersoorten[],3,FALSE)*VLOOKUP($Y997,Frequenties[],3,FALSE)*VLOOKUP(#REF!,Locaties[],3,FALSE),0)</f>
        <v>0</v>
      </c>
      <c r="AB997" s="87">
        <f>Ruimtestaat[[#This Row],[Uitvoeringen weekend]]*Ruimtestaat[[#This Row],[Oppervlak (netto)]]</f>
        <v>0</v>
      </c>
      <c r="AC997" s="90">
        <f>IF(AB997&gt;0,Ruimtestaat[[#This Row],[Prest. (m2 /jaar) weekend]]/Ruimtestaat[[#This Row],[Norm (m2/uur) weekend]],0)</f>
        <v>0</v>
      </c>
      <c r="AD997" s="91">
        <f>Ruimtestaat[[#This Row],[uren / jaar weekend]]*Tariefsopbouw!$D$40</f>
        <v>0</v>
      </c>
      <c r="AE997" s="60">
        <f>Ruimtestaat[[#This Row],[Prest. (m2 /jaar) weekend]]+Ruimtestaat[[#This Row],[Prest. (m2 /jaar) werkdagen]]</f>
        <v>10952</v>
      </c>
      <c r="AF997" s="60">
        <f>Ruimtestaat[[#This Row],[uren / jaar weekend]]+Ruimtestaat[[#This Row],[uren / jaar werkdagen]]</f>
        <v>0</v>
      </c>
      <c r="AG997" s="61">
        <f>Ruimtestaat[[#This Row],[kosten / jaar weekend]]+Ruimtestaat[[#This Row],[kosten / jaar werkdagen]]</f>
        <v>0</v>
      </c>
      <c r="AH997" s="92"/>
      <c r="HL997" s="59"/>
    </row>
    <row r="998" spans="1:220">
      <c r="A998" s="24">
        <v>6</v>
      </c>
      <c r="B998" s="24" t="str">
        <f>VLOOKUP(Ruimtestaat[[#This Row],[Code]],Locaties[#All],2,FALSE)</f>
        <v>Marke Noord</v>
      </c>
      <c r="C998" s="24" t="str">
        <f>VLOOKUP(Ruimtestaat[[#This Row],[Code]],Locaties[#All],4,FALSE)</f>
        <v>Lebuïnuslaan 1</v>
      </c>
      <c r="D998" s="24" t="str">
        <f>VLOOKUP(Ruimtestaat[[#This Row],[Code]],Locaties[#All],5,FALSE)</f>
        <v>7415 DM</v>
      </c>
      <c r="E998" s="24" t="str">
        <f>VLOOKUP(Ruimtestaat[[#This Row],[Code]],Locaties[#All],6,FALSE)</f>
        <v>Deventer</v>
      </c>
      <c r="F998" s="54"/>
      <c r="G998" s="24" t="s">
        <v>512</v>
      </c>
      <c r="H998" s="24" t="s">
        <v>533</v>
      </c>
      <c r="I998" s="4" t="s">
        <v>1098</v>
      </c>
      <c r="J998" s="24">
        <v>16</v>
      </c>
      <c r="K998" s="54" t="str">
        <f>VLOOKUP(J998,Ruimtegroepen[],2,FALSE)</f>
        <v>Leslokalen theorie</v>
      </c>
      <c r="L998" s="24" t="s">
        <v>300</v>
      </c>
      <c r="M998" s="24" t="s">
        <v>909</v>
      </c>
      <c r="N998" s="83">
        <v>54.39</v>
      </c>
      <c r="O998" s="83"/>
      <c r="P998" s="93" t="str">
        <f>LEFT(VLOOKUP(Ruimtestaat[[#This Row],[Ruimte code]],Ruimtegroepen[#All],4,1),2)</f>
        <v>Le</v>
      </c>
      <c r="Q998" s="93"/>
      <c r="R998" s="84">
        <v>40</v>
      </c>
      <c r="S998" s="84" t="s">
        <v>318</v>
      </c>
      <c r="T998" s="85">
        <f>IF(R998&gt;0,IF(RIGHT(Ruimtestaat[[#This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8" s="85">
        <f>IF(T998&gt;0,VLOOKUP($J998,Ruimtegroepen[],3,FALSE)*VLOOKUP($L998,Vloersoorten[],3,FALSE)*VLOOKUP($S998,Frequenties[],3,FALSE)*VLOOKUP($A998,Locaties[],3,FALSE),0)</f>
        <v>0</v>
      </c>
      <c r="V998" s="86">
        <f>Ruimtestaat[[#This Row],[Uitvoeringen werkdagen]]*Ruimtestaat[[#This Row],[Oppervlak (netto)]]</f>
        <v>10878</v>
      </c>
      <c r="W998" s="87">
        <f>IF(U998&gt;0,Ruimtestaat[[#This Row],[Prest. (m2 /jaar) werkdagen]]/Ruimtestaat[[#This Row],[Norm (m2/uur) werkdagen]],0)</f>
        <v>0</v>
      </c>
      <c r="X998" s="88">
        <f>Ruimtestaat[[#This Row],[uren / jaar werkdagen]]*Tariefsopbouw!$E$35</f>
        <v>0</v>
      </c>
      <c r="Y998" s="85"/>
      <c r="Z998" s="89">
        <f>IF(Ruimtestaat[[#This Row],[Frequentie weekend]]&gt;0,VALUE(LEFT(Y998,1))*R998,0)</f>
        <v>0</v>
      </c>
      <c r="AA998" s="85">
        <f>IF($Z998&gt;0,VLOOKUP($J998,Ruimtegroepen[],3,FALSE)*VLOOKUP($L998,Vloersoorten[],3,FALSE)*VLOOKUP($Y998,Frequenties[],3,FALSE)*VLOOKUP(#REF!,Locaties[],3,FALSE),0)</f>
        <v>0</v>
      </c>
      <c r="AB998" s="87">
        <f>Ruimtestaat[[#This Row],[Uitvoeringen weekend]]*Ruimtestaat[[#This Row],[Oppervlak (netto)]]</f>
        <v>0</v>
      </c>
      <c r="AC998" s="90">
        <f>IF(AB998&gt;0,Ruimtestaat[[#This Row],[Prest. (m2 /jaar) weekend]]/Ruimtestaat[[#This Row],[Norm (m2/uur) weekend]],0)</f>
        <v>0</v>
      </c>
      <c r="AD998" s="91">
        <f>Ruimtestaat[[#This Row],[uren / jaar weekend]]*Tariefsopbouw!$D$40</f>
        <v>0</v>
      </c>
      <c r="AE998" s="60">
        <f>Ruimtestaat[[#This Row],[Prest. (m2 /jaar) weekend]]+Ruimtestaat[[#This Row],[Prest. (m2 /jaar) werkdagen]]</f>
        <v>10878</v>
      </c>
      <c r="AF998" s="60">
        <f>Ruimtestaat[[#This Row],[uren / jaar weekend]]+Ruimtestaat[[#This Row],[uren / jaar werkdagen]]</f>
        <v>0</v>
      </c>
      <c r="AG998" s="61">
        <f>Ruimtestaat[[#This Row],[kosten / jaar weekend]]+Ruimtestaat[[#This Row],[kosten / jaar werkdagen]]</f>
        <v>0</v>
      </c>
      <c r="AH998" s="92"/>
      <c r="HL998" s="59"/>
    </row>
    <row r="999" spans="1:220">
      <c r="A999" s="24">
        <v>6</v>
      </c>
      <c r="B999" s="24" t="str">
        <f>VLOOKUP(Ruimtestaat[[#This Row],[Code]],Locaties[#All],2,FALSE)</f>
        <v>Marke Noord</v>
      </c>
      <c r="C999" s="24" t="str">
        <f>VLOOKUP(Ruimtestaat[[#This Row],[Code]],Locaties[#All],4,FALSE)</f>
        <v>Lebuïnuslaan 1</v>
      </c>
      <c r="D999" s="24" t="str">
        <f>VLOOKUP(Ruimtestaat[[#This Row],[Code]],Locaties[#All],5,FALSE)</f>
        <v>7415 DM</v>
      </c>
      <c r="E999" s="24" t="str">
        <f>VLOOKUP(Ruimtestaat[[#This Row],[Code]],Locaties[#All],6,FALSE)</f>
        <v>Deventer</v>
      </c>
      <c r="F999" s="54"/>
      <c r="G999" s="24" t="s">
        <v>512</v>
      </c>
      <c r="H999" s="24" t="s">
        <v>534</v>
      </c>
      <c r="I999" s="4" t="s">
        <v>1098</v>
      </c>
      <c r="J999" s="24">
        <v>16</v>
      </c>
      <c r="K999" s="54" t="str">
        <f>VLOOKUP(J999,Ruimtegroepen[],2,FALSE)</f>
        <v>Leslokalen theorie</v>
      </c>
      <c r="L999" s="24" t="s">
        <v>300</v>
      </c>
      <c r="M999" s="24" t="s">
        <v>909</v>
      </c>
      <c r="N999" s="83">
        <v>54.76</v>
      </c>
      <c r="O999" s="83"/>
      <c r="P999" s="93" t="str">
        <f>LEFT(VLOOKUP(Ruimtestaat[[#This Row],[Ruimte code]],Ruimtegroepen[#All],4,1),2)</f>
        <v>Le</v>
      </c>
      <c r="Q999" s="93"/>
      <c r="R999" s="84">
        <v>40</v>
      </c>
      <c r="S999" s="84" t="s">
        <v>318</v>
      </c>
      <c r="T999" s="85">
        <f>IF(R999&gt;0,IF(RIGHT(Ruimtestaat[[#This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9" s="85">
        <f>IF(T999&gt;0,VLOOKUP($J999,Ruimtegroepen[],3,FALSE)*VLOOKUP($L999,Vloersoorten[],3,FALSE)*VLOOKUP($S999,Frequenties[],3,FALSE)*VLOOKUP($A999,Locaties[],3,FALSE),0)</f>
        <v>0</v>
      </c>
      <c r="V999" s="86">
        <f>Ruimtestaat[[#This Row],[Uitvoeringen werkdagen]]*Ruimtestaat[[#This Row],[Oppervlak (netto)]]</f>
        <v>10952</v>
      </c>
      <c r="W999" s="87">
        <f>IF(U999&gt;0,Ruimtestaat[[#This Row],[Prest. (m2 /jaar) werkdagen]]/Ruimtestaat[[#This Row],[Norm (m2/uur) werkdagen]],0)</f>
        <v>0</v>
      </c>
      <c r="X999" s="88">
        <f>Ruimtestaat[[#This Row],[uren / jaar werkdagen]]*Tariefsopbouw!$E$35</f>
        <v>0</v>
      </c>
      <c r="Y999" s="85"/>
      <c r="Z999" s="89">
        <f>IF(Ruimtestaat[[#This Row],[Frequentie weekend]]&gt;0,VALUE(LEFT(Y999,1))*R999,0)</f>
        <v>0</v>
      </c>
      <c r="AA999" s="85">
        <f>IF($Z999&gt;0,VLOOKUP($J999,Ruimtegroepen[],3,FALSE)*VLOOKUP($L999,Vloersoorten[],3,FALSE)*VLOOKUP($Y999,Frequenties[],3,FALSE)*VLOOKUP(#REF!,Locaties[],3,FALSE),0)</f>
        <v>0</v>
      </c>
      <c r="AB999" s="87">
        <f>Ruimtestaat[[#This Row],[Uitvoeringen weekend]]*Ruimtestaat[[#This Row],[Oppervlak (netto)]]</f>
        <v>0</v>
      </c>
      <c r="AC999" s="90">
        <f>IF(AB999&gt;0,Ruimtestaat[[#This Row],[Prest. (m2 /jaar) weekend]]/Ruimtestaat[[#This Row],[Norm (m2/uur) weekend]],0)</f>
        <v>0</v>
      </c>
      <c r="AD999" s="91">
        <f>Ruimtestaat[[#This Row],[uren / jaar weekend]]*Tariefsopbouw!$D$40</f>
        <v>0</v>
      </c>
      <c r="AE999" s="60">
        <f>Ruimtestaat[[#This Row],[Prest. (m2 /jaar) weekend]]+Ruimtestaat[[#This Row],[Prest. (m2 /jaar) werkdagen]]</f>
        <v>10952</v>
      </c>
      <c r="AF999" s="60">
        <f>Ruimtestaat[[#This Row],[uren / jaar weekend]]+Ruimtestaat[[#This Row],[uren / jaar werkdagen]]</f>
        <v>0</v>
      </c>
      <c r="AG999" s="61">
        <f>Ruimtestaat[[#This Row],[kosten / jaar weekend]]+Ruimtestaat[[#This Row],[kosten / jaar werkdagen]]</f>
        <v>0</v>
      </c>
      <c r="AH999" s="92"/>
      <c r="HL999" s="59"/>
    </row>
    <row r="1000" spans="1:220">
      <c r="A1000" s="24">
        <v>6</v>
      </c>
      <c r="B1000" s="24" t="str">
        <f>VLOOKUP(Ruimtestaat[[#This Row],[Code]],Locaties[#All],2,FALSE)</f>
        <v>Marke Noord</v>
      </c>
      <c r="C1000" s="24" t="str">
        <f>VLOOKUP(Ruimtestaat[[#This Row],[Code]],Locaties[#All],4,FALSE)</f>
        <v>Lebuïnuslaan 1</v>
      </c>
      <c r="D1000" s="24" t="str">
        <f>VLOOKUP(Ruimtestaat[[#This Row],[Code]],Locaties[#All],5,FALSE)</f>
        <v>7415 DM</v>
      </c>
      <c r="E1000" s="24" t="str">
        <f>VLOOKUP(Ruimtestaat[[#This Row],[Code]],Locaties[#All],6,FALSE)</f>
        <v>Deventer</v>
      </c>
      <c r="F1000" s="54"/>
      <c r="G1000" s="24"/>
      <c r="H1000" s="24" t="s">
        <v>1406</v>
      </c>
      <c r="I1000" s="4" t="s">
        <v>1363</v>
      </c>
      <c r="J1000" s="24">
        <v>2</v>
      </c>
      <c r="K1000" s="54" t="str">
        <f>VLOOKUP(J1000,Ruimtegroepen[],2,FALSE)</f>
        <v>Kantoren</v>
      </c>
      <c r="L1000" s="24" t="s">
        <v>303</v>
      </c>
      <c r="M1000" s="24" t="s">
        <v>387</v>
      </c>
      <c r="N1000" s="83">
        <v>12</v>
      </c>
      <c r="O1000" s="83"/>
      <c r="P1000" s="93" t="str">
        <f>LEFT(VLOOKUP(Ruimtestaat[[#This Row],[Ruimte code]],Ruimtegroepen[#All],4,1),2)</f>
        <v>Bu</v>
      </c>
      <c r="Q1000" s="93"/>
      <c r="R1000" s="84">
        <v>42</v>
      </c>
      <c r="S1000" s="84" t="s">
        <v>322</v>
      </c>
      <c r="T1000" s="85">
        <f>IF(R1000&gt;0,IF(RIGHT(Ruimtestaat[[#This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00" s="85">
        <f>IF(T1000&gt;0,VLOOKUP($J1000,Ruimtegroepen[],3,FALSE)*VLOOKUP($L1000,Vloersoorten[],3,FALSE)*VLOOKUP($S1000,Frequenties[],3,FALSE)*VLOOKUP($A1000,Locaties[],3,FALSE),0)</f>
        <v>0</v>
      </c>
      <c r="V1000" s="86">
        <f>Ruimtestaat[[#This Row],[Uitvoeringen werkdagen]]*Ruimtestaat[[#This Row],[Oppervlak (netto)]]</f>
        <v>1512</v>
      </c>
      <c r="W1000" s="87">
        <f>IF(U1000&gt;0,Ruimtestaat[[#This Row],[Prest. (m2 /jaar) werkdagen]]/Ruimtestaat[[#This Row],[Norm (m2/uur) werkdagen]],0)</f>
        <v>0</v>
      </c>
      <c r="X1000" s="88">
        <f>Ruimtestaat[[#This Row],[uren / jaar werkdagen]]*Tariefsopbouw!$E$35</f>
        <v>0</v>
      </c>
      <c r="Y1000" s="85"/>
      <c r="Z1000" s="89">
        <f>IF(Ruimtestaat[[#This Row],[Frequentie weekend]]&gt;0,VALUE(LEFT(Y1000,1))*R1000,0)</f>
        <v>0</v>
      </c>
      <c r="AA1000" s="85">
        <f>IF($Z1000&gt;0,VLOOKUP($J1000,Ruimtegroepen[],3,FALSE)*VLOOKUP($L1000,Vloersoorten[],3,FALSE)*VLOOKUP($Y1000,Frequenties[],3,FALSE)*VLOOKUP(#REF!,Locaties[],3,FALSE),0)</f>
        <v>0</v>
      </c>
      <c r="AB1000" s="87">
        <f>Ruimtestaat[[#This Row],[Uitvoeringen weekend]]*Ruimtestaat[[#This Row],[Oppervlak (netto)]]</f>
        <v>0</v>
      </c>
      <c r="AC1000" s="90">
        <f>IF(AB1000&gt;0,Ruimtestaat[[#This Row],[Prest. (m2 /jaar) weekend]]/Ruimtestaat[[#This Row],[Norm (m2/uur) weekend]],0)</f>
        <v>0</v>
      </c>
      <c r="AD1000" s="91">
        <f>Ruimtestaat[[#This Row],[uren / jaar weekend]]*Tariefsopbouw!$D$40</f>
        <v>0</v>
      </c>
      <c r="AE1000" s="60">
        <f>Ruimtestaat[[#This Row],[Prest. (m2 /jaar) weekend]]+Ruimtestaat[[#This Row],[Prest. (m2 /jaar) werkdagen]]</f>
        <v>1512</v>
      </c>
      <c r="AF1000" s="60">
        <f>Ruimtestaat[[#This Row],[uren / jaar weekend]]+Ruimtestaat[[#This Row],[uren / jaar werkdagen]]</f>
        <v>0</v>
      </c>
      <c r="AG1000" s="61">
        <f>Ruimtestaat[[#This Row],[kosten / jaar weekend]]+Ruimtestaat[[#This Row],[kosten / jaar werkdagen]]</f>
        <v>0</v>
      </c>
      <c r="AH1000" s="92"/>
      <c r="HL1000" s="59"/>
    </row>
    <row r="1001" spans="1:220">
      <c r="A1001" s="24">
        <v>6</v>
      </c>
      <c r="B1001" s="24" t="str">
        <f>VLOOKUP(Ruimtestaat[[#This Row],[Code]],Locaties[#All],2,FALSE)</f>
        <v>Marke Noord</v>
      </c>
      <c r="C1001" s="24" t="str">
        <f>VLOOKUP(Ruimtestaat[[#This Row],[Code]],Locaties[#All],4,FALSE)</f>
        <v>Lebuïnuslaan 1</v>
      </c>
      <c r="D1001" s="24" t="str">
        <f>VLOOKUP(Ruimtestaat[[#This Row],[Code]],Locaties[#All],5,FALSE)</f>
        <v>7415 DM</v>
      </c>
      <c r="E1001" s="24" t="str">
        <f>VLOOKUP(Ruimtestaat[[#This Row],[Code]],Locaties[#All],6,FALSE)</f>
        <v>Deventer</v>
      </c>
      <c r="F1001" s="54"/>
      <c r="G1001" s="24" t="s">
        <v>512</v>
      </c>
      <c r="H1001" s="24" t="s">
        <v>1407</v>
      </c>
      <c r="I1001" s="4" t="s">
        <v>941</v>
      </c>
      <c r="J1001" s="24">
        <v>2</v>
      </c>
      <c r="K1001" s="54" t="str">
        <f>VLOOKUP(J1001,Ruimtegroepen[],2,FALSE)</f>
        <v>Kantoren</v>
      </c>
      <c r="L1001" s="24" t="s">
        <v>303</v>
      </c>
      <c r="M1001" s="24" t="s">
        <v>387</v>
      </c>
      <c r="N1001" s="83">
        <v>27.25</v>
      </c>
      <c r="O1001" s="83"/>
      <c r="P1001" s="93" t="str">
        <f>LEFT(VLOOKUP(Ruimtestaat[[#This Row],[Ruimte code]],Ruimtegroepen[#All],4,1),2)</f>
        <v>Bu</v>
      </c>
      <c r="Q1001" s="93"/>
      <c r="R1001" s="84">
        <v>42</v>
      </c>
      <c r="S1001" s="84" t="s">
        <v>322</v>
      </c>
      <c r="T1001" s="85">
        <f>IF(R1001&gt;0,IF(RIGHT(Ruimtestaat[[#This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01" s="85">
        <f>IF(T1001&gt;0,VLOOKUP($J1001,Ruimtegroepen[],3,FALSE)*VLOOKUP($L1001,Vloersoorten[],3,FALSE)*VLOOKUP($S1001,Frequenties[],3,FALSE)*VLOOKUP($A1001,Locaties[],3,FALSE),0)</f>
        <v>0</v>
      </c>
      <c r="V1001" s="86">
        <f>Ruimtestaat[[#This Row],[Uitvoeringen werkdagen]]*Ruimtestaat[[#This Row],[Oppervlak (netto)]]</f>
        <v>3433.5</v>
      </c>
      <c r="W1001" s="87">
        <f>IF(U1001&gt;0,Ruimtestaat[[#This Row],[Prest. (m2 /jaar) werkdagen]]/Ruimtestaat[[#This Row],[Norm (m2/uur) werkdagen]],0)</f>
        <v>0</v>
      </c>
      <c r="X1001" s="88">
        <f>Ruimtestaat[[#This Row],[uren / jaar werkdagen]]*Tariefsopbouw!$E$35</f>
        <v>0</v>
      </c>
      <c r="Y1001" s="85"/>
      <c r="Z1001" s="89">
        <f>IF(Ruimtestaat[[#This Row],[Frequentie weekend]]&gt;0,VALUE(LEFT(Y1001,1))*R1001,0)</f>
        <v>0</v>
      </c>
      <c r="AA1001" s="85">
        <f>IF($Z1001&gt;0,VLOOKUP($J1001,Ruimtegroepen[],3,FALSE)*VLOOKUP($L1001,Vloersoorten[],3,FALSE)*VLOOKUP($Y1001,Frequenties[],3,FALSE)*VLOOKUP(#REF!,Locaties[],3,FALSE),0)</f>
        <v>0</v>
      </c>
      <c r="AB1001" s="87">
        <f>Ruimtestaat[[#This Row],[Uitvoeringen weekend]]*Ruimtestaat[[#This Row],[Oppervlak (netto)]]</f>
        <v>0</v>
      </c>
      <c r="AC1001" s="90">
        <f>IF(AB1001&gt;0,Ruimtestaat[[#This Row],[Prest. (m2 /jaar) weekend]]/Ruimtestaat[[#This Row],[Norm (m2/uur) weekend]],0)</f>
        <v>0</v>
      </c>
      <c r="AD1001" s="91">
        <f>Ruimtestaat[[#This Row],[uren / jaar weekend]]*Tariefsopbouw!$D$40</f>
        <v>0</v>
      </c>
      <c r="AE1001" s="60">
        <f>Ruimtestaat[[#This Row],[Prest. (m2 /jaar) weekend]]+Ruimtestaat[[#This Row],[Prest. (m2 /jaar) werkdagen]]</f>
        <v>3433.5</v>
      </c>
      <c r="AF1001" s="60">
        <f>Ruimtestaat[[#This Row],[uren / jaar weekend]]+Ruimtestaat[[#This Row],[uren / jaar werkdagen]]</f>
        <v>0</v>
      </c>
      <c r="AG1001" s="61">
        <f>Ruimtestaat[[#This Row],[kosten / jaar weekend]]+Ruimtestaat[[#This Row],[kosten / jaar werkdagen]]</f>
        <v>0</v>
      </c>
      <c r="AH1001" s="92"/>
      <c r="HL1001" s="59"/>
    </row>
    <row r="1002" spans="1:220">
      <c r="A1002" s="24">
        <v>6</v>
      </c>
      <c r="B1002" s="24" t="str">
        <f>VLOOKUP(Ruimtestaat[[#This Row],[Code]],Locaties[#All],2,FALSE)</f>
        <v>Marke Noord</v>
      </c>
      <c r="C1002" s="24" t="str">
        <f>VLOOKUP(Ruimtestaat[[#This Row],[Code]],Locaties[#All],4,FALSE)</f>
        <v>Lebuïnuslaan 1</v>
      </c>
      <c r="D1002" s="24" t="str">
        <f>VLOOKUP(Ruimtestaat[[#This Row],[Code]],Locaties[#All],5,FALSE)</f>
        <v>7415 DM</v>
      </c>
      <c r="E1002" s="24" t="str">
        <f>VLOOKUP(Ruimtestaat[[#This Row],[Code]],Locaties[#All],6,FALSE)</f>
        <v>Deventer</v>
      </c>
      <c r="F1002" s="54"/>
      <c r="G1002" s="24" t="s">
        <v>512</v>
      </c>
      <c r="H1002" s="24" t="s">
        <v>536</v>
      </c>
      <c r="I1002" s="4" t="s">
        <v>1098</v>
      </c>
      <c r="J1002" s="24">
        <v>16</v>
      </c>
      <c r="K1002" s="54" t="str">
        <f>VLOOKUP(J1002,Ruimtegroepen[],2,FALSE)</f>
        <v>Leslokalen theorie</v>
      </c>
      <c r="L1002" s="24" t="s">
        <v>300</v>
      </c>
      <c r="M1002" s="24" t="s">
        <v>909</v>
      </c>
      <c r="N1002" s="83">
        <v>67.05</v>
      </c>
      <c r="O1002" s="83"/>
      <c r="P1002" s="93" t="str">
        <f>LEFT(VLOOKUP(Ruimtestaat[[#This Row],[Ruimte code]],Ruimtegroepen[#All],4,1),2)</f>
        <v>Le</v>
      </c>
      <c r="Q1002" s="93"/>
      <c r="R1002" s="84">
        <v>40</v>
      </c>
      <c r="S1002" s="84" t="s">
        <v>318</v>
      </c>
      <c r="T1002" s="85">
        <f>IF(R1002&gt;0,IF(RIGHT(Ruimtestaat[[#This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2" s="85">
        <f>IF(T1002&gt;0,VLOOKUP($J1002,Ruimtegroepen[],3,FALSE)*VLOOKUP($L1002,Vloersoorten[],3,FALSE)*VLOOKUP($S1002,Frequenties[],3,FALSE)*VLOOKUP($A1002,Locaties[],3,FALSE),0)</f>
        <v>0</v>
      </c>
      <c r="V1002" s="86">
        <f>Ruimtestaat[[#This Row],[Uitvoeringen werkdagen]]*Ruimtestaat[[#This Row],[Oppervlak (netto)]]</f>
        <v>13410</v>
      </c>
      <c r="W1002" s="87">
        <f>IF(U1002&gt;0,Ruimtestaat[[#This Row],[Prest. (m2 /jaar) werkdagen]]/Ruimtestaat[[#This Row],[Norm (m2/uur) werkdagen]],0)</f>
        <v>0</v>
      </c>
      <c r="X1002" s="88">
        <f>Ruimtestaat[[#This Row],[uren / jaar werkdagen]]*Tariefsopbouw!$E$35</f>
        <v>0</v>
      </c>
      <c r="Y1002" s="85"/>
      <c r="Z1002" s="89">
        <f>IF(Ruimtestaat[[#This Row],[Frequentie weekend]]&gt;0,VALUE(LEFT(Y1002,1))*R1002,0)</f>
        <v>0</v>
      </c>
      <c r="AA1002" s="85">
        <f>IF($Z1002&gt;0,VLOOKUP($J1002,Ruimtegroepen[],3,FALSE)*VLOOKUP($L1002,Vloersoorten[],3,FALSE)*VLOOKUP($Y1002,Frequenties[],3,FALSE)*VLOOKUP(#REF!,Locaties[],3,FALSE),0)</f>
        <v>0</v>
      </c>
      <c r="AB1002" s="87">
        <f>Ruimtestaat[[#This Row],[Uitvoeringen weekend]]*Ruimtestaat[[#This Row],[Oppervlak (netto)]]</f>
        <v>0</v>
      </c>
      <c r="AC1002" s="90">
        <f>IF(AB1002&gt;0,Ruimtestaat[[#This Row],[Prest. (m2 /jaar) weekend]]/Ruimtestaat[[#This Row],[Norm (m2/uur) weekend]],0)</f>
        <v>0</v>
      </c>
      <c r="AD1002" s="91">
        <f>Ruimtestaat[[#This Row],[uren / jaar weekend]]*Tariefsopbouw!$D$40</f>
        <v>0</v>
      </c>
      <c r="AE1002" s="60">
        <f>Ruimtestaat[[#This Row],[Prest. (m2 /jaar) weekend]]+Ruimtestaat[[#This Row],[Prest. (m2 /jaar) werkdagen]]</f>
        <v>13410</v>
      </c>
      <c r="AF1002" s="60">
        <f>Ruimtestaat[[#This Row],[uren / jaar weekend]]+Ruimtestaat[[#This Row],[uren / jaar werkdagen]]</f>
        <v>0</v>
      </c>
      <c r="AG1002" s="61">
        <f>Ruimtestaat[[#This Row],[kosten / jaar weekend]]+Ruimtestaat[[#This Row],[kosten / jaar werkdagen]]</f>
        <v>0</v>
      </c>
      <c r="AH1002" s="92"/>
      <c r="HL1002" s="59"/>
    </row>
    <row r="1003" spans="1:220">
      <c r="A1003" s="24">
        <v>6</v>
      </c>
      <c r="B1003" s="24" t="str">
        <f>VLOOKUP(Ruimtestaat[[#This Row],[Code]],Locaties[#All],2,FALSE)</f>
        <v>Marke Noord</v>
      </c>
      <c r="C1003" s="24" t="str">
        <f>VLOOKUP(Ruimtestaat[[#This Row],[Code]],Locaties[#All],4,FALSE)</f>
        <v>Lebuïnuslaan 1</v>
      </c>
      <c r="D1003" s="24" t="str">
        <f>VLOOKUP(Ruimtestaat[[#This Row],[Code]],Locaties[#All],5,FALSE)</f>
        <v>7415 DM</v>
      </c>
      <c r="E1003" s="24" t="str">
        <f>VLOOKUP(Ruimtestaat[[#This Row],[Code]],Locaties[#All],6,FALSE)</f>
        <v>Deventer</v>
      </c>
      <c r="F1003" s="54"/>
      <c r="G1003" s="24" t="s">
        <v>512</v>
      </c>
      <c r="H1003" s="24" t="s">
        <v>537</v>
      </c>
      <c r="I1003" s="4" t="s">
        <v>1098</v>
      </c>
      <c r="J1003" s="24">
        <v>16</v>
      </c>
      <c r="K1003" s="54" t="str">
        <f>VLOOKUP(J1003,Ruimtegroepen[],2,FALSE)</f>
        <v>Leslokalen theorie</v>
      </c>
      <c r="L1003" s="24" t="s">
        <v>300</v>
      </c>
      <c r="M1003" s="24" t="s">
        <v>909</v>
      </c>
      <c r="N1003" s="83">
        <v>70.78</v>
      </c>
      <c r="O1003" s="83"/>
      <c r="P1003" s="93" t="str">
        <f>LEFT(VLOOKUP(Ruimtestaat[[#This Row],[Ruimte code]],Ruimtegroepen[#All],4,1),2)</f>
        <v>Le</v>
      </c>
      <c r="Q1003" s="93"/>
      <c r="R1003" s="84">
        <v>40</v>
      </c>
      <c r="S1003" s="84" t="s">
        <v>318</v>
      </c>
      <c r="T1003" s="85">
        <f>IF(R1003&gt;0,IF(RIGHT(Ruimtestaat[[#This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3" s="85">
        <f>IF(T1003&gt;0,VLOOKUP($J1003,Ruimtegroepen[],3,FALSE)*VLOOKUP($L1003,Vloersoorten[],3,FALSE)*VLOOKUP($S1003,Frequenties[],3,FALSE)*VLOOKUP($A1003,Locaties[],3,FALSE),0)</f>
        <v>0</v>
      </c>
      <c r="V1003" s="86">
        <f>Ruimtestaat[[#This Row],[Uitvoeringen werkdagen]]*Ruimtestaat[[#This Row],[Oppervlak (netto)]]</f>
        <v>14156</v>
      </c>
      <c r="W1003" s="87">
        <f>IF(U1003&gt;0,Ruimtestaat[[#This Row],[Prest. (m2 /jaar) werkdagen]]/Ruimtestaat[[#This Row],[Norm (m2/uur) werkdagen]],0)</f>
        <v>0</v>
      </c>
      <c r="X1003" s="88">
        <f>Ruimtestaat[[#This Row],[uren / jaar werkdagen]]*Tariefsopbouw!$E$35</f>
        <v>0</v>
      </c>
      <c r="Y1003" s="85"/>
      <c r="Z1003" s="89">
        <f>IF(Ruimtestaat[[#This Row],[Frequentie weekend]]&gt;0,VALUE(LEFT(Y1003,1))*R1003,0)</f>
        <v>0</v>
      </c>
      <c r="AA1003" s="85">
        <f>IF($Z1003&gt;0,VLOOKUP($J1003,Ruimtegroepen[],3,FALSE)*VLOOKUP($L1003,Vloersoorten[],3,FALSE)*VLOOKUP($Y1003,Frequenties[],3,FALSE)*VLOOKUP(#REF!,Locaties[],3,FALSE),0)</f>
        <v>0</v>
      </c>
      <c r="AB1003" s="87">
        <f>Ruimtestaat[[#This Row],[Uitvoeringen weekend]]*Ruimtestaat[[#This Row],[Oppervlak (netto)]]</f>
        <v>0</v>
      </c>
      <c r="AC1003" s="90">
        <f>IF(AB1003&gt;0,Ruimtestaat[[#This Row],[Prest. (m2 /jaar) weekend]]/Ruimtestaat[[#This Row],[Norm (m2/uur) weekend]],0)</f>
        <v>0</v>
      </c>
      <c r="AD1003" s="91">
        <f>Ruimtestaat[[#This Row],[uren / jaar weekend]]*Tariefsopbouw!$D$40</f>
        <v>0</v>
      </c>
      <c r="AE1003" s="60">
        <f>Ruimtestaat[[#This Row],[Prest. (m2 /jaar) weekend]]+Ruimtestaat[[#This Row],[Prest. (m2 /jaar) werkdagen]]</f>
        <v>14156</v>
      </c>
      <c r="AF1003" s="60">
        <f>Ruimtestaat[[#This Row],[uren / jaar weekend]]+Ruimtestaat[[#This Row],[uren / jaar werkdagen]]</f>
        <v>0</v>
      </c>
      <c r="AG1003" s="61">
        <f>Ruimtestaat[[#This Row],[kosten / jaar weekend]]+Ruimtestaat[[#This Row],[kosten / jaar werkdagen]]</f>
        <v>0</v>
      </c>
      <c r="AH1003" s="92"/>
      <c r="HL1003" s="59"/>
    </row>
    <row r="1004" spans="1:220">
      <c r="A1004" s="24">
        <v>6</v>
      </c>
      <c r="B1004" s="24" t="str">
        <f>VLOOKUP(Ruimtestaat[[#This Row],[Code]],Locaties[#All],2,FALSE)</f>
        <v>Marke Noord</v>
      </c>
      <c r="C1004" s="24" t="str">
        <f>VLOOKUP(Ruimtestaat[[#This Row],[Code]],Locaties[#All],4,FALSE)</f>
        <v>Lebuïnuslaan 1</v>
      </c>
      <c r="D1004" s="24" t="str">
        <f>VLOOKUP(Ruimtestaat[[#This Row],[Code]],Locaties[#All],5,FALSE)</f>
        <v>7415 DM</v>
      </c>
      <c r="E1004" s="24" t="str">
        <f>VLOOKUP(Ruimtestaat[[#This Row],[Code]],Locaties[#All],6,FALSE)</f>
        <v>Deventer</v>
      </c>
      <c r="F1004" s="54"/>
      <c r="G1004" s="24" t="s">
        <v>512</v>
      </c>
      <c r="H1004" s="24" t="s">
        <v>538</v>
      </c>
      <c r="I1004" s="4" t="s">
        <v>1098</v>
      </c>
      <c r="J1004" s="24">
        <v>16</v>
      </c>
      <c r="K1004" s="54" t="str">
        <f>VLOOKUP(J1004,Ruimtegroepen[],2,FALSE)</f>
        <v>Leslokalen theorie</v>
      </c>
      <c r="L1004" s="24" t="s">
        <v>300</v>
      </c>
      <c r="M1004" s="24" t="s">
        <v>909</v>
      </c>
      <c r="N1004" s="83">
        <v>82.7</v>
      </c>
      <c r="O1004" s="83"/>
      <c r="P1004" s="93" t="str">
        <f>LEFT(VLOOKUP(Ruimtestaat[[#This Row],[Ruimte code]],Ruimtegroepen[#All],4,1),2)</f>
        <v>Le</v>
      </c>
      <c r="Q1004" s="93"/>
      <c r="R1004" s="84">
        <v>40</v>
      </c>
      <c r="S1004" s="84" t="s">
        <v>318</v>
      </c>
      <c r="T1004" s="85">
        <f>IF(R1004&gt;0,IF(RIGHT(Ruimtestaat[[#This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4" s="85">
        <f>IF(T1004&gt;0,VLOOKUP($J1004,Ruimtegroepen[],3,FALSE)*VLOOKUP($L1004,Vloersoorten[],3,FALSE)*VLOOKUP($S1004,Frequenties[],3,FALSE)*VLOOKUP($A1004,Locaties[],3,FALSE),0)</f>
        <v>0</v>
      </c>
      <c r="V1004" s="86">
        <f>Ruimtestaat[[#This Row],[Uitvoeringen werkdagen]]*Ruimtestaat[[#This Row],[Oppervlak (netto)]]</f>
        <v>16540</v>
      </c>
      <c r="W1004" s="87">
        <f>IF(U1004&gt;0,Ruimtestaat[[#This Row],[Prest. (m2 /jaar) werkdagen]]/Ruimtestaat[[#This Row],[Norm (m2/uur) werkdagen]],0)</f>
        <v>0</v>
      </c>
      <c r="X1004" s="88">
        <f>Ruimtestaat[[#This Row],[uren / jaar werkdagen]]*Tariefsopbouw!$E$35</f>
        <v>0</v>
      </c>
      <c r="Y1004" s="85"/>
      <c r="Z1004" s="89">
        <f>IF(Ruimtestaat[[#This Row],[Frequentie weekend]]&gt;0,VALUE(LEFT(Y1004,1))*R1004,0)</f>
        <v>0</v>
      </c>
      <c r="AA1004" s="85">
        <f>IF($Z1004&gt;0,VLOOKUP($J1004,Ruimtegroepen[],3,FALSE)*VLOOKUP($L1004,Vloersoorten[],3,FALSE)*VLOOKUP($Y1004,Frequenties[],3,FALSE)*VLOOKUP(#REF!,Locaties[],3,FALSE),0)</f>
        <v>0</v>
      </c>
      <c r="AB1004" s="87">
        <f>Ruimtestaat[[#This Row],[Uitvoeringen weekend]]*Ruimtestaat[[#This Row],[Oppervlak (netto)]]</f>
        <v>0</v>
      </c>
      <c r="AC1004" s="90">
        <f>IF(AB1004&gt;0,Ruimtestaat[[#This Row],[Prest. (m2 /jaar) weekend]]/Ruimtestaat[[#This Row],[Norm (m2/uur) weekend]],0)</f>
        <v>0</v>
      </c>
      <c r="AD1004" s="91">
        <f>Ruimtestaat[[#This Row],[uren / jaar weekend]]*Tariefsopbouw!$D$40</f>
        <v>0</v>
      </c>
      <c r="AE1004" s="60">
        <f>Ruimtestaat[[#This Row],[Prest. (m2 /jaar) weekend]]+Ruimtestaat[[#This Row],[Prest. (m2 /jaar) werkdagen]]</f>
        <v>16540</v>
      </c>
      <c r="AF1004" s="60">
        <f>Ruimtestaat[[#This Row],[uren / jaar weekend]]+Ruimtestaat[[#This Row],[uren / jaar werkdagen]]</f>
        <v>0</v>
      </c>
      <c r="AG1004" s="61">
        <f>Ruimtestaat[[#This Row],[kosten / jaar weekend]]+Ruimtestaat[[#This Row],[kosten / jaar werkdagen]]</f>
        <v>0</v>
      </c>
      <c r="AH1004" s="92"/>
      <c r="HL1004" s="59"/>
    </row>
    <row r="1005" spans="1:220">
      <c r="A1005" s="24">
        <v>6</v>
      </c>
      <c r="B1005" s="24" t="str">
        <f>VLOOKUP(Ruimtestaat[[#This Row],[Code]],Locaties[#All],2,FALSE)</f>
        <v>Marke Noord</v>
      </c>
      <c r="C1005" s="24" t="str">
        <f>VLOOKUP(Ruimtestaat[[#This Row],[Code]],Locaties[#All],4,FALSE)</f>
        <v>Lebuïnuslaan 1</v>
      </c>
      <c r="D1005" s="24" t="str">
        <f>VLOOKUP(Ruimtestaat[[#This Row],[Code]],Locaties[#All],5,FALSE)</f>
        <v>7415 DM</v>
      </c>
      <c r="E1005" s="24" t="str">
        <f>VLOOKUP(Ruimtestaat[[#This Row],[Code]],Locaties[#All],6,FALSE)</f>
        <v>Deventer</v>
      </c>
      <c r="F1005" s="54"/>
      <c r="G1005" s="24" t="s">
        <v>512</v>
      </c>
      <c r="H1005" s="24" t="s">
        <v>1408</v>
      </c>
      <c r="I1005" s="4" t="s">
        <v>1098</v>
      </c>
      <c r="J1005" s="24">
        <v>16</v>
      </c>
      <c r="K1005" s="54" t="str">
        <f>VLOOKUP(J1005,Ruimtegroepen[],2,FALSE)</f>
        <v>Leslokalen theorie</v>
      </c>
      <c r="L1005" s="24" t="s">
        <v>300</v>
      </c>
      <c r="M1005" s="24" t="s">
        <v>909</v>
      </c>
      <c r="N1005" s="83">
        <v>113.24</v>
      </c>
      <c r="O1005" s="83"/>
      <c r="P1005" s="93" t="str">
        <f>LEFT(VLOOKUP(Ruimtestaat[[#This Row],[Ruimte code]],Ruimtegroepen[#All],4,1),2)</f>
        <v>Le</v>
      </c>
      <c r="Q1005" s="93"/>
      <c r="R1005" s="84">
        <v>40</v>
      </c>
      <c r="S1005" s="84" t="s">
        <v>318</v>
      </c>
      <c r="T1005" s="85">
        <f>IF(R1005&gt;0,IF(RIGHT(Ruimtestaat[[#This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5" s="85">
        <f>IF(T1005&gt;0,VLOOKUP($J1005,Ruimtegroepen[],3,FALSE)*VLOOKUP($L1005,Vloersoorten[],3,FALSE)*VLOOKUP($S1005,Frequenties[],3,FALSE)*VLOOKUP($A1005,Locaties[],3,FALSE),0)</f>
        <v>0</v>
      </c>
      <c r="V1005" s="86">
        <f>Ruimtestaat[[#This Row],[Uitvoeringen werkdagen]]*Ruimtestaat[[#This Row],[Oppervlak (netto)]]</f>
        <v>22648</v>
      </c>
      <c r="W1005" s="87">
        <f>IF(U1005&gt;0,Ruimtestaat[[#This Row],[Prest. (m2 /jaar) werkdagen]]/Ruimtestaat[[#This Row],[Norm (m2/uur) werkdagen]],0)</f>
        <v>0</v>
      </c>
      <c r="X1005" s="88">
        <f>Ruimtestaat[[#This Row],[uren / jaar werkdagen]]*Tariefsopbouw!$E$35</f>
        <v>0</v>
      </c>
      <c r="Y1005" s="85"/>
      <c r="Z1005" s="89">
        <f>IF(Ruimtestaat[[#This Row],[Frequentie weekend]]&gt;0,VALUE(LEFT(Y1005,1))*R1005,0)</f>
        <v>0</v>
      </c>
      <c r="AA1005" s="85">
        <f>IF($Z1005&gt;0,VLOOKUP($J1005,Ruimtegroepen[],3,FALSE)*VLOOKUP($L1005,Vloersoorten[],3,FALSE)*VLOOKUP($Y1005,Frequenties[],3,FALSE)*VLOOKUP(#REF!,Locaties[],3,FALSE),0)</f>
        <v>0</v>
      </c>
      <c r="AB1005" s="87">
        <f>Ruimtestaat[[#This Row],[Uitvoeringen weekend]]*Ruimtestaat[[#This Row],[Oppervlak (netto)]]</f>
        <v>0</v>
      </c>
      <c r="AC1005" s="90">
        <f>IF(AB1005&gt;0,Ruimtestaat[[#This Row],[Prest. (m2 /jaar) weekend]]/Ruimtestaat[[#This Row],[Norm (m2/uur) weekend]],0)</f>
        <v>0</v>
      </c>
      <c r="AD1005" s="91">
        <f>Ruimtestaat[[#This Row],[uren / jaar weekend]]*Tariefsopbouw!$D$40</f>
        <v>0</v>
      </c>
      <c r="AE1005" s="60">
        <f>Ruimtestaat[[#This Row],[Prest. (m2 /jaar) weekend]]+Ruimtestaat[[#This Row],[Prest. (m2 /jaar) werkdagen]]</f>
        <v>22648</v>
      </c>
      <c r="AF1005" s="60">
        <f>Ruimtestaat[[#This Row],[uren / jaar weekend]]+Ruimtestaat[[#This Row],[uren / jaar werkdagen]]</f>
        <v>0</v>
      </c>
      <c r="AG1005" s="61">
        <f>Ruimtestaat[[#This Row],[kosten / jaar weekend]]+Ruimtestaat[[#This Row],[kosten / jaar werkdagen]]</f>
        <v>0</v>
      </c>
      <c r="AH1005" s="92"/>
      <c r="HL1005" s="59"/>
    </row>
    <row r="1006" spans="1:220">
      <c r="A1006" s="24">
        <v>6</v>
      </c>
      <c r="B1006" s="24" t="str">
        <f>VLOOKUP(Ruimtestaat[[#This Row],[Code]],Locaties[#All],2,FALSE)</f>
        <v>Marke Noord</v>
      </c>
      <c r="C1006" s="24" t="str">
        <f>VLOOKUP(Ruimtestaat[[#This Row],[Code]],Locaties[#All],4,FALSE)</f>
        <v>Lebuïnuslaan 1</v>
      </c>
      <c r="D1006" s="24" t="str">
        <f>VLOOKUP(Ruimtestaat[[#This Row],[Code]],Locaties[#All],5,FALSE)</f>
        <v>7415 DM</v>
      </c>
      <c r="E1006" s="24" t="str">
        <f>VLOOKUP(Ruimtestaat[[#This Row],[Code]],Locaties[#All],6,FALSE)</f>
        <v>Deventer</v>
      </c>
      <c r="F1006" s="54"/>
      <c r="G1006" s="24" t="s">
        <v>512</v>
      </c>
      <c r="H1006" s="24" t="s">
        <v>737</v>
      </c>
      <c r="I1006" s="4" t="s">
        <v>487</v>
      </c>
      <c r="J1006" s="24">
        <v>6</v>
      </c>
      <c r="K1006" s="54" t="str">
        <f>VLOOKUP(J1006,Ruimtegroepen[],2,FALSE)</f>
        <v>Gangen/hallen</v>
      </c>
      <c r="L1006" s="24" t="s">
        <v>300</v>
      </c>
      <c r="M1006" s="24" t="s">
        <v>909</v>
      </c>
      <c r="N1006" s="83">
        <v>59.64</v>
      </c>
      <c r="O1006" s="83"/>
      <c r="P1006" s="93" t="str">
        <f>LEFT(VLOOKUP(Ruimtestaat[[#This Row],[Ruimte code]],Ruimtegroepen[#All],4,1),2)</f>
        <v>Ve</v>
      </c>
      <c r="Q1006" s="93"/>
      <c r="R1006" s="84">
        <v>40</v>
      </c>
      <c r="S1006" s="84" t="s">
        <v>318</v>
      </c>
      <c r="T1006" s="85">
        <f>IF(R1006&gt;0,IF(RIGHT(Ruimtestaat[[#This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6" s="85">
        <f>IF(T1006&gt;0,VLOOKUP($J1006,Ruimtegroepen[],3,FALSE)*VLOOKUP($L1006,Vloersoorten[],3,FALSE)*VLOOKUP($S1006,Frequenties[],3,FALSE)*VLOOKUP($A1006,Locaties[],3,FALSE),0)</f>
        <v>0</v>
      </c>
      <c r="V1006" s="86">
        <f>Ruimtestaat[[#This Row],[Uitvoeringen werkdagen]]*Ruimtestaat[[#This Row],[Oppervlak (netto)]]</f>
        <v>11928</v>
      </c>
      <c r="W1006" s="87">
        <f>IF(U1006&gt;0,Ruimtestaat[[#This Row],[Prest. (m2 /jaar) werkdagen]]/Ruimtestaat[[#This Row],[Norm (m2/uur) werkdagen]],0)</f>
        <v>0</v>
      </c>
      <c r="X1006" s="88">
        <f>Ruimtestaat[[#This Row],[uren / jaar werkdagen]]*Tariefsopbouw!$E$35</f>
        <v>0</v>
      </c>
      <c r="Y1006" s="85"/>
      <c r="Z1006" s="89">
        <f>IF(Ruimtestaat[[#This Row],[Frequentie weekend]]&gt;0,VALUE(LEFT(Y1006,1))*R1006,0)</f>
        <v>0</v>
      </c>
      <c r="AA1006" s="85">
        <f>IF($Z1006&gt;0,VLOOKUP($J1006,Ruimtegroepen[],3,FALSE)*VLOOKUP($L1006,Vloersoorten[],3,FALSE)*VLOOKUP($Y1006,Frequenties[],3,FALSE)*VLOOKUP(#REF!,Locaties[],3,FALSE),0)</f>
        <v>0</v>
      </c>
      <c r="AB1006" s="87">
        <f>Ruimtestaat[[#This Row],[Uitvoeringen weekend]]*Ruimtestaat[[#This Row],[Oppervlak (netto)]]</f>
        <v>0</v>
      </c>
      <c r="AC1006" s="90">
        <f>IF(AB1006&gt;0,Ruimtestaat[[#This Row],[Prest. (m2 /jaar) weekend]]/Ruimtestaat[[#This Row],[Norm (m2/uur) weekend]],0)</f>
        <v>0</v>
      </c>
      <c r="AD1006" s="91">
        <f>Ruimtestaat[[#This Row],[uren / jaar weekend]]*Tariefsopbouw!$D$40</f>
        <v>0</v>
      </c>
      <c r="AE1006" s="60">
        <f>Ruimtestaat[[#This Row],[Prest. (m2 /jaar) weekend]]+Ruimtestaat[[#This Row],[Prest. (m2 /jaar) werkdagen]]</f>
        <v>11928</v>
      </c>
      <c r="AF1006" s="60">
        <f>Ruimtestaat[[#This Row],[uren / jaar weekend]]+Ruimtestaat[[#This Row],[uren / jaar werkdagen]]</f>
        <v>0</v>
      </c>
      <c r="AG1006" s="61">
        <f>Ruimtestaat[[#This Row],[kosten / jaar weekend]]+Ruimtestaat[[#This Row],[kosten / jaar werkdagen]]</f>
        <v>0</v>
      </c>
      <c r="AH1006" s="92"/>
      <c r="HL1006" s="59"/>
    </row>
    <row r="1007" spans="1:220">
      <c r="A1007" s="24">
        <v>6</v>
      </c>
      <c r="B1007" s="24" t="str">
        <f>VLOOKUP(Ruimtestaat[[#This Row],[Code]],Locaties[#All],2,FALSE)</f>
        <v>Marke Noord</v>
      </c>
      <c r="C1007" s="24" t="str">
        <f>VLOOKUP(Ruimtestaat[[#This Row],[Code]],Locaties[#All],4,FALSE)</f>
        <v>Lebuïnuslaan 1</v>
      </c>
      <c r="D1007" s="24" t="str">
        <f>VLOOKUP(Ruimtestaat[[#This Row],[Code]],Locaties[#All],5,FALSE)</f>
        <v>7415 DM</v>
      </c>
      <c r="E1007" s="24" t="str">
        <f>VLOOKUP(Ruimtestaat[[#This Row],[Code]],Locaties[#All],6,FALSE)</f>
        <v>Deventer</v>
      </c>
      <c r="F1007" s="54"/>
      <c r="G1007" s="24" t="s">
        <v>512</v>
      </c>
      <c r="H1007" s="24" t="s">
        <v>1409</v>
      </c>
      <c r="I1007" s="4" t="s">
        <v>487</v>
      </c>
      <c r="J1007" s="24">
        <v>6</v>
      </c>
      <c r="K1007" s="54" t="str">
        <f>VLOOKUP(J1007,Ruimtegroepen[],2,FALSE)</f>
        <v>Gangen/hallen</v>
      </c>
      <c r="L1007" s="24" t="s">
        <v>300</v>
      </c>
      <c r="M1007" s="24" t="s">
        <v>909</v>
      </c>
      <c r="N1007" s="83">
        <v>49.76</v>
      </c>
      <c r="O1007" s="83"/>
      <c r="P1007" s="93" t="str">
        <f>LEFT(VLOOKUP(Ruimtestaat[[#This Row],[Ruimte code]],Ruimtegroepen[#All],4,1),2)</f>
        <v>Ve</v>
      </c>
      <c r="Q1007" s="93"/>
      <c r="R1007" s="84">
        <v>40</v>
      </c>
      <c r="S1007" s="84" t="s">
        <v>318</v>
      </c>
      <c r="T1007" s="85">
        <f>IF(R1007&gt;0,IF(RIGHT(Ruimtestaat[[#This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7" s="85">
        <f>IF(T1007&gt;0,VLOOKUP($J1007,Ruimtegroepen[],3,FALSE)*VLOOKUP($L1007,Vloersoorten[],3,FALSE)*VLOOKUP($S1007,Frequenties[],3,FALSE)*VLOOKUP($A1007,Locaties[],3,FALSE),0)</f>
        <v>0</v>
      </c>
      <c r="V1007" s="86">
        <f>Ruimtestaat[[#This Row],[Uitvoeringen werkdagen]]*Ruimtestaat[[#This Row],[Oppervlak (netto)]]</f>
        <v>9952</v>
      </c>
      <c r="W1007" s="87">
        <f>IF(U1007&gt;0,Ruimtestaat[[#This Row],[Prest. (m2 /jaar) werkdagen]]/Ruimtestaat[[#This Row],[Norm (m2/uur) werkdagen]],0)</f>
        <v>0</v>
      </c>
      <c r="X1007" s="88">
        <f>Ruimtestaat[[#This Row],[uren / jaar werkdagen]]*Tariefsopbouw!$E$35</f>
        <v>0</v>
      </c>
      <c r="Y1007" s="85"/>
      <c r="Z1007" s="89">
        <f>IF(Ruimtestaat[[#This Row],[Frequentie weekend]]&gt;0,VALUE(LEFT(Y1007,1))*R1007,0)</f>
        <v>0</v>
      </c>
      <c r="AA1007" s="85">
        <f>IF($Z1007&gt;0,VLOOKUP($J1007,Ruimtegroepen[],3,FALSE)*VLOOKUP($L1007,Vloersoorten[],3,FALSE)*VLOOKUP($Y1007,Frequenties[],3,FALSE)*VLOOKUP(#REF!,Locaties[],3,FALSE),0)</f>
        <v>0</v>
      </c>
      <c r="AB1007" s="87">
        <f>Ruimtestaat[[#This Row],[Uitvoeringen weekend]]*Ruimtestaat[[#This Row],[Oppervlak (netto)]]</f>
        <v>0</v>
      </c>
      <c r="AC1007" s="90">
        <f>IF(AB1007&gt;0,Ruimtestaat[[#This Row],[Prest. (m2 /jaar) weekend]]/Ruimtestaat[[#This Row],[Norm (m2/uur) weekend]],0)</f>
        <v>0</v>
      </c>
      <c r="AD1007" s="91">
        <f>Ruimtestaat[[#This Row],[uren / jaar weekend]]*Tariefsopbouw!$D$40</f>
        <v>0</v>
      </c>
      <c r="AE1007" s="60">
        <f>Ruimtestaat[[#This Row],[Prest. (m2 /jaar) weekend]]+Ruimtestaat[[#This Row],[Prest. (m2 /jaar) werkdagen]]</f>
        <v>9952</v>
      </c>
      <c r="AF1007" s="60">
        <f>Ruimtestaat[[#This Row],[uren / jaar weekend]]+Ruimtestaat[[#This Row],[uren / jaar werkdagen]]</f>
        <v>0</v>
      </c>
      <c r="AG1007" s="61">
        <f>Ruimtestaat[[#This Row],[kosten / jaar weekend]]+Ruimtestaat[[#This Row],[kosten / jaar werkdagen]]</f>
        <v>0</v>
      </c>
      <c r="AH1007" s="92"/>
      <c r="HL1007" s="59"/>
    </row>
    <row r="1008" spans="1:220">
      <c r="A1008" s="24">
        <v>6</v>
      </c>
      <c r="B1008" s="24" t="str">
        <f>VLOOKUP(Ruimtestaat[[#This Row],[Code]],Locaties[#All],2,FALSE)</f>
        <v>Marke Noord</v>
      </c>
      <c r="C1008" s="24" t="str">
        <f>VLOOKUP(Ruimtestaat[[#This Row],[Code]],Locaties[#All],4,FALSE)</f>
        <v>Lebuïnuslaan 1</v>
      </c>
      <c r="D1008" s="24" t="str">
        <f>VLOOKUP(Ruimtestaat[[#This Row],[Code]],Locaties[#All],5,FALSE)</f>
        <v>7415 DM</v>
      </c>
      <c r="E1008" s="24" t="str">
        <f>VLOOKUP(Ruimtestaat[[#This Row],[Code]],Locaties[#All],6,FALSE)</f>
        <v>Deventer</v>
      </c>
      <c r="F1008" s="54"/>
      <c r="G1008" s="24" t="s">
        <v>512</v>
      </c>
      <c r="H1008" s="24" t="s">
        <v>738</v>
      </c>
      <c r="I1008" s="4" t="s">
        <v>487</v>
      </c>
      <c r="J1008" s="24">
        <v>6</v>
      </c>
      <c r="K1008" s="54" t="str">
        <f>VLOOKUP(J1008,Ruimtegroepen[],2,FALSE)</f>
        <v>Gangen/hallen</v>
      </c>
      <c r="L1008" s="24" t="s">
        <v>300</v>
      </c>
      <c r="M1008" s="24" t="s">
        <v>909</v>
      </c>
      <c r="N1008" s="83">
        <v>114.32</v>
      </c>
      <c r="O1008" s="83"/>
      <c r="P1008" s="93" t="str">
        <f>LEFT(VLOOKUP(Ruimtestaat[[#This Row],[Ruimte code]],Ruimtegroepen[#All],4,1),2)</f>
        <v>Ve</v>
      </c>
      <c r="Q1008" s="93"/>
      <c r="R1008" s="84">
        <v>40</v>
      </c>
      <c r="S1008" s="84" t="s">
        <v>318</v>
      </c>
      <c r="T1008" s="85">
        <f>IF(R1008&gt;0,IF(RIGHT(Ruimtestaat[[#This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8" s="85">
        <f>IF(T1008&gt;0,VLOOKUP($J1008,Ruimtegroepen[],3,FALSE)*VLOOKUP($L1008,Vloersoorten[],3,FALSE)*VLOOKUP($S1008,Frequenties[],3,FALSE)*VLOOKUP($A1008,Locaties[],3,FALSE),0)</f>
        <v>0</v>
      </c>
      <c r="V1008" s="86">
        <f>Ruimtestaat[[#This Row],[Uitvoeringen werkdagen]]*Ruimtestaat[[#This Row],[Oppervlak (netto)]]</f>
        <v>22864</v>
      </c>
      <c r="W1008" s="87">
        <f>IF(U1008&gt;0,Ruimtestaat[[#This Row],[Prest. (m2 /jaar) werkdagen]]/Ruimtestaat[[#This Row],[Norm (m2/uur) werkdagen]],0)</f>
        <v>0</v>
      </c>
      <c r="X1008" s="88">
        <f>Ruimtestaat[[#This Row],[uren / jaar werkdagen]]*Tariefsopbouw!$E$35</f>
        <v>0</v>
      </c>
      <c r="Y1008" s="85"/>
      <c r="Z1008" s="89">
        <f>IF(Ruimtestaat[[#This Row],[Frequentie weekend]]&gt;0,VALUE(LEFT(Y1008,1))*R1008,0)</f>
        <v>0</v>
      </c>
      <c r="AA1008" s="85">
        <f>IF($Z1008&gt;0,VLOOKUP($J1008,Ruimtegroepen[],3,FALSE)*VLOOKUP($L1008,Vloersoorten[],3,FALSE)*VLOOKUP($Y1008,Frequenties[],3,FALSE)*VLOOKUP(#REF!,Locaties[],3,FALSE),0)</f>
        <v>0</v>
      </c>
      <c r="AB1008" s="87">
        <f>Ruimtestaat[[#This Row],[Uitvoeringen weekend]]*Ruimtestaat[[#This Row],[Oppervlak (netto)]]</f>
        <v>0</v>
      </c>
      <c r="AC1008" s="90">
        <f>IF(AB1008&gt;0,Ruimtestaat[[#This Row],[Prest. (m2 /jaar) weekend]]/Ruimtestaat[[#This Row],[Norm (m2/uur) weekend]],0)</f>
        <v>0</v>
      </c>
      <c r="AD1008" s="91">
        <f>Ruimtestaat[[#This Row],[uren / jaar weekend]]*Tariefsopbouw!$D$40</f>
        <v>0</v>
      </c>
      <c r="AE1008" s="60">
        <f>Ruimtestaat[[#This Row],[Prest. (m2 /jaar) weekend]]+Ruimtestaat[[#This Row],[Prest. (m2 /jaar) werkdagen]]</f>
        <v>22864</v>
      </c>
      <c r="AF1008" s="60">
        <f>Ruimtestaat[[#This Row],[uren / jaar weekend]]+Ruimtestaat[[#This Row],[uren / jaar werkdagen]]</f>
        <v>0</v>
      </c>
      <c r="AG1008" s="61">
        <f>Ruimtestaat[[#This Row],[kosten / jaar weekend]]+Ruimtestaat[[#This Row],[kosten / jaar werkdagen]]</f>
        <v>0</v>
      </c>
      <c r="AH1008" s="92"/>
      <c r="HL1008" s="59"/>
    </row>
    <row r="1009" spans="1:220">
      <c r="A1009" s="24">
        <v>6</v>
      </c>
      <c r="B1009" s="24" t="str">
        <f>VLOOKUP(Ruimtestaat[[#This Row],[Code]],Locaties[#All],2,FALSE)</f>
        <v>Marke Noord</v>
      </c>
      <c r="C1009" s="24" t="str">
        <f>VLOOKUP(Ruimtestaat[[#This Row],[Code]],Locaties[#All],4,FALSE)</f>
        <v>Lebuïnuslaan 1</v>
      </c>
      <c r="D1009" s="24" t="str">
        <f>VLOOKUP(Ruimtestaat[[#This Row],[Code]],Locaties[#All],5,FALSE)</f>
        <v>7415 DM</v>
      </c>
      <c r="E1009" s="24" t="str">
        <f>VLOOKUP(Ruimtestaat[[#This Row],[Code]],Locaties[#All],6,FALSE)</f>
        <v>Deventer</v>
      </c>
      <c r="F1009" s="54"/>
      <c r="G1009" s="24" t="s">
        <v>512</v>
      </c>
      <c r="H1009" s="24" t="s">
        <v>740</v>
      </c>
      <c r="I1009" s="4" t="s">
        <v>487</v>
      </c>
      <c r="J1009" s="24">
        <v>6</v>
      </c>
      <c r="K1009" s="54" t="str">
        <f>VLOOKUP(J1009,Ruimtegroepen[],2,FALSE)</f>
        <v>Gangen/hallen</v>
      </c>
      <c r="L1009" s="24" t="s">
        <v>300</v>
      </c>
      <c r="M1009" s="24" t="s">
        <v>909</v>
      </c>
      <c r="N1009" s="83">
        <v>62.49</v>
      </c>
      <c r="O1009" s="83"/>
      <c r="P1009" s="93" t="str">
        <f>LEFT(VLOOKUP(Ruimtestaat[[#This Row],[Ruimte code]],Ruimtegroepen[#All],4,1),2)</f>
        <v>Ve</v>
      </c>
      <c r="Q1009" s="93"/>
      <c r="R1009" s="84">
        <v>40</v>
      </c>
      <c r="S1009" s="84" t="s">
        <v>318</v>
      </c>
      <c r="T1009" s="85">
        <f>IF(R1009&gt;0,IF(RIGHT(Ruimtestaat[[#This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9" s="85">
        <f>IF(T1009&gt;0,VLOOKUP($J1009,Ruimtegroepen[],3,FALSE)*VLOOKUP($L1009,Vloersoorten[],3,FALSE)*VLOOKUP($S1009,Frequenties[],3,FALSE)*VLOOKUP($A1009,Locaties[],3,FALSE),0)</f>
        <v>0</v>
      </c>
      <c r="V1009" s="86">
        <f>Ruimtestaat[[#This Row],[Uitvoeringen werkdagen]]*Ruimtestaat[[#This Row],[Oppervlak (netto)]]</f>
        <v>12498</v>
      </c>
      <c r="W1009" s="87">
        <f>IF(U1009&gt;0,Ruimtestaat[[#This Row],[Prest. (m2 /jaar) werkdagen]]/Ruimtestaat[[#This Row],[Norm (m2/uur) werkdagen]],0)</f>
        <v>0</v>
      </c>
      <c r="X1009" s="88">
        <f>Ruimtestaat[[#This Row],[uren / jaar werkdagen]]*Tariefsopbouw!$E$35</f>
        <v>0</v>
      </c>
      <c r="Y1009" s="85"/>
      <c r="Z1009" s="89">
        <f>IF(Ruimtestaat[[#This Row],[Frequentie weekend]]&gt;0,VALUE(LEFT(Y1009,1))*R1009,0)</f>
        <v>0</v>
      </c>
      <c r="AA1009" s="85">
        <f>IF($Z1009&gt;0,VLOOKUP($J1009,Ruimtegroepen[],3,FALSE)*VLOOKUP($L1009,Vloersoorten[],3,FALSE)*VLOOKUP($Y1009,Frequenties[],3,FALSE)*VLOOKUP(#REF!,Locaties[],3,FALSE),0)</f>
        <v>0</v>
      </c>
      <c r="AB1009" s="87">
        <f>Ruimtestaat[[#This Row],[Uitvoeringen weekend]]*Ruimtestaat[[#This Row],[Oppervlak (netto)]]</f>
        <v>0</v>
      </c>
      <c r="AC1009" s="90">
        <f>IF(AB1009&gt;0,Ruimtestaat[[#This Row],[Prest. (m2 /jaar) weekend]]/Ruimtestaat[[#This Row],[Norm (m2/uur) weekend]],0)</f>
        <v>0</v>
      </c>
      <c r="AD1009" s="91">
        <f>Ruimtestaat[[#This Row],[uren / jaar weekend]]*Tariefsopbouw!$D$40</f>
        <v>0</v>
      </c>
      <c r="AE1009" s="60">
        <f>Ruimtestaat[[#This Row],[Prest. (m2 /jaar) weekend]]+Ruimtestaat[[#This Row],[Prest. (m2 /jaar) werkdagen]]</f>
        <v>12498</v>
      </c>
      <c r="AF1009" s="60">
        <f>Ruimtestaat[[#This Row],[uren / jaar weekend]]+Ruimtestaat[[#This Row],[uren / jaar werkdagen]]</f>
        <v>0</v>
      </c>
      <c r="AG1009" s="61">
        <f>Ruimtestaat[[#This Row],[kosten / jaar weekend]]+Ruimtestaat[[#This Row],[kosten / jaar werkdagen]]</f>
        <v>0</v>
      </c>
      <c r="AH1009" s="92"/>
      <c r="HL1009" s="59"/>
    </row>
    <row r="1010" spans="1:220">
      <c r="A1010" s="24">
        <v>6</v>
      </c>
      <c r="B1010" s="24" t="str">
        <f>VLOOKUP(Ruimtestaat[[#This Row],[Code]],Locaties[#All],2,FALSE)</f>
        <v>Marke Noord</v>
      </c>
      <c r="C1010" s="24" t="str">
        <f>VLOOKUP(Ruimtestaat[[#This Row],[Code]],Locaties[#All],4,FALSE)</f>
        <v>Lebuïnuslaan 1</v>
      </c>
      <c r="D1010" s="24" t="str">
        <f>VLOOKUP(Ruimtestaat[[#This Row],[Code]],Locaties[#All],5,FALSE)</f>
        <v>7415 DM</v>
      </c>
      <c r="E1010" s="24" t="str">
        <f>VLOOKUP(Ruimtestaat[[#This Row],[Code]],Locaties[#All],6,FALSE)</f>
        <v>Deventer</v>
      </c>
      <c r="F1010" s="54"/>
      <c r="G1010" s="24" t="s">
        <v>512</v>
      </c>
      <c r="H1010" s="24" t="s">
        <v>1410</v>
      </c>
      <c r="I1010" s="4" t="s">
        <v>487</v>
      </c>
      <c r="J1010" s="24">
        <v>6</v>
      </c>
      <c r="K1010" s="54" t="str">
        <f>VLOOKUP(J1010,Ruimtegroepen[],2,FALSE)</f>
        <v>Gangen/hallen</v>
      </c>
      <c r="L1010" s="24" t="s">
        <v>300</v>
      </c>
      <c r="M1010" s="24" t="s">
        <v>909</v>
      </c>
      <c r="N1010" s="83">
        <v>91.92</v>
      </c>
      <c r="O1010" s="83"/>
      <c r="P1010" s="93" t="str">
        <f>LEFT(VLOOKUP(Ruimtestaat[[#This Row],[Ruimte code]],Ruimtegroepen[#All],4,1),2)</f>
        <v>Ve</v>
      </c>
      <c r="Q1010" s="93"/>
      <c r="R1010" s="84">
        <v>40</v>
      </c>
      <c r="S1010" s="84" t="s">
        <v>318</v>
      </c>
      <c r="T1010" s="85">
        <f>IF(R1010&gt;0,IF(RIGHT(Ruimtestaat[[#This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0" s="85">
        <f>IF(T1010&gt;0,VLOOKUP($J1010,Ruimtegroepen[],3,FALSE)*VLOOKUP($L1010,Vloersoorten[],3,FALSE)*VLOOKUP($S1010,Frequenties[],3,FALSE)*VLOOKUP($A1010,Locaties[],3,FALSE),0)</f>
        <v>0</v>
      </c>
      <c r="V1010" s="86">
        <f>Ruimtestaat[[#This Row],[Uitvoeringen werkdagen]]*Ruimtestaat[[#This Row],[Oppervlak (netto)]]</f>
        <v>18384</v>
      </c>
      <c r="W1010" s="87">
        <f>IF(U1010&gt;0,Ruimtestaat[[#This Row],[Prest. (m2 /jaar) werkdagen]]/Ruimtestaat[[#This Row],[Norm (m2/uur) werkdagen]],0)</f>
        <v>0</v>
      </c>
      <c r="X1010" s="88">
        <f>Ruimtestaat[[#This Row],[uren / jaar werkdagen]]*Tariefsopbouw!$E$35</f>
        <v>0</v>
      </c>
      <c r="Y1010" s="85"/>
      <c r="Z1010" s="89">
        <f>IF(Ruimtestaat[[#This Row],[Frequentie weekend]]&gt;0,VALUE(LEFT(Y1010,1))*R1010,0)</f>
        <v>0</v>
      </c>
      <c r="AA1010" s="85">
        <f>IF($Z1010&gt;0,VLOOKUP($J1010,Ruimtegroepen[],3,FALSE)*VLOOKUP($L1010,Vloersoorten[],3,FALSE)*VLOOKUP($Y1010,Frequenties[],3,FALSE)*VLOOKUP(#REF!,Locaties[],3,FALSE),0)</f>
        <v>0</v>
      </c>
      <c r="AB1010" s="87">
        <f>Ruimtestaat[[#This Row],[Uitvoeringen weekend]]*Ruimtestaat[[#This Row],[Oppervlak (netto)]]</f>
        <v>0</v>
      </c>
      <c r="AC1010" s="90">
        <f>IF(AB1010&gt;0,Ruimtestaat[[#This Row],[Prest. (m2 /jaar) weekend]]/Ruimtestaat[[#This Row],[Norm (m2/uur) weekend]],0)</f>
        <v>0</v>
      </c>
      <c r="AD1010" s="91">
        <f>Ruimtestaat[[#This Row],[uren / jaar weekend]]*Tariefsopbouw!$D$40</f>
        <v>0</v>
      </c>
      <c r="AE1010" s="60">
        <f>Ruimtestaat[[#This Row],[Prest. (m2 /jaar) weekend]]+Ruimtestaat[[#This Row],[Prest. (m2 /jaar) werkdagen]]</f>
        <v>18384</v>
      </c>
      <c r="AF1010" s="60">
        <f>Ruimtestaat[[#This Row],[uren / jaar weekend]]+Ruimtestaat[[#This Row],[uren / jaar werkdagen]]</f>
        <v>0</v>
      </c>
      <c r="AG1010" s="61">
        <f>Ruimtestaat[[#This Row],[kosten / jaar weekend]]+Ruimtestaat[[#This Row],[kosten / jaar werkdagen]]</f>
        <v>0</v>
      </c>
      <c r="AH1010" s="92"/>
      <c r="HL1010" s="59"/>
    </row>
    <row r="1011" spans="1:220">
      <c r="A1011" s="24">
        <v>6</v>
      </c>
      <c r="B1011" s="24" t="str">
        <f>VLOOKUP(Ruimtestaat[[#This Row],[Code]],Locaties[#All],2,FALSE)</f>
        <v>Marke Noord</v>
      </c>
      <c r="C1011" s="24" t="str">
        <f>VLOOKUP(Ruimtestaat[[#This Row],[Code]],Locaties[#All],4,FALSE)</f>
        <v>Lebuïnuslaan 1</v>
      </c>
      <c r="D1011" s="24" t="str">
        <f>VLOOKUP(Ruimtestaat[[#This Row],[Code]],Locaties[#All],5,FALSE)</f>
        <v>7415 DM</v>
      </c>
      <c r="E1011" s="24" t="str">
        <f>VLOOKUP(Ruimtestaat[[#This Row],[Code]],Locaties[#All],6,FALSE)</f>
        <v>Deventer</v>
      </c>
      <c r="F1011" s="54"/>
      <c r="G1011" s="24" t="s">
        <v>512</v>
      </c>
      <c r="H1011" s="24" t="s">
        <v>741</v>
      </c>
      <c r="I1011" s="4" t="s">
        <v>103</v>
      </c>
      <c r="J1011" s="24">
        <v>10</v>
      </c>
      <c r="K1011" s="54" t="str">
        <f>VLOOKUP(J1011,Ruimtegroepen[],2,FALSE)</f>
        <v>Trappenhuizen/lift</v>
      </c>
      <c r="L1011" s="24" t="s">
        <v>300</v>
      </c>
      <c r="M1011" s="24" t="s">
        <v>909</v>
      </c>
      <c r="N1011" s="83">
        <v>3.56</v>
      </c>
      <c r="O1011" s="83"/>
      <c r="P1011" s="93" t="str">
        <f>LEFT(VLOOKUP(Ruimtestaat[[#This Row],[Ruimte code]],Ruimtegroepen[#All],4,1),2)</f>
        <v>Ve</v>
      </c>
      <c r="Q1011" s="93"/>
      <c r="R1011" s="84">
        <v>40</v>
      </c>
      <c r="S1011" s="84" t="s">
        <v>318</v>
      </c>
      <c r="T1011" s="85">
        <f>IF(R1011&gt;0,IF(RIGHT(Ruimtestaat[[#This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1" s="85">
        <f>IF(T1011&gt;0,VLOOKUP($J1011,Ruimtegroepen[],3,FALSE)*VLOOKUP($L1011,Vloersoorten[],3,FALSE)*VLOOKUP($S1011,Frequenties[],3,FALSE)*VLOOKUP($A1011,Locaties[],3,FALSE),0)</f>
        <v>0</v>
      </c>
      <c r="V1011" s="86">
        <f>Ruimtestaat[[#This Row],[Uitvoeringen werkdagen]]*Ruimtestaat[[#This Row],[Oppervlak (netto)]]</f>
        <v>712</v>
      </c>
      <c r="W1011" s="87">
        <f>IF(U1011&gt;0,Ruimtestaat[[#This Row],[Prest. (m2 /jaar) werkdagen]]/Ruimtestaat[[#This Row],[Norm (m2/uur) werkdagen]],0)</f>
        <v>0</v>
      </c>
      <c r="X1011" s="88">
        <f>Ruimtestaat[[#This Row],[uren / jaar werkdagen]]*Tariefsopbouw!$E$35</f>
        <v>0</v>
      </c>
      <c r="Y1011" s="85"/>
      <c r="Z1011" s="89">
        <f>IF(Ruimtestaat[[#This Row],[Frequentie weekend]]&gt;0,VALUE(LEFT(Y1011,1))*R1011,0)</f>
        <v>0</v>
      </c>
      <c r="AA1011" s="85">
        <f>IF($Z1011&gt;0,VLOOKUP($J1011,Ruimtegroepen[],3,FALSE)*VLOOKUP($L1011,Vloersoorten[],3,FALSE)*VLOOKUP($Y1011,Frequenties[],3,FALSE)*VLOOKUP(#REF!,Locaties[],3,FALSE),0)</f>
        <v>0</v>
      </c>
      <c r="AB1011" s="87">
        <f>Ruimtestaat[[#This Row],[Uitvoeringen weekend]]*Ruimtestaat[[#This Row],[Oppervlak (netto)]]</f>
        <v>0</v>
      </c>
      <c r="AC1011" s="90">
        <f>IF(AB1011&gt;0,Ruimtestaat[[#This Row],[Prest. (m2 /jaar) weekend]]/Ruimtestaat[[#This Row],[Norm (m2/uur) weekend]],0)</f>
        <v>0</v>
      </c>
      <c r="AD1011" s="91">
        <f>Ruimtestaat[[#This Row],[uren / jaar weekend]]*Tariefsopbouw!$D$40</f>
        <v>0</v>
      </c>
      <c r="AE1011" s="60">
        <f>Ruimtestaat[[#This Row],[Prest. (m2 /jaar) weekend]]+Ruimtestaat[[#This Row],[Prest. (m2 /jaar) werkdagen]]</f>
        <v>712</v>
      </c>
      <c r="AF1011" s="60">
        <f>Ruimtestaat[[#This Row],[uren / jaar weekend]]+Ruimtestaat[[#This Row],[uren / jaar werkdagen]]</f>
        <v>0</v>
      </c>
      <c r="AG1011" s="61">
        <f>Ruimtestaat[[#This Row],[kosten / jaar weekend]]+Ruimtestaat[[#This Row],[kosten / jaar werkdagen]]</f>
        <v>0</v>
      </c>
      <c r="AH1011" s="92"/>
      <c r="HL1011" s="59"/>
    </row>
    <row r="1012" spans="1:220">
      <c r="A1012" s="24">
        <v>6</v>
      </c>
      <c r="B1012" s="24" t="str">
        <f>VLOOKUP(Ruimtestaat[[#This Row],[Code]],Locaties[#All],2,FALSE)</f>
        <v>Marke Noord</v>
      </c>
      <c r="C1012" s="24" t="str">
        <f>VLOOKUP(Ruimtestaat[[#This Row],[Code]],Locaties[#All],4,FALSE)</f>
        <v>Lebuïnuslaan 1</v>
      </c>
      <c r="D1012" s="24" t="str">
        <f>VLOOKUP(Ruimtestaat[[#This Row],[Code]],Locaties[#All],5,FALSE)</f>
        <v>7415 DM</v>
      </c>
      <c r="E1012" s="24" t="str">
        <f>VLOOKUP(Ruimtestaat[[#This Row],[Code]],Locaties[#All],6,FALSE)</f>
        <v>Deventer</v>
      </c>
      <c r="F1012" s="54"/>
      <c r="G1012" s="24" t="s">
        <v>512</v>
      </c>
      <c r="H1012" s="24" t="s">
        <v>755</v>
      </c>
      <c r="I1012" s="4" t="s">
        <v>716</v>
      </c>
      <c r="J1012" s="24">
        <v>10</v>
      </c>
      <c r="K1012" s="54" t="str">
        <f>VLOOKUP(J1012,Ruimtegroepen[],2,FALSE)</f>
        <v>Trappenhuizen/lift</v>
      </c>
      <c r="L1012" s="24" t="s">
        <v>300</v>
      </c>
      <c r="M1012" s="24" t="s">
        <v>909</v>
      </c>
      <c r="N1012" s="83">
        <v>91.23</v>
      </c>
      <c r="O1012" s="83"/>
      <c r="P1012" s="93" t="str">
        <f>LEFT(VLOOKUP(Ruimtestaat[[#This Row],[Ruimte code]],Ruimtegroepen[#All],4,1),2)</f>
        <v>Ve</v>
      </c>
      <c r="Q1012" s="93"/>
      <c r="R1012" s="84">
        <v>40</v>
      </c>
      <c r="S1012" s="84" t="s">
        <v>318</v>
      </c>
      <c r="T1012" s="85">
        <f>IF(R1012&gt;0,IF(RIGHT(Ruimtestaat[[#This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2" s="85">
        <f>IF(T1012&gt;0,VLOOKUP($J1012,Ruimtegroepen[],3,FALSE)*VLOOKUP($L1012,Vloersoorten[],3,FALSE)*VLOOKUP($S1012,Frequenties[],3,FALSE)*VLOOKUP($A1012,Locaties[],3,FALSE),0)</f>
        <v>0</v>
      </c>
      <c r="V1012" s="86">
        <f>Ruimtestaat[[#This Row],[Uitvoeringen werkdagen]]*Ruimtestaat[[#This Row],[Oppervlak (netto)]]</f>
        <v>18246</v>
      </c>
      <c r="W1012" s="87">
        <f>IF(U1012&gt;0,Ruimtestaat[[#This Row],[Prest. (m2 /jaar) werkdagen]]/Ruimtestaat[[#This Row],[Norm (m2/uur) werkdagen]],0)</f>
        <v>0</v>
      </c>
      <c r="X1012" s="88">
        <f>Ruimtestaat[[#This Row],[uren / jaar werkdagen]]*Tariefsopbouw!$E$35</f>
        <v>0</v>
      </c>
      <c r="Y1012" s="85"/>
      <c r="Z1012" s="89">
        <f>IF(Ruimtestaat[[#This Row],[Frequentie weekend]]&gt;0,VALUE(LEFT(Y1012,1))*R1012,0)</f>
        <v>0</v>
      </c>
      <c r="AA1012" s="85">
        <f>IF($Z1012&gt;0,VLOOKUP($J1012,Ruimtegroepen[],3,FALSE)*VLOOKUP($L1012,Vloersoorten[],3,FALSE)*VLOOKUP($Y1012,Frequenties[],3,FALSE)*VLOOKUP(#REF!,Locaties[],3,FALSE),0)</f>
        <v>0</v>
      </c>
      <c r="AB1012" s="87">
        <f>Ruimtestaat[[#This Row],[Uitvoeringen weekend]]*Ruimtestaat[[#This Row],[Oppervlak (netto)]]</f>
        <v>0</v>
      </c>
      <c r="AC1012" s="90">
        <f>IF(AB1012&gt;0,Ruimtestaat[[#This Row],[Prest. (m2 /jaar) weekend]]/Ruimtestaat[[#This Row],[Norm (m2/uur) weekend]],0)</f>
        <v>0</v>
      </c>
      <c r="AD1012" s="91">
        <f>Ruimtestaat[[#This Row],[uren / jaar weekend]]*Tariefsopbouw!$D$40</f>
        <v>0</v>
      </c>
      <c r="AE1012" s="60">
        <f>Ruimtestaat[[#This Row],[Prest. (m2 /jaar) weekend]]+Ruimtestaat[[#This Row],[Prest. (m2 /jaar) werkdagen]]</f>
        <v>18246</v>
      </c>
      <c r="AF1012" s="60">
        <f>Ruimtestaat[[#This Row],[uren / jaar weekend]]+Ruimtestaat[[#This Row],[uren / jaar werkdagen]]</f>
        <v>0</v>
      </c>
      <c r="AG1012" s="61">
        <f>Ruimtestaat[[#This Row],[kosten / jaar weekend]]+Ruimtestaat[[#This Row],[kosten / jaar werkdagen]]</f>
        <v>0</v>
      </c>
      <c r="AH1012" s="92"/>
      <c r="HL1012" s="59"/>
    </row>
    <row r="1013" spans="1:220">
      <c r="A1013" s="24">
        <v>6</v>
      </c>
      <c r="B1013" s="24" t="str">
        <f>VLOOKUP(Ruimtestaat[[#This Row],[Code]],Locaties[#All],2,FALSE)</f>
        <v>Marke Noord</v>
      </c>
      <c r="C1013" s="24" t="str">
        <f>VLOOKUP(Ruimtestaat[[#This Row],[Code]],Locaties[#All],4,FALSE)</f>
        <v>Lebuïnuslaan 1</v>
      </c>
      <c r="D1013" s="24" t="str">
        <f>VLOOKUP(Ruimtestaat[[#This Row],[Code]],Locaties[#All],5,FALSE)</f>
        <v>7415 DM</v>
      </c>
      <c r="E1013" s="24" t="str">
        <f>VLOOKUP(Ruimtestaat[[#This Row],[Code]],Locaties[#All],6,FALSE)</f>
        <v>Deventer</v>
      </c>
      <c r="F1013" s="54"/>
      <c r="G1013" s="24" t="s">
        <v>512</v>
      </c>
      <c r="H1013" s="24" t="s">
        <v>756</v>
      </c>
      <c r="I1013" s="4" t="s">
        <v>716</v>
      </c>
      <c r="J1013" s="24">
        <v>10</v>
      </c>
      <c r="K1013" s="54" t="str">
        <f>VLOOKUP(J1013,Ruimtegroepen[],2,FALSE)</f>
        <v>Trappenhuizen/lift</v>
      </c>
      <c r="L1013" s="24" t="s">
        <v>300</v>
      </c>
      <c r="M1013" s="24" t="s">
        <v>909</v>
      </c>
      <c r="N1013" s="83">
        <v>19.71</v>
      </c>
      <c r="O1013" s="83"/>
      <c r="P1013" s="93" t="str">
        <f>LEFT(VLOOKUP(Ruimtestaat[[#This Row],[Ruimte code]],Ruimtegroepen[#All],4,1),2)</f>
        <v>Ve</v>
      </c>
      <c r="Q1013" s="93"/>
      <c r="R1013" s="84">
        <v>40</v>
      </c>
      <c r="S1013" s="84" t="s">
        <v>318</v>
      </c>
      <c r="T1013" s="85">
        <f>IF(R1013&gt;0,IF(RIGHT(Ruimtestaat[[#This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3" s="85">
        <f>IF(T1013&gt;0,VLOOKUP($J1013,Ruimtegroepen[],3,FALSE)*VLOOKUP($L1013,Vloersoorten[],3,FALSE)*VLOOKUP($S1013,Frequenties[],3,FALSE)*VLOOKUP($A1013,Locaties[],3,FALSE),0)</f>
        <v>0</v>
      </c>
      <c r="V1013" s="86">
        <f>Ruimtestaat[[#This Row],[Uitvoeringen werkdagen]]*Ruimtestaat[[#This Row],[Oppervlak (netto)]]</f>
        <v>3942</v>
      </c>
      <c r="W1013" s="87">
        <f>IF(U1013&gt;0,Ruimtestaat[[#This Row],[Prest. (m2 /jaar) werkdagen]]/Ruimtestaat[[#This Row],[Norm (m2/uur) werkdagen]],0)</f>
        <v>0</v>
      </c>
      <c r="X1013" s="88">
        <f>Ruimtestaat[[#This Row],[uren / jaar werkdagen]]*Tariefsopbouw!$E$35</f>
        <v>0</v>
      </c>
      <c r="Y1013" s="85"/>
      <c r="Z1013" s="89">
        <f>IF(Ruimtestaat[[#This Row],[Frequentie weekend]]&gt;0,VALUE(LEFT(Y1013,1))*R1013,0)</f>
        <v>0</v>
      </c>
      <c r="AA1013" s="85">
        <f>IF($Z1013&gt;0,VLOOKUP($J1013,Ruimtegroepen[],3,FALSE)*VLOOKUP($L1013,Vloersoorten[],3,FALSE)*VLOOKUP($Y1013,Frequenties[],3,FALSE)*VLOOKUP(#REF!,Locaties[],3,FALSE),0)</f>
        <v>0</v>
      </c>
      <c r="AB1013" s="87">
        <f>Ruimtestaat[[#This Row],[Uitvoeringen weekend]]*Ruimtestaat[[#This Row],[Oppervlak (netto)]]</f>
        <v>0</v>
      </c>
      <c r="AC1013" s="90">
        <f>IF(AB1013&gt;0,Ruimtestaat[[#This Row],[Prest. (m2 /jaar) weekend]]/Ruimtestaat[[#This Row],[Norm (m2/uur) weekend]],0)</f>
        <v>0</v>
      </c>
      <c r="AD1013" s="91">
        <f>Ruimtestaat[[#This Row],[uren / jaar weekend]]*Tariefsopbouw!$D$40</f>
        <v>0</v>
      </c>
      <c r="AE1013" s="60">
        <f>Ruimtestaat[[#This Row],[Prest. (m2 /jaar) weekend]]+Ruimtestaat[[#This Row],[Prest. (m2 /jaar) werkdagen]]</f>
        <v>3942</v>
      </c>
      <c r="AF1013" s="60">
        <f>Ruimtestaat[[#This Row],[uren / jaar weekend]]+Ruimtestaat[[#This Row],[uren / jaar werkdagen]]</f>
        <v>0</v>
      </c>
      <c r="AG1013" s="61">
        <f>Ruimtestaat[[#This Row],[kosten / jaar weekend]]+Ruimtestaat[[#This Row],[kosten / jaar werkdagen]]</f>
        <v>0</v>
      </c>
      <c r="AH1013" s="92"/>
      <c r="HL1013" s="59"/>
    </row>
    <row r="1014" spans="1:220">
      <c r="A1014" s="24">
        <v>6</v>
      </c>
      <c r="B1014" s="24" t="str">
        <f>VLOOKUP(Ruimtestaat[[#This Row],[Code]],Locaties[#All],2,FALSE)</f>
        <v>Marke Noord</v>
      </c>
      <c r="C1014" s="24" t="str">
        <f>VLOOKUP(Ruimtestaat[[#This Row],[Code]],Locaties[#All],4,FALSE)</f>
        <v>Lebuïnuslaan 1</v>
      </c>
      <c r="D1014" s="24" t="str">
        <f>VLOOKUP(Ruimtestaat[[#This Row],[Code]],Locaties[#All],5,FALSE)</f>
        <v>7415 DM</v>
      </c>
      <c r="E1014" s="24" t="str">
        <f>VLOOKUP(Ruimtestaat[[#This Row],[Code]],Locaties[#All],6,FALSE)</f>
        <v>Deventer</v>
      </c>
      <c r="F1014" s="54"/>
      <c r="G1014" s="24" t="s">
        <v>512</v>
      </c>
      <c r="H1014" s="24" t="s">
        <v>757</v>
      </c>
      <c r="I1014" s="4" t="s">
        <v>716</v>
      </c>
      <c r="J1014" s="24">
        <v>10</v>
      </c>
      <c r="K1014" s="54" t="str">
        <f>VLOOKUP(J1014,Ruimtegroepen[],2,FALSE)</f>
        <v>Trappenhuizen/lift</v>
      </c>
      <c r="L1014" s="24" t="s">
        <v>300</v>
      </c>
      <c r="M1014" s="24" t="s">
        <v>909</v>
      </c>
      <c r="N1014" s="83">
        <v>81.069999999999993</v>
      </c>
      <c r="O1014" s="83"/>
      <c r="P1014" s="93" t="str">
        <f>LEFT(VLOOKUP(Ruimtestaat[[#This Row],[Ruimte code]],Ruimtegroepen[#All],4,1),2)</f>
        <v>Ve</v>
      </c>
      <c r="Q1014" s="93"/>
      <c r="R1014" s="84">
        <v>40</v>
      </c>
      <c r="S1014" s="84" t="s">
        <v>318</v>
      </c>
      <c r="T1014" s="85">
        <f>IF(R1014&gt;0,IF(RIGHT(Ruimtestaat[[#This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4" s="85">
        <f>IF(T1014&gt;0,VLOOKUP($J1014,Ruimtegroepen[],3,FALSE)*VLOOKUP($L1014,Vloersoorten[],3,FALSE)*VLOOKUP($S1014,Frequenties[],3,FALSE)*VLOOKUP($A1014,Locaties[],3,FALSE),0)</f>
        <v>0</v>
      </c>
      <c r="V1014" s="86">
        <f>Ruimtestaat[[#This Row],[Uitvoeringen werkdagen]]*Ruimtestaat[[#This Row],[Oppervlak (netto)]]</f>
        <v>16213.999999999998</v>
      </c>
      <c r="W1014" s="87">
        <f>IF(U1014&gt;0,Ruimtestaat[[#This Row],[Prest. (m2 /jaar) werkdagen]]/Ruimtestaat[[#This Row],[Norm (m2/uur) werkdagen]],0)</f>
        <v>0</v>
      </c>
      <c r="X1014" s="88">
        <f>Ruimtestaat[[#This Row],[uren / jaar werkdagen]]*Tariefsopbouw!$E$35</f>
        <v>0</v>
      </c>
      <c r="Y1014" s="85"/>
      <c r="Z1014" s="89">
        <f>IF(Ruimtestaat[[#This Row],[Frequentie weekend]]&gt;0,VALUE(LEFT(Y1014,1))*R1014,0)</f>
        <v>0</v>
      </c>
      <c r="AA1014" s="85">
        <f>IF($Z1014&gt;0,VLOOKUP($J1014,Ruimtegroepen[],3,FALSE)*VLOOKUP($L1014,Vloersoorten[],3,FALSE)*VLOOKUP($Y1014,Frequenties[],3,FALSE)*VLOOKUP(#REF!,Locaties[],3,FALSE),0)</f>
        <v>0</v>
      </c>
      <c r="AB1014" s="87">
        <f>Ruimtestaat[[#This Row],[Uitvoeringen weekend]]*Ruimtestaat[[#This Row],[Oppervlak (netto)]]</f>
        <v>0</v>
      </c>
      <c r="AC1014" s="90">
        <f>IF(AB1014&gt;0,Ruimtestaat[[#This Row],[Prest. (m2 /jaar) weekend]]/Ruimtestaat[[#This Row],[Norm (m2/uur) weekend]],0)</f>
        <v>0</v>
      </c>
      <c r="AD1014" s="91">
        <f>Ruimtestaat[[#This Row],[uren / jaar weekend]]*Tariefsopbouw!$D$40</f>
        <v>0</v>
      </c>
      <c r="AE1014" s="60">
        <f>Ruimtestaat[[#This Row],[Prest. (m2 /jaar) weekend]]+Ruimtestaat[[#This Row],[Prest. (m2 /jaar) werkdagen]]</f>
        <v>16213.999999999998</v>
      </c>
      <c r="AF1014" s="60">
        <f>Ruimtestaat[[#This Row],[uren / jaar weekend]]+Ruimtestaat[[#This Row],[uren / jaar werkdagen]]</f>
        <v>0</v>
      </c>
      <c r="AG1014" s="61">
        <f>Ruimtestaat[[#This Row],[kosten / jaar weekend]]+Ruimtestaat[[#This Row],[kosten / jaar werkdagen]]</f>
        <v>0</v>
      </c>
      <c r="AH1014" s="92"/>
      <c r="HL1014" s="59"/>
    </row>
    <row r="1015" spans="1:220">
      <c r="A1015" s="24">
        <v>6</v>
      </c>
      <c r="B1015" s="24" t="str">
        <f>VLOOKUP(Ruimtestaat[[#This Row],[Code]],Locaties[#All],2,FALSE)</f>
        <v>Marke Noord</v>
      </c>
      <c r="C1015" s="24" t="str">
        <f>VLOOKUP(Ruimtestaat[[#This Row],[Code]],Locaties[#All],4,FALSE)</f>
        <v>Lebuïnuslaan 1</v>
      </c>
      <c r="D1015" s="24" t="str">
        <f>VLOOKUP(Ruimtestaat[[#This Row],[Code]],Locaties[#All],5,FALSE)</f>
        <v>7415 DM</v>
      </c>
      <c r="E1015" s="24" t="str">
        <f>VLOOKUP(Ruimtestaat[[#This Row],[Code]],Locaties[#All],6,FALSE)</f>
        <v>Deventer</v>
      </c>
      <c r="F1015" s="54"/>
      <c r="G1015" s="24" t="s">
        <v>512</v>
      </c>
      <c r="H1015" s="24" t="s">
        <v>1411</v>
      </c>
      <c r="I1015" s="4" t="s">
        <v>716</v>
      </c>
      <c r="J1015" s="24">
        <v>10</v>
      </c>
      <c r="K1015" s="54" t="str">
        <f>VLOOKUP(J1015,Ruimtegroepen[],2,FALSE)</f>
        <v>Trappenhuizen/lift</v>
      </c>
      <c r="L1015" s="24" t="s">
        <v>300</v>
      </c>
      <c r="M1015" s="24" t="s">
        <v>909</v>
      </c>
      <c r="N1015" s="83">
        <v>38.19</v>
      </c>
      <c r="O1015" s="83"/>
      <c r="P1015" s="93" t="str">
        <f>LEFT(VLOOKUP(Ruimtestaat[[#This Row],[Ruimte code]],Ruimtegroepen[#All],4,1),2)</f>
        <v>Ve</v>
      </c>
      <c r="Q1015" s="93"/>
      <c r="R1015" s="84">
        <v>40</v>
      </c>
      <c r="S1015" s="84" t="s">
        <v>318</v>
      </c>
      <c r="T1015" s="85">
        <f>IF(R1015&gt;0,IF(RIGHT(Ruimtestaat[[#This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5" s="85">
        <f>IF(T1015&gt;0,VLOOKUP($J1015,Ruimtegroepen[],3,FALSE)*VLOOKUP($L1015,Vloersoorten[],3,FALSE)*VLOOKUP($S1015,Frequenties[],3,FALSE)*VLOOKUP($A1015,Locaties[],3,FALSE),0)</f>
        <v>0</v>
      </c>
      <c r="V1015" s="86">
        <f>Ruimtestaat[[#This Row],[Uitvoeringen werkdagen]]*Ruimtestaat[[#This Row],[Oppervlak (netto)]]</f>
        <v>7638</v>
      </c>
      <c r="W1015" s="87">
        <f>IF(U1015&gt;0,Ruimtestaat[[#This Row],[Prest. (m2 /jaar) werkdagen]]/Ruimtestaat[[#This Row],[Norm (m2/uur) werkdagen]],0)</f>
        <v>0</v>
      </c>
      <c r="X1015" s="88">
        <f>Ruimtestaat[[#This Row],[uren / jaar werkdagen]]*Tariefsopbouw!$E$35</f>
        <v>0</v>
      </c>
      <c r="Y1015" s="85"/>
      <c r="Z1015" s="89">
        <f>IF(Ruimtestaat[[#This Row],[Frequentie weekend]]&gt;0,VALUE(LEFT(Y1015,1))*R1015,0)</f>
        <v>0</v>
      </c>
      <c r="AA1015" s="85">
        <f>IF($Z1015&gt;0,VLOOKUP($J1015,Ruimtegroepen[],3,FALSE)*VLOOKUP($L1015,Vloersoorten[],3,FALSE)*VLOOKUP($Y1015,Frequenties[],3,FALSE)*VLOOKUP(#REF!,Locaties[],3,FALSE),0)</f>
        <v>0</v>
      </c>
      <c r="AB1015" s="87">
        <f>Ruimtestaat[[#This Row],[Uitvoeringen weekend]]*Ruimtestaat[[#This Row],[Oppervlak (netto)]]</f>
        <v>0</v>
      </c>
      <c r="AC1015" s="90">
        <f>IF(AB1015&gt;0,Ruimtestaat[[#This Row],[Prest. (m2 /jaar) weekend]]/Ruimtestaat[[#This Row],[Norm (m2/uur) weekend]],0)</f>
        <v>0</v>
      </c>
      <c r="AD1015" s="91">
        <f>Ruimtestaat[[#This Row],[uren / jaar weekend]]*Tariefsopbouw!$D$40</f>
        <v>0</v>
      </c>
      <c r="AE1015" s="60">
        <f>Ruimtestaat[[#This Row],[Prest. (m2 /jaar) weekend]]+Ruimtestaat[[#This Row],[Prest. (m2 /jaar) werkdagen]]</f>
        <v>7638</v>
      </c>
      <c r="AF1015" s="60">
        <f>Ruimtestaat[[#This Row],[uren / jaar weekend]]+Ruimtestaat[[#This Row],[uren / jaar werkdagen]]</f>
        <v>0</v>
      </c>
      <c r="AG1015" s="61">
        <f>Ruimtestaat[[#This Row],[kosten / jaar weekend]]+Ruimtestaat[[#This Row],[kosten / jaar werkdagen]]</f>
        <v>0</v>
      </c>
      <c r="AH1015" s="92"/>
      <c r="HL1015" s="59"/>
    </row>
    <row r="1016" spans="1:220">
      <c r="A1016" s="24">
        <v>6</v>
      </c>
      <c r="B1016" s="24" t="str">
        <f>VLOOKUP(Ruimtestaat[[#This Row],[Code]],Locaties[#All],2,FALSE)</f>
        <v>Marke Noord</v>
      </c>
      <c r="C1016" s="24" t="str">
        <f>VLOOKUP(Ruimtestaat[[#This Row],[Code]],Locaties[#All],4,FALSE)</f>
        <v>Lebuïnuslaan 1</v>
      </c>
      <c r="D1016" s="24" t="str">
        <f>VLOOKUP(Ruimtestaat[[#This Row],[Code]],Locaties[#All],5,FALSE)</f>
        <v>7415 DM</v>
      </c>
      <c r="E1016" s="24" t="str">
        <f>VLOOKUP(Ruimtestaat[[#This Row],[Code]],Locaties[#All],6,FALSE)</f>
        <v>Deventer</v>
      </c>
      <c r="F1016" s="54"/>
      <c r="G1016" s="24" t="s">
        <v>512</v>
      </c>
      <c r="H1016" s="24" t="s">
        <v>1412</v>
      </c>
      <c r="I1016" s="4" t="s">
        <v>716</v>
      </c>
      <c r="J1016" s="24">
        <v>10</v>
      </c>
      <c r="K1016" s="54" t="str">
        <f>VLOOKUP(J1016,Ruimtegroepen[],2,FALSE)</f>
        <v>Trappenhuizen/lift</v>
      </c>
      <c r="L1016" s="24" t="s">
        <v>300</v>
      </c>
      <c r="M1016" s="24" t="s">
        <v>909</v>
      </c>
      <c r="N1016" s="83">
        <v>11.75</v>
      </c>
      <c r="O1016" s="83"/>
      <c r="P1016" s="93" t="str">
        <f>LEFT(VLOOKUP(Ruimtestaat[[#This Row],[Ruimte code]],Ruimtegroepen[#All],4,1),2)</f>
        <v>Ve</v>
      </c>
      <c r="Q1016" s="93"/>
      <c r="R1016" s="84">
        <v>40</v>
      </c>
      <c r="S1016" s="84" t="s">
        <v>318</v>
      </c>
      <c r="T1016" s="85">
        <f>IF(R1016&gt;0,IF(RIGHT(Ruimtestaat[[#This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6" s="85">
        <f>IF(T1016&gt;0,VLOOKUP($J1016,Ruimtegroepen[],3,FALSE)*VLOOKUP($L1016,Vloersoorten[],3,FALSE)*VLOOKUP($S1016,Frequenties[],3,FALSE)*VLOOKUP($A1016,Locaties[],3,FALSE),0)</f>
        <v>0</v>
      </c>
      <c r="V1016" s="86">
        <f>Ruimtestaat[[#This Row],[Uitvoeringen werkdagen]]*Ruimtestaat[[#This Row],[Oppervlak (netto)]]</f>
        <v>2350</v>
      </c>
      <c r="W1016" s="87">
        <f>IF(U1016&gt;0,Ruimtestaat[[#This Row],[Prest. (m2 /jaar) werkdagen]]/Ruimtestaat[[#This Row],[Norm (m2/uur) werkdagen]],0)</f>
        <v>0</v>
      </c>
      <c r="X1016" s="88">
        <f>Ruimtestaat[[#This Row],[uren / jaar werkdagen]]*Tariefsopbouw!$E$35</f>
        <v>0</v>
      </c>
      <c r="Y1016" s="85"/>
      <c r="Z1016" s="89">
        <f>IF(Ruimtestaat[[#This Row],[Frequentie weekend]]&gt;0,VALUE(LEFT(Y1016,1))*R1016,0)</f>
        <v>0</v>
      </c>
      <c r="AA1016" s="85">
        <f>IF($Z1016&gt;0,VLOOKUP($J1016,Ruimtegroepen[],3,FALSE)*VLOOKUP($L1016,Vloersoorten[],3,FALSE)*VLOOKUP($Y1016,Frequenties[],3,FALSE)*VLOOKUP(#REF!,Locaties[],3,FALSE),0)</f>
        <v>0</v>
      </c>
      <c r="AB1016" s="87">
        <f>Ruimtestaat[[#This Row],[Uitvoeringen weekend]]*Ruimtestaat[[#This Row],[Oppervlak (netto)]]</f>
        <v>0</v>
      </c>
      <c r="AC1016" s="90">
        <f>IF(AB1016&gt;0,Ruimtestaat[[#This Row],[Prest. (m2 /jaar) weekend]]/Ruimtestaat[[#This Row],[Norm (m2/uur) weekend]],0)</f>
        <v>0</v>
      </c>
      <c r="AD1016" s="91">
        <f>Ruimtestaat[[#This Row],[uren / jaar weekend]]*Tariefsopbouw!$D$40</f>
        <v>0</v>
      </c>
      <c r="AE1016" s="60">
        <f>Ruimtestaat[[#This Row],[Prest. (m2 /jaar) weekend]]+Ruimtestaat[[#This Row],[Prest. (m2 /jaar) werkdagen]]</f>
        <v>2350</v>
      </c>
      <c r="AF1016" s="60">
        <f>Ruimtestaat[[#This Row],[uren / jaar weekend]]+Ruimtestaat[[#This Row],[uren / jaar werkdagen]]</f>
        <v>0</v>
      </c>
      <c r="AG1016" s="61">
        <f>Ruimtestaat[[#This Row],[kosten / jaar weekend]]+Ruimtestaat[[#This Row],[kosten / jaar werkdagen]]</f>
        <v>0</v>
      </c>
      <c r="AH1016" s="92"/>
      <c r="HL1016" s="59"/>
    </row>
    <row r="1017" spans="1:220">
      <c r="A1017" s="24">
        <v>6</v>
      </c>
      <c r="B1017" s="24" t="str">
        <f>VLOOKUP(Ruimtestaat[[#This Row],[Code]],Locaties[#All],2,FALSE)</f>
        <v>Marke Noord</v>
      </c>
      <c r="C1017" s="24" t="str">
        <f>VLOOKUP(Ruimtestaat[[#This Row],[Code]],Locaties[#All],4,FALSE)</f>
        <v>Lebuïnuslaan 1</v>
      </c>
      <c r="D1017" s="24" t="str">
        <f>VLOOKUP(Ruimtestaat[[#This Row],[Code]],Locaties[#All],5,FALSE)</f>
        <v>7415 DM</v>
      </c>
      <c r="E1017" s="24" t="str">
        <f>VLOOKUP(Ruimtestaat[[#This Row],[Code]],Locaties[#All],6,FALSE)</f>
        <v>Deventer</v>
      </c>
      <c r="F1017" s="54"/>
      <c r="G1017" s="24" t="s">
        <v>569</v>
      </c>
      <c r="H1017" s="24" t="s">
        <v>570</v>
      </c>
      <c r="I1017" s="4" t="s">
        <v>394</v>
      </c>
      <c r="J1017" s="24">
        <v>22</v>
      </c>
      <c r="K1017" s="54" t="str">
        <f>VLOOKUP(J1017,Ruimtegroepen[],2,FALSE)</f>
        <v>Niet in onderhoud</v>
      </c>
      <c r="L1017" s="24" t="s">
        <v>300</v>
      </c>
      <c r="M1017" s="24" t="s">
        <v>909</v>
      </c>
      <c r="N1017" s="83"/>
      <c r="O1017" s="83">
        <v>6.74</v>
      </c>
      <c r="P1017" s="93" t="str">
        <f>LEFT(VLOOKUP(Ruimtestaat[[#This Row],[Ruimte code]],Ruimtegroepen[#All],4,1),2)</f>
        <v/>
      </c>
      <c r="Q1017" s="93"/>
      <c r="R1017" s="84"/>
      <c r="S1017" s="84"/>
      <c r="T1017" s="85">
        <f>IF(R1017&gt;0,IF(RIGHT(Ruimtestaat[[#This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17" s="85">
        <f>IF(T1017&gt;0,VLOOKUP($J1017,Ruimtegroepen[],3,FALSE)*VLOOKUP($L1017,Vloersoorten[],3,FALSE)*VLOOKUP($S1017,Frequenties[],3,FALSE)*VLOOKUP($A1017,Locaties[],3,FALSE),0)</f>
        <v>0</v>
      </c>
      <c r="V1017" s="86">
        <f>Ruimtestaat[[#This Row],[Uitvoeringen werkdagen]]*Ruimtestaat[[#This Row],[Oppervlak (netto)]]</f>
        <v>0</v>
      </c>
      <c r="W1017" s="87">
        <f>IF(U1017&gt;0,Ruimtestaat[[#This Row],[Prest. (m2 /jaar) werkdagen]]/Ruimtestaat[[#This Row],[Norm (m2/uur) werkdagen]],0)</f>
        <v>0</v>
      </c>
      <c r="X1017" s="88">
        <f>Ruimtestaat[[#This Row],[uren / jaar werkdagen]]*Tariefsopbouw!$E$35</f>
        <v>0</v>
      </c>
      <c r="Y1017" s="85"/>
      <c r="Z1017" s="89">
        <f>IF(Ruimtestaat[[#This Row],[Frequentie weekend]]&gt;0,VALUE(LEFT(Y1017,1))*R1017,0)</f>
        <v>0</v>
      </c>
      <c r="AA1017" s="85">
        <f>IF($Z1017&gt;0,VLOOKUP($J1017,Ruimtegroepen[],3,FALSE)*VLOOKUP($L1017,Vloersoorten[],3,FALSE)*VLOOKUP($Y1017,Frequenties[],3,FALSE)*VLOOKUP(#REF!,Locaties[],3,FALSE),0)</f>
        <v>0</v>
      </c>
      <c r="AB1017" s="87">
        <f>Ruimtestaat[[#This Row],[Uitvoeringen weekend]]*Ruimtestaat[[#This Row],[Oppervlak (netto)]]</f>
        <v>0</v>
      </c>
      <c r="AC1017" s="90">
        <f>IF(AB1017&gt;0,Ruimtestaat[[#This Row],[Prest. (m2 /jaar) weekend]]/Ruimtestaat[[#This Row],[Norm (m2/uur) weekend]],0)</f>
        <v>0</v>
      </c>
      <c r="AD1017" s="91">
        <f>Ruimtestaat[[#This Row],[uren / jaar weekend]]*Tariefsopbouw!$D$40</f>
        <v>0</v>
      </c>
      <c r="AE1017" s="60">
        <f>Ruimtestaat[[#This Row],[Prest. (m2 /jaar) weekend]]+Ruimtestaat[[#This Row],[Prest. (m2 /jaar) werkdagen]]</f>
        <v>0</v>
      </c>
      <c r="AF1017" s="60">
        <f>Ruimtestaat[[#This Row],[uren / jaar weekend]]+Ruimtestaat[[#This Row],[uren / jaar werkdagen]]</f>
        <v>0</v>
      </c>
      <c r="AG1017" s="61">
        <f>Ruimtestaat[[#This Row],[kosten / jaar weekend]]+Ruimtestaat[[#This Row],[kosten / jaar werkdagen]]</f>
        <v>0</v>
      </c>
      <c r="AH1017" s="92"/>
      <c r="HL1017" s="59"/>
    </row>
    <row r="1018" spans="1:220">
      <c r="A1018" s="24">
        <v>6</v>
      </c>
      <c r="B1018" s="24" t="str">
        <f>VLOOKUP(Ruimtestaat[[#This Row],[Code]],Locaties[#All],2,FALSE)</f>
        <v>Marke Noord</v>
      </c>
      <c r="C1018" s="24" t="str">
        <f>VLOOKUP(Ruimtestaat[[#This Row],[Code]],Locaties[#All],4,FALSE)</f>
        <v>Lebuïnuslaan 1</v>
      </c>
      <c r="D1018" s="24" t="str">
        <f>VLOOKUP(Ruimtestaat[[#This Row],[Code]],Locaties[#All],5,FALSE)</f>
        <v>7415 DM</v>
      </c>
      <c r="E1018" s="24" t="str">
        <f>VLOOKUP(Ruimtestaat[[#This Row],[Code]],Locaties[#All],6,FALSE)</f>
        <v>Deventer</v>
      </c>
      <c r="F1018" s="54"/>
      <c r="G1018" s="24" t="s">
        <v>569</v>
      </c>
      <c r="H1018" s="24" t="s">
        <v>1413</v>
      </c>
      <c r="I1018" s="4" t="s">
        <v>394</v>
      </c>
      <c r="J1018" s="24">
        <v>22</v>
      </c>
      <c r="K1018" s="54" t="str">
        <f>VLOOKUP(J1018,Ruimtegroepen[],2,FALSE)</f>
        <v>Niet in onderhoud</v>
      </c>
      <c r="L1018" s="24" t="s">
        <v>300</v>
      </c>
      <c r="M1018" s="24" t="s">
        <v>909</v>
      </c>
      <c r="N1018" s="83"/>
      <c r="O1018" s="83">
        <v>9.5</v>
      </c>
      <c r="P1018" s="93" t="str">
        <f>LEFT(VLOOKUP(Ruimtestaat[[#This Row],[Ruimte code]],Ruimtegroepen[#All],4,1),2)</f>
        <v/>
      </c>
      <c r="Q1018" s="93"/>
      <c r="R1018" s="84"/>
      <c r="S1018" s="84"/>
      <c r="T1018" s="85">
        <f>IF(R1018&gt;0,IF(RIGHT(Ruimtestaat[[#This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18" s="85">
        <f>IF(T1018&gt;0,VLOOKUP($J1018,Ruimtegroepen[],3,FALSE)*VLOOKUP($L1018,Vloersoorten[],3,FALSE)*VLOOKUP($S1018,Frequenties[],3,FALSE)*VLOOKUP($A1018,Locaties[],3,FALSE),0)</f>
        <v>0</v>
      </c>
      <c r="V1018" s="86">
        <f>Ruimtestaat[[#This Row],[Uitvoeringen werkdagen]]*Ruimtestaat[[#This Row],[Oppervlak (netto)]]</f>
        <v>0</v>
      </c>
      <c r="W1018" s="87">
        <f>IF(U1018&gt;0,Ruimtestaat[[#This Row],[Prest. (m2 /jaar) werkdagen]]/Ruimtestaat[[#This Row],[Norm (m2/uur) werkdagen]],0)</f>
        <v>0</v>
      </c>
      <c r="X1018" s="88">
        <f>Ruimtestaat[[#This Row],[uren / jaar werkdagen]]*Tariefsopbouw!$E$35</f>
        <v>0</v>
      </c>
      <c r="Y1018" s="85"/>
      <c r="Z1018" s="89">
        <f>IF(Ruimtestaat[[#This Row],[Frequentie weekend]]&gt;0,VALUE(LEFT(Y1018,1))*R1018,0)</f>
        <v>0</v>
      </c>
      <c r="AA1018" s="85">
        <f>IF($Z1018&gt;0,VLOOKUP($J1018,Ruimtegroepen[],3,FALSE)*VLOOKUP($L1018,Vloersoorten[],3,FALSE)*VLOOKUP($Y1018,Frequenties[],3,FALSE)*VLOOKUP(#REF!,Locaties[],3,FALSE),0)</f>
        <v>0</v>
      </c>
      <c r="AB1018" s="87">
        <f>Ruimtestaat[[#This Row],[Uitvoeringen weekend]]*Ruimtestaat[[#This Row],[Oppervlak (netto)]]</f>
        <v>0</v>
      </c>
      <c r="AC1018" s="90">
        <f>IF(AB1018&gt;0,Ruimtestaat[[#This Row],[Prest. (m2 /jaar) weekend]]/Ruimtestaat[[#This Row],[Norm (m2/uur) weekend]],0)</f>
        <v>0</v>
      </c>
      <c r="AD1018" s="91">
        <f>Ruimtestaat[[#This Row],[uren / jaar weekend]]*Tariefsopbouw!$D$40</f>
        <v>0</v>
      </c>
      <c r="AE1018" s="60">
        <f>Ruimtestaat[[#This Row],[Prest. (m2 /jaar) weekend]]+Ruimtestaat[[#This Row],[Prest. (m2 /jaar) werkdagen]]</f>
        <v>0</v>
      </c>
      <c r="AF1018" s="60">
        <f>Ruimtestaat[[#This Row],[uren / jaar weekend]]+Ruimtestaat[[#This Row],[uren / jaar werkdagen]]</f>
        <v>0</v>
      </c>
      <c r="AG1018" s="61">
        <f>Ruimtestaat[[#This Row],[kosten / jaar weekend]]+Ruimtestaat[[#This Row],[kosten / jaar werkdagen]]</f>
        <v>0</v>
      </c>
      <c r="AH1018" s="92"/>
      <c r="HL1018" s="59"/>
    </row>
    <row r="1019" spans="1:220">
      <c r="A1019" s="24">
        <v>6</v>
      </c>
      <c r="B1019" s="24" t="str">
        <f>VLOOKUP(Ruimtestaat[[#This Row],[Code]],Locaties[#All],2,FALSE)</f>
        <v>Marke Noord</v>
      </c>
      <c r="C1019" s="24" t="str">
        <f>VLOOKUP(Ruimtestaat[[#This Row],[Code]],Locaties[#All],4,FALSE)</f>
        <v>Lebuïnuslaan 1</v>
      </c>
      <c r="D1019" s="24" t="str">
        <f>VLOOKUP(Ruimtestaat[[#This Row],[Code]],Locaties[#All],5,FALSE)</f>
        <v>7415 DM</v>
      </c>
      <c r="E1019" s="24" t="str">
        <f>VLOOKUP(Ruimtestaat[[#This Row],[Code]],Locaties[#All],6,FALSE)</f>
        <v>Deventer</v>
      </c>
      <c r="F1019" s="54"/>
      <c r="G1019" s="24" t="s">
        <v>569</v>
      </c>
      <c r="H1019" s="24" t="s">
        <v>1414</v>
      </c>
      <c r="I1019" s="4" t="s">
        <v>394</v>
      </c>
      <c r="J1019" s="24">
        <v>22</v>
      </c>
      <c r="K1019" s="54" t="str">
        <f>VLOOKUP(J1019,Ruimtegroepen[],2,FALSE)</f>
        <v>Niet in onderhoud</v>
      </c>
      <c r="L1019" s="24" t="s">
        <v>300</v>
      </c>
      <c r="M1019" s="24" t="s">
        <v>909</v>
      </c>
      <c r="N1019" s="83"/>
      <c r="O1019" s="83">
        <v>19.48</v>
      </c>
      <c r="P1019" s="93" t="str">
        <f>LEFT(VLOOKUP(Ruimtestaat[[#This Row],[Ruimte code]],Ruimtegroepen[#All],4,1),2)</f>
        <v/>
      </c>
      <c r="Q1019" s="93"/>
      <c r="R1019" s="84"/>
      <c r="S1019" s="84"/>
      <c r="T1019" s="85">
        <f>IF(R1019&gt;0,IF(RIGHT(Ruimtestaat[[#This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19" s="85">
        <f>IF(T1019&gt;0,VLOOKUP($J1019,Ruimtegroepen[],3,FALSE)*VLOOKUP($L1019,Vloersoorten[],3,FALSE)*VLOOKUP($S1019,Frequenties[],3,FALSE)*VLOOKUP($A1019,Locaties[],3,FALSE),0)</f>
        <v>0</v>
      </c>
      <c r="V1019" s="86">
        <f>Ruimtestaat[[#This Row],[Uitvoeringen werkdagen]]*Ruimtestaat[[#This Row],[Oppervlak (netto)]]</f>
        <v>0</v>
      </c>
      <c r="W1019" s="87">
        <f>IF(U1019&gt;0,Ruimtestaat[[#This Row],[Prest. (m2 /jaar) werkdagen]]/Ruimtestaat[[#This Row],[Norm (m2/uur) werkdagen]],0)</f>
        <v>0</v>
      </c>
      <c r="X1019" s="88">
        <f>Ruimtestaat[[#This Row],[uren / jaar werkdagen]]*Tariefsopbouw!$E$35</f>
        <v>0</v>
      </c>
      <c r="Y1019" s="85"/>
      <c r="Z1019" s="89">
        <f>IF(Ruimtestaat[[#This Row],[Frequentie weekend]]&gt;0,VALUE(LEFT(Y1019,1))*R1019,0)</f>
        <v>0</v>
      </c>
      <c r="AA1019" s="85">
        <f>IF($Z1019&gt;0,VLOOKUP($J1019,Ruimtegroepen[],3,FALSE)*VLOOKUP($L1019,Vloersoorten[],3,FALSE)*VLOOKUP($Y1019,Frequenties[],3,FALSE)*VLOOKUP(#REF!,Locaties[],3,FALSE),0)</f>
        <v>0</v>
      </c>
      <c r="AB1019" s="87">
        <f>Ruimtestaat[[#This Row],[Uitvoeringen weekend]]*Ruimtestaat[[#This Row],[Oppervlak (netto)]]</f>
        <v>0</v>
      </c>
      <c r="AC1019" s="90">
        <f>IF(AB1019&gt;0,Ruimtestaat[[#This Row],[Prest. (m2 /jaar) weekend]]/Ruimtestaat[[#This Row],[Norm (m2/uur) weekend]],0)</f>
        <v>0</v>
      </c>
      <c r="AD1019" s="91">
        <f>Ruimtestaat[[#This Row],[uren / jaar weekend]]*Tariefsopbouw!$D$40</f>
        <v>0</v>
      </c>
      <c r="AE1019" s="60">
        <f>Ruimtestaat[[#This Row],[Prest. (m2 /jaar) weekend]]+Ruimtestaat[[#This Row],[Prest. (m2 /jaar) werkdagen]]</f>
        <v>0</v>
      </c>
      <c r="AF1019" s="60">
        <f>Ruimtestaat[[#This Row],[uren / jaar weekend]]+Ruimtestaat[[#This Row],[uren / jaar werkdagen]]</f>
        <v>0</v>
      </c>
      <c r="AG1019" s="61">
        <f>Ruimtestaat[[#This Row],[kosten / jaar weekend]]+Ruimtestaat[[#This Row],[kosten / jaar werkdagen]]</f>
        <v>0</v>
      </c>
      <c r="AH1019" s="92"/>
      <c r="HL1019" s="59"/>
    </row>
    <row r="1020" spans="1:220">
      <c r="A1020" s="24">
        <v>6</v>
      </c>
      <c r="B1020" s="24" t="str">
        <f>VLOOKUP(Ruimtestaat[[#This Row],[Code]],Locaties[#All],2,FALSE)</f>
        <v>Marke Noord</v>
      </c>
      <c r="C1020" s="24" t="str">
        <f>VLOOKUP(Ruimtestaat[[#This Row],[Code]],Locaties[#All],4,FALSE)</f>
        <v>Lebuïnuslaan 1</v>
      </c>
      <c r="D1020" s="24" t="str">
        <f>VLOOKUP(Ruimtestaat[[#This Row],[Code]],Locaties[#All],5,FALSE)</f>
        <v>7415 DM</v>
      </c>
      <c r="E1020" s="24" t="str">
        <f>VLOOKUP(Ruimtestaat[[#This Row],[Code]],Locaties[#All],6,FALSE)</f>
        <v>Deventer</v>
      </c>
      <c r="F1020" s="54"/>
      <c r="G1020" s="24" t="s">
        <v>569</v>
      </c>
      <c r="H1020" s="24" t="s">
        <v>571</v>
      </c>
      <c r="I1020" s="4" t="s">
        <v>1098</v>
      </c>
      <c r="J1020" s="24">
        <v>16</v>
      </c>
      <c r="K1020" s="54" t="str">
        <f>VLOOKUP(J1020,Ruimtegroepen[],2,FALSE)</f>
        <v>Leslokalen theorie</v>
      </c>
      <c r="L1020" s="24" t="s">
        <v>300</v>
      </c>
      <c r="M1020" s="24" t="s">
        <v>909</v>
      </c>
      <c r="N1020" s="83">
        <v>59.27</v>
      </c>
      <c r="O1020" s="83"/>
      <c r="P1020" s="93" t="str">
        <f>LEFT(VLOOKUP(Ruimtestaat[[#This Row],[Ruimte code]],Ruimtegroepen[#All],4,1),2)</f>
        <v>Le</v>
      </c>
      <c r="Q1020" s="93"/>
      <c r="R1020" s="84">
        <v>40</v>
      </c>
      <c r="S1020" s="84" t="s">
        <v>318</v>
      </c>
      <c r="T1020" s="85">
        <f>IF(R1020&gt;0,IF(RIGHT(Ruimtestaat[[#This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0" s="85">
        <f>IF(T1020&gt;0,VLOOKUP($J1020,Ruimtegroepen[],3,FALSE)*VLOOKUP($L1020,Vloersoorten[],3,FALSE)*VLOOKUP($S1020,Frequenties[],3,FALSE)*VLOOKUP($A1020,Locaties[],3,FALSE),0)</f>
        <v>0</v>
      </c>
      <c r="V1020" s="86">
        <f>Ruimtestaat[[#This Row],[Uitvoeringen werkdagen]]*Ruimtestaat[[#This Row],[Oppervlak (netto)]]</f>
        <v>11854</v>
      </c>
      <c r="W1020" s="87">
        <f>IF(U1020&gt;0,Ruimtestaat[[#This Row],[Prest. (m2 /jaar) werkdagen]]/Ruimtestaat[[#This Row],[Norm (m2/uur) werkdagen]],0)</f>
        <v>0</v>
      </c>
      <c r="X1020" s="88">
        <f>Ruimtestaat[[#This Row],[uren / jaar werkdagen]]*Tariefsopbouw!$E$35</f>
        <v>0</v>
      </c>
      <c r="Y1020" s="85"/>
      <c r="Z1020" s="89">
        <f>IF(Ruimtestaat[[#This Row],[Frequentie weekend]]&gt;0,VALUE(LEFT(Y1020,1))*R1020,0)</f>
        <v>0</v>
      </c>
      <c r="AA1020" s="85">
        <f>IF($Z1020&gt;0,VLOOKUP($J1020,Ruimtegroepen[],3,FALSE)*VLOOKUP($L1020,Vloersoorten[],3,FALSE)*VLOOKUP($Y1020,Frequenties[],3,FALSE)*VLOOKUP(#REF!,Locaties[],3,FALSE),0)</f>
        <v>0</v>
      </c>
      <c r="AB1020" s="87">
        <f>Ruimtestaat[[#This Row],[Uitvoeringen weekend]]*Ruimtestaat[[#This Row],[Oppervlak (netto)]]</f>
        <v>0</v>
      </c>
      <c r="AC1020" s="90">
        <f>IF(AB1020&gt;0,Ruimtestaat[[#This Row],[Prest. (m2 /jaar) weekend]]/Ruimtestaat[[#This Row],[Norm (m2/uur) weekend]],0)</f>
        <v>0</v>
      </c>
      <c r="AD1020" s="91">
        <f>Ruimtestaat[[#This Row],[uren / jaar weekend]]*Tariefsopbouw!$D$40</f>
        <v>0</v>
      </c>
      <c r="AE1020" s="60">
        <f>Ruimtestaat[[#This Row],[Prest. (m2 /jaar) weekend]]+Ruimtestaat[[#This Row],[Prest. (m2 /jaar) werkdagen]]</f>
        <v>11854</v>
      </c>
      <c r="AF1020" s="60">
        <f>Ruimtestaat[[#This Row],[uren / jaar weekend]]+Ruimtestaat[[#This Row],[uren / jaar werkdagen]]</f>
        <v>0</v>
      </c>
      <c r="AG1020" s="61">
        <f>Ruimtestaat[[#This Row],[kosten / jaar weekend]]+Ruimtestaat[[#This Row],[kosten / jaar werkdagen]]</f>
        <v>0</v>
      </c>
      <c r="AH1020" s="92"/>
      <c r="HL1020" s="59"/>
    </row>
    <row r="1021" spans="1:220">
      <c r="A1021" s="24">
        <v>6</v>
      </c>
      <c r="B1021" s="24" t="str">
        <f>VLOOKUP(Ruimtestaat[[#This Row],[Code]],Locaties[#All],2,FALSE)</f>
        <v>Marke Noord</v>
      </c>
      <c r="C1021" s="24" t="str">
        <f>VLOOKUP(Ruimtestaat[[#This Row],[Code]],Locaties[#All],4,FALSE)</f>
        <v>Lebuïnuslaan 1</v>
      </c>
      <c r="D1021" s="24" t="str">
        <f>VLOOKUP(Ruimtestaat[[#This Row],[Code]],Locaties[#All],5,FALSE)</f>
        <v>7415 DM</v>
      </c>
      <c r="E1021" s="24" t="str">
        <f>VLOOKUP(Ruimtestaat[[#This Row],[Code]],Locaties[#All],6,FALSE)</f>
        <v>Deventer</v>
      </c>
      <c r="F1021" s="54"/>
      <c r="G1021" s="24" t="s">
        <v>569</v>
      </c>
      <c r="H1021" s="24" t="s">
        <v>572</v>
      </c>
      <c r="I1021" s="4" t="s">
        <v>1098</v>
      </c>
      <c r="J1021" s="24">
        <v>16</v>
      </c>
      <c r="K1021" s="54" t="str">
        <f>VLOOKUP(J1021,Ruimtegroepen[],2,FALSE)</f>
        <v>Leslokalen theorie</v>
      </c>
      <c r="L1021" s="24" t="s">
        <v>300</v>
      </c>
      <c r="M1021" s="24" t="s">
        <v>909</v>
      </c>
      <c r="N1021" s="83">
        <v>58.09</v>
      </c>
      <c r="O1021" s="83"/>
      <c r="P1021" s="93" t="str">
        <f>LEFT(VLOOKUP(Ruimtestaat[[#This Row],[Ruimte code]],Ruimtegroepen[#All],4,1),2)</f>
        <v>Le</v>
      </c>
      <c r="Q1021" s="93"/>
      <c r="R1021" s="84">
        <v>40</v>
      </c>
      <c r="S1021" s="84" t="s">
        <v>318</v>
      </c>
      <c r="T1021" s="85">
        <f>IF(R1021&gt;0,IF(RIGHT(Ruimtestaat[[#This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1" s="85">
        <f>IF(T1021&gt;0,VLOOKUP($J1021,Ruimtegroepen[],3,FALSE)*VLOOKUP($L1021,Vloersoorten[],3,FALSE)*VLOOKUP($S1021,Frequenties[],3,FALSE)*VLOOKUP($A1021,Locaties[],3,FALSE),0)</f>
        <v>0</v>
      </c>
      <c r="V1021" s="86">
        <f>Ruimtestaat[[#This Row],[Uitvoeringen werkdagen]]*Ruimtestaat[[#This Row],[Oppervlak (netto)]]</f>
        <v>11618</v>
      </c>
      <c r="W1021" s="87">
        <f>IF(U1021&gt;0,Ruimtestaat[[#This Row],[Prest. (m2 /jaar) werkdagen]]/Ruimtestaat[[#This Row],[Norm (m2/uur) werkdagen]],0)</f>
        <v>0</v>
      </c>
      <c r="X1021" s="88">
        <f>Ruimtestaat[[#This Row],[uren / jaar werkdagen]]*Tariefsopbouw!$E$35</f>
        <v>0</v>
      </c>
      <c r="Y1021" s="85"/>
      <c r="Z1021" s="89">
        <f>IF(Ruimtestaat[[#This Row],[Frequentie weekend]]&gt;0,VALUE(LEFT(Y1021,1))*R1021,0)</f>
        <v>0</v>
      </c>
      <c r="AA1021" s="85">
        <f>IF($Z1021&gt;0,VLOOKUP($J1021,Ruimtegroepen[],3,FALSE)*VLOOKUP($L1021,Vloersoorten[],3,FALSE)*VLOOKUP($Y1021,Frequenties[],3,FALSE)*VLOOKUP(#REF!,Locaties[],3,FALSE),0)</f>
        <v>0</v>
      </c>
      <c r="AB1021" s="87">
        <f>Ruimtestaat[[#This Row],[Uitvoeringen weekend]]*Ruimtestaat[[#This Row],[Oppervlak (netto)]]</f>
        <v>0</v>
      </c>
      <c r="AC1021" s="90">
        <f>IF(AB1021&gt;0,Ruimtestaat[[#This Row],[Prest. (m2 /jaar) weekend]]/Ruimtestaat[[#This Row],[Norm (m2/uur) weekend]],0)</f>
        <v>0</v>
      </c>
      <c r="AD1021" s="91">
        <f>Ruimtestaat[[#This Row],[uren / jaar weekend]]*Tariefsopbouw!$D$40</f>
        <v>0</v>
      </c>
      <c r="AE1021" s="60">
        <f>Ruimtestaat[[#This Row],[Prest. (m2 /jaar) weekend]]+Ruimtestaat[[#This Row],[Prest. (m2 /jaar) werkdagen]]</f>
        <v>11618</v>
      </c>
      <c r="AF1021" s="60">
        <f>Ruimtestaat[[#This Row],[uren / jaar weekend]]+Ruimtestaat[[#This Row],[uren / jaar werkdagen]]</f>
        <v>0</v>
      </c>
      <c r="AG1021" s="61">
        <f>Ruimtestaat[[#This Row],[kosten / jaar weekend]]+Ruimtestaat[[#This Row],[kosten / jaar werkdagen]]</f>
        <v>0</v>
      </c>
      <c r="AH1021" s="92"/>
      <c r="HL1021" s="59"/>
    </row>
    <row r="1022" spans="1:220">
      <c r="A1022" s="24">
        <v>6</v>
      </c>
      <c r="B1022" s="24" t="str">
        <f>VLOOKUP(Ruimtestaat[[#This Row],[Code]],Locaties[#All],2,FALSE)</f>
        <v>Marke Noord</v>
      </c>
      <c r="C1022" s="24" t="str">
        <f>VLOOKUP(Ruimtestaat[[#This Row],[Code]],Locaties[#All],4,FALSE)</f>
        <v>Lebuïnuslaan 1</v>
      </c>
      <c r="D1022" s="24" t="str">
        <f>VLOOKUP(Ruimtestaat[[#This Row],[Code]],Locaties[#All],5,FALSE)</f>
        <v>7415 DM</v>
      </c>
      <c r="E1022" s="24" t="str">
        <f>VLOOKUP(Ruimtestaat[[#This Row],[Code]],Locaties[#All],6,FALSE)</f>
        <v>Deventer</v>
      </c>
      <c r="F1022" s="54"/>
      <c r="G1022" s="24" t="s">
        <v>569</v>
      </c>
      <c r="H1022" s="24" t="s">
        <v>573</v>
      </c>
      <c r="I1022" s="4" t="s">
        <v>1098</v>
      </c>
      <c r="J1022" s="24">
        <v>16</v>
      </c>
      <c r="K1022" s="54" t="str">
        <f>VLOOKUP(J1022,Ruimtegroepen[],2,FALSE)</f>
        <v>Leslokalen theorie</v>
      </c>
      <c r="L1022" s="24" t="s">
        <v>300</v>
      </c>
      <c r="M1022" s="24" t="s">
        <v>909</v>
      </c>
      <c r="N1022" s="83">
        <v>58.09</v>
      </c>
      <c r="O1022" s="83"/>
      <c r="P1022" s="93" t="str">
        <f>LEFT(VLOOKUP(Ruimtestaat[[#This Row],[Ruimte code]],Ruimtegroepen[#All],4,1),2)</f>
        <v>Le</v>
      </c>
      <c r="Q1022" s="93"/>
      <c r="R1022" s="84">
        <v>40</v>
      </c>
      <c r="S1022" s="84" t="s">
        <v>318</v>
      </c>
      <c r="T1022" s="85">
        <f>IF(R1022&gt;0,IF(RIGHT(Ruimtestaat[[#This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2" s="85">
        <f>IF(T1022&gt;0,VLOOKUP($J1022,Ruimtegroepen[],3,FALSE)*VLOOKUP($L1022,Vloersoorten[],3,FALSE)*VLOOKUP($S1022,Frequenties[],3,FALSE)*VLOOKUP($A1022,Locaties[],3,FALSE),0)</f>
        <v>0</v>
      </c>
      <c r="V1022" s="86">
        <f>Ruimtestaat[[#This Row],[Uitvoeringen werkdagen]]*Ruimtestaat[[#This Row],[Oppervlak (netto)]]</f>
        <v>11618</v>
      </c>
      <c r="W1022" s="87">
        <f>IF(U1022&gt;0,Ruimtestaat[[#This Row],[Prest. (m2 /jaar) werkdagen]]/Ruimtestaat[[#This Row],[Norm (m2/uur) werkdagen]],0)</f>
        <v>0</v>
      </c>
      <c r="X1022" s="88">
        <f>Ruimtestaat[[#This Row],[uren / jaar werkdagen]]*Tariefsopbouw!$E$35</f>
        <v>0</v>
      </c>
      <c r="Y1022" s="85"/>
      <c r="Z1022" s="89">
        <f>IF(Ruimtestaat[[#This Row],[Frequentie weekend]]&gt;0,VALUE(LEFT(Y1022,1))*R1022,0)</f>
        <v>0</v>
      </c>
      <c r="AA1022" s="85">
        <f>IF($Z1022&gt;0,VLOOKUP($J1022,Ruimtegroepen[],3,FALSE)*VLOOKUP($L1022,Vloersoorten[],3,FALSE)*VLOOKUP($Y1022,Frequenties[],3,FALSE)*VLOOKUP(#REF!,Locaties[],3,FALSE),0)</f>
        <v>0</v>
      </c>
      <c r="AB1022" s="87">
        <f>Ruimtestaat[[#This Row],[Uitvoeringen weekend]]*Ruimtestaat[[#This Row],[Oppervlak (netto)]]</f>
        <v>0</v>
      </c>
      <c r="AC1022" s="90">
        <f>IF(AB1022&gt;0,Ruimtestaat[[#This Row],[Prest. (m2 /jaar) weekend]]/Ruimtestaat[[#This Row],[Norm (m2/uur) weekend]],0)</f>
        <v>0</v>
      </c>
      <c r="AD1022" s="91">
        <f>Ruimtestaat[[#This Row],[uren / jaar weekend]]*Tariefsopbouw!$D$40</f>
        <v>0</v>
      </c>
      <c r="AE1022" s="60">
        <f>Ruimtestaat[[#This Row],[Prest. (m2 /jaar) weekend]]+Ruimtestaat[[#This Row],[Prest. (m2 /jaar) werkdagen]]</f>
        <v>11618</v>
      </c>
      <c r="AF1022" s="60">
        <f>Ruimtestaat[[#This Row],[uren / jaar weekend]]+Ruimtestaat[[#This Row],[uren / jaar werkdagen]]</f>
        <v>0</v>
      </c>
      <c r="AG1022" s="61">
        <f>Ruimtestaat[[#This Row],[kosten / jaar weekend]]+Ruimtestaat[[#This Row],[kosten / jaar werkdagen]]</f>
        <v>0</v>
      </c>
      <c r="AH1022" s="92"/>
      <c r="HL1022" s="59"/>
    </row>
    <row r="1023" spans="1:220">
      <c r="A1023" s="24">
        <v>6</v>
      </c>
      <c r="B1023" s="24" t="str">
        <f>VLOOKUP(Ruimtestaat[[#This Row],[Code]],Locaties[#All],2,FALSE)</f>
        <v>Marke Noord</v>
      </c>
      <c r="C1023" s="24" t="str">
        <f>VLOOKUP(Ruimtestaat[[#This Row],[Code]],Locaties[#All],4,FALSE)</f>
        <v>Lebuïnuslaan 1</v>
      </c>
      <c r="D1023" s="24" t="str">
        <f>VLOOKUP(Ruimtestaat[[#This Row],[Code]],Locaties[#All],5,FALSE)</f>
        <v>7415 DM</v>
      </c>
      <c r="E1023" s="24" t="str">
        <f>VLOOKUP(Ruimtestaat[[#This Row],[Code]],Locaties[#All],6,FALSE)</f>
        <v>Deventer</v>
      </c>
      <c r="F1023" s="54"/>
      <c r="G1023" s="24" t="s">
        <v>569</v>
      </c>
      <c r="H1023" s="24" t="s">
        <v>574</v>
      </c>
      <c r="I1023" s="4" t="s">
        <v>1098</v>
      </c>
      <c r="J1023" s="24">
        <v>16</v>
      </c>
      <c r="K1023" s="54" t="str">
        <f>VLOOKUP(J1023,Ruimtegroepen[],2,FALSE)</f>
        <v>Leslokalen theorie</v>
      </c>
      <c r="L1023" s="24" t="s">
        <v>300</v>
      </c>
      <c r="M1023" s="24" t="s">
        <v>909</v>
      </c>
      <c r="N1023" s="83">
        <v>55.34</v>
      </c>
      <c r="O1023" s="83"/>
      <c r="P1023" s="93" t="str">
        <f>LEFT(VLOOKUP(Ruimtestaat[[#This Row],[Ruimte code]],Ruimtegroepen[#All],4,1),2)</f>
        <v>Le</v>
      </c>
      <c r="Q1023" s="93"/>
      <c r="R1023" s="84">
        <v>40</v>
      </c>
      <c r="S1023" s="84" t="s">
        <v>318</v>
      </c>
      <c r="T1023" s="85">
        <f>IF(R1023&gt;0,IF(RIGHT(Ruimtestaat[[#This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3" s="85">
        <f>IF(T1023&gt;0,VLOOKUP($J1023,Ruimtegroepen[],3,FALSE)*VLOOKUP($L1023,Vloersoorten[],3,FALSE)*VLOOKUP($S1023,Frequenties[],3,FALSE)*VLOOKUP($A1023,Locaties[],3,FALSE),0)</f>
        <v>0</v>
      </c>
      <c r="V1023" s="86">
        <f>Ruimtestaat[[#This Row],[Uitvoeringen werkdagen]]*Ruimtestaat[[#This Row],[Oppervlak (netto)]]</f>
        <v>11068</v>
      </c>
      <c r="W1023" s="87">
        <f>IF(U1023&gt;0,Ruimtestaat[[#This Row],[Prest. (m2 /jaar) werkdagen]]/Ruimtestaat[[#This Row],[Norm (m2/uur) werkdagen]],0)</f>
        <v>0</v>
      </c>
      <c r="X1023" s="88">
        <f>Ruimtestaat[[#This Row],[uren / jaar werkdagen]]*Tariefsopbouw!$E$35</f>
        <v>0</v>
      </c>
      <c r="Y1023" s="85"/>
      <c r="Z1023" s="89">
        <f>IF(Ruimtestaat[[#This Row],[Frequentie weekend]]&gt;0,VALUE(LEFT(Y1023,1))*R1023,0)</f>
        <v>0</v>
      </c>
      <c r="AA1023" s="85">
        <f>IF($Z1023&gt;0,VLOOKUP($J1023,Ruimtegroepen[],3,FALSE)*VLOOKUP($L1023,Vloersoorten[],3,FALSE)*VLOOKUP($Y1023,Frequenties[],3,FALSE)*VLOOKUP(#REF!,Locaties[],3,FALSE),0)</f>
        <v>0</v>
      </c>
      <c r="AB1023" s="87">
        <f>Ruimtestaat[[#This Row],[Uitvoeringen weekend]]*Ruimtestaat[[#This Row],[Oppervlak (netto)]]</f>
        <v>0</v>
      </c>
      <c r="AC1023" s="90">
        <f>IF(AB1023&gt;0,Ruimtestaat[[#This Row],[Prest. (m2 /jaar) weekend]]/Ruimtestaat[[#This Row],[Norm (m2/uur) weekend]],0)</f>
        <v>0</v>
      </c>
      <c r="AD1023" s="91">
        <f>Ruimtestaat[[#This Row],[uren / jaar weekend]]*Tariefsopbouw!$D$40</f>
        <v>0</v>
      </c>
      <c r="AE1023" s="60">
        <f>Ruimtestaat[[#This Row],[Prest. (m2 /jaar) weekend]]+Ruimtestaat[[#This Row],[Prest. (m2 /jaar) werkdagen]]</f>
        <v>11068</v>
      </c>
      <c r="AF1023" s="60">
        <f>Ruimtestaat[[#This Row],[uren / jaar weekend]]+Ruimtestaat[[#This Row],[uren / jaar werkdagen]]</f>
        <v>0</v>
      </c>
      <c r="AG1023" s="61">
        <f>Ruimtestaat[[#This Row],[kosten / jaar weekend]]+Ruimtestaat[[#This Row],[kosten / jaar werkdagen]]</f>
        <v>0</v>
      </c>
      <c r="AH1023" s="92"/>
      <c r="HL1023" s="59"/>
    </row>
    <row r="1024" spans="1:220">
      <c r="A1024" s="24">
        <v>6</v>
      </c>
      <c r="B1024" s="24" t="str">
        <f>VLOOKUP(Ruimtestaat[[#This Row],[Code]],Locaties[#All],2,FALSE)</f>
        <v>Marke Noord</v>
      </c>
      <c r="C1024" s="24" t="str">
        <f>VLOOKUP(Ruimtestaat[[#This Row],[Code]],Locaties[#All],4,FALSE)</f>
        <v>Lebuïnuslaan 1</v>
      </c>
      <c r="D1024" s="24" t="str">
        <f>VLOOKUP(Ruimtestaat[[#This Row],[Code]],Locaties[#All],5,FALSE)</f>
        <v>7415 DM</v>
      </c>
      <c r="E1024" s="24" t="str">
        <f>VLOOKUP(Ruimtestaat[[#This Row],[Code]],Locaties[#All],6,FALSE)</f>
        <v>Deventer</v>
      </c>
      <c r="F1024" s="54"/>
      <c r="G1024" s="24" t="s">
        <v>569</v>
      </c>
      <c r="H1024" s="24" t="s">
        <v>1265</v>
      </c>
      <c r="I1024" s="4" t="s">
        <v>941</v>
      </c>
      <c r="J1024" s="24">
        <v>2</v>
      </c>
      <c r="K1024" s="54" t="str">
        <f>VLOOKUP(J1024,Ruimtegroepen[],2,FALSE)</f>
        <v>Kantoren</v>
      </c>
      <c r="L1024" s="24" t="s">
        <v>303</v>
      </c>
      <c r="M1024" s="24" t="s">
        <v>387</v>
      </c>
      <c r="N1024" s="83">
        <v>17</v>
      </c>
      <c r="O1024" s="83"/>
      <c r="P1024" s="93" t="str">
        <f>LEFT(VLOOKUP(Ruimtestaat[[#This Row],[Ruimte code]],Ruimtegroepen[#All],4,1),2)</f>
        <v>Bu</v>
      </c>
      <c r="Q1024" s="93"/>
      <c r="R1024" s="84">
        <v>42</v>
      </c>
      <c r="S1024" s="84" t="s">
        <v>322</v>
      </c>
      <c r="T1024" s="85">
        <f>IF(R1024&gt;0,IF(RIGHT(Ruimtestaat[[#This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24" s="85">
        <f>IF(T1024&gt;0,VLOOKUP($J1024,Ruimtegroepen[],3,FALSE)*VLOOKUP($L1024,Vloersoorten[],3,FALSE)*VLOOKUP($S1024,Frequenties[],3,FALSE)*VLOOKUP($A1024,Locaties[],3,FALSE),0)</f>
        <v>0</v>
      </c>
      <c r="V1024" s="86">
        <f>Ruimtestaat[[#This Row],[Uitvoeringen werkdagen]]*Ruimtestaat[[#This Row],[Oppervlak (netto)]]</f>
        <v>2142</v>
      </c>
      <c r="W1024" s="87">
        <f>IF(U1024&gt;0,Ruimtestaat[[#This Row],[Prest. (m2 /jaar) werkdagen]]/Ruimtestaat[[#This Row],[Norm (m2/uur) werkdagen]],0)</f>
        <v>0</v>
      </c>
      <c r="X1024" s="88">
        <f>Ruimtestaat[[#This Row],[uren / jaar werkdagen]]*Tariefsopbouw!$E$35</f>
        <v>0</v>
      </c>
      <c r="Y1024" s="85"/>
      <c r="Z1024" s="89">
        <f>IF(Ruimtestaat[[#This Row],[Frequentie weekend]]&gt;0,VALUE(LEFT(Y1024,1))*R1024,0)</f>
        <v>0</v>
      </c>
      <c r="AA1024" s="85">
        <f>IF($Z1024&gt;0,VLOOKUP($J1024,Ruimtegroepen[],3,FALSE)*VLOOKUP($L1024,Vloersoorten[],3,FALSE)*VLOOKUP($Y1024,Frequenties[],3,FALSE)*VLOOKUP(#REF!,Locaties[],3,FALSE),0)</f>
        <v>0</v>
      </c>
      <c r="AB1024" s="87">
        <f>Ruimtestaat[[#This Row],[Uitvoeringen weekend]]*Ruimtestaat[[#This Row],[Oppervlak (netto)]]</f>
        <v>0</v>
      </c>
      <c r="AC1024" s="90">
        <f>IF(AB1024&gt;0,Ruimtestaat[[#This Row],[Prest. (m2 /jaar) weekend]]/Ruimtestaat[[#This Row],[Norm (m2/uur) weekend]],0)</f>
        <v>0</v>
      </c>
      <c r="AD1024" s="91">
        <f>Ruimtestaat[[#This Row],[uren / jaar weekend]]*Tariefsopbouw!$D$40</f>
        <v>0</v>
      </c>
      <c r="AE1024" s="60">
        <f>Ruimtestaat[[#This Row],[Prest. (m2 /jaar) weekend]]+Ruimtestaat[[#This Row],[Prest. (m2 /jaar) werkdagen]]</f>
        <v>2142</v>
      </c>
      <c r="AF1024" s="60">
        <f>Ruimtestaat[[#This Row],[uren / jaar weekend]]+Ruimtestaat[[#This Row],[uren / jaar werkdagen]]</f>
        <v>0</v>
      </c>
      <c r="AG1024" s="61">
        <f>Ruimtestaat[[#This Row],[kosten / jaar weekend]]+Ruimtestaat[[#This Row],[kosten / jaar werkdagen]]</f>
        <v>0</v>
      </c>
      <c r="AH1024" s="92"/>
      <c r="HL1024" s="59"/>
    </row>
    <row r="1025" spans="1:220">
      <c r="A1025" s="24">
        <v>6</v>
      </c>
      <c r="B1025" s="24" t="str">
        <f>VLOOKUP(Ruimtestaat[[#This Row],[Code]],Locaties[#All],2,FALSE)</f>
        <v>Marke Noord</v>
      </c>
      <c r="C1025" s="24" t="str">
        <f>VLOOKUP(Ruimtestaat[[#This Row],[Code]],Locaties[#All],4,FALSE)</f>
        <v>Lebuïnuslaan 1</v>
      </c>
      <c r="D1025" s="24" t="str">
        <f>VLOOKUP(Ruimtestaat[[#This Row],[Code]],Locaties[#All],5,FALSE)</f>
        <v>7415 DM</v>
      </c>
      <c r="E1025" s="24" t="str">
        <f>VLOOKUP(Ruimtestaat[[#This Row],[Code]],Locaties[#All],6,FALSE)</f>
        <v>Deventer</v>
      </c>
      <c r="F1025" s="54"/>
      <c r="G1025" s="24" t="s">
        <v>569</v>
      </c>
      <c r="H1025" s="24" t="s">
        <v>1267</v>
      </c>
      <c r="I1025" s="4" t="s">
        <v>941</v>
      </c>
      <c r="J1025" s="24">
        <v>2</v>
      </c>
      <c r="K1025" s="54" t="str">
        <f>VLOOKUP(J1025,Ruimtegroepen[],2,FALSE)</f>
        <v>Kantoren</v>
      </c>
      <c r="L1025" s="24" t="s">
        <v>303</v>
      </c>
      <c r="M1025" s="24" t="s">
        <v>387</v>
      </c>
      <c r="N1025" s="83">
        <v>19.600000000000001</v>
      </c>
      <c r="O1025" s="83"/>
      <c r="P1025" s="93" t="str">
        <f>LEFT(VLOOKUP(Ruimtestaat[[#This Row],[Ruimte code]],Ruimtegroepen[#All],4,1),2)</f>
        <v>Bu</v>
      </c>
      <c r="Q1025" s="93"/>
      <c r="R1025" s="84">
        <v>42</v>
      </c>
      <c r="S1025" s="84" t="s">
        <v>322</v>
      </c>
      <c r="T1025" s="85">
        <f>IF(R1025&gt;0,IF(RIGHT(Ruimtestaat[[#This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25" s="85">
        <f>IF(T1025&gt;0,VLOOKUP($J1025,Ruimtegroepen[],3,FALSE)*VLOOKUP($L1025,Vloersoorten[],3,FALSE)*VLOOKUP($S1025,Frequenties[],3,FALSE)*VLOOKUP($A1025,Locaties[],3,FALSE),0)</f>
        <v>0</v>
      </c>
      <c r="V1025" s="86">
        <f>Ruimtestaat[[#This Row],[Uitvoeringen werkdagen]]*Ruimtestaat[[#This Row],[Oppervlak (netto)]]</f>
        <v>2469.6000000000004</v>
      </c>
      <c r="W1025" s="87">
        <f>IF(U1025&gt;0,Ruimtestaat[[#This Row],[Prest. (m2 /jaar) werkdagen]]/Ruimtestaat[[#This Row],[Norm (m2/uur) werkdagen]],0)</f>
        <v>0</v>
      </c>
      <c r="X1025" s="88">
        <f>Ruimtestaat[[#This Row],[uren / jaar werkdagen]]*Tariefsopbouw!$E$35</f>
        <v>0</v>
      </c>
      <c r="Y1025" s="85"/>
      <c r="Z1025" s="89">
        <f>IF(Ruimtestaat[[#This Row],[Frequentie weekend]]&gt;0,VALUE(LEFT(Y1025,1))*R1025,0)</f>
        <v>0</v>
      </c>
      <c r="AA1025" s="85">
        <f>IF($Z1025&gt;0,VLOOKUP($J1025,Ruimtegroepen[],3,FALSE)*VLOOKUP($L1025,Vloersoorten[],3,FALSE)*VLOOKUP($Y1025,Frequenties[],3,FALSE)*VLOOKUP(#REF!,Locaties[],3,FALSE),0)</f>
        <v>0</v>
      </c>
      <c r="AB1025" s="87">
        <f>Ruimtestaat[[#This Row],[Uitvoeringen weekend]]*Ruimtestaat[[#This Row],[Oppervlak (netto)]]</f>
        <v>0</v>
      </c>
      <c r="AC1025" s="90">
        <f>IF(AB1025&gt;0,Ruimtestaat[[#This Row],[Prest. (m2 /jaar) weekend]]/Ruimtestaat[[#This Row],[Norm (m2/uur) weekend]],0)</f>
        <v>0</v>
      </c>
      <c r="AD1025" s="91">
        <f>Ruimtestaat[[#This Row],[uren / jaar weekend]]*Tariefsopbouw!$D$40</f>
        <v>0</v>
      </c>
      <c r="AE1025" s="60">
        <f>Ruimtestaat[[#This Row],[Prest. (m2 /jaar) weekend]]+Ruimtestaat[[#This Row],[Prest. (m2 /jaar) werkdagen]]</f>
        <v>2469.6000000000004</v>
      </c>
      <c r="AF1025" s="60">
        <f>Ruimtestaat[[#This Row],[uren / jaar weekend]]+Ruimtestaat[[#This Row],[uren / jaar werkdagen]]</f>
        <v>0</v>
      </c>
      <c r="AG1025" s="61">
        <f>Ruimtestaat[[#This Row],[kosten / jaar weekend]]+Ruimtestaat[[#This Row],[kosten / jaar werkdagen]]</f>
        <v>0</v>
      </c>
      <c r="AH1025" s="92"/>
      <c r="HL1025" s="59"/>
    </row>
    <row r="1026" spans="1:220">
      <c r="A1026" s="24">
        <v>6</v>
      </c>
      <c r="B1026" s="24" t="str">
        <f>VLOOKUP(Ruimtestaat[[#This Row],[Code]],Locaties[#All],2,FALSE)</f>
        <v>Marke Noord</v>
      </c>
      <c r="C1026" s="24" t="str">
        <f>VLOOKUP(Ruimtestaat[[#This Row],[Code]],Locaties[#All],4,FALSE)</f>
        <v>Lebuïnuslaan 1</v>
      </c>
      <c r="D1026" s="24" t="str">
        <f>VLOOKUP(Ruimtestaat[[#This Row],[Code]],Locaties[#All],5,FALSE)</f>
        <v>7415 DM</v>
      </c>
      <c r="E1026" s="24" t="str">
        <f>VLOOKUP(Ruimtestaat[[#This Row],[Code]],Locaties[#All],6,FALSE)</f>
        <v>Deventer</v>
      </c>
      <c r="F1026" s="54"/>
      <c r="G1026" s="24" t="s">
        <v>569</v>
      </c>
      <c r="H1026" s="24" t="s">
        <v>575</v>
      </c>
      <c r="I1026" s="4" t="s">
        <v>1098</v>
      </c>
      <c r="J1026" s="24">
        <v>16</v>
      </c>
      <c r="K1026" s="54" t="str">
        <f>VLOOKUP(J1026,Ruimtegroepen[],2,FALSE)</f>
        <v>Leslokalen theorie</v>
      </c>
      <c r="L1026" s="24" t="s">
        <v>300</v>
      </c>
      <c r="M1026" s="24" t="s">
        <v>909</v>
      </c>
      <c r="N1026" s="83">
        <v>56.62</v>
      </c>
      <c r="O1026" s="83"/>
      <c r="P1026" s="93" t="str">
        <f>LEFT(VLOOKUP(Ruimtestaat[[#This Row],[Ruimte code]],Ruimtegroepen[#All],4,1),2)</f>
        <v>Le</v>
      </c>
      <c r="Q1026" s="93"/>
      <c r="R1026" s="84">
        <v>40</v>
      </c>
      <c r="S1026" s="84" t="s">
        <v>318</v>
      </c>
      <c r="T1026" s="85">
        <f>IF(R1026&gt;0,IF(RIGHT(Ruimtestaat[[#This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6" s="85">
        <f>IF(T1026&gt;0,VLOOKUP($J1026,Ruimtegroepen[],3,FALSE)*VLOOKUP($L1026,Vloersoorten[],3,FALSE)*VLOOKUP($S1026,Frequenties[],3,FALSE)*VLOOKUP($A1026,Locaties[],3,FALSE),0)</f>
        <v>0</v>
      </c>
      <c r="V1026" s="86">
        <f>Ruimtestaat[[#This Row],[Uitvoeringen werkdagen]]*Ruimtestaat[[#This Row],[Oppervlak (netto)]]</f>
        <v>11324</v>
      </c>
      <c r="W1026" s="87">
        <f>IF(U1026&gt;0,Ruimtestaat[[#This Row],[Prest. (m2 /jaar) werkdagen]]/Ruimtestaat[[#This Row],[Norm (m2/uur) werkdagen]],0)</f>
        <v>0</v>
      </c>
      <c r="X1026" s="88">
        <f>Ruimtestaat[[#This Row],[uren / jaar werkdagen]]*Tariefsopbouw!$E$35</f>
        <v>0</v>
      </c>
      <c r="Y1026" s="85"/>
      <c r="Z1026" s="89">
        <f>IF(Ruimtestaat[[#This Row],[Frequentie weekend]]&gt;0,VALUE(LEFT(Y1026,1))*R1026,0)</f>
        <v>0</v>
      </c>
      <c r="AA1026" s="85">
        <f>IF($Z1026&gt;0,VLOOKUP($J1026,Ruimtegroepen[],3,FALSE)*VLOOKUP($L1026,Vloersoorten[],3,FALSE)*VLOOKUP($Y1026,Frequenties[],3,FALSE)*VLOOKUP(#REF!,Locaties[],3,FALSE),0)</f>
        <v>0</v>
      </c>
      <c r="AB1026" s="87">
        <f>Ruimtestaat[[#This Row],[Uitvoeringen weekend]]*Ruimtestaat[[#This Row],[Oppervlak (netto)]]</f>
        <v>0</v>
      </c>
      <c r="AC1026" s="90">
        <f>IF(AB1026&gt;0,Ruimtestaat[[#This Row],[Prest. (m2 /jaar) weekend]]/Ruimtestaat[[#This Row],[Norm (m2/uur) weekend]],0)</f>
        <v>0</v>
      </c>
      <c r="AD1026" s="91">
        <f>Ruimtestaat[[#This Row],[uren / jaar weekend]]*Tariefsopbouw!$D$40</f>
        <v>0</v>
      </c>
      <c r="AE1026" s="60">
        <f>Ruimtestaat[[#This Row],[Prest. (m2 /jaar) weekend]]+Ruimtestaat[[#This Row],[Prest. (m2 /jaar) werkdagen]]</f>
        <v>11324</v>
      </c>
      <c r="AF1026" s="60">
        <f>Ruimtestaat[[#This Row],[uren / jaar weekend]]+Ruimtestaat[[#This Row],[uren / jaar werkdagen]]</f>
        <v>0</v>
      </c>
      <c r="AG1026" s="61">
        <f>Ruimtestaat[[#This Row],[kosten / jaar weekend]]+Ruimtestaat[[#This Row],[kosten / jaar werkdagen]]</f>
        <v>0</v>
      </c>
      <c r="AH1026" s="92"/>
      <c r="HL1026" s="59"/>
    </row>
    <row r="1027" spans="1:220">
      <c r="A1027" s="24">
        <v>6</v>
      </c>
      <c r="B1027" s="24" t="str">
        <f>VLOOKUP(Ruimtestaat[[#This Row],[Code]],Locaties[#All],2,FALSE)</f>
        <v>Marke Noord</v>
      </c>
      <c r="C1027" s="24" t="str">
        <f>VLOOKUP(Ruimtestaat[[#This Row],[Code]],Locaties[#All],4,FALSE)</f>
        <v>Lebuïnuslaan 1</v>
      </c>
      <c r="D1027" s="24" t="str">
        <f>VLOOKUP(Ruimtestaat[[#This Row],[Code]],Locaties[#All],5,FALSE)</f>
        <v>7415 DM</v>
      </c>
      <c r="E1027" s="24" t="str">
        <f>VLOOKUP(Ruimtestaat[[#This Row],[Code]],Locaties[#All],6,FALSE)</f>
        <v>Deventer</v>
      </c>
      <c r="F1027" s="54"/>
      <c r="G1027" s="24" t="s">
        <v>569</v>
      </c>
      <c r="H1027" s="24" t="s">
        <v>576</v>
      </c>
      <c r="I1027" s="4" t="s">
        <v>1098</v>
      </c>
      <c r="J1027" s="24">
        <v>16</v>
      </c>
      <c r="K1027" s="54" t="str">
        <f>VLOOKUP(J1027,Ruimtegroepen[],2,FALSE)</f>
        <v>Leslokalen theorie</v>
      </c>
      <c r="L1027" s="24" t="s">
        <v>300</v>
      </c>
      <c r="M1027" s="24" t="s">
        <v>909</v>
      </c>
      <c r="N1027" s="83">
        <v>55.88</v>
      </c>
      <c r="O1027" s="83"/>
      <c r="P1027" s="93" t="str">
        <f>LEFT(VLOOKUP(Ruimtestaat[[#This Row],[Ruimte code]],Ruimtegroepen[#All],4,1),2)</f>
        <v>Le</v>
      </c>
      <c r="Q1027" s="93"/>
      <c r="R1027" s="84">
        <v>40</v>
      </c>
      <c r="S1027" s="84" t="s">
        <v>318</v>
      </c>
      <c r="T1027" s="85">
        <f>IF(R1027&gt;0,IF(RIGHT(Ruimtestaat[[#This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7" s="85">
        <f>IF(T1027&gt;0,VLOOKUP($J1027,Ruimtegroepen[],3,FALSE)*VLOOKUP($L1027,Vloersoorten[],3,FALSE)*VLOOKUP($S1027,Frequenties[],3,FALSE)*VLOOKUP($A1027,Locaties[],3,FALSE),0)</f>
        <v>0</v>
      </c>
      <c r="V1027" s="86">
        <f>Ruimtestaat[[#This Row],[Uitvoeringen werkdagen]]*Ruimtestaat[[#This Row],[Oppervlak (netto)]]</f>
        <v>11176</v>
      </c>
      <c r="W1027" s="87">
        <f>IF(U1027&gt;0,Ruimtestaat[[#This Row],[Prest. (m2 /jaar) werkdagen]]/Ruimtestaat[[#This Row],[Norm (m2/uur) werkdagen]],0)</f>
        <v>0</v>
      </c>
      <c r="X1027" s="88">
        <f>Ruimtestaat[[#This Row],[uren / jaar werkdagen]]*Tariefsopbouw!$E$35</f>
        <v>0</v>
      </c>
      <c r="Y1027" s="85"/>
      <c r="Z1027" s="89">
        <f>IF(Ruimtestaat[[#This Row],[Frequentie weekend]]&gt;0,VALUE(LEFT(Y1027,1))*R1027,0)</f>
        <v>0</v>
      </c>
      <c r="AA1027" s="85">
        <f>IF($Z1027&gt;0,VLOOKUP($J1027,Ruimtegroepen[],3,FALSE)*VLOOKUP($L1027,Vloersoorten[],3,FALSE)*VLOOKUP($Y1027,Frequenties[],3,FALSE)*VLOOKUP(#REF!,Locaties[],3,FALSE),0)</f>
        <v>0</v>
      </c>
      <c r="AB1027" s="87">
        <f>Ruimtestaat[[#This Row],[Uitvoeringen weekend]]*Ruimtestaat[[#This Row],[Oppervlak (netto)]]</f>
        <v>0</v>
      </c>
      <c r="AC1027" s="90">
        <f>IF(AB1027&gt;0,Ruimtestaat[[#This Row],[Prest. (m2 /jaar) weekend]]/Ruimtestaat[[#This Row],[Norm (m2/uur) weekend]],0)</f>
        <v>0</v>
      </c>
      <c r="AD1027" s="91">
        <f>Ruimtestaat[[#This Row],[uren / jaar weekend]]*Tariefsopbouw!$D$40</f>
        <v>0</v>
      </c>
      <c r="AE1027" s="60">
        <f>Ruimtestaat[[#This Row],[Prest. (m2 /jaar) weekend]]+Ruimtestaat[[#This Row],[Prest. (m2 /jaar) werkdagen]]</f>
        <v>11176</v>
      </c>
      <c r="AF1027" s="60">
        <f>Ruimtestaat[[#This Row],[uren / jaar weekend]]+Ruimtestaat[[#This Row],[uren / jaar werkdagen]]</f>
        <v>0</v>
      </c>
      <c r="AG1027" s="61">
        <f>Ruimtestaat[[#This Row],[kosten / jaar weekend]]+Ruimtestaat[[#This Row],[kosten / jaar werkdagen]]</f>
        <v>0</v>
      </c>
      <c r="AH1027" s="92"/>
      <c r="HL1027" s="59"/>
    </row>
    <row r="1028" spans="1:220">
      <c r="A1028" s="24">
        <v>6</v>
      </c>
      <c r="B1028" s="24" t="str">
        <f>VLOOKUP(Ruimtestaat[[#This Row],[Code]],Locaties[#All],2,FALSE)</f>
        <v>Marke Noord</v>
      </c>
      <c r="C1028" s="24" t="str">
        <f>VLOOKUP(Ruimtestaat[[#This Row],[Code]],Locaties[#All],4,FALSE)</f>
        <v>Lebuïnuslaan 1</v>
      </c>
      <c r="D1028" s="24" t="str">
        <f>VLOOKUP(Ruimtestaat[[#This Row],[Code]],Locaties[#All],5,FALSE)</f>
        <v>7415 DM</v>
      </c>
      <c r="E1028" s="24" t="str">
        <f>VLOOKUP(Ruimtestaat[[#This Row],[Code]],Locaties[#All],6,FALSE)</f>
        <v>Deventer</v>
      </c>
      <c r="F1028" s="54"/>
      <c r="G1028" s="24" t="s">
        <v>569</v>
      </c>
      <c r="H1028" s="24" t="s">
        <v>577</v>
      </c>
      <c r="I1028" s="4" t="s">
        <v>1098</v>
      </c>
      <c r="J1028" s="24">
        <v>16</v>
      </c>
      <c r="K1028" s="54" t="str">
        <f>VLOOKUP(J1028,Ruimtegroepen[],2,FALSE)</f>
        <v>Leslokalen theorie</v>
      </c>
      <c r="L1028" s="24" t="s">
        <v>300</v>
      </c>
      <c r="M1028" s="24" t="s">
        <v>909</v>
      </c>
      <c r="N1028" s="83">
        <v>55.88</v>
      </c>
      <c r="O1028" s="83"/>
      <c r="P1028" s="93" t="str">
        <f>LEFT(VLOOKUP(Ruimtestaat[[#This Row],[Ruimte code]],Ruimtegroepen[#All],4,1),2)</f>
        <v>Le</v>
      </c>
      <c r="Q1028" s="93"/>
      <c r="R1028" s="84">
        <v>40</v>
      </c>
      <c r="S1028" s="84" t="s">
        <v>318</v>
      </c>
      <c r="T1028" s="85">
        <f>IF(R1028&gt;0,IF(RIGHT(Ruimtestaat[[#This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8" s="85">
        <f>IF(T1028&gt;0,VLOOKUP($J1028,Ruimtegroepen[],3,FALSE)*VLOOKUP($L1028,Vloersoorten[],3,FALSE)*VLOOKUP($S1028,Frequenties[],3,FALSE)*VLOOKUP($A1028,Locaties[],3,FALSE),0)</f>
        <v>0</v>
      </c>
      <c r="V1028" s="86">
        <f>Ruimtestaat[[#This Row],[Uitvoeringen werkdagen]]*Ruimtestaat[[#This Row],[Oppervlak (netto)]]</f>
        <v>11176</v>
      </c>
      <c r="W1028" s="87">
        <f>IF(U1028&gt;0,Ruimtestaat[[#This Row],[Prest. (m2 /jaar) werkdagen]]/Ruimtestaat[[#This Row],[Norm (m2/uur) werkdagen]],0)</f>
        <v>0</v>
      </c>
      <c r="X1028" s="88">
        <f>Ruimtestaat[[#This Row],[uren / jaar werkdagen]]*Tariefsopbouw!$E$35</f>
        <v>0</v>
      </c>
      <c r="Y1028" s="85"/>
      <c r="Z1028" s="89">
        <f>IF(Ruimtestaat[[#This Row],[Frequentie weekend]]&gt;0,VALUE(LEFT(Y1028,1))*R1028,0)</f>
        <v>0</v>
      </c>
      <c r="AA1028" s="85">
        <f>IF($Z1028&gt;0,VLOOKUP($J1028,Ruimtegroepen[],3,FALSE)*VLOOKUP($L1028,Vloersoorten[],3,FALSE)*VLOOKUP($Y1028,Frequenties[],3,FALSE)*VLOOKUP(#REF!,Locaties[],3,FALSE),0)</f>
        <v>0</v>
      </c>
      <c r="AB1028" s="87">
        <f>Ruimtestaat[[#This Row],[Uitvoeringen weekend]]*Ruimtestaat[[#This Row],[Oppervlak (netto)]]</f>
        <v>0</v>
      </c>
      <c r="AC1028" s="90">
        <f>IF(AB1028&gt;0,Ruimtestaat[[#This Row],[Prest. (m2 /jaar) weekend]]/Ruimtestaat[[#This Row],[Norm (m2/uur) weekend]],0)</f>
        <v>0</v>
      </c>
      <c r="AD1028" s="91">
        <f>Ruimtestaat[[#This Row],[uren / jaar weekend]]*Tariefsopbouw!$D$40</f>
        <v>0</v>
      </c>
      <c r="AE1028" s="60">
        <f>Ruimtestaat[[#This Row],[Prest. (m2 /jaar) weekend]]+Ruimtestaat[[#This Row],[Prest. (m2 /jaar) werkdagen]]</f>
        <v>11176</v>
      </c>
      <c r="AF1028" s="60">
        <f>Ruimtestaat[[#This Row],[uren / jaar weekend]]+Ruimtestaat[[#This Row],[uren / jaar werkdagen]]</f>
        <v>0</v>
      </c>
      <c r="AG1028" s="61">
        <f>Ruimtestaat[[#This Row],[kosten / jaar weekend]]+Ruimtestaat[[#This Row],[kosten / jaar werkdagen]]</f>
        <v>0</v>
      </c>
      <c r="AH1028" s="92"/>
      <c r="HL1028" s="59"/>
    </row>
    <row r="1029" spans="1:220">
      <c r="A1029" s="24">
        <v>6</v>
      </c>
      <c r="B1029" s="24" t="str">
        <f>VLOOKUP(Ruimtestaat[[#This Row],[Code]],Locaties[#All],2,FALSE)</f>
        <v>Marke Noord</v>
      </c>
      <c r="C1029" s="24" t="str">
        <f>VLOOKUP(Ruimtestaat[[#This Row],[Code]],Locaties[#All],4,FALSE)</f>
        <v>Lebuïnuslaan 1</v>
      </c>
      <c r="D1029" s="24" t="str">
        <f>VLOOKUP(Ruimtestaat[[#This Row],[Code]],Locaties[#All],5,FALSE)</f>
        <v>7415 DM</v>
      </c>
      <c r="E1029" s="24" t="str">
        <f>VLOOKUP(Ruimtestaat[[#This Row],[Code]],Locaties[#All],6,FALSE)</f>
        <v>Deventer</v>
      </c>
      <c r="F1029" s="54"/>
      <c r="G1029" s="24" t="s">
        <v>569</v>
      </c>
      <c r="H1029" s="24" t="s">
        <v>1270</v>
      </c>
      <c r="I1029" s="4" t="s">
        <v>1363</v>
      </c>
      <c r="J1029" s="24">
        <v>2</v>
      </c>
      <c r="K1029" s="54" t="str">
        <f>VLOOKUP(J1029,Ruimtegroepen[],2,FALSE)</f>
        <v>Kantoren</v>
      </c>
      <c r="L1029" s="24" t="s">
        <v>300</v>
      </c>
      <c r="M1029" s="24" t="s">
        <v>909</v>
      </c>
      <c r="N1029" s="83">
        <v>26.45</v>
      </c>
      <c r="O1029" s="83"/>
      <c r="P1029" s="93" t="str">
        <f>LEFT(VLOOKUP(Ruimtestaat[[#This Row],[Ruimte code]],Ruimtegroepen[#All],4,1),2)</f>
        <v>Bu</v>
      </c>
      <c r="Q1029" s="93"/>
      <c r="R1029" s="84">
        <v>42</v>
      </c>
      <c r="S1029" s="84" t="s">
        <v>322</v>
      </c>
      <c r="T1029" s="85">
        <f>IF(R1029&gt;0,IF(RIGHT(Ruimtestaat[[#This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29" s="85">
        <f>IF(T1029&gt;0,VLOOKUP($J1029,Ruimtegroepen[],3,FALSE)*VLOOKUP($L1029,Vloersoorten[],3,FALSE)*VLOOKUP($S1029,Frequenties[],3,FALSE)*VLOOKUP($A1029,Locaties[],3,FALSE),0)</f>
        <v>0</v>
      </c>
      <c r="V1029" s="86">
        <f>Ruimtestaat[[#This Row],[Uitvoeringen werkdagen]]*Ruimtestaat[[#This Row],[Oppervlak (netto)]]</f>
        <v>3332.7</v>
      </c>
      <c r="W1029" s="87">
        <f>IF(U1029&gt;0,Ruimtestaat[[#This Row],[Prest. (m2 /jaar) werkdagen]]/Ruimtestaat[[#This Row],[Norm (m2/uur) werkdagen]],0)</f>
        <v>0</v>
      </c>
      <c r="X1029" s="88">
        <f>Ruimtestaat[[#This Row],[uren / jaar werkdagen]]*Tariefsopbouw!$E$35</f>
        <v>0</v>
      </c>
      <c r="Y1029" s="85"/>
      <c r="Z1029" s="89">
        <f>IF(Ruimtestaat[[#This Row],[Frequentie weekend]]&gt;0,VALUE(LEFT(Y1029,1))*R1029,0)</f>
        <v>0</v>
      </c>
      <c r="AA1029" s="85">
        <f>IF($Z1029&gt;0,VLOOKUP($J1029,Ruimtegroepen[],3,FALSE)*VLOOKUP($L1029,Vloersoorten[],3,FALSE)*VLOOKUP($Y1029,Frequenties[],3,FALSE)*VLOOKUP(#REF!,Locaties[],3,FALSE),0)</f>
        <v>0</v>
      </c>
      <c r="AB1029" s="87">
        <f>Ruimtestaat[[#This Row],[Uitvoeringen weekend]]*Ruimtestaat[[#This Row],[Oppervlak (netto)]]</f>
        <v>0</v>
      </c>
      <c r="AC1029" s="90">
        <f>IF(AB1029&gt;0,Ruimtestaat[[#This Row],[Prest. (m2 /jaar) weekend]]/Ruimtestaat[[#This Row],[Norm (m2/uur) weekend]],0)</f>
        <v>0</v>
      </c>
      <c r="AD1029" s="91">
        <f>Ruimtestaat[[#This Row],[uren / jaar weekend]]*Tariefsopbouw!$D$40</f>
        <v>0</v>
      </c>
      <c r="AE1029" s="60">
        <f>Ruimtestaat[[#This Row],[Prest. (m2 /jaar) weekend]]+Ruimtestaat[[#This Row],[Prest. (m2 /jaar) werkdagen]]</f>
        <v>3332.7</v>
      </c>
      <c r="AF1029" s="60">
        <f>Ruimtestaat[[#This Row],[uren / jaar weekend]]+Ruimtestaat[[#This Row],[uren / jaar werkdagen]]</f>
        <v>0</v>
      </c>
      <c r="AG1029" s="61">
        <f>Ruimtestaat[[#This Row],[kosten / jaar weekend]]+Ruimtestaat[[#This Row],[kosten / jaar werkdagen]]</f>
        <v>0</v>
      </c>
      <c r="AH1029" s="92"/>
      <c r="HL1029" s="59"/>
    </row>
    <row r="1030" spans="1:220">
      <c r="A1030" s="24">
        <v>6</v>
      </c>
      <c r="B1030" s="24" t="str">
        <f>VLOOKUP(Ruimtestaat[[#This Row],[Code]],Locaties[#All],2,FALSE)</f>
        <v>Marke Noord</v>
      </c>
      <c r="C1030" s="24" t="str">
        <f>VLOOKUP(Ruimtestaat[[#This Row],[Code]],Locaties[#All],4,FALSE)</f>
        <v>Lebuïnuslaan 1</v>
      </c>
      <c r="D1030" s="24" t="str">
        <f>VLOOKUP(Ruimtestaat[[#This Row],[Code]],Locaties[#All],5,FALSE)</f>
        <v>7415 DM</v>
      </c>
      <c r="E1030" s="24" t="str">
        <f>VLOOKUP(Ruimtestaat[[#This Row],[Code]],Locaties[#All],6,FALSE)</f>
        <v>Deventer</v>
      </c>
      <c r="F1030" s="54"/>
      <c r="G1030" s="24" t="s">
        <v>569</v>
      </c>
      <c r="H1030" s="24" t="s">
        <v>578</v>
      </c>
      <c r="I1030" s="4" t="s">
        <v>1363</v>
      </c>
      <c r="J1030" s="24">
        <v>2</v>
      </c>
      <c r="K1030" s="54" t="str">
        <f>VLOOKUP(J1030,Ruimtegroepen[],2,FALSE)</f>
        <v>Kantoren</v>
      </c>
      <c r="L1030" s="24" t="s">
        <v>300</v>
      </c>
      <c r="M1030" s="24" t="s">
        <v>909</v>
      </c>
      <c r="N1030" s="83">
        <v>28.68</v>
      </c>
      <c r="O1030" s="83"/>
      <c r="P1030" s="93" t="str">
        <f>LEFT(VLOOKUP(Ruimtestaat[[#This Row],[Ruimte code]],Ruimtegroepen[#All],4,1),2)</f>
        <v>Bu</v>
      </c>
      <c r="Q1030" s="93"/>
      <c r="R1030" s="84">
        <v>42</v>
      </c>
      <c r="S1030" s="84" t="s">
        <v>322</v>
      </c>
      <c r="T1030" s="85">
        <f>IF(R1030&gt;0,IF(RIGHT(Ruimtestaat[[#This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30" s="85">
        <f>IF(T1030&gt;0,VLOOKUP($J1030,Ruimtegroepen[],3,FALSE)*VLOOKUP($L1030,Vloersoorten[],3,FALSE)*VLOOKUP($S1030,Frequenties[],3,FALSE)*VLOOKUP($A1030,Locaties[],3,FALSE),0)</f>
        <v>0</v>
      </c>
      <c r="V1030" s="86">
        <f>Ruimtestaat[[#This Row],[Uitvoeringen werkdagen]]*Ruimtestaat[[#This Row],[Oppervlak (netto)]]</f>
        <v>3613.68</v>
      </c>
      <c r="W1030" s="87">
        <f>IF(U1030&gt;0,Ruimtestaat[[#This Row],[Prest. (m2 /jaar) werkdagen]]/Ruimtestaat[[#This Row],[Norm (m2/uur) werkdagen]],0)</f>
        <v>0</v>
      </c>
      <c r="X1030" s="88">
        <f>Ruimtestaat[[#This Row],[uren / jaar werkdagen]]*Tariefsopbouw!$E$35</f>
        <v>0</v>
      </c>
      <c r="Y1030" s="85"/>
      <c r="Z1030" s="89">
        <f>IF(Ruimtestaat[[#This Row],[Frequentie weekend]]&gt;0,VALUE(LEFT(Y1030,1))*R1030,0)</f>
        <v>0</v>
      </c>
      <c r="AA1030" s="85">
        <f>IF($Z1030&gt;0,VLOOKUP($J1030,Ruimtegroepen[],3,FALSE)*VLOOKUP($L1030,Vloersoorten[],3,FALSE)*VLOOKUP($Y1030,Frequenties[],3,FALSE)*VLOOKUP(#REF!,Locaties[],3,FALSE),0)</f>
        <v>0</v>
      </c>
      <c r="AB1030" s="87">
        <f>Ruimtestaat[[#This Row],[Uitvoeringen weekend]]*Ruimtestaat[[#This Row],[Oppervlak (netto)]]</f>
        <v>0</v>
      </c>
      <c r="AC1030" s="90">
        <f>IF(AB1030&gt;0,Ruimtestaat[[#This Row],[Prest. (m2 /jaar) weekend]]/Ruimtestaat[[#This Row],[Norm (m2/uur) weekend]],0)</f>
        <v>0</v>
      </c>
      <c r="AD1030" s="91">
        <f>Ruimtestaat[[#This Row],[uren / jaar weekend]]*Tariefsopbouw!$D$40</f>
        <v>0</v>
      </c>
      <c r="AE1030" s="60">
        <f>Ruimtestaat[[#This Row],[Prest. (m2 /jaar) weekend]]+Ruimtestaat[[#This Row],[Prest. (m2 /jaar) werkdagen]]</f>
        <v>3613.68</v>
      </c>
      <c r="AF1030" s="60">
        <f>Ruimtestaat[[#This Row],[uren / jaar weekend]]+Ruimtestaat[[#This Row],[uren / jaar werkdagen]]</f>
        <v>0</v>
      </c>
      <c r="AG1030" s="61">
        <f>Ruimtestaat[[#This Row],[kosten / jaar weekend]]+Ruimtestaat[[#This Row],[kosten / jaar werkdagen]]</f>
        <v>0</v>
      </c>
      <c r="AH1030" s="92"/>
      <c r="HL1030" s="59"/>
    </row>
    <row r="1031" spans="1:220">
      <c r="A1031" s="24">
        <v>6</v>
      </c>
      <c r="B1031" s="24" t="str">
        <f>VLOOKUP(Ruimtestaat[[#This Row],[Code]],Locaties[#All],2,FALSE)</f>
        <v>Marke Noord</v>
      </c>
      <c r="C1031" s="24" t="str">
        <f>VLOOKUP(Ruimtestaat[[#This Row],[Code]],Locaties[#All],4,FALSE)</f>
        <v>Lebuïnuslaan 1</v>
      </c>
      <c r="D1031" s="24" t="str">
        <f>VLOOKUP(Ruimtestaat[[#This Row],[Code]],Locaties[#All],5,FALSE)</f>
        <v>7415 DM</v>
      </c>
      <c r="E1031" s="24" t="str">
        <f>VLOOKUP(Ruimtestaat[[#This Row],[Code]],Locaties[#All],6,FALSE)</f>
        <v>Deventer</v>
      </c>
      <c r="F1031" s="54"/>
      <c r="G1031" s="24" t="s">
        <v>569</v>
      </c>
      <c r="H1031" s="24" t="s">
        <v>1415</v>
      </c>
      <c r="I1031" s="4" t="s">
        <v>1378</v>
      </c>
      <c r="J1031" s="24">
        <v>5</v>
      </c>
      <c r="K1031" s="54" t="str">
        <f>VLOOKUP(J1031,Ruimtegroepen[],2,FALSE)</f>
        <v>Sanitair</v>
      </c>
      <c r="L1031" s="24" t="s">
        <v>305</v>
      </c>
      <c r="M1031" s="24" t="s">
        <v>400</v>
      </c>
      <c r="N1031" s="83">
        <v>12.4</v>
      </c>
      <c r="O1031" s="83"/>
      <c r="P1031" s="93" t="str">
        <f>LEFT(VLOOKUP(Ruimtestaat[[#This Row],[Ruimte code]],Ruimtegroepen[#All],4,1),2)</f>
        <v>Sa</v>
      </c>
      <c r="Q1031" s="93"/>
      <c r="R1031" s="84">
        <v>42</v>
      </c>
      <c r="S1031" s="84" t="s">
        <v>316</v>
      </c>
      <c r="T1031" s="85">
        <f>IF(R1031&gt;0,IF(RIGHT(Ruimtestaat[[#This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31" s="85">
        <f>IF(T1031&gt;0,VLOOKUP($J1031,Ruimtegroepen[],3,FALSE)*VLOOKUP($L1031,Vloersoorten[],3,FALSE)*VLOOKUP($S1031,Frequenties[],3,FALSE)*VLOOKUP($A1031,Locaties[],3,FALSE),0)</f>
        <v>0</v>
      </c>
      <c r="V1031" s="86">
        <f>Ruimtestaat[[#This Row],[Uitvoeringen werkdagen]]*Ruimtestaat[[#This Row],[Oppervlak (netto)]]</f>
        <v>5208</v>
      </c>
      <c r="W1031" s="87">
        <f>IF(U1031&gt;0,Ruimtestaat[[#This Row],[Prest. (m2 /jaar) werkdagen]]/Ruimtestaat[[#This Row],[Norm (m2/uur) werkdagen]],0)</f>
        <v>0</v>
      </c>
      <c r="X1031" s="88">
        <f>Ruimtestaat[[#This Row],[uren / jaar werkdagen]]*Tariefsopbouw!$E$35</f>
        <v>0</v>
      </c>
      <c r="Y1031" s="85"/>
      <c r="Z1031" s="89">
        <f>IF(Ruimtestaat[[#This Row],[Frequentie weekend]]&gt;0,VALUE(LEFT(Y1031,1))*R1031,0)</f>
        <v>0</v>
      </c>
      <c r="AA1031" s="85">
        <f>IF($Z1031&gt;0,VLOOKUP($J1031,Ruimtegroepen[],3,FALSE)*VLOOKUP($L1031,Vloersoorten[],3,FALSE)*VLOOKUP($Y1031,Frequenties[],3,FALSE)*VLOOKUP(#REF!,Locaties[],3,FALSE),0)</f>
        <v>0</v>
      </c>
      <c r="AB1031" s="87">
        <f>Ruimtestaat[[#This Row],[Uitvoeringen weekend]]*Ruimtestaat[[#This Row],[Oppervlak (netto)]]</f>
        <v>0</v>
      </c>
      <c r="AC1031" s="90">
        <f>IF(AB1031&gt;0,Ruimtestaat[[#This Row],[Prest. (m2 /jaar) weekend]]/Ruimtestaat[[#This Row],[Norm (m2/uur) weekend]],0)</f>
        <v>0</v>
      </c>
      <c r="AD1031" s="91">
        <f>Ruimtestaat[[#This Row],[uren / jaar weekend]]*Tariefsopbouw!$D$40</f>
        <v>0</v>
      </c>
      <c r="AE1031" s="60">
        <f>Ruimtestaat[[#This Row],[Prest. (m2 /jaar) weekend]]+Ruimtestaat[[#This Row],[Prest. (m2 /jaar) werkdagen]]</f>
        <v>5208</v>
      </c>
      <c r="AF1031" s="60">
        <f>Ruimtestaat[[#This Row],[uren / jaar weekend]]+Ruimtestaat[[#This Row],[uren / jaar werkdagen]]</f>
        <v>0</v>
      </c>
      <c r="AG1031" s="61">
        <f>Ruimtestaat[[#This Row],[kosten / jaar weekend]]+Ruimtestaat[[#This Row],[kosten / jaar werkdagen]]</f>
        <v>0</v>
      </c>
      <c r="AH1031" s="92"/>
      <c r="HL1031" s="59"/>
    </row>
    <row r="1032" spans="1:220">
      <c r="A1032" s="24">
        <v>6</v>
      </c>
      <c r="B1032" s="24" t="str">
        <f>VLOOKUP(Ruimtestaat[[#This Row],[Code]],Locaties[#All],2,FALSE)</f>
        <v>Marke Noord</v>
      </c>
      <c r="C1032" s="24" t="str">
        <f>VLOOKUP(Ruimtestaat[[#This Row],[Code]],Locaties[#All],4,FALSE)</f>
        <v>Lebuïnuslaan 1</v>
      </c>
      <c r="D1032" s="24" t="str">
        <f>VLOOKUP(Ruimtestaat[[#This Row],[Code]],Locaties[#All],5,FALSE)</f>
        <v>7415 DM</v>
      </c>
      <c r="E1032" s="24" t="str">
        <f>VLOOKUP(Ruimtestaat[[#This Row],[Code]],Locaties[#All],6,FALSE)</f>
        <v>Deventer</v>
      </c>
      <c r="F1032" s="54"/>
      <c r="G1032" s="24" t="s">
        <v>569</v>
      </c>
      <c r="H1032" s="24" t="s">
        <v>1416</v>
      </c>
      <c r="I1032" s="4" t="s">
        <v>1380</v>
      </c>
      <c r="J1032" s="24">
        <v>5</v>
      </c>
      <c r="K1032" s="54" t="str">
        <f>VLOOKUP(J1032,Ruimtegroepen[],2,FALSE)</f>
        <v>Sanitair</v>
      </c>
      <c r="L1032" s="24" t="s">
        <v>305</v>
      </c>
      <c r="M1032" s="24" t="s">
        <v>400</v>
      </c>
      <c r="N1032" s="83">
        <v>12.98</v>
      </c>
      <c r="O1032" s="83"/>
      <c r="P1032" s="93" t="str">
        <f>LEFT(VLOOKUP(Ruimtestaat[[#This Row],[Ruimte code]],Ruimtegroepen[#All],4,1),2)</f>
        <v>Sa</v>
      </c>
      <c r="Q1032" s="93"/>
      <c r="R1032" s="84">
        <v>42</v>
      </c>
      <c r="S1032" s="84" t="s">
        <v>316</v>
      </c>
      <c r="T1032" s="85">
        <f>IF(R1032&gt;0,IF(RIGHT(Ruimtestaat[[#This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32" s="85">
        <f>IF(T1032&gt;0,VLOOKUP($J1032,Ruimtegroepen[],3,FALSE)*VLOOKUP($L1032,Vloersoorten[],3,FALSE)*VLOOKUP($S1032,Frequenties[],3,FALSE)*VLOOKUP($A1032,Locaties[],3,FALSE),0)</f>
        <v>0</v>
      </c>
      <c r="V1032" s="86">
        <f>Ruimtestaat[[#This Row],[Uitvoeringen werkdagen]]*Ruimtestaat[[#This Row],[Oppervlak (netto)]]</f>
        <v>5451.6</v>
      </c>
      <c r="W1032" s="87">
        <f>IF(U1032&gt;0,Ruimtestaat[[#This Row],[Prest. (m2 /jaar) werkdagen]]/Ruimtestaat[[#This Row],[Norm (m2/uur) werkdagen]],0)</f>
        <v>0</v>
      </c>
      <c r="X1032" s="88">
        <f>Ruimtestaat[[#This Row],[uren / jaar werkdagen]]*Tariefsopbouw!$E$35</f>
        <v>0</v>
      </c>
      <c r="Y1032" s="85"/>
      <c r="Z1032" s="89">
        <f>IF(Ruimtestaat[[#This Row],[Frequentie weekend]]&gt;0,VALUE(LEFT(Y1032,1))*R1032,0)</f>
        <v>0</v>
      </c>
      <c r="AA1032" s="85">
        <f>IF($Z1032&gt;0,VLOOKUP($J1032,Ruimtegroepen[],3,FALSE)*VLOOKUP($L1032,Vloersoorten[],3,FALSE)*VLOOKUP($Y1032,Frequenties[],3,FALSE)*VLOOKUP(#REF!,Locaties[],3,FALSE),0)</f>
        <v>0</v>
      </c>
      <c r="AB1032" s="87">
        <f>Ruimtestaat[[#This Row],[Uitvoeringen weekend]]*Ruimtestaat[[#This Row],[Oppervlak (netto)]]</f>
        <v>0</v>
      </c>
      <c r="AC1032" s="90">
        <f>IF(AB1032&gt;0,Ruimtestaat[[#This Row],[Prest. (m2 /jaar) weekend]]/Ruimtestaat[[#This Row],[Norm (m2/uur) weekend]],0)</f>
        <v>0</v>
      </c>
      <c r="AD1032" s="91">
        <f>Ruimtestaat[[#This Row],[uren / jaar weekend]]*Tariefsopbouw!$D$40</f>
        <v>0</v>
      </c>
      <c r="AE1032" s="60">
        <f>Ruimtestaat[[#This Row],[Prest. (m2 /jaar) weekend]]+Ruimtestaat[[#This Row],[Prest. (m2 /jaar) werkdagen]]</f>
        <v>5451.6</v>
      </c>
      <c r="AF1032" s="60">
        <f>Ruimtestaat[[#This Row],[uren / jaar weekend]]+Ruimtestaat[[#This Row],[uren / jaar werkdagen]]</f>
        <v>0</v>
      </c>
      <c r="AG1032" s="61">
        <f>Ruimtestaat[[#This Row],[kosten / jaar weekend]]+Ruimtestaat[[#This Row],[kosten / jaar werkdagen]]</f>
        <v>0</v>
      </c>
      <c r="AH1032" s="92"/>
      <c r="HL1032" s="59"/>
    </row>
    <row r="1033" spans="1:220">
      <c r="A1033" s="24">
        <v>6</v>
      </c>
      <c r="B1033" s="24" t="str">
        <f>VLOOKUP(Ruimtestaat[[#This Row],[Code]],Locaties[#All],2,FALSE)</f>
        <v>Marke Noord</v>
      </c>
      <c r="C1033" s="24" t="str">
        <f>VLOOKUP(Ruimtestaat[[#This Row],[Code]],Locaties[#All],4,FALSE)</f>
        <v>Lebuïnuslaan 1</v>
      </c>
      <c r="D1033" s="24" t="str">
        <f>VLOOKUP(Ruimtestaat[[#This Row],[Code]],Locaties[#All],5,FALSE)</f>
        <v>7415 DM</v>
      </c>
      <c r="E1033" s="24" t="str">
        <f>VLOOKUP(Ruimtestaat[[#This Row],[Code]],Locaties[#All],6,FALSE)</f>
        <v>Deventer</v>
      </c>
      <c r="F1033" s="54"/>
      <c r="G1033" s="24" t="s">
        <v>569</v>
      </c>
      <c r="H1033" s="24" t="s">
        <v>1417</v>
      </c>
      <c r="I1033" s="4" t="s">
        <v>394</v>
      </c>
      <c r="J1033" s="24">
        <v>22</v>
      </c>
      <c r="K1033" s="54" t="str">
        <f>VLOOKUP(J1033,Ruimtegroepen[],2,FALSE)</f>
        <v>Niet in onderhoud</v>
      </c>
      <c r="L1033" s="24" t="s">
        <v>300</v>
      </c>
      <c r="M1033" s="24" t="s">
        <v>909</v>
      </c>
      <c r="N1033" s="83"/>
      <c r="O1033" s="83">
        <v>18.38</v>
      </c>
      <c r="P1033" s="93" t="str">
        <f>LEFT(VLOOKUP(Ruimtestaat[[#This Row],[Ruimte code]],Ruimtegroepen[#All],4,1),2)</f>
        <v/>
      </c>
      <c r="Q1033" s="93"/>
      <c r="R1033" s="84"/>
      <c r="S1033" s="84"/>
      <c r="T1033" s="85">
        <f>IF(R1033&gt;0,IF(RIGHT(Ruimtestaat[[#This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33" s="85">
        <f>IF(T1033&gt;0,VLOOKUP($J1033,Ruimtegroepen[],3,FALSE)*VLOOKUP($L1033,Vloersoorten[],3,FALSE)*VLOOKUP($S1033,Frequenties[],3,FALSE)*VLOOKUP($A1033,Locaties[],3,FALSE),0)</f>
        <v>0</v>
      </c>
      <c r="V1033" s="86">
        <f>Ruimtestaat[[#This Row],[Uitvoeringen werkdagen]]*Ruimtestaat[[#This Row],[Oppervlak (netto)]]</f>
        <v>0</v>
      </c>
      <c r="W1033" s="87">
        <f>IF(U1033&gt;0,Ruimtestaat[[#This Row],[Prest. (m2 /jaar) werkdagen]]/Ruimtestaat[[#This Row],[Norm (m2/uur) werkdagen]],0)</f>
        <v>0</v>
      </c>
      <c r="X1033" s="88">
        <f>Ruimtestaat[[#This Row],[uren / jaar werkdagen]]*Tariefsopbouw!$E$35</f>
        <v>0</v>
      </c>
      <c r="Y1033" s="85"/>
      <c r="Z1033" s="89">
        <f>IF(Ruimtestaat[[#This Row],[Frequentie weekend]]&gt;0,VALUE(LEFT(Y1033,1))*R1033,0)</f>
        <v>0</v>
      </c>
      <c r="AA1033" s="85">
        <f>IF($Z1033&gt;0,VLOOKUP($J1033,Ruimtegroepen[],3,FALSE)*VLOOKUP($L1033,Vloersoorten[],3,FALSE)*VLOOKUP($Y1033,Frequenties[],3,FALSE)*VLOOKUP(#REF!,Locaties[],3,FALSE),0)</f>
        <v>0</v>
      </c>
      <c r="AB1033" s="87">
        <f>Ruimtestaat[[#This Row],[Uitvoeringen weekend]]*Ruimtestaat[[#This Row],[Oppervlak (netto)]]</f>
        <v>0</v>
      </c>
      <c r="AC1033" s="90">
        <f>IF(AB1033&gt;0,Ruimtestaat[[#This Row],[Prest. (m2 /jaar) weekend]]/Ruimtestaat[[#This Row],[Norm (m2/uur) weekend]],0)</f>
        <v>0</v>
      </c>
      <c r="AD1033" s="91">
        <f>Ruimtestaat[[#This Row],[uren / jaar weekend]]*Tariefsopbouw!$D$40</f>
        <v>0</v>
      </c>
      <c r="AE1033" s="60">
        <f>Ruimtestaat[[#This Row],[Prest. (m2 /jaar) weekend]]+Ruimtestaat[[#This Row],[Prest. (m2 /jaar) werkdagen]]</f>
        <v>0</v>
      </c>
      <c r="AF1033" s="60">
        <f>Ruimtestaat[[#This Row],[uren / jaar weekend]]+Ruimtestaat[[#This Row],[uren / jaar werkdagen]]</f>
        <v>0</v>
      </c>
      <c r="AG1033" s="61">
        <f>Ruimtestaat[[#This Row],[kosten / jaar weekend]]+Ruimtestaat[[#This Row],[kosten / jaar werkdagen]]</f>
        <v>0</v>
      </c>
      <c r="AH1033" s="92"/>
      <c r="HL1033" s="59"/>
    </row>
    <row r="1034" spans="1:220">
      <c r="A1034" s="24">
        <v>6</v>
      </c>
      <c r="B1034" s="24" t="str">
        <f>VLOOKUP(Ruimtestaat[[#This Row],[Code]],Locaties[#All],2,FALSE)</f>
        <v>Marke Noord</v>
      </c>
      <c r="C1034" s="24" t="str">
        <f>VLOOKUP(Ruimtestaat[[#This Row],[Code]],Locaties[#All],4,FALSE)</f>
        <v>Lebuïnuslaan 1</v>
      </c>
      <c r="D1034" s="24" t="str">
        <f>VLOOKUP(Ruimtestaat[[#This Row],[Code]],Locaties[#All],5,FALSE)</f>
        <v>7415 DM</v>
      </c>
      <c r="E1034" s="24" t="str">
        <f>VLOOKUP(Ruimtestaat[[#This Row],[Code]],Locaties[#All],6,FALSE)</f>
        <v>Deventer</v>
      </c>
      <c r="F1034" s="54"/>
      <c r="G1034" s="24" t="s">
        <v>569</v>
      </c>
      <c r="H1034" s="24" t="s">
        <v>1418</v>
      </c>
      <c r="I1034" s="4" t="s">
        <v>375</v>
      </c>
      <c r="J1034" s="24">
        <v>22</v>
      </c>
      <c r="K1034" s="54" t="str">
        <f>VLOOKUP(J1034,Ruimtegroepen[],2,FALSE)</f>
        <v>Niet in onderhoud</v>
      </c>
      <c r="L1034" s="24" t="s">
        <v>300</v>
      </c>
      <c r="M1034" s="24" t="s">
        <v>909</v>
      </c>
      <c r="N1034" s="83"/>
      <c r="O1034" s="83">
        <v>3.4</v>
      </c>
      <c r="P1034" s="93" t="str">
        <f>LEFT(VLOOKUP(Ruimtestaat[[#This Row],[Ruimte code]],Ruimtegroepen[#All],4,1),2)</f>
        <v/>
      </c>
      <c r="Q1034" s="93"/>
      <c r="R1034" s="84"/>
      <c r="S1034" s="84"/>
      <c r="T1034" s="85">
        <f>IF(R1034&gt;0,IF(RIGHT(Ruimtestaat[[#This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34" s="85">
        <f>IF(T1034&gt;0,VLOOKUP($J1034,Ruimtegroepen[],3,FALSE)*VLOOKUP($L1034,Vloersoorten[],3,FALSE)*VLOOKUP($S1034,Frequenties[],3,FALSE)*VLOOKUP($A1034,Locaties[],3,FALSE),0)</f>
        <v>0</v>
      </c>
      <c r="V1034" s="86">
        <f>Ruimtestaat[[#This Row],[Uitvoeringen werkdagen]]*Ruimtestaat[[#This Row],[Oppervlak (netto)]]</f>
        <v>0</v>
      </c>
      <c r="W1034" s="87">
        <f>IF(U1034&gt;0,Ruimtestaat[[#This Row],[Prest. (m2 /jaar) werkdagen]]/Ruimtestaat[[#This Row],[Norm (m2/uur) werkdagen]],0)</f>
        <v>0</v>
      </c>
      <c r="X1034" s="88">
        <f>Ruimtestaat[[#This Row],[uren / jaar werkdagen]]*Tariefsopbouw!$E$35</f>
        <v>0</v>
      </c>
      <c r="Y1034" s="85"/>
      <c r="Z1034" s="89">
        <f>IF(Ruimtestaat[[#This Row],[Frequentie weekend]]&gt;0,VALUE(LEFT(Y1034,1))*R1034,0)</f>
        <v>0</v>
      </c>
      <c r="AA1034" s="85">
        <f>IF($Z1034&gt;0,VLOOKUP($J1034,Ruimtegroepen[],3,FALSE)*VLOOKUP($L1034,Vloersoorten[],3,FALSE)*VLOOKUP($Y1034,Frequenties[],3,FALSE)*VLOOKUP(#REF!,Locaties[],3,FALSE),0)</f>
        <v>0</v>
      </c>
      <c r="AB1034" s="87">
        <f>Ruimtestaat[[#This Row],[Uitvoeringen weekend]]*Ruimtestaat[[#This Row],[Oppervlak (netto)]]</f>
        <v>0</v>
      </c>
      <c r="AC1034" s="90">
        <f>IF(AB1034&gt;0,Ruimtestaat[[#This Row],[Prest. (m2 /jaar) weekend]]/Ruimtestaat[[#This Row],[Norm (m2/uur) weekend]],0)</f>
        <v>0</v>
      </c>
      <c r="AD1034" s="91">
        <f>Ruimtestaat[[#This Row],[uren / jaar weekend]]*Tariefsopbouw!$D$40</f>
        <v>0</v>
      </c>
      <c r="AE1034" s="60">
        <f>Ruimtestaat[[#This Row],[Prest. (m2 /jaar) weekend]]+Ruimtestaat[[#This Row],[Prest. (m2 /jaar) werkdagen]]</f>
        <v>0</v>
      </c>
      <c r="AF1034" s="60">
        <f>Ruimtestaat[[#This Row],[uren / jaar weekend]]+Ruimtestaat[[#This Row],[uren / jaar werkdagen]]</f>
        <v>0</v>
      </c>
      <c r="AG1034" s="61">
        <f>Ruimtestaat[[#This Row],[kosten / jaar weekend]]+Ruimtestaat[[#This Row],[kosten / jaar werkdagen]]</f>
        <v>0</v>
      </c>
      <c r="AH1034" s="92"/>
      <c r="HL1034" s="59"/>
    </row>
    <row r="1035" spans="1:220">
      <c r="A1035" s="24">
        <v>6</v>
      </c>
      <c r="B1035" s="24" t="str">
        <f>VLOOKUP(Ruimtestaat[[#This Row],[Code]],Locaties[#All],2,FALSE)</f>
        <v>Marke Noord</v>
      </c>
      <c r="C1035" s="24" t="str">
        <f>VLOOKUP(Ruimtestaat[[#This Row],[Code]],Locaties[#All],4,FALSE)</f>
        <v>Lebuïnuslaan 1</v>
      </c>
      <c r="D1035" s="24" t="str">
        <f>VLOOKUP(Ruimtestaat[[#This Row],[Code]],Locaties[#All],5,FALSE)</f>
        <v>7415 DM</v>
      </c>
      <c r="E1035" s="24" t="str">
        <f>VLOOKUP(Ruimtestaat[[#This Row],[Code]],Locaties[#All],6,FALSE)</f>
        <v>Deventer</v>
      </c>
      <c r="F1035" s="54"/>
      <c r="G1035" s="24" t="s">
        <v>569</v>
      </c>
      <c r="H1035" s="24" t="s">
        <v>1419</v>
      </c>
      <c r="I1035" s="4" t="s">
        <v>1010</v>
      </c>
      <c r="J1035" s="24">
        <v>5</v>
      </c>
      <c r="K1035" s="54" t="str">
        <f>VLOOKUP(J1035,Ruimtegroepen[],2,FALSE)</f>
        <v>Sanitair</v>
      </c>
      <c r="L1035" s="24" t="s">
        <v>305</v>
      </c>
      <c r="M1035" s="24" t="s">
        <v>400</v>
      </c>
      <c r="N1035" s="83">
        <v>0.95</v>
      </c>
      <c r="O1035" s="83"/>
      <c r="P1035" s="93" t="str">
        <f>LEFT(VLOOKUP(Ruimtestaat[[#This Row],[Ruimte code]],Ruimtegroepen[#All],4,1),2)</f>
        <v>Sa</v>
      </c>
      <c r="Q1035" s="93"/>
      <c r="R1035" s="84">
        <v>42</v>
      </c>
      <c r="S1035" s="84" t="s">
        <v>316</v>
      </c>
      <c r="T1035" s="85">
        <f>IF(R1035&gt;0,IF(RIGHT(Ruimtestaat[[#This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35" s="85">
        <f>IF(T1035&gt;0,VLOOKUP($J1035,Ruimtegroepen[],3,FALSE)*VLOOKUP($L1035,Vloersoorten[],3,FALSE)*VLOOKUP($S1035,Frequenties[],3,FALSE)*VLOOKUP($A1035,Locaties[],3,FALSE),0)</f>
        <v>0</v>
      </c>
      <c r="V1035" s="86">
        <f>Ruimtestaat[[#This Row],[Uitvoeringen werkdagen]]*Ruimtestaat[[#This Row],[Oppervlak (netto)]]</f>
        <v>399</v>
      </c>
      <c r="W1035" s="87">
        <f>IF(U1035&gt;0,Ruimtestaat[[#This Row],[Prest. (m2 /jaar) werkdagen]]/Ruimtestaat[[#This Row],[Norm (m2/uur) werkdagen]],0)</f>
        <v>0</v>
      </c>
      <c r="X1035" s="88">
        <f>Ruimtestaat[[#This Row],[uren / jaar werkdagen]]*Tariefsopbouw!$E$35</f>
        <v>0</v>
      </c>
      <c r="Y1035" s="85"/>
      <c r="Z1035" s="89">
        <f>IF(Ruimtestaat[[#This Row],[Frequentie weekend]]&gt;0,VALUE(LEFT(Y1035,1))*R1035,0)</f>
        <v>0</v>
      </c>
      <c r="AA1035" s="85">
        <f>IF($Z1035&gt;0,VLOOKUP($J1035,Ruimtegroepen[],3,FALSE)*VLOOKUP($L1035,Vloersoorten[],3,FALSE)*VLOOKUP($Y1035,Frequenties[],3,FALSE)*VLOOKUP(#REF!,Locaties[],3,FALSE),0)</f>
        <v>0</v>
      </c>
      <c r="AB1035" s="87">
        <f>Ruimtestaat[[#This Row],[Uitvoeringen weekend]]*Ruimtestaat[[#This Row],[Oppervlak (netto)]]</f>
        <v>0</v>
      </c>
      <c r="AC1035" s="90">
        <f>IF(AB1035&gt;0,Ruimtestaat[[#This Row],[Prest. (m2 /jaar) weekend]]/Ruimtestaat[[#This Row],[Norm (m2/uur) weekend]],0)</f>
        <v>0</v>
      </c>
      <c r="AD1035" s="91">
        <f>Ruimtestaat[[#This Row],[uren / jaar weekend]]*Tariefsopbouw!$D$40</f>
        <v>0</v>
      </c>
      <c r="AE1035" s="60">
        <f>Ruimtestaat[[#This Row],[Prest. (m2 /jaar) weekend]]+Ruimtestaat[[#This Row],[Prest. (m2 /jaar) werkdagen]]</f>
        <v>399</v>
      </c>
      <c r="AF1035" s="60">
        <f>Ruimtestaat[[#This Row],[uren / jaar weekend]]+Ruimtestaat[[#This Row],[uren / jaar werkdagen]]</f>
        <v>0</v>
      </c>
      <c r="AG1035" s="61">
        <f>Ruimtestaat[[#This Row],[kosten / jaar weekend]]+Ruimtestaat[[#This Row],[kosten / jaar werkdagen]]</f>
        <v>0</v>
      </c>
      <c r="AH1035" s="92"/>
      <c r="HL1035" s="59"/>
    </row>
    <row r="1036" spans="1:220">
      <c r="A1036" s="24">
        <v>6</v>
      </c>
      <c r="B1036" s="24" t="str">
        <f>VLOOKUP(Ruimtestaat[[#This Row],[Code]],Locaties[#All],2,FALSE)</f>
        <v>Marke Noord</v>
      </c>
      <c r="C1036" s="24" t="str">
        <f>VLOOKUP(Ruimtestaat[[#This Row],[Code]],Locaties[#All],4,FALSE)</f>
        <v>Lebuïnuslaan 1</v>
      </c>
      <c r="D1036" s="24" t="str">
        <f>VLOOKUP(Ruimtestaat[[#This Row],[Code]],Locaties[#All],5,FALSE)</f>
        <v>7415 DM</v>
      </c>
      <c r="E1036" s="24" t="str">
        <f>VLOOKUP(Ruimtestaat[[#This Row],[Code]],Locaties[#All],6,FALSE)</f>
        <v>Deventer</v>
      </c>
      <c r="F1036" s="54"/>
      <c r="G1036" s="24" t="s">
        <v>569</v>
      </c>
      <c r="H1036" s="24" t="s">
        <v>1420</v>
      </c>
      <c r="I1036" s="4" t="s">
        <v>1010</v>
      </c>
      <c r="J1036" s="24">
        <v>5</v>
      </c>
      <c r="K1036" s="54" t="str">
        <f>VLOOKUP(J1036,Ruimtegroepen[],2,FALSE)</f>
        <v>Sanitair</v>
      </c>
      <c r="L1036" s="24" t="s">
        <v>305</v>
      </c>
      <c r="M1036" s="24" t="s">
        <v>400</v>
      </c>
      <c r="N1036" s="83">
        <v>0.9</v>
      </c>
      <c r="O1036" s="83"/>
      <c r="P1036" s="93" t="str">
        <f>LEFT(VLOOKUP(Ruimtestaat[[#This Row],[Ruimte code]],Ruimtegroepen[#All],4,1),2)</f>
        <v>Sa</v>
      </c>
      <c r="Q1036" s="93"/>
      <c r="R1036" s="84">
        <v>42</v>
      </c>
      <c r="S1036" s="84" t="s">
        <v>316</v>
      </c>
      <c r="T1036" s="85">
        <f>IF(R1036&gt;0,IF(RIGHT(Ruimtestaat[[#This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36" s="85">
        <f>IF(T1036&gt;0,VLOOKUP($J1036,Ruimtegroepen[],3,FALSE)*VLOOKUP($L1036,Vloersoorten[],3,FALSE)*VLOOKUP($S1036,Frequenties[],3,FALSE)*VLOOKUP($A1036,Locaties[],3,FALSE),0)</f>
        <v>0</v>
      </c>
      <c r="V1036" s="86">
        <f>Ruimtestaat[[#This Row],[Uitvoeringen werkdagen]]*Ruimtestaat[[#This Row],[Oppervlak (netto)]]</f>
        <v>378</v>
      </c>
      <c r="W1036" s="87">
        <f>IF(U1036&gt;0,Ruimtestaat[[#This Row],[Prest. (m2 /jaar) werkdagen]]/Ruimtestaat[[#This Row],[Norm (m2/uur) werkdagen]],0)</f>
        <v>0</v>
      </c>
      <c r="X1036" s="88">
        <f>Ruimtestaat[[#This Row],[uren / jaar werkdagen]]*Tariefsopbouw!$E$35</f>
        <v>0</v>
      </c>
      <c r="Y1036" s="85"/>
      <c r="Z1036" s="89">
        <f>IF(Ruimtestaat[[#This Row],[Frequentie weekend]]&gt;0,VALUE(LEFT(Y1036,1))*R1036,0)</f>
        <v>0</v>
      </c>
      <c r="AA1036" s="85">
        <f>IF($Z1036&gt;0,VLOOKUP($J1036,Ruimtegroepen[],3,FALSE)*VLOOKUP($L1036,Vloersoorten[],3,FALSE)*VLOOKUP($Y1036,Frequenties[],3,FALSE)*VLOOKUP(#REF!,Locaties[],3,FALSE),0)</f>
        <v>0</v>
      </c>
      <c r="AB1036" s="87">
        <f>Ruimtestaat[[#This Row],[Uitvoeringen weekend]]*Ruimtestaat[[#This Row],[Oppervlak (netto)]]</f>
        <v>0</v>
      </c>
      <c r="AC1036" s="90">
        <f>IF(AB1036&gt;0,Ruimtestaat[[#This Row],[Prest. (m2 /jaar) weekend]]/Ruimtestaat[[#This Row],[Norm (m2/uur) weekend]],0)</f>
        <v>0</v>
      </c>
      <c r="AD1036" s="91">
        <f>Ruimtestaat[[#This Row],[uren / jaar weekend]]*Tariefsopbouw!$D$40</f>
        <v>0</v>
      </c>
      <c r="AE1036" s="60">
        <f>Ruimtestaat[[#This Row],[Prest. (m2 /jaar) weekend]]+Ruimtestaat[[#This Row],[Prest. (m2 /jaar) werkdagen]]</f>
        <v>378</v>
      </c>
      <c r="AF1036" s="60">
        <f>Ruimtestaat[[#This Row],[uren / jaar weekend]]+Ruimtestaat[[#This Row],[uren / jaar werkdagen]]</f>
        <v>0</v>
      </c>
      <c r="AG1036" s="61">
        <f>Ruimtestaat[[#This Row],[kosten / jaar weekend]]+Ruimtestaat[[#This Row],[kosten / jaar werkdagen]]</f>
        <v>0</v>
      </c>
      <c r="AH1036" s="92"/>
      <c r="HL1036" s="59"/>
    </row>
    <row r="1037" spans="1:220">
      <c r="A1037" s="24">
        <v>6</v>
      </c>
      <c r="B1037" s="24" t="str">
        <f>VLOOKUP(Ruimtestaat[[#This Row],[Code]],Locaties[#All],2,FALSE)</f>
        <v>Marke Noord</v>
      </c>
      <c r="C1037" s="24" t="str">
        <f>VLOOKUP(Ruimtestaat[[#This Row],[Code]],Locaties[#All],4,FALSE)</f>
        <v>Lebuïnuslaan 1</v>
      </c>
      <c r="D1037" s="24" t="str">
        <f>VLOOKUP(Ruimtestaat[[#This Row],[Code]],Locaties[#All],5,FALSE)</f>
        <v>7415 DM</v>
      </c>
      <c r="E1037" s="24" t="str">
        <f>VLOOKUP(Ruimtestaat[[#This Row],[Code]],Locaties[#All],6,FALSE)</f>
        <v>Deventer</v>
      </c>
      <c r="F1037" s="54"/>
      <c r="G1037" s="24" t="s">
        <v>569</v>
      </c>
      <c r="H1037" s="24" t="s">
        <v>1421</v>
      </c>
      <c r="I1037" s="4" t="s">
        <v>1387</v>
      </c>
      <c r="J1037" s="24">
        <v>22</v>
      </c>
      <c r="K1037" s="54" t="str">
        <f>VLOOKUP(J1037,Ruimtegroepen[],2,FALSE)</f>
        <v>Niet in onderhoud</v>
      </c>
      <c r="L1037" s="24" t="s">
        <v>300</v>
      </c>
      <c r="M1037" s="24" t="s">
        <v>909</v>
      </c>
      <c r="N1037" s="83"/>
      <c r="O1037" s="83">
        <v>2.1800000000000002</v>
      </c>
      <c r="P1037" s="93" t="str">
        <f>LEFT(VLOOKUP(Ruimtestaat[[#This Row],[Ruimte code]],Ruimtegroepen[#All],4,1),2)</f>
        <v/>
      </c>
      <c r="Q1037" s="93"/>
      <c r="R1037" s="84"/>
      <c r="S1037" s="84"/>
      <c r="T1037" s="85">
        <f>IF(R1037&gt;0,IF(RIGHT(Ruimtestaat[[#This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37" s="85">
        <f>IF(T1037&gt;0,VLOOKUP($J1037,Ruimtegroepen[],3,FALSE)*VLOOKUP($L1037,Vloersoorten[],3,FALSE)*VLOOKUP($S1037,Frequenties[],3,FALSE)*VLOOKUP($A1037,Locaties[],3,FALSE),0)</f>
        <v>0</v>
      </c>
      <c r="V1037" s="86">
        <f>Ruimtestaat[[#This Row],[Uitvoeringen werkdagen]]*Ruimtestaat[[#This Row],[Oppervlak (netto)]]</f>
        <v>0</v>
      </c>
      <c r="W1037" s="87">
        <f>IF(U1037&gt;0,Ruimtestaat[[#This Row],[Prest. (m2 /jaar) werkdagen]]/Ruimtestaat[[#This Row],[Norm (m2/uur) werkdagen]],0)</f>
        <v>0</v>
      </c>
      <c r="X1037" s="88">
        <f>Ruimtestaat[[#This Row],[uren / jaar werkdagen]]*Tariefsopbouw!$E$35</f>
        <v>0</v>
      </c>
      <c r="Y1037" s="85"/>
      <c r="Z1037" s="89">
        <f>IF(Ruimtestaat[[#This Row],[Frequentie weekend]]&gt;0,VALUE(LEFT(Y1037,1))*R1037,0)</f>
        <v>0</v>
      </c>
      <c r="AA1037" s="85">
        <f>IF($Z1037&gt;0,VLOOKUP($J1037,Ruimtegroepen[],3,FALSE)*VLOOKUP($L1037,Vloersoorten[],3,FALSE)*VLOOKUP($Y1037,Frequenties[],3,FALSE)*VLOOKUP(#REF!,Locaties[],3,FALSE),0)</f>
        <v>0</v>
      </c>
      <c r="AB1037" s="87">
        <f>Ruimtestaat[[#This Row],[Uitvoeringen weekend]]*Ruimtestaat[[#This Row],[Oppervlak (netto)]]</f>
        <v>0</v>
      </c>
      <c r="AC1037" s="90">
        <f>IF(AB1037&gt;0,Ruimtestaat[[#This Row],[Prest. (m2 /jaar) weekend]]/Ruimtestaat[[#This Row],[Norm (m2/uur) weekend]],0)</f>
        <v>0</v>
      </c>
      <c r="AD1037" s="91">
        <f>Ruimtestaat[[#This Row],[uren / jaar weekend]]*Tariefsopbouw!$D$40</f>
        <v>0</v>
      </c>
      <c r="AE1037" s="60">
        <f>Ruimtestaat[[#This Row],[Prest. (m2 /jaar) weekend]]+Ruimtestaat[[#This Row],[Prest. (m2 /jaar) werkdagen]]</f>
        <v>0</v>
      </c>
      <c r="AF1037" s="60">
        <f>Ruimtestaat[[#This Row],[uren / jaar weekend]]+Ruimtestaat[[#This Row],[uren / jaar werkdagen]]</f>
        <v>0</v>
      </c>
      <c r="AG1037" s="61">
        <f>Ruimtestaat[[#This Row],[kosten / jaar weekend]]+Ruimtestaat[[#This Row],[kosten / jaar werkdagen]]</f>
        <v>0</v>
      </c>
      <c r="AH1037" s="92"/>
      <c r="HL1037" s="59"/>
    </row>
    <row r="1038" spans="1:220">
      <c r="A1038" s="24">
        <v>6</v>
      </c>
      <c r="B1038" s="24" t="str">
        <f>VLOOKUP(Ruimtestaat[[#This Row],[Code]],Locaties[#All],2,FALSE)</f>
        <v>Marke Noord</v>
      </c>
      <c r="C1038" s="24" t="str">
        <f>VLOOKUP(Ruimtestaat[[#This Row],[Code]],Locaties[#All],4,FALSE)</f>
        <v>Lebuïnuslaan 1</v>
      </c>
      <c r="D1038" s="24" t="str">
        <f>VLOOKUP(Ruimtestaat[[#This Row],[Code]],Locaties[#All],5,FALSE)</f>
        <v>7415 DM</v>
      </c>
      <c r="E1038" s="24" t="str">
        <f>VLOOKUP(Ruimtestaat[[#This Row],[Code]],Locaties[#All],6,FALSE)</f>
        <v>Deventer</v>
      </c>
      <c r="F1038" s="54"/>
      <c r="G1038" s="24" t="s">
        <v>569</v>
      </c>
      <c r="H1038" s="24" t="s">
        <v>579</v>
      </c>
      <c r="I1038" s="4" t="s">
        <v>1098</v>
      </c>
      <c r="J1038" s="24">
        <v>16</v>
      </c>
      <c r="K1038" s="54" t="str">
        <f>VLOOKUP(J1038,Ruimtegroepen[],2,FALSE)</f>
        <v>Leslokalen theorie</v>
      </c>
      <c r="L1038" s="24" t="s">
        <v>300</v>
      </c>
      <c r="M1038" s="24" t="s">
        <v>909</v>
      </c>
      <c r="N1038" s="83">
        <v>56.58</v>
      </c>
      <c r="O1038" s="83"/>
      <c r="P1038" s="93" t="str">
        <f>LEFT(VLOOKUP(Ruimtestaat[[#This Row],[Ruimte code]],Ruimtegroepen[#All],4,1),2)</f>
        <v>Le</v>
      </c>
      <c r="Q1038" s="93"/>
      <c r="R1038" s="84">
        <v>40</v>
      </c>
      <c r="S1038" s="84" t="s">
        <v>318</v>
      </c>
      <c r="T1038" s="85">
        <f>IF(R1038&gt;0,IF(RIGHT(Ruimtestaat[[#This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8" s="85">
        <f>IF(T1038&gt;0,VLOOKUP($J1038,Ruimtegroepen[],3,FALSE)*VLOOKUP($L1038,Vloersoorten[],3,FALSE)*VLOOKUP($S1038,Frequenties[],3,FALSE)*VLOOKUP($A1038,Locaties[],3,FALSE),0)</f>
        <v>0</v>
      </c>
      <c r="V1038" s="86">
        <f>Ruimtestaat[[#This Row],[Uitvoeringen werkdagen]]*Ruimtestaat[[#This Row],[Oppervlak (netto)]]</f>
        <v>11316</v>
      </c>
      <c r="W1038" s="87">
        <f>IF(U1038&gt;0,Ruimtestaat[[#This Row],[Prest. (m2 /jaar) werkdagen]]/Ruimtestaat[[#This Row],[Norm (m2/uur) werkdagen]],0)</f>
        <v>0</v>
      </c>
      <c r="X1038" s="88">
        <f>Ruimtestaat[[#This Row],[uren / jaar werkdagen]]*Tariefsopbouw!$E$35</f>
        <v>0</v>
      </c>
      <c r="Y1038" s="85"/>
      <c r="Z1038" s="89">
        <f>IF(Ruimtestaat[[#This Row],[Frequentie weekend]]&gt;0,VALUE(LEFT(Y1038,1))*R1038,0)</f>
        <v>0</v>
      </c>
      <c r="AA1038" s="85">
        <f>IF($Z1038&gt;0,VLOOKUP($J1038,Ruimtegroepen[],3,FALSE)*VLOOKUP($L1038,Vloersoorten[],3,FALSE)*VLOOKUP($Y1038,Frequenties[],3,FALSE)*VLOOKUP(#REF!,Locaties[],3,FALSE),0)</f>
        <v>0</v>
      </c>
      <c r="AB1038" s="87">
        <f>Ruimtestaat[[#This Row],[Uitvoeringen weekend]]*Ruimtestaat[[#This Row],[Oppervlak (netto)]]</f>
        <v>0</v>
      </c>
      <c r="AC1038" s="90">
        <f>IF(AB1038&gt;0,Ruimtestaat[[#This Row],[Prest. (m2 /jaar) weekend]]/Ruimtestaat[[#This Row],[Norm (m2/uur) weekend]],0)</f>
        <v>0</v>
      </c>
      <c r="AD1038" s="91">
        <f>Ruimtestaat[[#This Row],[uren / jaar weekend]]*Tariefsopbouw!$D$40</f>
        <v>0</v>
      </c>
      <c r="AE1038" s="60">
        <f>Ruimtestaat[[#This Row],[Prest. (m2 /jaar) weekend]]+Ruimtestaat[[#This Row],[Prest. (m2 /jaar) werkdagen]]</f>
        <v>11316</v>
      </c>
      <c r="AF1038" s="60">
        <f>Ruimtestaat[[#This Row],[uren / jaar weekend]]+Ruimtestaat[[#This Row],[uren / jaar werkdagen]]</f>
        <v>0</v>
      </c>
      <c r="AG1038" s="61">
        <f>Ruimtestaat[[#This Row],[kosten / jaar weekend]]+Ruimtestaat[[#This Row],[kosten / jaar werkdagen]]</f>
        <v>0</v>
      </c>
      <c r="AH1038" s="92"/>
      <c r="HL1038" s="59"/>
    </row>
    <row r="1039" spans="1:220">
      <c r="A1039" s="24">
        <v>6</v>
      </c>
      <c r="B1039" s="24" t="str">
        <f>VLOOKUP(Ruimtestaat[[#This Row],[Code]],Locaties[#All],2,FALSE)</f>
        <v>Marke Noord</v>
      </c>
      <c r="C1039" s="24" t="str">
        <f>VLOOKUP(Ruimtestaat[[#This Row],[Code]],Locaties[#All],4,FALSE)</f>
        <v>Lebuïnuslaan 1</v>
      </c>
      <c r="D1039" s="24" t="str">
        <f>VLOOKUP(Ruimtestaat[[#This Row],[Code]],Locaties[#All],5,FALSE)</f>
        <v>7415 DM</v>
      </c>
      <c r="E1039" s="24" t="str">
        <f>VLOOKUP(Ruimtestaat[[#This Row],[Code]],Locaties[#All],6,FALSE)</f>
        <v>Deventer</v>
      </c>
      <c r="F1039" s="54"/>
      <c r="G1039" s="24" t="s">
        <v>569</v>
      </c>
      <c r="H1039" s="24" t="s">
        <v>580</v>
      </c>
      <c r="I1039" s="4" t="s">
        <v>1098</v>
      </c>
      <c r="J1039" s="24">
        <v>16</v>
      </c>
      <c r="K1039" s="54" t="str">
        <f>VLOOKUP(J1039,Ruimtegroepen[],2,FALSE)</f>
        <v>Leslokalen theorie</v>
      </c>
      <c r="L1039" s="24" t="s">
        <v>300</v>
      </c>
      <c r="M1039" s="24" t="s">
        <v>909</v>
      </c>
      <c r="N1039" s="83">
        <v>86.03</v>
      </c>
      <c r="O1039" s="83"/>
      <c r="P1039" s="93" t="str">
        <f>LEFT(VLOOKUP(Ruimtestaat[[#This Row],[Ruimte code]],Ruimtegroepen[#All],4,1),2)</f>
        <v>Le</v>
      </c>
      <c r="Q1039" s="93"/>
      <c r="R1039" s="84">
        <v>40</v>
      </c>
      <c r="S1039" s="84" t="s">
        <v>318</v>
      </c>
      <c r="T1039" s="85">
        <f>IF(R1039&gt;0,IF(RIGHT(Ruimtestaat[[#This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9" s="85">
        <f>IF(T1039&gt;0,VLOOKUP($J1039,Ruimtegroepen[],3,FALSE)*VLOOKUP($L1039,Vloersoorten[],3,FALSE)*VLOOKUP($S1039,Frequenties[],3,FALSE)*VLOOKUP($A1039,Locaties[],3,FALSE),0)</f>
        <v>0</v>
      </c>
      <c r="V1039" s="86">
        <f>Ruimtestaat[[#This Row],[Uitvoeringen werkdagen]]*Ruimtestaat[[#This Row],[Oppervlak (netto)]]</f>
        <v>17206</v>
      </c>
      <c r="W1039" s="87">
        <f>IF(U1039&gt;0,Ruimtestaat[[#This Row],[Prest. (m2 /jaar) werkdagen]]/Ruimtestaat[[#This Row],[Norm (m2/uur) werkdagen]],0)</f>
        <v>0</v>
      </c>
      <c r="X1039" s="88">
        <f>Ruimtestaat[[#This Row],[uren / jaar werkdagen]]*Tariefsopbouw!$E$35</f>
        <v>0</v>
      </c>
      <c r="Y1039" s="85"/>
      <c r="Z1039" s="89">
        <f>IF(Ruimtestaat[[#This Row],[Frequentie weekend]]&gt;0,VALUE(LEFT(Y1039,1))*R1039,0)</f>
        <v>0</v>
      </c>
      <c r="AA1039" s="85">
        <f>IF($Z1039&gt;0,VLOOKUP($J1039,Ruimtegroepen[],3,FALSE)*VLOOKUP($L1039,Vloersoorten[],3,FALSE)*VLOOKUP($Y1039,Frequenties[],3,FALSE)*VLOOKUP(#REF!,Locaties[],3,FALSE),0)</f>
        <v>0</v>
      </c>
      <c r="AB1039" s="87">
        <f>Ruimtestaat[[#This Row],[Uitvoeringen weekend]]*Ruimtestaat[[#This Row],[Oppervlak (netto)]]</f>
        <v>0</v>
      </c>
      <c r="AC1039" s="90">
        <f>IF(AB1039&gt;0,Ruimtestaat[[#This Row],[Prest. (m2 /jaar) weekend]]/Ruimtestaat[[#This Row],[Norm (m2/uur) weekend]],0)</f>
        <v>0</v>
      </c>
      <c r="AD1039" s="91">
        <f>Ruimtestaat[[#This Row],[uren / jaar weekend]]*Tariefsopbouw!$D$40</f>
        <v>0</v>
      </c>
      <c r="AE1039" s="60">
        <f>Ruimtestaat[[#This Row],[Prest. (m2 /jaar) weekend]]+Ruimtestaat[[#This Row],[Prest. (m2 /jaar) werkdagen]]</f>
        <v>17206</v>
      </c>
      <c r="AF1039" s="60">
        <f>Ruimtestaat[[#This Row],[uren / jaar weekend]]+Ruimtestaat[[#This Row],[uren / jaar werkdagen]]</f>
        <v>0</v>
      </c>
      <c r="AG1039" s="61">
        <f>Ruimtestaat[[#This Row],[kosten / jaar weekend]]+Ruimtestaat[[#This Row],[kosten / jaar werkdagen]]</f>
        <v>0</v>
      </c>
      <c r="AH1039" s="92"/>
      <c r="HL1039" s="59"/>
    </row>
    <row r="1040" spans="1:220">
      <c r="A1040" s="24">
        <v>6</v>
      </c>
      <c r="B1040" s="24" t="str">
        <f>VLOOKUP(Ruimtestaat[[#This Row],[Code]],Locaties[#All],2,FALSE)</f>
        <v>Marke Noord</v>
      </c>
      <c r="C1040" s="24" t="str">
        <f>VLOOKUP(Ruimtestaat[[#This Row],[Code]],Locaties[#All],4,FALSE)</f>
        <v>Lebuïnuslaan 1</v>
      </c>
      <c r="D1040" s="24" t="str">
        <f>VLOOKUP(Ruimtestaat[[#This Row],[Code]],Locaties[#All],5,FALSE)</f>
        <v>7415 DM</v>
      </c>
      <c r="E1040" s="24" t="str">
        <f>VLOOKUP(Ruimtestaat[[#This Row],[Code]],Locaties[#All],6,FALSE)</f>
        <v>Deventer</v>
      </c>
      <c r="F1040" s="54"/>
      <c r="G1040" s="24" t="s">
        <v>569</v>
      </c>
      <c r="H1040" s="24" t="s">
        <v>1422</v>
      </c>
      <c r="I1040" s="4" t="s">
        <v>941</v>
      </c>
      <c r="J1040" s="24">
        <v>2</v>
      </c>
      <c r="K1040" s="54" t="str">
        <f>VLOOKUP(J1040,Ruimtegroepen[],2,FALSE)</f>
        <v>Kantoren</v>
      </c>
      <c r="L1040" s="24" t="s">
        <v>300</v>
      </c>
      <c r="M1040" s="24" t="s">
        <v>909</v>
      </c>
      <c r="N1040" s="83">
        <v>13.28</v>
      </c>
      <c r="O1040" s="83"/>
      <c r="P1040" s="93" t="str">
        <f>LEFT(VLOOKUP(Ruimtestaat[[#This Row],[Ruimte code]],Ruimtegroepen[#All],4,1),2)</f>
        <v>Bu</v>
      </c>
      <c r="Q1040" s="93"/>
      <c r="R1040" s="84">
        <v>42</v>
      </c>
      <c r="S1040" s="84" t="s">
        <v>322</v>
      </c>
      <c r="T1040" s="85">
        <f>IF(R1040&gt;0,IF(RIGHT(Ruimtestaat[[#This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40" s="85">
        <f>IF(T1040&gt;0,VLOOKUP($J1040,Ruimtegroepen[],3,FALSE)*VLOOKUP($L1040,Vloersoorten[],3,FALSE)*VLOOKUP($S1040,Frequenties[],3,FALSE)*VLOOKUP($A1040,Locaties[],3,FALSE),0)</f>
        <v>0</v>
      </c>
      <c r="V1040" s="86">
        <f>Ruimtestaat[[#This Row],[Uitvoeringen werkdagen]]*Ruimtestaat[[#This Row],[Oppervlak (netto)]]</f>
        <v>1673.28</v>
      </c>
      <c r="W1040" s="87">
        <f>IF(U1040&gt;0,Ruimtestaat[[#This Row],[Prest. (m2 /jaar) werkdagen]]/Ruimtestaat[[#This Row],[Norm (m2/uur) werkdagen]],0)</f>
        <v>0</v>
      </c>
      <c r="X1040" s="88">
        <f>Ruimtestaat[[#This Row],[uren / jaar werkdagen]]*Tariefsopbouw!$E$35</f>
        <v>0</v>
      </c>
      <c r="Y1040" s="85"/>
      <c r="Z1040" s="89">
        <f>IF(Ruimtestaat[[#This Row],[Frequentie weekend]]&gt;0,VALUE(LEFT(Y1040,1))*R1040,0)</f>
        <v>0</v>
      </c>
      <c r="AA1040" s="85">
        <f>IF($Z1040&gt;0,VLOOKUP($J1040,Ruimtegroepen[],3,FALSE)*VLOOKUP($L1040,Vloersoorten[],3,FALSE)*VLOOKUP($Y1040,Frequenties[],3,FALSE)*VLOOKUP(#REF!,Locaties[],3,FALSE),0)</f>
        <v>0</v>
      </c>
      <c r="AB1040" s="87">
        <f>Ruimtestaat[[#This Row],[Uitvoeringen weekend]]*Ruimtestaat[[#This Row],[Oppervlak (netto)]]</f>
        <v>0</v>
      </c>
      <c r="AC1040" s="90">
        <f>IF(AB1040&gt;0,Ruimtestaat[[#This Row],[Prest. (m2 /jaar) weekend]]/Ruimtestaat[[#This Row],[Norm (m2/uur) weekend]],0)</f>
        <v>0</v>
      </c>
      <c r="AD1040" s="91">
        <f>Ruimtestaat[[#This Row],[uren / jaar weekend]]*Tariefsopbouw!$D$40</f>
        <v>0</v>
      </c>
      <c r="AE1040" s="60">
        <f>Ruimtestaat[[#This Row],[Prest. (m2 /jaar) weekend]]+Ruimtestaat[[#This Row],[Prest. (m2 /jaar) werkdagen]]</f>
        <v>1673.28</v>
      </c>
      <c r="AF1040" s="60">
        <f>Ruimtestaat[[#This Row],[uren / jaar weekend]]+Ruimtestaat[[#This Row],[uren / jaar werkdagen]]</f>
        <v>0</v>
      </c>
      <c r="AG1040" s="61">
        <f>Ruimtestaat[[#This Row],[kosten / jaar weekend]]+Ruimtestaat[[#This Row],[kosten / jaar werkdagen]]</f>
        <v>0</v>
      </c>
      <c r="AH1040" s="92"/>
      <c r="HL1040" s="59"/>
    </row>
    <row r="1041" spans="1:220">
      <c r="A1041" s="24">
        <v>6</v>
      </c>
      <c r="B1041" s="24" t="str">
        <f>VLOOKUP(Ruimtestaat[[#This Row],[Code]],Locaties[#All],2,FALSE)</f>
        <v>Marke Noord</v>
      </c>
      <c r="C1041" s="24" t="str">
        <f>VLOOKUP(Ruimtestaat[[#This Row],[Code]],Locaties[#All],4,FALSE)</f>
        <v>Lebuïnuslaan 1</v>
      </c>
      <c r="D1041" s="24" t="str">
        <f>VLOOKUP(Ruimtestaat[[#This Row],[Code]],Locaties[#All],5,FALSE)</f>
        <v>7415 DM</v>
      </c>
      <c r="E1041" s="24" t="str">
        <f>VLOOKUP(Ruimtestaat[[#This Row],[Code]],Locaties[#All],6,FALSE)</f>
        <v>Deventer</v>
      </c>
      <c r="F1041" s="54"/>
      <c r="G1041" s="24" t="s">
        <v>569</v>
      </c>
      <c r="H1041" s="24" t="s">
        <v>581</v>
      </c>
      <c r="I1041" s="4" t="s">
        <v>1098</v>
      </c>
      <c r="J1041" s="24">
        <v>16</v>
      </c>
      <c r="K1041" s="54" t="str">
        <f>VLOOKUP(J1041,Ruimtegroepen[],2,FALSE)</f>
        <v>Leslokalen theorie</v>
      </c>
      <c r="L1041" s="24" t="s">
        <v>300</v>
      </c>
      <c r="M1041" s="24" t="s">
        <v>909</v>
      </c>
      <c r="N1041" s="83">
        <v>55.5</v>
      </c>
      <c r="O1041" s="83"/>
      <c r="P1041" s="93" t="str">
        <f>LEFT(VLOOKUP(Ruimtestaat[[#This Row],[Ruimte code]],Ruimtegroepen[#All],4,1),2)</f>
        <v>Le</v>
      </c>
      <c r="Q1041" s="93"/>
      <c r="R1041" s="84">
        <v>40</v>
      </c>
      <c r="S1041" s="84" t="s">
        <v>318</v>
      </c>
      <c r="T1041" s="85">
        <f>IF(R1041&gt;0,IF(RIGHT(Ruimtestaat[[#This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1" s="85">
        <f>IF(T1041&gt;0,VLOOKUP($J1041,Ruimtegroepen[],3,FALSE)*VLOOKUP($L1041,Vloersoorten[],3,FALSE)*VLOOKUP($S1041,Frequenties[],3,FALSE)*VLOOKUP($A1041,Locaties[],3,FALSE),0)</f>
        <v>0</v>
      </c>
      <c r="V1041" s="86">
        <f>Ruimtestaat[[#This Row],[Uitvoeringen werkdagen]]*Ruimtestaat[[#This Row],[Oppervlak (netto)]]</f>
        <v>11100</v>
      </c>
      <c r="W1041" s="87">
        <f>IF(U1041&gt;0,Ruimtestaat[[#This Row],[Prest. (m2 /jaar) werkdagen]]/Ruimtestaat[[#This Row],[Norm (m2/uur) werkdagen]],0)</f>
        <v>0</v>
      </c>
      <c r="X1041" s="88">
        <f>Ruimtestaat[[#This Row],[uren / jaar werkdagen]]*Tariefsopbouw!$E$35</f>
        <v>0</v>
      </c>
      <c r="Y1041" s="85"/>
      <c r="Z1041" s="89">
        <f>IF(Ruimtestaat[[#This Row],[Frequentie weekend]]&gt;0,VALUE(LEFT(Y1041,1))*R1041,0)</f>
        <v>0</v>
      </c>
      <c r="AA1041" s="85">
        <f>IF($Z1041&gt;0,VLOOKUP($J1041,Ruimtegroepen[],3,FALSE)*VLOOKUP($L1041,Vloersoorten[],3,FALSE)*VLOOKUP($Y1041,Frequenties[],3,FALSE)*VLOOKUP(#REF!,Locaties[],3,FALSE),0)</f>
        <v>0</v>
      </c>
      <c r="AB1041" s="87">
        <f>Ruimtestaat[[#This Row],[Uitvoeringen weekend]]*Ruimtestaat[[#This Row],[Oppervlak (netto)]]</f>
        <v>0</v>
      </c>
      <c r="AC1041" s="90">
        <f>IF(AB1041&gt;0,Ruimtestaat[[#This Row],[Prest. (m2 /jaar) weekend]]/Ruimtestaat[[#This Row],[Norm (m2/uur) weekend]],0)</f>
        <v>0</v>
      </c>
      <c r="AD1041" s="91">
        <f>Ruimtestaat[[#This Row],[uren / jaar weekend]]*Tariefsopbouw!$D$40</f>
        <v>0</v>
      </c>
      <c r="AE1041" s="60">
        <f>Ruimtestaat[[#This Row],[Prest. (m2 /jaar) weekend]]+Ruimtestaat[[#This Row],[Prest. (m2 /jaar) werkdagen]]</f>
        <v>11100</v>
      </c>
      <c r="AF1041" s="60">
        <f>Ruimtestaat[[#This Row],[uren / jaar weekend]]+Ruimtestaat[[#This Row],[uren / jaar werkdagen]]</f>
        <v>0</v>
      </c>
      <c r="AG1041" s="61">
        <f>Ruimtestaat[[#This Row],[kosten / jaar weekend]]+Ruimtestaat[[#This Row],[kosten / jaar werkdagen]]</f>
        <v>0</v>
      </c>
      <c r="AH1041" s="92"/>
      <c r="HL1041" s="59"/>
    </row>
    <row r="1042" spans="1:220">
      <c r="A1042" s="24">
        <v>6</v>
      </c>
      <c r="B1042" s="24" t="str">
        <f>VLOOKUP(Ruimtestaat[[#This Row],[Code]],Locaties[#All],2,FALSE)</f>
        <v>Marke Noord</v>
      </c>
      <c r="C1042" s="24" t="str">
        <f>VLOOKUP(Ruimtestaat[[#This Row],[Code]],Locaties[#All],4,FALSE)</f>
        <v>Lebuïnuslaan 1</v>
      </c>
      <c r="D1042" s="24" t="str">
        <f>VLOOKUP(Ruimtestaat[[#This Row],[Code]],Locaties[#All],5,FALSE)</f>
        <v>7415 DM</v>
      </c>
      <c r="E1042" s="24" t="str">
        <f>VLOOKUP(Ruimtestaat[[#This Row],[Code]],Locaties[#All],6,FALSE)</f>
        <v>Deventer</v>
      </c>
      <c r="F1042" s="54"/>
      <c r="G1042" s="24" t="s">
        <v>569</v>
      </c>
      <c r="H1042" s="24" t="s">
        <v>582</v>
      </c>
      <c r="I1042" s="4" t="s">
        <v>1098</v>
      </c>
      <c r="J1042" s="24">
        <v>16</v>
      </c>
      <c r="K1042" s="54" t="str">
        <f>VLOOKUP(J1042,Ruimtegroepen[],2,FALSE)</f>
        <v>Leslokalen theorie</v>
      </c>
      <c r="L1042" s="24" t="s">
        <v>300</v>
      </c>
      <c r="M1042" s="24" t="s">
        <v>909</v>
      </c>
      <c r="N1042" s="83">
        <v>55.13</v>
      </c>
      <c r="O1042" s="83"/>
      <c r="P1042" s="93" t="str">
        <f>LEFT(VLOOKUP(Ruimtestaat[[#This Row],[Ruimte code]],Ruimtegroepen[#All],4,1),2)</f>
        <v>Le</v>
      </c>
      <c r="Q1042" s="93"/>
      <c r="R1042" s="84">
        <v>40</v>
      </c>
      <c r="S1042" s="84" t="s">
        <v>318</v>
      </c>
      <c r="T1042" s="85">
        <f>IF(R1042&gt;0,IF(RIGHT(Ruimtestaat[[#This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2" s="85">
        <f>IF(T1042&gt;0,VLOOKUP($J1042,Ruimtegroepen[],3,FALSE)*VLOOKUP($L1042,Vloersoorten[],3,FALSE)*VLOOKUP($S1042,Frequenties[],3,FALSE)*VLOOKUP($A1042,Locaties[],3,FALSE),0)</f>
        <v>0</v>
      </c>
      <c r="V1042" s="86">
        <f>Ruimtestaat[[#This Row],[Uitvoeringen werkdagen]]*Ruimtestaat[[#This Row],[Oppervlak (netto)]]</f>
        <v>11026</v>
      </c>
      <c r="W1042" s="87">
        <f>IF(U1042&gt;0,Ruimtestaat[[#This Row],[Prest. (m2 /jaar) werkdagen]]/Ruimtestaat[[#This Row],[Norm (m2/uur) werkdagen]],0)</f>
        <v>0</v>
      </c>
      <c r="X1042" s="88">
        <f>Ruimtestaat[[#This Row],[uren / jaar werkdagen]]*Tariefsopbouw!$E$35</f>
        <v>0</v>
      </c>
      <c r="Y1042" s="85"/>
      <c r="Z1042" s="89">
        <f>IF(Ruimtestaat[[#This Row],[Frequentie weekend]]&gt;0,VALUE(LEFT(Y1042,1))*R1042,0)</f>
        <v>0</v>
      </c>
      <c r="AA1042" s="85">
        <f>IF($Z1042&gt;0,VLOOKUP($J1042,Ruimtegroepen[],3,FALSE)*VLOOKUP($L1042,Vloersoorten[],3,FALSE)*VLOOKUP($Y1042,Frequenties[],3,FALSE)*VLOOKUP(#REF!,Locaties[],3,FALSE),0)</f>
        <v>0</v>
      </c>
      <c r="AB1042" s="87">
        <f>Ruimtestaat[[#This Row],[Uitvoeringen weekend]]*Ruimtestaat[[#This Row],[Oppervlak (netto)]]</f>
        <v>0</v>
      </c>
      <c r="AC1042" s="90">
        <f>IF(AB1042&gt;0,Ruimtestaat[[#This Row],[Prest. (m2 /jaar) weekend]]/Ruimtestaat[[#This Row],[Norm (m2/uur) weekend]],0)</f>
        <v>0</v>
      </c>
      <c r="AD1042" s="91">
        <f>Ruimtestaat[[#This Row],[uren / jaar weekend]]*Tariefsopbouw!$D$40</f>
        <v>0</v>
      </c>
      <c r="AE1042" s="60">
        <f>Ruimtestaat[[#This Row],[Prest. (m2 /jaar) weekend]]+Ruimtestaat[[#This Row],[Prest. (m2 /jaar) werkdagen]]</f>
        <v>11026</v>
      </c>
      <c r="AF1042" s="60">
        <f>Ruimtestaat[[#This Row],[uren / jaar weekend]]+Ruimtestaat[[#This Row],[uren / jaar werkdagen]]</f>
        <v>0</v>
      </c>
      <c r="AG1042" s="61">
        <f>Ruimtestaat[[#This Row],[kosten / jaar weekend]]+Ruimtestaat[[#This Row],[kosten / jaar werkdagen]]</f>
        <v>0</v>
      </c>
      <c r="AH1042" s="92"/>
      <c r="HL1042" s="59"/>
    </row>
    <row r="1043" spans="1:220">
      <c r="A1043" s="24">
        <v>6</v>
      </c>
      <c r="B1043" s="24" t="str">
        <f>VLOOKUP(Ruimtestaat[[#This Row],[Code]],Locaties[#All],2,FALSE)</f>
        <v>Marke Noord</v>
      </c>
      <c r="C1043" s="24" t="str">
        <f>VLOOKUP(Ruimtestaat[[#This Row],[Code]],Locaties[#All],4,FALSE)</f>
        <v>Lebuïnuslaan 1</v>
      </c>
      <c r="D1043" s="24" t="str">
        <f>VLOOKUP(Ruimtestaat[[#This Row],[Code]],Locaties[#All],5,FALSE)</f>
        <v>7415 DM</v>
      </c>
      <c r="E1043" s="24" t="str">
        <f>VLOOKUP(Ruimtestaat[[#This Row],[Code]],Locaties[#All],6,FALSE)</f>
        <v>Deventer</v>
      </c>
      <c r="F1043" s="54"/>
      <c r="G1043" s="24" t="s">
        <v>569</v>
      </c>
      <c r="H1043" s="24" t="s">
        <v>585</v>
      </c>
      <c r="I1043" s="4" t="s">
        <v>1098</v>
      </c>
      <c r="J1043" s="24">
        <v>16</v>
      </c>
      <c r="K1043" s="54" t="str">
        <f>VLOOKUP(J1043,Ruimtegroepen[],2,FALSE)</f>
        <v>Leslokalen theorie</v>
      </c>
      <c r="L1043" s="24" t="s">
        <v>300</v>
      </c>
      <c r="M1043" s="24" t="s">
        <v>909</v>
      </c>
      <c r="N1043" s="83">
        <v>56.62</v>
      </c>
      <c r="O1043" s="83"/>
      <c r="P1043" s="93" t="str">
        <f>LEFT(VLOOKUP(Ruimtestaat[[#This Row],[Ruimte code]],Ruimtegroepen[#All],4,1),2)</f>
        <v>Le</v>
      </c>
      <c r="Q1043" s="93"/>
      <c r="R1043" s="84">
        <v>40</v>
      </c>
      <c r="S1043" s="84" t="s">
        <v>318</v>
      </c>
      <c r="T1043" s="85">
        <f>IF(R1043&gt;0,IF(RIGHT(Ruimtestaat[[#This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3" s="85">
        <f>IF(T1043&gt;0,VLOOKUP($J1043,Ruimtegroepen[],3,FALSE)*VLOOKUP($L1043,Vloersoorten[],3,FALSE)*VLOOKUP($S1043,Frequenties[],3,FALSE)*VLOOKUP($A1043,Locaties[],3,FALSE),0)</f>
        <v>0</v>
      </c>
      <c r="V1043" s="86">
        <f>Ruimtestaat[[#This Row],[Uitvoeringen werkdagen]]*Ruimtestaat[[#This Row],[Oppervlak (netto)]]</f>
        <v>11324</v>
      </c>
      <c r="W1043" s="87">
        <f>IF(U1043&gt;0,Ruimtestaat[[#This Row],[Prest. (m2 /jaar) werkdagen]]/Ruimtestaat[[#This Row],[Norm (m2/uur) werkdagen]],0)</f>
        <v>0</v>
      </c>
      <c r="X1043" s="88">
        <f>Ruimtestaat[[#This Row],[uren / jaar werkdagen]]*Tariefsopbouw!$E$35</f>
        <v>0</v>
      </c>
      <c r="Y1043" s="85"/>
      <c r="Z1043" s="89">
        <f>IF(Ruimtestaat[[#This Row],[Frequentie weekend]]&gt;0,VALUE(LEFT(Y1043,1))*R1043,0)</f>
        <v>0</v>
      </c>
      <c r="AA1043" s="85">
        <f>IF($Z1043&gt;0,VLOOKUP($J1043,Ruimtegroepen[],3,FALSE)*VLOOKUP($L1043,Vloersoorten[],3,FALSE)*VLOOKUP($Y1043,Frequenties[],3,FALSE)*VLOOKUP(#REF!,Locaties[],3,FALSE),0)</f>
        <v>0</v>
      </c>
      <c r="AB1043" s="87">
        <f>Ruimtestaat[[#This Row],[Uitvoeringen weekend]]*Ruimtestaat[[#This Row],[Oppervlak (netto)]]</f>
        <v>0</v>
      </c>
      <c r="AC1043" s="90">
        <f>IF(AB1043&gt;0,Ruimtestaat[[#This Row],[Prest. (m2 /jaar) weekend]]/Ruimtestaat[[#This Row],[Norm (m2/uur) weekend]],0)</f>
        <v>0</v>
      </c>
      <c r="AD1043" s="91">
        <f>Ruimtestaat[[#This Row],[uren / jaar weekend]]*Tariefsopbouw!$D$40</f>
        <v>0</v>
      </c>
      <c r="AE1043" s="60">
        <f>Ruimtestaat[[#This Row],[Prest. (m2 /jaar) weekend]]+Ruimtestaat[[#This Row],[Prest. (m2 /jaar) werkdagen]]</f>
        <v>11324</v>
      </c>
      <c r="AF1043" s="60">
        <f>Ruimtestaat[[#This Row],[uren / jaar weekend]]+Ruimtestaat[[#This Row],[uren / jaar werkdagen]]</f>
        <v>0</v>
      </c>
      <c r="AG1043" s="61">
        <f>Ruimtestaat[[#This Row],[kosten / jaar weekend]]+Ruimtestaat[[#This Row],[kosten / jaar werkdagen]]</f>
        <v>0</v>
      </c>
      <c r="AH1043" s="92"/>
      <c r="HL1043" s="59"/>
    </row>
    <row r="1044" spans="1:220">
      <c r="A1044" s="24">
        <v>6</v>
      </c>
      <c r="B1044" s="24" t="str">
        <f>VLOOKUP(Ruimtestaat[[#This Row],[Code]],Locaties[#All],2,FALSE)</f>
        <v>Marke Noord</v>
      </c>
      <c r="C1044" s="24" t="str">
        <f>VLOOKUP(Ruimtestaat[[#This Row],[Code]],Locaties[#All],4,FALSE)</f>
        <v>Lebuïnuslaan 1</v>
      </c>
      <c r="D1044" s="24" t="str">
        <f>VLOOKUP(Ruimtestaat[[#This Row],[Code]],Locaties[#All],5,FALSE)</f>
        <v>7415 DM</v>
      </c>
      <c r="E1044" s="24" t="str">
        <f>VLOOKUP(Ruimtestaat[[#This Row],[Code]],Locaties[#All],6,FALSE)</f>
        <v>Deventer</v>
      </c>
      <c r="F1044" s="54"/>
      <c r="G1044" s="24" t="s">
        <v>569</v>
      </c>
      <c r="H1044" s="24" t="s">
        <v>586</v>
      </c>
      <c r="I1044" s="4" t="s">
        <v>1098</v>
      </c>
      <c r="J1044" s="24">
        <v>16</v>
      </c>
      <c r="K1044" s="54" t="str">
        <f>VLOOKUP(J1044,Ruimtegroepen[],2,FALSE)</f>
        <v>Leslokalen theorie</v>
      </c>
      <c r="L1044" s="24" t="s">
        <v>300</v>
      </c>
      <c r="M1044" s="24" t="s">
        <v>909</v>
      </c>
      <c r="N1044" s="83">
        <v>56.62</v>
      </c>
      <c r="O1044" s="83"/>
      <c r="P1044" s="93" t="str">
        <f>LEFT(VLOOKUP(Ruimtestaat[[#This Row],[Ruimte code]],Ruimtegroepen[#All],4,1),2)</f>
        <v>Le</v>
      </c>
      <c r="Q1044" s="93"/>
      <c r="R1044" s="84">
        <v>40</v>
      </c>
      <c r="S1044" s="84" t="s">
        <v>318</v>
      </c>
      <c r="T1044" s="85">
        <f>IF(R1044&gt;0,IF(RIGHT(Ruimtestaat[[#This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4" s="85">
        <f>IF(T1044&gt;0,VLOOKUP($J1044,Ruimtegroepen[],3,FALSE)*VLOOKUP($L1044,Vloersoorten[],3,FALSE)*VLOOKUP($S1044,Frequenties[],3,FALSE)*VLOOKUP($A1044,Locaties[],3,FALSE),0)</f>
        <v>0</v>
      </c>
      <c r="V1044" s="86">
        <f>Ruimtestaat[[#This Row],[Uitvoeringen werkdagen]]*Ruimtestaat[[#This Row],[Oppervlak (netto)]]</f>
        <v>11324</v>
      </c>
      <c r="W1044" s="87">
        <f>IF(U1044&gt;0,Ruimtestaat[[#This Row],[Prest. (m2 /jaar) werkdagen]]/Ruimtestaat[[#This Row],[Norm (m2/uur) werkdagen]],0)</f>
        <v>0</v>
      </c>
      <c r="X1044" s="88">
        <f>Ruimtestaat[[#This Row],[uren / jaar werkdagen]]*Tariefsopbouw!$E$35</f>
        <v>0</v>
      </c>
      <c r="Y1044" s="85"/>
      <c r="Z1044" s="89">
        <f>IF(Ruimtestaat[[#This Row],[Frequentie weekend]]&gt;0,VALUE(LEFT(Y1044,1))*R1044,0)</f>
        <v>0</v>
      </c>
      <c r="AA1044" s="85">
        <f>IF($Z1044&gt;0,VLOOKUP($J1044,Ruimtegroepen[],3,FALSE)*VLOOKUP($L1044,Vloersoorten[],3,FALSE)*VLOOKUP($Y1044,Frequenties[],3,FALSE)*VLOOKUP(#REF!,Locaties[],3,FALSE),0)</f>
        <v>0</v>
      </c>
      <c r="AB1044" s="87">
        <f>Ruimtestaat[[#This Row],[Uitvoeringen weekend]]*Ruimtestaat[[#This Row],[Oppervlak (netto)]]</f>
        <v>0</v>
      </c>
      <c r="AC1044" s="90">
        <f>IF(AB1044&gt;0,Ruimtestaat[[#This Row],[Prest. (m2 /jaar) weekend]]/Ruimtestaat[[#This Row],[Norm (m2/uur) weekend]],0)</f>
        <v>0</v>
      </c>
      <c r="AD1044" s="91">
        <f>Ruimtestaat[[#This Row],[uren / jaar weekend]]*Tariefsopbouw!$D$40</f>
        <v>0</v>
      </c>
      <c r="AE1044" s="60">
        <f>Ruimtestaat[[#This Row],[Prest. (m2 /jaar) weekend]]+Ruimtestaat[[#This Row],[Prest. (m2 /jaar) werkdagen]]</f>
        <v>11324</v>
      </c>
      <c r="AF1044" s="60">
        <f>Ruimtestaat[[#This Row],[uren / jaar weekend]]+Ruimtestaat[[#This Row],[uren / jaar werkdagen]]</f>
        <v>0</v>
      </c>
      <c r="AG1044" s="61">
        <f>Ruimtestaat[[#This Row],[kosten / jaar weekend]]+Ruimtestaat[[#This Row],[kosten / jaar werkdagen]]</f>
        <v>0</v>
      </c>
      <c r="AH1044" s="92"/>
      <c r="HL1044" s="59"/>
    </row>
    <row r="1045" spans="1:220">
      <c r="A1045" s="24">
        <v>6</v>
      </c>
      <c r="B1045" s="24" t="str">
        <f>VLOOKUP(Ruimtestaat[[#This Row],[Code]],Locaties[#All],2,FALSE)</f>
        <v>Marke Noord</v>
      </c>
      <c r="C1045" s="24" t="str">
        <f>VLOOKUP(Ruimtestaat[[#This Row],[Code]],Locaties[#All],4,FALSE)</f>
        <v>Lebuïnuslaan 1</v>
      </c>
      <c r="D1045" s="24" t="str">
        <f>VLOOKUP(Ruimtestaat[[#This Row],[Code]],Locaties[#All],5,FALSE)</f>
        <v>7415 DM</v>
      </c>
      <c r="E1045" s="24" t="str">
        <f>VLOOKUP(Ruimtestaat[[#This Row],[Code]],Locaties[#All],6,FALSE)</f>
        <v>Deventer</v>
      </c>
      <c r="F1045" s="54"/>
      <c r="G1045" s="24" t="s">
        <v>569</v>
      </c>
      <c r="H1045" s="24" t="s">
        <v>587</v>
      </c>
      <c r="I1045" s="4" t="s">
        <v>1098</v>
      </c>
      <c r="J1045" s="24">
        <v>16</v>
      </c>
      <c r="K1045" s="54" t="str">
        <f>VLOOKUP(J1045,Ruimtegroepen[],2,FALSE)</f>
        <v>Leslokalen theorie</v>
      </c>
      <c r="L1045" s="24" t="s">
        <v>300</v>
      </c>
      <c r="M1045" s="24" t="s">
        <v>909</v>
      </c>
      <c r="N1045" s="83">
        <v>55.88</v>
      </c>
      <c r="O1045" s="83"/>
      <c r="P1045" s="93" t="str">
        <f>LEFT(VLOOKUP(Ruimtestaat[[#This Row],[Ruimte code]],Ruimtegroepen[#All],4,1),2)</f>
        <v>Le</v>
      </c>
      <c r="Q1045" s="93"/>
      <c r="R1045" s="84">
        <v>40</v>
      </c>
      <c r="S1045" s="84" t="s">
        <v>318</v>
      </c>
      <c r="T1045" s="85">
        <f>IF(R1045&gt;0,IF(RIGHT(Ruimtestaat[[#This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5" s="85">
        <f>IF(T1045&gt;0,VLOOKUP($J1045,Ruimtegroepen[],3,FALSE)*VLOOKUP($L1045,Vloersoorten[],3,FALSE)*VLOOKUP($S1045,Frequenties[],3,FALSE)*VLOOKUP($A1045,Locaties[],3,FALSE),0)</f>
        <v>0</v>
      </c>
      <c r="V1045" s="86">
        <f>Ruimtestaat[[#This Row],[Uitvoeringen werkdagen]]*Ruimtestaat[[#This Row],[Oppervlak (netto)]]</f>
        <v>11176</v>
      </c>
      <c r="W1045" s="87">
        <f>IF(U1045&gt;0,Ruimtestaat[[#This Row],[Prest. (m2 /jaar) werkdagen]]/Ruimtestaat[[#This Row],[Norm (m2/uur) werkdagen]],0)</f>
        <v>0</v>
      </c>
      <c r="X1045" s="88">
        <f>Ruimtestaat[[#This Row],[uren / jaar werkdagen]]*Tariefsopbouw!$E$35</f>
        <v>0</v>
      </c>
      <c r="Y1045" s="85"/>
      <c r="Z1045" s="89">
        <f>IF(Ruimtestaat[[#This Row],[Frequentie weekend]]&gt;0,VALUE(LEFT(Y1045,1))*R1045,0)</f>
        <v>0</v>
      </c>
      <c r="AA1045" s="85">
        <f>IF($Z1045&gt;0,VLOOKUP($J1045,Ruimtegroepen[],3,FALSE)*VLOOKUP($L1045,Vloersoorten[],3,FALSE)*VLOOKUP($Y1045,Frequenties[],3,FALSE)*VLOOKUP(#REF!,Locaties[],3,FALSE),0)</f>
        <v>0</v>
      </c>
      <c r="AB1045" s="87">
        <f>Ruimtestaat[[#This Row],[Uitvoeringen weekend]]*Ruimtestaat[[#This Row],[Oppervlak (netto)]]</f>
        <v>0</v>
      </c>
      <c r="AC1045" s="90">
        <f>IF(AB1045&gt;0,Ruimtestaat[[#This Row],[Prest. (m2 /jaar) weekend]]/Ruimtestaat[[#This Row],[Norm (m2/uur) weekend]],0)</f>
        <v>0</v>
      </c>
      <c r="AD1045" s="91">
        <f>Ruimtestaat[[#This Row],[uren / jaar weekend]]*Tariefsopbouw!$D$40</f>
        <v>0</v>
      </c>
      <c r="AE1045" s="60">
        <f>Ruimtestaat[[#This Row],[Prest. (m2 /jaar) weekend]]+Ruimtestaat[[#This Row],[Prest. (m2 /jaar) werkdagen]]</f>
        <v>11176</v>
      </c>
      <c r="AF1045" s="60">
        <f>Ruimtestaat[[#This Row],[uren / jaar weekend]]+Ruimtestaat[[#This Row],[uren / jaar werkdagen]]</f>
        <v>0</v>
      </c>
      <c r="AG1045" s="61">
        <f>Ruimtestaat[[#This Row],[kosten / jaar weekend]]+Ruimtestaat[[#This Row],[kosten / jaar werkdagen]]</f>
        <v>0</v>
      </c>
      <c r="AH1045" s="92"/>
      <c r="HL1045" s="59"/>
    </row>
    <row r="1046" spans="1:220">
      <c r="A1046" s="24">
        <v>6</v>
      </c>
      <c r="B1046" s="24" t="str">
        <f>VLOOKUP(Ruimtestaat[[#This Row],[Code]],Locaties[#All],2,FALSE)</f>
        <v>Marke Noord</v>
      </c>
      <c r="C1046" s="24" t="str">
        <f>VLOOKUP(Ruimtestaat[[#This Row],[Code]],Locaties[#All],4,FALSE)</f>
        <v>Lebuïnuslaan 1</v>
      </c>
      <c r="D1046" s="24" t="str">
        <f>VLOOKUP(Ruimtestaat[[#This Row],[Code]],Locaties[#All],5,FALSE)</f>
        <v>7415 DM</v>
      </c>
      <c r="E1046" s="24" t="str">
        <f>VLOOKUP(Ruimtestaat[[#This Row],[Code]],Locaties[#All],6,FALSE)</f>
        <v>Deventer</v>
      </c>
      <c r="F1046" s="54"/>
      <c r="G1046" s="24" t="s">
        <v>569</v>
      </c>
      <c r="H1046" s="24" t="s">
        <v>768</v>
      </c>
      <c r="I1046" s="4" t="s">
        <v>941</v>
      </c>
      <c r="J1046" s="24">
        <v>2</v>
      </c>
      <c r="K1046" s="54" t="str">
        <f>VLOOKUP(J1046,Ruimtegroepen[],2,FALSE)</f>
        <v>Kantoren</v>
      </c>
      <c r="L1046" s="24" t="s">
        <v>300</v>
      </c>
      <c r="M1046" s="24" t="s">
        <v>909</v>
      </c>
      <c r="N1046" s="83">
        <v>22.5</v>
      </c>
      <c r="O1046" s="83"/>
      <c r="P1046" s="93" t="str">
        <f>LEFT(VLOOKUP(Ruimtestaat[[#This Row],[Ruimte code]],Ruimtegroepen[#All],4,1),2)</f>
        <v>Bu</v>
      </c>
      <c r="Q1046" s="93"/>
      <c r="R1046" s="84">
        <v>42</v>
      </c>
      <c r="S1046" s="84" t="s">
        <v>322</v>
      </c>
      <c r="T1046" s="85">
        <f>IF(R1046&gt;0,IF(RIGHT(Ruimtestaat[[#This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46" s="85">
        <f>IF(T1046&gt;0,VLOOKUP($J1046,Ruimtegroepen[],3,FALSE)*VLOOKUP($L1046,Vloersoorten[],3,FALSE)*VLOOKUP($S1046,Frequenties[],3,FALSE)*VLOOKUP($A1046,Locaties[],3,FALSE),0)</f>
        <v>0</v>
      </c>
      <c r="V1046" s="86">
        <f>Ruimtestaat[[#This Row],[Uitvoeringen werkdagen]]*Ruimtestaat[[#This Row],[Oppervlak (netto)]]</f>
        <v>2835</v>
      </c>
      <c r="W1046" s="87">
        <f>IF(U1046&gt;0,Ruimtestaat[[#This Row],[Prest. (m2 /jaar) werkdagen]]/Ruimtestaat[[#This Row],[Norm (m2/uur) werkdagen]],0)</f>
        <v>0</v>
      </c>
      <c r="X1046" s="88">
        <f>Ruimtestaat[[#This Row],[uren / jaar werkdagen]]*Tariefsopbouw!$E$35</f>
        <v>0</v>
      </c>
      <c r="Y1046" s="85"/>
      <c r="Z1046" s="89">
        <f>IF(Ruimtestaat[[#This Row],[Frequentie weekend]]&gt;0,VALUE(LEFT(Y1046,1))*R1046,0)</f>
        <v>0</v>
      </c>
      <c r="AA1046" s="85">
        <f>IF($Z1046&gt;0,VLOOKUP($J1046,Ruimtegroepen[],3,FALSE)*VLOOKUP($L1046,Vloersoorten[],3,FALSE)*VLOOKUP($Y1046,Frequenties[],3,FALSE)*VLOOKUP(#REF!,Locaties[],3,FALSE),0)</f>
        <v>0</v>
      </c>
      <c r="AB1046" s="87">
        <f>Ruimtestaat[[#This Row],[Uitvoeringen weekend]]*Ruimtestaat[[#This Row],[Oppervlak (netto)]]</f>
        <v>0</v>
      </c>
      <c r="AC1046" s="90">
        <f>IF(AB1046&gt;0,Ruimtestaat[[#This Row],[Prest. (m2 /jaar) weekend]]/Ruimtestaat[[#This Row],[Norm (m2/uur) weekend]],0)</f>
        <v>0</v>
      </c>
      <c r="AD1046" s="91">
        <f>Ruimtestaat[[#This Row],[uren / jaar weekend]]*Tariefsopbouw!$D$40</f>
        <v>0</v>
      </c>
      <c r="AE1046" s="60">
        <f>Ruimtestaat[[#This Row],[Prest. (m2 /jaar) weekend]]+Ruimtestaat[[#This Row],[Prest. (m2 /jaar) werkdagen]]</f>
        <v>2835</v>
      </c>
      <c r="AF1046" s="60">
        <f>Ruimtestaat[[#This Row],[uren / jaar weekend]]+Ruimtestaat[[#This Row],[uren / jaar werkdagen]]</f>
        <v>0</v>
      </c>
      <c r="AG1046" s="61">
        <f>Ruimtestaat[[#This Row],[kosten / jaar weekend]]+Ruimtestaat[[#This Row],[kosten / jaar werkdagen]]</f>
        <v>0</v>
      </c>
      <c r="AH1046" s="92"/>
      <c r="HL1046" s="59"/>
    </row>
    <row r="1047" spans="1:220">
      <c r="A1047" s="24">
        <v>6</v>
      </c>
      <c r="B1047" s="24" t="str">
        <f>VLOOKUP(Ruimtestaat[[#This Row],[Code]],Locaties[#All],2,FALSE)</f>
        <v>Marke Noord</v>
      </c>
      <c r="C1047" s="24" t="str">
        <f>VLOOKUP(Ruimtestaat[[#This Row],[Code]],Locaties[#All],4,FALSE)</f>
        <v>Lebuïnuslaan 1</v>
      </c>
      <c r="D1047" s="24" t="str">
        <f>VLOOKUP(Ruimtestaat[[#This Row],[Code]],Locaties[#All],5,FALSE)</f>
        <v>7415 DM</v>
      </c>
      <c r="E1047" s="24" t="str">
        <f>VLOOKUP(Ruimtestaat[[#This Row],[Code]],Locaties[#All],6,FALSE)</f>
        <v>Deventer</v>
      </c>
      <c r="F1047" s="54"/>
      <c r="G1047" s="24" t="s">
        <v>569</v>
      </c>
      <c r="H1047" s="24" t="s">
        <v>793</v>
      </c>
      <c r="I1047" s="4" t="s">
        <v>487</v>
      </c>
      <c r="J1047" s="24">
        <v>6</v>
      </c>
      <c r="K1047" s="54" t="str">
        <f>VLOOKUP(J1047,Ruimtegroepen[],2,FALSE)</f>
        <v>Gangen/hallen</v>
      </c>
      <c r="L1047" s="24" t="s">
        <v>311</v>
      </c>
      <c r="M1047" s="24" t="s">
        <v>1370</v>
      </c>
      <c r="N1047" s="83">
        <v>92.04</v>
      </c>
      <c r="O1047" s="83"/>
      <c r="P1047" s="93" t="str">
        <f>LEFT(VLOOKUP(Ruimtestaat[[#This Row],[Ruimte code]],Ruimtegroepen[#All],4,1),2)</f>
        <v>Ve</v>
      </c>
      <c r="Q1047" s="93"/>
      <c r="R1047" s="84">
        <v>40</v>
      </c>
      <c r="S1047" s="84" t="s">
        <v>318</v>
      </c>
      <c r="T1047" s="85">
        <f>IF(R1047&gt;0,IF(RIGHT(Ruimtestaat[[#This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7" s="85">
        <f>IF(T1047&gt;0,VLOOKUP($J1047,Ruimtegroepen[],3,FALSE)*VLOOKUP($L1047,Vloersoorten[],3,FALSE)*VLOOKUP($S1047,Frequenties[],3,FALSE)*VLOOKUP($A1047,Locaties[],3,FALSE),0)</f>
        <v>0</v>
      </c>
      <c r="V1047" s="86">
        <f>Ruimtestaat[[#This Row],[Uitvoeringen werkdagen]]*Ruimtestaat[[#This Row],[Oppervlak (netto)]]</f>
        <v>18408</v>
      </c>
      <c r="W1047" s="87">
        <f>IF(U1047&gt;0,Ruimtestaat[[#This Row],[Prest. (m2 /jaar) werkdagen]]/Ruimtestaat[[#This Row],[Norm (m2/uur) werkdagen]],0)</f>
        <v>0</v>
      </c>
      <c r="X1047" s="88">
        <f>Ruimtestaat[[#This Row],[uren / jaar werkdagen]]*Tariefsopbouw!$E$35</f>
        <v>0</v>
      </c>
      <c r="Y1047" s="85"/>
      <c r="Z1047" s="89">
        <f>IF(Ruimtestaat[[#This Row],[Frequentie weekend]]&gt;0,VALUE(LEFT(Y1047,1))*R1047,0)</f>
        <v>0</v>
      </c>
      <c r="AA1047" s="85">
        <f>IF($Z1047&gt;0,VLOOKUP($J1047,Ruimtegroepen[],3,FALSE)*VLOOKUP($L1047,Vloersoorten[],3,FALSE)*VLOOKUP($Y1047,Frequenties[],3,FALSE)*VLOOKUP(#REF!,Locaties[],3,FALSE),0)</f>
        <v>0</v>
      </c>
      <c r="AB1047" s="87">
        <f>Ruimtestaat[[#This Row],[Uitvoeringen weekend]]*Ruimtestaat[[#This Row],[Oppervlak (netto)]]</f>
        <v>0</v>
      </c>
      <c r="AC1047" s="90">
        <f>IF(AB1047&gt;0,Ruimtestaat[[#This Row],[Prest. (m2 /jaar) weekend]]/Ruimtestaat[[#This Row],[Norm (m2/uur) weekend]],0)</f>
        <v>0</v>
      </c>
      <c r="AD1047" s="91">
        <f>Ruimtestaat[[#This Row],[uren / jaar weekend]]*Tariefsopbouw!$D$40</f>
        <v>0</v>
      </c>
      <c r="AE1047" s="60">
        <f>Ruimtestaat[[#This Row],[Prest. (m2 /jaar) weekend]]+Ruimtestaat[[#This Row],[Prest. (m2 /jaar) werkdagen]]</f>
        <v>18408</v>
      </c>
      <c r="AF1047" s="60">
        <f>Ruimtestaat[[#This Row],[uren / jaar weekend]]+Ruimtestaat[[#This Row],[uren / jaar werkdagen]]</f>
        <v>0</v>
      </c>
      <c r="AG1047" s="61">
        <f>Ruimtestaat[[#This Row],[kosten / jaar weekend]]+Ruimtestaat[[#This Row],[kosten / jaar werkdagen]]</f>
        <v>0</v>
      </c>
      <c r="AH1047" s="92"/>
      <c r="HL1047" s="59"/>
    </row>
    <row r="1048" spans="1:220">
      <c r="A1048" s="24">
        <v>6</v>
      </c>
      <c r="B1048" s="24" t="str">
        <f>VLOOKUP(Ruimtestaat[[#This Row],[Code]],Locaties[#All],2,FALSE)</f>
        <v>Marke Noord</v>
      </c>
      <c r="C1048" s="24" t="str">
        <f>VLOOKUP(Ruimtestaat[[#This Row],[Code]],Locaties[#All],4,FALSE)</f>
        <v>Lebuïnuslaan 1</v>
      </c>
      <c r="D1048" s="24" t="str">
        <f>VLOOKUP(Ruimtestaat[[#This Row],[Code]],Locaties[#All],5,FALSE)</f>
        <v>7415 DM</v>
      </c>
      <c r="E1048" s="24" t="str">
        <f>VLOOKUP(Ruimtestaat[[#This Row],[Code]],Locaties[#All],6,FALSE)</f>
        <v>Deventer</v>
      </c>
      <c r="F1048" s="54"/>
      <c r="G1048" s="24" t="s">
        <v>569</v>
      </c>
      <c r="H1048" s="24" t="s">
        <v>796</v>
      </c>
      <c r="I1048" s="4" t="s">
        <v>487</v>
      </c>
      <c r="J1048" s="24">
        <v>6</v>
      </c>
      <c r="K1048" s="54" t="str">
        <f>VLOOKUP(J1048,Ruimtegroepen[],2,FALSE)</f>
        <v>Gangen/hallen</v>
      </c>
      <c r="L1048" s="24" t="s">
        <v>300</v>
      </c>
      <c r="M1048" s="24" t="s">
        <v>909</v>
      </c>
      <c r="N1048" s="83">
        <v>115.58</v>
      </c>
      <c r="O1048" s="83"/>
      <c r="P1048" s="93" t="str">
        <f>LEFT(VLOOKUP(Ruimtestaat[[#This Row],[Ruimte code]],Ruimtegroepen[#All],4,1),2)</f>
        <v>Ve</v>
      </c>
      <c r="Q1048" s="93"/>
      <c r="R1048" s="84">
        <v>40</v>
      </c>
      <c r="S1048" s="84" t="s">
        <v>318</v>
      </c>
      <c r="T1048" s="85">
        <f>IF(R1048&gt;0,IF(RIGHT(Ruimtestaat[[#This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8" s="85">
        <f>IF(T1048&gt;0,VLOOKUP($J1048,Ruimtegroepen[],3,FALSE)*VLOOKUP($L1048,Vloersoorten[],3,FALSE)*VLOOKUP($S1048,Frequenties[],3,FALSE)*VLOOKUP($A1048,Locaties[],3,FALSE),0)</f>
        <v>0</v>
      </c>
      <c r="V1048" s="86">
        <f>Ruimtestaat[[#This Row],[Uitvoeringen werkdagen]]*Ruimtestaat[[#This Row],[Oppervlak (netto)]]</f>
        <v>23116</v>
      </c>
      <c r="W1048" s="87">
        <f>IF(U1048&gt;0,Ruimtestaat[[#This Row],[Prest. (m2 /jaar) werkdagen]]/Ruimtestaat[[#This Row],[Norm (m2/uur) werkdagen]],0)</f>
        <v>0</v>
      </c>
      <c r="X1048" s="88">
        <f>Ruimtestaat[[#This Row],[uren / jaar werkdagen]]*Tariefsopbouw!$E$35</f>
        <v>0</v>
      </c>
      <c r="Y1048" s="85"/>
      <c r="Z1048" s="89">
        <f>IF(Ruimtestaat[[#This Row],[Frequentie weekend]]&gt;0,VALUE(LEFT(Y1048,1))*R1048,0)</f>
        <v>0</v>
      </c>
      <c r="AA1048" s="85">
        <f>IF($Z1048&gt;0,VLOOKUP($J1048,Ruimtegroepen[],3,FALSE)*VLOOKUP($L1048,Vloersoorten[],3,FALSE)*VLOOKUP($Y1048,Frequenties[],3,FALSE)*VLOOKUP(#REF!,Locaties[],3,FALSE),0)</f>
        <v>0</v>
      </c>
      <c r="AB1048" s="87">
        <f>Ruimtestaat[[#This Row],[Uitvoeringen weekend]]*Ruimtestaat[[#This Row],[Oppervlak (netto)]]</f>
        <v>0</v>
      </c>
      <c r="AC1048" s="90">
        <f>IF(AB1048&gt;0,Ruimtestaat[[#This Row],[Prest. (m2 /jaar) weekend]]/Ruimtestaat[[#This Row],[Norm (m2/uur) weekend]],0)</f>
        <v>0</v>
      </c>
      <c r="AD1048" s="91">
        <f>Ruimtestaat[[#This Row],[uren / jaar weekend]]*Tariefsopbouw!$D$40</f>
        <v>0</v>
      </c>
      <c r="AE1048" s="60">
        <f>Ruimtestaat[[#This Row],[Prest. (m2 /jaar) weekend]]+Ruimtestaat[[#This Row],[Prest. (m2 /jaar) werkdagen]]</f>
        <v>23116</v>
      </c>
      <c r="AF1048" s="60">
        <f>Ruimtestaat[[#This Row],[uren / jaar weekend]]+Ruimtestaat[[#This Row],[uren / jaar werkdagen]]</f>
        <v>0</v>
      </c>
      <c r="AG1048" s="61">
        <f>Ruimtestaat[[#This Row],[kosten / jaar weekend]]+Ruimtestaat[[#This Row],[kosten / jaar werkdagen]]</f>
        <v>0</v>
      </c>
      <c r="AH1048" s="92"/>
      <c r="HL1048" s="59"/>
    </row>
    <row r="1049" spans="1:220">
      <c r="A1049" s="24">
        <v>6</v>
      </c>
      <c r="B1049" s="24" t="str">
        <f>VLOOKUP(Ruimtestaat[[#This Row],[Code]],Locaties[#All],2,FALSE)</f>
        <v>Marke Noord</v>
      </c>
      <c r="C1049" s="24" t="str">
        <f>VLOOKUP(Ruimtestaat[[#This Row],[Code]],Locaties[#All],4,FALSE)</f>
        <v>Lebuïnuslaan 1</v>
      </c>
      <c r="D1049" s="24" t="str">
        <f>VLOOKUP(Ruimtestaat[[#This Row],[Code]],Locaties[#All],5,FALSE)</f>
        <v>7415 DM</v>
      </c>
      <c r="E1049" s="24" t="str">
        <f>VLOOKUP(Ruimtestaat[[#This Row],[Code]],Locaties[#All],6,FALSE)</f>
        <v>Deventer</v>
      </c>
      <c r="F1049" s="54"/>
      <c r="G1049" s="24" t="s">
        <v>569</v>
      </c>
      <c r="H1049" s="24" t="s">
        <v>1423</v>
      </c>
      <c r="I1049" s="4" t="s">
        <v>487</v>
      </c>
      <c r="J1049" s="24">
        <v>6</v>
      </c>
      <c r="K1049" s="54" t="str">
        <f>VLOOKUP(J1049,Ruimtegroepen[],2,FALSE)</f>
        <v>Gangen/hallen</v>
      </c>
      <c r="L1049" s="24" t="s">
        <v>300</v>
      </c>
      <c r="M1049" s="24" t="s">
        <v>909</v>
      </c>
      <c r="N1049" s="83">
        <v>63.07</v>
      </c>
      <c r="O1049" s="83"/>
      <c r="P1049" s="93" t="str">
        <f>LEFT(VLOOKUP(Ruimtestaat[[#This Row],[Ruimte code]],Ruimtegroepen[#All],4,1),2)</f>
        <v>Ve</v>
      </c>
      <c r="Q1049" s="93"/>
      <c r="R1049" s="84">
        <v>40</v>
      </c>
      <c r="S1049" s="84" t="s">
        <v>318</v>
      </c>
      <c r="T1049" s="85">
        <f>IF(R1049&gt;0,IF(RIGHT(Ruimtestaat[[#This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9" s="85">
        <f>IF(T1049&gt;0,VLOOKUP($J1049,Ruimtegroepen[],3,FALSE)*VLOOKUP($L1049,Vloersoorten[],3,FALSE)*VLOOKUP($S1049,Frequenties[],3,FALSE)*VLOOKUP($A1049,Locaties[],3,FALSE),0)</f>
        <v>0</v>
      </c>
      <c r="V1049" s="86">
        <f>Ruimtestaat[[#This Row],[Uitvoeringen werkdagen]]*Ruimtestaat[[#This Row],[Oppervlak (netto)]]</f>
        <v>12614</v>
      </c>
      <c r="W1049" s="87">
        <f>IF(U1049&gt;0,Ruimtestaat[[#This Row],[Prest. (m2 /jaar) werkdagen]]/Ruimtestaat[[#This Row],[Norm (m2/uur) werkdagen]],0)</f>
        <v>0</v>
      </c>
      <c r="X1049" s="88">
        <f>Ruimtestaat[[#This Row],[uren / jaar werkdagen]]*Tariefsopbouw!$E$35</f>
        <v>0</v>
      </c>
      <c r="Y1049" s="85"/>
      <c r="Z1049" s="89">
        <f>IF(Ruimtestaat[[#This Row],[Frequentie weekend]]&gt;0,VALUE(LEFT(Y1049,1))*R1049,0)</f>
        <v>0</v>
      </c>
      <c r="AA1049" s="85">
        <f>IF($Z1049&gt;0,VLOOKUP($J1049,Ruimtegroepen[],3,FALSE)*VLOOKUP($L1049,Vloersoorten[],3,FALSE)*VLOOKUP($Y1049,Frequenties[],3,FALSE)*VLOOKUP(#REF!,Locaties[],3,FALSE),0)</f>
        <v>0</v>
      </c>
      <c r="AB1049" s="87">
        <f>Ruimtestaat[[#This Row],[Uitvoeringen weekend]]*Ruimtestaat[[#This Row],[Oppervlak (netto)]]</f>
        <v>0</v>
      </c>
      <c r="AC1049" s="90">
        <f>IF(AB1049&gt;0,Ruimtestaat[[#This Row],[Prest. (m2 /jaar) weekend]]/Ruimtestaat[[#This Row],[Norm (m2/uur) weekend]],0)</f>
        <v>0</v>
      </c>
      <c r="AD1049" s="91">
        <f>Ruimtestaat[[#This Row],[uren / jaar weekend]]*Tariefsopbouw!$D$40</f>
        <v>0</v>
      </c>
      <c r="AE1049" s="60">
        <f>Ruimtestaat[[#This Row],[Prest. (m2 /jaar) weekend]]+Ruimtestaat[[#This Row],[Prest. (m2 /jaar) werkdagen]]</f>
        <v>12614</v>
      </c>
      <c r="AF1049" s="60">
        <f>Ruimtestaat[[#This Row],[uren / jaar weekend]]+Ruimtestaat[[#This Row],[uren / jaar werkdagen]]</f>
        <v>0</v>
      </c>
      <c r="AG1049" s="61">
        <f>Ruimtestaat[[#This Row],[kosten / jaar weekend]]+Ruimtestaat[[#This Row],[kosten / jaar werkdagen]]</f>
        <v>0</v>
      </c>
      <c r="AH1049" s="92"/>
      <c r="HL1049" s="59"/>
    </row>
    <row r="1050" spans="1:220">
      <c r="A1050" s="24">
        <v>6</v>
      </c>
      <c r="B1050" s="24" t="str">
        <f>VLOOKUP(Ruimtestaat[[#This Row],[Code]],Locaties[#All],2,FALSE)</f>
        <v>Marke Noord</v>
      </c>
      <c r="C1050" s="24" t="str">
        <f>VLOOKUP(Ruimtestaat[[#This Row],[Code]],Locaties[#All],4,FALSE)</f>
        <v>Lebuïnuslaan 1</v>
      </c>
      <c r="D1050" s="24" t="str">
        <f>VLOOKUP(Ruimtestaat[[#This Row],[Code]],Locaties[#All],5,FALSE)</f>
        <v>7415 DM</v>
      </c>
      <c r="E1050" s="24" t="str">
        <f>VLOOKUP(Ruimtestaat[[#This Row],[Code]],Locaties[#All],6,FALSE)</f>
        <v>Deventer</v>
      </c>
      <c r="F1050" s="54"/>
      <c r="G1050" s="24" t="s">
        <v>569</v>
      </c>
      <c r="H1050" s="24" t="s">
        <v>797</v>
      </c>
      <c r="I1050" s="4" t="s">
        <v>103</v>
      </c>
      <c r="J1050" s="24">
        <v>10</v>
      </c>
      <c r="K1050" s="54" t="str">
        <f>VLOOKUP(J1050,Ruimtegroepen[],2,FALSE)</f>
        <v>Trappenhuizen/lift</v>
      </c>
      <c r="L1050" s="24" t="s">
        <v>300</v>
      </c>
      <c r="M1050" s="24" t="s">
        <v>909</v>
      </c>
      <c r="N1050" s="83">
        <v>2.48</v>
      </c>
      <c r="O1050" s="83"/>
      <c r="P1050" s="93" t="str">
        <f>LEFT(VLOOKUP(Ruimtestaat[[#This Row],[Ruimte code]],Ruimtegroepen[#All],4,1),2)</f>
        <v>Ve</v>
      </c>
      <c r="Q1050" s="93"/>
      <c r="R1050" s="84">
        <v>40</v>
      </c>
      <c r="S1050" s="84" t="s">
        <v>318</v>
      </c>
      <c r="T1050" s="85">
        <f>IF(R1050&gt;0,IF(RIGHT(Ruimtestaat[[#This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0" s="85">
        <f>IF(T1050&gt;0,VLOOKUP($J1050,Ruimtegroepen[],3,FALSE)*VLOOKUP($L1050,Vloersoorten[],3,FALSE)*VLOOKUP($S1050,Frequenties[],3,FALSE)*VLOOKUP($A1050,Locaties[],3,FALSE),0)</f>
        <v>0</v>
      </c>
      <c r="V1050" s="86">
        <f>Ruimtestaat[[#This Row],[Uitvoeringen werkdagen]]*Ruimtestaat[[#This Row],[Oppervlak (netto)]]</f>
        <v>496</v>
      </c>
      <c r="W1050" s="87">
        <f>IF(U1050&gt;0,Ruimtestaat[[#This Row],[Prest. (m2 /jaar) werkdagen]]/Ruimtestaat[[#This Row],[Norm (m2/uur) werkdagen]],0)</f>
        <v>0</v>
      </c>
      <c r="X1050" s="88">
        <f>Ruimtestaat[[#This Row],[uren / jaar werkdagen]]*Tariefsopbouw!$E$35</f>
        <v>0</v>
      </c>
      <c r="Y1050" s="85"/>
      <c r="Z1050" s="89">
        <f>IF(Ruimtestaat[[#This Row],[Frequentie weekend]]&gt;0,VALUE(LEFT(Y1050,1))*R1050,0)</f>
        <v>0</v>
      </c>
      <c r="AA1050" s="85">
        <f>IF($Z1050&gt;0,VLOOKUP($J1050,Ruimtegroepen[],3,FALSE)*VLOOKUP($L1050,Vloersoorten[],3,FALSE)*VLOOKUP($Y1050,Frequenties[],3,FALSE)*VLOOKUP(#REF!,Locaties[],3,FALSE),0)</f>
        <v>0</v>
      </c>
      <c r="AB1050" s="87">
        <f>Ruimtestaat[[#This Row],[Uitvoeringen weekend]]*Ruimtestaat[[#This Row],[Oppervlak (netto)]]</f>
        <v>0</v>
      </c>
      <c r="AC1050" s="90">
        <f>IF(AB1050&gt;0,Ruimtestaat[[#This Row],[Prest. (m2 /jaar) weekend]]/Ruimtestaat[[#This Row],[Norm (m2/uur) weekend]],0)</f>
        <v>0</v>
      </c>
      <c r="AD1050" s="91">
        <f>Ruimtestaat[[#This Row],[uren / jaar weekend]]*Tariefsopbouw!$D$40</f>
        <v>0</v>
      </c>
      <c r="AE1050" s="60">
        <f>Ruimtestaat[[#This Row],[Prest. (m2 /jaar) weekend]]+Ruimtestaat[[#This Row],[Prest. (m2 /jaar) werkdagen]]</f>
        <v>496</v>
      </c>
      <c r="AF1050" s="60">
        <f>Ruimtestaat[[#This Row],[uren / jaar weekend]]+Ruimtestaat[[#This Row],[uren / jaar werkdagen]]</f>
        <v>0</v>
      </c>
      <c r="AG1050" s="61">
        <f>Ruimtestaat[[#This Row],[kosten / jaar weekend]]+Ruimtestaat[[#This Row],[kosten / jaar werkdagen]]</f>
        <v>0</v>
      </c>
      <c r="AH1050" s="92"/>
      <c r="HL1050" s="59"/>
    </row>
    <row r="1051" spans="1:220">
      <c r="A1051" s="24">
        <v>6</v>
      </c>
      <c r="B1051" s="24" t="str">
        <f>VLOOKUP(Ruimtestaat[[#This Row],[Code]],Locaties[#All],2,FALSE)</f>
        <v>Marke Noord</v>
      </c>
      <c r="C1051" s="24" t="str">
        <f>VLOOKUP(Ruimtestaat[[#This Row],[Code]],Locaties[#All],4,FALSE)</f>
        <v>Lebuïnuslaan 1</v>
      </c>
      <c r="D1051" s="24" t="str">
        <f>VLOOKUP(Ruimtestaat[[#This Row],[Code]],Locaties[#All],5,FALSE)</f>
        <v>7415 DM</v>
      </c>
      <c r="E1051" s="24" t="str">
        <f>VLOOKUP(Ruimtestaat[[#This Row],[Code]],Locaties[#All],6,FALSE)</f>
        <v>Deventer</v>
      </c>
      <c r="F1051" s="54"/>
      <c r="G1051" s="24" t="s">
        <v>569</v>
      </c>
      <c r="H1051" s="24" t="s">
        <v>805</v>
      </c>
      <c r="I1051" s="4" t="s">
        <v>716</v>
      </c>
      <c r="J1051" s="24">
        <v>10</v>
      </c>
      <c r="K1051" s="54" t="str">
        <f>VLOOKUP(J1051,Ruimtegroepen[],2,FALSE)</f>
        <v>Trappenhuizen/lift</v>
      </c>
      <c r="L1051" s="24" t="s">
        <v>300</v>
      </c>
      <c r="M1051" s="24" t="s">
        <v>909</v>
      </c>
      <c r="N1051" s="83">
        <v>79.42</v>
      </c>
      <c r="O1051" s="83"/>
      <c r="P1051" s="93" t="str">
        <f>LEFT(VLOOKUP(Ruimtestaat[[#This Row],[Ruimte code]],Ruimtegroepen[#All],4,1),2)</f>
        <v>Ve</v>
      </c>
      <c r="Q1051" s="93"/>
      <c r="R1051" s="84">
        <v>40</v>
      </c>
      <c r="S1051" s="84" t="s">
        <v>318</v>
      </c>
      <c r="T1051" s="85">
        <f>IF(R1051&gt;0,IF(RIGHT(Ruimtestaat[[#This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1" s="85">
        <f>IF(T1051&gt;0,VLOOKUP($J1051,Ruimtegroepen[],3,FALSE)*VLOOKUP($L1051,Vloersoorten[],3,FALSE)*VLOOKUP($S1051,Frequenties[],3,FALSE)*VLOOKUP($A1051,Locaties[],3,FALSE),0)</f>
        <v>0</v>
      </c>
      <c r="V1051" s="86">
        <f>Ruimtestaat[[#This Row],[Uitvoeringen werkdagen]]*Ruimtestaat[[#This Row],[Oppervlak (netto)]]</f>
        <v>15884</v>
      </c>
      <c r="W1051" s="87">
        <f>IF(U1051&gt;0,Ruimtestaat[[#This Row],[Prest. (m2 /jaar) werkdagen]]/Ruimtestaat[[#This Row],[Norm (m2/uur) werkdagen]],0)</f>
        <v>0</v>
      </c>
      <c r="X1051" s="88">
        <f>Ruimtestaat[[#This Row],[uren / jaar werkdagen]]*Tariefsopbouw!$E$35</f>
        <v>0</v>
      </c>
      <c r="Y1051" s="85"/>
      <c r="Z1051" s="89">
        <f>IF(Ruimtestaat[[#This Row],[Frequentie weekend]]&gt;0,VALUE(LEFT(Y1051,1))*R1051,0)</f>
        <v>0</v>
      </c>
      <c r="AA1051" s="85">
        <f>IF($Z1051&gt;0,VLOOKUP($J1051,Ruimtegroepen[],3,FALSE)*VLOOKUP($L1051,Vloersoorten[],3,FALSE)*VLOOKUP($Y1051,Frequenties[],3,FALSE)*VLOOKUP(#REF!,Locaties[],3,FALSE),0)</f>
        <v>0</v>
      </c>
      <c r="AB1051" s="87">
        <f>Ruimtestaat[[#This Row],[Uitvoeringen weekend]]*Ruimtestaat[[#This Row],[Oppervlak (netto)]]</f>
        <v>0</v>
      </c>
      <c r="AC1051" s="90">
        <f>IF(AB1051&gt;0,Ruimtestaat[[#This Row],[Prest. (m2 /jaar) weekend]]/Ruimtestaat[[#This Row],[Norm (m2/uur) weekend]],0)</f>
        <v>0</v>
      </c>
      <c r="AD1051" s="91">
        <f>Ruimtestaat[[#This Row],[uren / jaar weekend]]*Tariefsopbouw!$D$40</f>
        <v>0</v>
      </c>
      <c r="AE1051" s="60">
        <f>Ruimtestaat[[#This Row],[Prest. (m2 /jaar) weekend]]+Ruimtestaat[[#This Row],[Prest. (m2 /jaar) werkdagen]]</f>
        <v>15884</v>
      </c>
      <c r="AF1051" s="60">
        <f>Ruimtestaat[[#This Row],[uren / jaar weekend]]+Ruimtestaat[[#This Row],[uren / jaar werkdagen]]</f>
        <v>0</v>
      </c>
      <c r="AG1051" s="61">
        <f>Ruimtestaat[[#This Row],[kosten / jaar weekend]]+Ruimtestaat[[#This Row],[kosten / jaar werkdagen]]</f>
        <v>0</v>
      </c>
      <c r="AH1051" s="92"/>
      <c r="HL1051" s="59"/>
    </row>
    <row r="1052" spans="1:220">
      <c r="A1052" s="24">
        <v>6</v>
      </c>
      <c r="B1052" s="24" t="str">
        <f>VLOOKUP(Ruimtestaat[[#This Row],[Code]],Locaties[#All],2,FALSE)</f>
        <v>Marke Noord</v>
      </c>
      <c r="C1052" s="24" t="str">
        <f>VLOOKUP(Ruimtestaat[[#This Row],[Code]],Locaties[#All],4,FALSE)</f>
        <v>Lebuïnuslaan 1</v>
      </c>
      <c r="D1052" s="24" t="str">
        <f>VLOOKUP(Ruimtestaat[[#This Row],[Code]],Locaties[#All],5,FALSE)</f>
        <v>7415 DM</v>
      </c>
      <c r="E1052" s="24" t="str">
        <f>VLOOKUP(Ruimtestaat[[#This Row],[Code]],Locaties[#All],6,FALSE)</f>
        <v>Deventer</v>
      </c>
      <c r="F1052" s="54"/>
      <c r="G1052" s="24" t="s">
        <v>569</v>
      </c>
      <c r="H1052" s="24" t="s">
        <v>806</v>
      </c>
      <c r="I1052" s="4" t="s">
        <v>716</v>
      </c>
      <c r="J1052" s="24">
        <v>10</v>
      </c>
      <c r="K1052" s="54" t="str">
        <f>VLOOKUP(J1052,Ruimtegroepen[],2,FALSE)</f>
        <v>Trappenhuizen/lift</v>
      </c>
      <c r="L1052" s="24" t="s">
        <v>300</v>
      </c>
      <c r="M1052" s="24" t="s">
        <v>909</v>
      </c>
      <c r="N1052" s="83">
        <v>28.65</v>
      </c>
      <c r="O1052" s="83"/>
      <c r="P1052" s="93" t="str">
        <f>LEFT(VLOOKUP(Ruimtestaat[[#This Row],[Ruimte code]],Ruimtegroepen[#All],4,1),2)</f>
        <v>Ve</v>
      </c>
      <c r="Q1052" s="93"/>
      <c r="R1052" s="84">
        <v>40</v>
      </c>
      <c r="S1052" s="84" t="s">
        <v>318</v>
      </c>
      <c r="T1052" s="85">
        <f>IF(R1052&gt;0,IF(RIGHT(Ruimtestaat[[#This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2" s="85">
        <f>IF(T1052&gt;0,VLOOKUP($J1052,Ruimtegroepen[],3,FALSE)*VLOOKUP($L1052,Vloersoorten[],3,FALSE)*VLOOKUP($S1052,Frequenties[],3,FALSE)*VLOOKUP($A1052,Locaties[],3,FALSE),0)</f>
        <v>0</v>
      </c>
      <c r="V1052" s="86">
        <f>Ruimtestaat[[#This Row],[Uitvoeringen werkdagen]]*Ruimtestaat[[#This Row],[Oppervlak (netto)]]</f>
        <v>5730</v>
      </c>
      <c r="W1052" s="87">
        <f>IF(U1052&gt;0,Ruimtestaat[[#This Row],[Prest. (m2 /jaar) werkdagen]]/Ruimtestaat[[#This Row],[Norm (m2/uur) werkdagen]],0)</f>
        <v>0</v>
      </c>
      <c r="X1052" s="88">
        <f>Ruimtestaat[[#This Row],[uren / jaar werkdagen]]*Tariefsopbouw!$E$35</f>
        <v>0</v>
      </c>
      <c r="Y1052" s="85"/>
      <c r="Z1052" s="89">
        <f>IF(Ruimtestaat[[#This Row],[Frequentie weekend]]&gt;0,VALUE(LEFT(Y1052,1))*R1052,0)</f>
        <v>0</v>
      </c>
      <c r="AA1052" s="85">
        <f>IF($Z1052&gt;0,VLOOKUP($J1052,Ruimtegroepen[],3,FALSE)*VLOOKUP($L1052,Vloersoorten[],3,FALSE)*VLOOKUP($Y1052,Frequenties[],3,FALSE)*VLOOKUP(#REF!,Locaties[],3,FALSE),0)</f>
        <v>0</v>
      </c>
      <c r="AB1052" s="87">
        <f>Ruimtestaat[[#This Row],[Uitvoeringen weekend]]*Ruimtestaat[[#This Row],[Oppervlak (netto)]]</f>
        <v>0</v>
      </c>
      <c r="AC1052" s="90">
        <f>IF(AB1052&gt;0,Ruimtestaat[[#This Row],[Prest. (m2 /jaar) weekend]]/Ruimtestaat[[#This Row],[Norm (m2/uur) weekend]],0)</f>
        <v>0</v>
      </c>
      <c r="AD1052" s="91">
        <f>Ruimtestaat[[#This Row],[uren / jaar weekend]]*Tariefsopbouw!$D$40</f>
        <v>0</v>
      </c>
      <c r="AE1052" s="60">
        <f>Ruimtestaat[[#This Row],[Prest. (m2 /jaar) weekend]]+Ruimtestaat[[#This Row],[Prest. (m2 /jaar) werkdagen]]</f>
        <v>5730</v>
      </c>
      <c r="AF1052" s="60">
        <f>Ruimtestaat[[#This Row],[uren / jaar weekend]]+Ruimtestaat[[#This Row],[uren / jaar werkdagen]]</f>
        <v>0</v>
      </c>
      <c r="AG1052" s="61">
        <f>Ruimtestaat[[#This Row],[kosten / jaar weekend]]+Ruimtestaat[[#This Row],[kosten / jaar werkdagen]]</f>
        <v>0</v>
      </c>
      <c r="AH1052" s="92"/>
      <c r="HL1052" s="59"/>
    </row>
    <row r="1053" spans="1:220">
      <c r="A1053" s="24">
        <v>6</v>
      </c>
      <c r="B1053" s="24" t="str">
        <f>VLOOKUP(Ruimtestaat[[#This Row],[Code]],Locaties[#All],2,FALSE)</f>
        <v>Marke Noord</v>
      </c>
      <c r="C1053" s="24" t="str">
        <f>VLOOKUP(Ruimtestaat[[#This Row],[Code]],Locaties[#All],4,FALSE)</f>
        <v>Lebuïnuslaan 1</v>
      </c>
      <c r="D1053" s="24" t="str">
        <f>VLOOKUP(Ruimtestaat[[#This Row],[Code]],Locaties[#All],5,FALSE)</f>
        <v>7415 DM</v>
      </c>
      <c r="E1053" s="24" t="str">
        <f>VLOOKUP(Ruimtestaat[[#This Row],[Code]],Locaties[#All],6,FALSE)</f>
        <v>Deventer</v>
      </c>
      <c r="F1053" s="54"/>
      <c r="G1053" s="24" t="s">
        <v>569</v>
      </c>
      <c r="H1053" s="24" t="s">
        <v>1424</v>
      </c>
      <c r="I1053" s="4" t="s">
        <v>716</v>
      </c>
      <c r="J1053" s="24">
        <v>10</v>
      </c>
      <c r="K1053" s="54" t="str">
        <f>VLOOKUP(J1053,Ruimtegroepen[],2,FALSE)</f>
        <v>Trappenhuizen/lift</v>
      </c>
      <c r="L1053" s="24" t="s">
        <v>300</v>
      </c>
      <c r="M1053" s="24" t="s">
        <v>909</v>
      </c>
      <c r="N1053" s="83">
        <v>80.72</v>
      </c>
      <c r="O1053" s="83"/>
      <c r="P1053" s="93" t="str">
        <f>LEFT(VLOOKUP(Ruimtestaat[[#This Row],[Ruimte code]],Ruimtegroepen[#All],4,1),2)</f>
        <v>Ve</v>
      </c>
      <c r="Q1053" s="93"/>
      <c r="R1053" s="84">
        <v>40</v>
      </c>
      <c r="S1053" s="84" t="s">
        <v>318</v>
      </c>
      <c r="T1053" s="85">
        <f>IF(R1053&gt;0,IF(RIGHT(Ruimtestaat[[#This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3" s="85">
        <f>IF(T1053&gt;0,VLOOKUP($J1053,Ruimtegroepen[],3,FALSE)*VLOOKUP($L1053,Vloersoorten[],3,FALSE)*VLOOKUP($S1053,Frequenties[],3,FALSE)*VLOOKUP($A1053,Locaties[],3,FALSE),0)</f>
        <v>0</v>
      </c>
      <c r="V1053" s="86">
        <f>Ruimtestaat[[#This Row],[Uitvoeringen werkdagen]]*Ruimtestaat[[#This Row],[Oppervlak (netto)]]</f>
        <v>16144</v>
      </c>
      <c r="W1053" s="87">
        <f>IF(U1053&gt;0,Ruimtestaat[[#This Row],[Prest. (m2 /jaar) werkdagen]]/Ruimtestaat[[#This Row],[Norm (m2/uur) werkdagen]],0)</f>
        <v>0</v>
      </c>
      <c r="X1053" s="88">
        <f>Ruimtestaat[[#This Row],[uren / jaar werkdagen]]*Tariefsopbouw!$E$35</f>
        <v>0</v>
      </c>
      <c r="Y1053" s="85"/>
      <c r="Z1053" s="89">
        <f>IF(Ruimtestaat[[#This Row],[Frequentie weekend]]&gt;0,VALUE(LEFT(Y1053,1))*R1053,0)</f>
        <v>0</v>
      </c>
      <c r="AA1053" s="85">
        <f>IF($Z1053&gt;0,VLOOKUP($J1053,Ruimtegroepen[],3,FALSE)*VLOOKUP($L1053,Vloersoorten[],3,FALSE)*VLOOKUP($Y1053,Frequenties[],3,FALSE)*VLOOKUP(#REF!,Locaties[],3,FALSE),0)</f>
        <v>0</v>
      </c>
      <c r="AB1053" s="87">
        <f>Ruimtestaat[[#This Row],[Uitvoeringen weekend]]*Ruimtestaat[[#This Row],[Oppervlak (netto)]]</f>
        <v>0</v>
      </c>
      <c r="AC1053" s="90">
        <f>IF(AB1053&gt;0,Ruimtestaat[[#This Row],[Prest. (m2 /jaar) weekend]]/Ruimtestaat[[#This Row],[Norm (m2/uur) weekend]],0)</f>
        <v>0</v>
      </c>
      <c r="AD1053" s="91">
        <f>Ruimtestaat[[#This Row],[uren / jaar weekend]]*Tariefsopbouw!$D$40</f>
        <v>0</v>
      </c>
      <c r="AE1053" s="60">
        <f>Ruimtestaat[[#This Row],[Prest. (m2 /jaar) weekend]]+Ruimtestaat[[#This Row],[Prest. (m2 /jaar) werkdagen]]</f>
        <v>16144</v>
      </c>
      <c r="AF1053" s="60">
        <f>Ruimtestaat[[#This Row],[uren / jaar weekend]]+Ruimtestaat[[#This Row],[uren / jaar werkdagen]]</f>
        <v>0</v>
      </c>
      <c r="AG1053" s="61">
        <f>Ruimtestaat[[#This Row],[kosten / jaar weekend]]+Ruimtestaat[[#This Row],[kosten / jaar werkdagen]]</f>
        <v>0</v>
      </c>
      <c r="AH1053" s="92"/>
      <c r="HL1053" s="59"/>
    </row>
    <row r="1054" spans="1:220">
      <c r="A1054" s="24">
        <v>6</v>
      </c>
      <c r="B1054" s="24" t="str">
        <f>VLOOKUP(Ruimtestaat[[#This Row],[Code]],Locaties[#All],2,FALSE)</f>
        <v>Marke Noord</v>
      </c>
      <c r="C1054" s="24" t="str">
        <f>VLOOKUP(Ruimtestaat[[#This Row],[Code]],Locaties[#All],4,FALSE)</f>
        <v>Lebuïnuslaan 1</v>
      </c>
      <c r="D1054" s="24" t="str">
        <f>VLOOKUP(Ruimtestaat[[#This Row],[Code]],Locaties[#All],5,FALSE)</f>
        <v>7415 DM</v>
      </c>
      <c r="E1054" s="24" t="str">
        <f>VLOOKUP(Ruimtestaat[[#This Row],[Code]],Locaties[#All],6,FALSE)</f>
        <v>Deventer</v>
      </c>
      <c r="F1054" s="54"/>
      <c r="G1054" s="24" t="s">
        <v>569</v>
      </c>
      <c r="H1054" s="24" t="s">
        <v>1425</v>
      </c>
      <c r="I1054" s="4" t="s">
        <v>716</v>
      </c>
      <c r="J1054" s="24">
        <v>10</v>
      </c>
      <c r="K1054" s="54" t="str">
        <f>VLOOKUP(J1054,Ruimtegroepen[],2,FALSE)</f>
        <v>Trappenhuizen/lift</v>
      </c>
      <c r="L1054" s="24" t="s">
        <v>300</v>
      </c>
      <c r="M1054" s="24" t="s">
        <v>909</v>
      </c>
      <c r="N1054" s="83">
        <v>38.93</v>
      </c>
      <c r="O1054" s="83"/>
      <c r="P1054" s="93" t="str">
        <f>LEFT(VLOOKUP(Ruimtestaat[[#This Row],[Ruimte code]],Ruimtegroepen[#All],4,1),2)</f>
        <v>Ve</v>
      </c>
      <c r="Q1054" s="93"/>
      <c r="R1054" s="84">
        <v>40</v>
      </c>
      <c r="S1054" s="84" t="s">
        <v>318</v>
      </c>
      <c r="T1054" s="85">
        <f>IF(R1054&gt;0,IF(RIGHT(Ruimtestaat[[#This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4" s="85">
        <f>IF(T1054&gt;0,VLOOKUP($J1054,Ruimtegroepen[],3,FALSE)*VLOOKUP($L1054,Vloersoorten[],3,FALSE)*VLOOKUP($S1054,Frequenties[],3,FALSE)*VLOOKUP($A1054,Locaties[],3,FALSE),0)</f>
        <v>0</v>
      </c>
      <c r="V1054" s="86">
        <f>Ruimtestaat[[#This Row],[Uitvoeringen werkdagen]]*Ruimtestaat[[#This Row],[Oppervlak (netto)]]</f>
        <v>7786</v>
      </c>
      <c r="W1054" s="87">
        <f>IF(U1054&gt;0,Ruimtestaat[[#This Row],[Prest. (m2 /jaar) werkdagen]]/Ruimtestaat[[#This Row],[Norm (m2/uur) werkdagen]],0)</f>
        <v>0</v>
      </c>
      <c r="X1054" s="88">
        <f>Ruimtestaat[[#This Row],[uren / jaar werkdagen]]*Tariefsopbouw!$E$35</f>
        <v>0</v>
      </c>
      <c r="Y1054" s="85"/>
      <c r="Z1054" s="89">
        <f>IF(Ruimtestaat[[#This Row],[Frequentie weekend]]&gt;0,VALUE(LEFT(Y1054,1))*R1054,0)</f>
        <v>0</v>
      </c>
      <c r="AA1054" s="85">
        <f>IF($Z1054&gt;0,VLOOKUP($J1054,Ruimtegroepen[],3,FALSE)*VLOOKUP($L1054,Vloersoorten[],3,FALSE)*VLOOKUP($Y1054,Frequenties[],3,FALSE)*VLOOKUP(#REF!,Locaties[],3,FALSE),0)</f>
        <v>0</v>
      </c>
      <c r="AB1054" s="87">
        <f>Ruimtestaat[[#This Row],[Uitvoeringen weekend]]*Ruimtestaat[[#This Row],[Oppervlak (netto)]]</f>
        <v>0</v>
      </c>
      <c r="AC1054" s="90">
        <f>IF(AB1054&gt;0,Ruimtestaat[[#This Row],[Prest. (m2 /jaar) weekend]]/Ruimtestaat[[#This Row],[Norm (m2/uur) weekend]],0)</f>
        <v>0</v>
      </c>
      <c r="AD1054" s="91">
        <f>Ruimtestaat[[#This Row],[uren / jaar weekend]]*Tariefsopbouw!$D$40</f>
        <v>0</v>
      </c>
      <c r="AE1054" s="60">
        <f>Ruimtestaat[[#This Row],[Prest. (m2 /jaar) weekend]]+Ruimtestaat[[#This Row],[Prest. (m2 /jaar) werkdagen]]</f>
        <v>7786</v>
      </c>
      <c r="AF1054" s="60">
        <f>Ruimtestaat[[#This Row],[uren / jaar weekend]]+Ruimtestaat[[#This Row],[uren / jaar werkdagen]]</f>
        <v>0</v>
      </c>
      <c r="AG1054" s="61">
        <f>Ruimtestaat[[#This Row],[kosten / jaar weekend]]+Ruimtestaat[[#This Row],[kosten / jaar werkdagen]]</f>
        <v>0</v>
      </c>
      <c r="AH1054" s="92"/>
      <c r="HL1054" s="59"/>
    </row>
    <row r="1055" spans="1:220">
      <c r="A1055" s="24">
        <v>7</v>
      </c>
      <c r="B1055" s="24" t="str">
        <f>VLOOKUP(Ruimtestaat[[#This Row],[Code]],Locaties[#All],2,FALSE)</f>
        <v>Het Vlier</v>
      </c>
      <c r="C1055" s="24" t="str">
        <f>VLOOKUP(Ruimtestaat[[#This Row],[Code]],Locaties[#All],4,FALSE)</f>
        <v>Het Vlier 1</v>
      </c>
      <c r="D1055" s="24" t="str">
        <f>VLOOKUP(Ruimtestaat[[#This Row],[Code]],Locaties[#All],5,FALSE)</f>
        <v>7414 AR</v>
      </c>
      <c r="E1055" s="24" t="str">
        <f>VLOOKUP(Ruimtestaat[[#This Row],[Code]],Locaties[#All],6,FALSE)</f>
        <v>Deventer</v>
      </c>
      <c r="F1055" s="54"/>
      <c r="G1055" s="24" t="s">
        <v>367</v>
      </c>
      <c r="H1055" s="24" t="s">
        <v>1426</v>
      </c>
      <c r="I1055" s="4" t="s">
        <v>1427</v>
      </c>
      <c r="J1055" s="24">
        <v>16</v>
      </c>
      <c r="K1055" s="54" t="str">
        <f>VLOOKUP(J1055,Ruimtegroepen[],2,FALSE)</f>
        <v>Leslokalen theorie</v>
      </c>
      <c r="L1055" s="24" t="s">
        <v>305</v>
      </c>
      <c r="M1055" s="24" t="s">
        <v>400</v>
      </c>
      <c r="N1055" s="83">
        <v>52.51</v>
      </c>
      <c r="O1055" s="83"/>
      <c r="P1055" s="93" t="str">
        <f>LEFT(VLOOKUP(Ruimtestaat[[#This Row],[Ruimte code]],Ruimtegroepen[#All],4,1),2)</f>
        <v>Le</v>
      </c>
      <c r="Q1055" s="93"/>
      <c r="R1055" s="84">
        <v>40</v>
      </c>
      <c r="S1055" s="84" t="s">
        <v>318</v>
      </c>
      <c r="T1055" s="85">
        <f>IF(R1055&gt;0,IF(RIGHT(Ruimtestaat[[#This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5" s="85">
        <f>IF(T1055&gt;0,VLOOKUP($J1055,Ruimtegroepen[],3,FALSE)*VLOOKUP($L1055,Vloersoorten[],3,FALSE)*VLOOKUP($S1055,Frequenties[],3,FALSE)*VLOOKUP($A1055,Locaties[],3,FALSE),0)</f>
        <v>0</v>
      </c>
      <c r="V1055" s="86">
        <f>Ruimtestaat[[#This Row],[Uitvoeringen werkdagen]]*Ruimtestaat[[#This Row],[Oppervlak (netto)]]</f>
        <v>10502</v>
      </c>
      <c r="W1055" s="87">
        <f>IF(U1055&gt;0,Ruimtestaat[[#This Row],[Prest. (m2 /jaar) werkdagen]]/Ruimtestaat[[#This Row],[Norm (m2/uur) werkdagen]],0)</f>
        <v>0</v>
      </c>
      <c r="X1055" s="88">
        <f>Ruimtestaat[[#This Row],[uren / jaar werkdagen]]*Tariefsopbouw!$E$35</f>
        <v>0</v>
      </c>
      <c r="Y1055" s="85"/>
      <c r="Z1055" s="89">
        <f>IF(Ruimtestaat[[#This Row],[Frequentie weekend]]&gt;0,VALUE(LEFT(Y1055,1))*R1055,0)</f>
        <v>0</v>
      </c>
      <c r="AA1055" s="85">
        <f>IF($Z1055&gt;0,VLOOKUP($J1055,Ruimtegroepen[],3,FALSE)*VLOOKUP($L1055,Vloersoorten[],3,FALSE)*VLOOKUP($Y1055,Frequenties[],3,FALSE)*VLOOKUP(#REF!,Locaties[],3,FALSE),0)</f>
        <v>0</v>
      </c>
      <c r="AB1055" s="87">
        <f>Ruimtestaat[[#This Row],[Uitvoeringen weekend]]*Ruimtestaat[[#This Row],[Oppervlak (netto)]]</f>
        <v>0</v>
      </c>
      <c r="AC1055" s="90">
        <f>IF(AB1055&gt;0,Ruimtestaat[[#This Row],[Prest. (m2 /jaar) weekend]]/Ruimtestaat[[#This Row],[Norm (m2/uur) weekend]],0)</f>
        <v>0</v>
      </c>
      <c r="AD1055" s="91">
        <f>Ruimtestaat[[#This Row],[uren / jaar weekend]]*Tariefsopbouw!$D$40</f>
        <v>0</v>
      </c>
      <c r="AE1055" s="60">
        <f>Ruimtestaat[[#This Row],[Prest. (m2 /jaar) weekend]]+Ruimtestaat[[#This Row],[Prest. (m2 /jaar) werkdagen]]</f>
        <v>10502</v>
      </c>
      <c r="AF1055" s="60">
        <f>Ruimtestaat[[#This Row],[uren / jaar weekend]]+Ruimtestaat[[#This Row],[uren / jaar werkdagen]]</f>
        <v>0</v>
      </c>
      <c r="AG1055" s="61">
        <f>Ruimtestaat[[#This Row],[kosten / jaar weekend]]+Ruimtestaat[[#This Row],[kosten / jaar werkdagen]]</f>
        <v>0</v>
      </c>
      <c r="AH1055" s="92"/>
      <c r="HL1055" s="59"/>
    </row>
    <row r="1056" spans="1:220">
      <c r="A1056" s="24">
        <v>7</v>
      </c>
      <c r="B1056" s="24" t="str">
        <f>VLOOKUP(Ruimtestaat[[#This Row],[Code]],Locaties[#All],2,FALSE)</f>
        <v>Het Vlier</v>
      </c>
      <c r="C1056" s="24" t="str">
        <f>VLOOKUP(Ruimtestaat[[#This Row],[Code]],Locaties[#All],4,FALSE)</f>
        <v>Het Vlier 1</v>
      </c>
      <c r="D1056" s="24" t="str">
        <f>VLOOKUP(Ruimtestaat[[#This Row],[Code]],Locaties[#All],5,FALSE)</f>
        <v>7414 AR</v>
      </c>
      <c r="E1056" s="24" t="str">
        <f>VLOOKUP(Ruimtestaat[[#This Row],[Code]],Locaties[#All],6,FALSE)</f>
        <v>Deventer</v>
      </c>
      <c r="F1056" s="54"/>
      <c r="G1056" s="24" t="s">
        <v>367</v>
      </c>
      <c r="H1056" s="24" t="s">
        <v>1428</v>
      </c>
      <c r="I1056" s="4" t="s">
        <v>1427</v>
      </c>
      <c r="J1056" s="24">
        <v>16</v>
      </c>
      <c r="K1056" s="54" t="str">
        <f>VLOOKUP(J1056,Ruimtegroepen[],2,FALSE)</f>
        <v>Leslokalen theorie</v>
      </c>
      <c r="L1056" s="24" t="s">
        <v>305</v>
      </c>
      <c r="M1056" s="24" t="s">
        <v>400</v>
      </c>
      <c r="N1056" s="83">
        <v>51.47</v>
      </c>
      <c r="O1056" s="83"/>
      <c r="P1056" s="93" t="str">
        <f>LEFT(VLOOKUP(Ruimtestaat[[#This Row],[Ruimte code]],Ruimtegroepen[#All],4,1),2)</f>
        <v>Le</v>
      </c>
      <c r="Q1056" s="93"/>
      <c r="R1056" s="84">
        <v>40</v>
      </c>
      <c r="S1056" s="84" t="s">
        <v>318</v>
      </c>
      <c r="T1056" s="85">
        <f>IF(R1056&gt;0,IF(RIGHT(Ruimtestaat[[#This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6" s="85">
        <f>IF(T1056&gt;0,VLOOKUP($J1056,Ruimtegroepen[],3,FALSE)*VLOOKUP($L1056,Vloersoorten[],3,FALSE)*VLOOKUP($S1056,Frequenties[],3,FALSE)*VLOOKUP($A1056,Locaties[],3,FALSE),0)</f>
        <v>0</v>
      </c>
      <c r="V1056" s="86">
        <f>Ruimtestaat[[#This Row],[Uitvoeringen werkdagen]]*Ruimtestaat[[#This Row],[Oppervlak (netto)]]</f>
        <v>10294</v>
      </c>
      <c r="W1056" s="87">
        <f>IF(U1056&gt;0,Ruimtestaat[[#This Row],[Prest. (m2 /jaar) werkdagen]]/Ruimtestaat[[#This Row],[Norm (m2/uur) werkdagen]],0)</f>
        <v>0</v>
      </c>
      <c r="X1056" s="88">
        <f>Ruimtestaat[[#This Row],[uren / jaar werkdagen]]*Tariefsopbouw!$E$35</f>
        <v>0</v>
      </c>
      <c r="Y1056" s="85"/>
      <c r="Z1056" s="89">
        <f>IF(Ruimtestaat[[#This Row],[Frequentie weekend]]&gt;0,VALUE(LEFT(Y1056,1))*R1056,0)</f>
        <v>0</v>
      </c>
      <c r="AA1056" s="85">
        <f>IF($Z1056&gt;0,VLOOKUP($J1056,Ruimtegroepen[],3,FALSE)*VLOOKUP($L1056,Vloersoorten[],3,FALSE)*VLOOKUP($Y1056,Frequenties[],3,FALSE)*VLOOKUP(#REF!,Locaties[],3,FALSE),0)</f>
        <v>0</v>
      </c>
      <c r="AB1056" s="87">
        <f>Ruimtestaat[[#This Row],[Uitvoeringen weekend]]*Ruimtestaat[[#This Row],[Oppervlak (netto)]]</f>
        <v>0</v>
      </c>
      <c r="AC1056" s="90">
        <f>IF(AB1056&gt;0,Ruimtestaat[[#This Row],[Prest. (m2 /jaar) weekend]]/Ruimtestaat[[#This Row],[Norm (m2/uur) weekend]],0)</f>
        <v>0</v>
      </c>
      <c r="AD1056" s="91">
        <f>Ruimtestaat[[#This Row],[uren / jaar weekend]]*Tariefsopbouw!$D$40</f>
        <v>0</v>
      </c>
      <c r="AE1056" s="60">
        <f>Ruimtestaat[[#This Row],[Prest. (m2 /jaar) weekend]]+Ruimtestaat[[#This Row],[Prest. (m2 /jaar) werkdagen]]</f>
        <v>10294</v>
      </c>
      <c r="AF1056" s="60">
        <f>Ruimtestaat[[#This Row],[uren / jaar weekend]]+Ruimtestaat[[#This Row],[uren / jaar werkdagen]]</f>
        <v>0</v>
      </c>
      <c r="AG1056" s="61">
        <f>Ruimtestaat[[#This Row],[kosten / jaar weekend]]+Ruimtestaat[[#This Row],[kosten / jaar werkdagen]]</f>
        <v>0</v>
      </c>
      <c r="AH1056" s="92"/>
      <c r="HL1056" s="59"/>
    </row>
    <row r="1057" spans="1:220">
      <c r="A1057" s="24">
        <v>7</v>
      </c>
      <c r="B1057" s="24" t="str">
        <f>VLOOKUP(Ruimtestaat[[#This Row],[Code]],Locaties[#All],2,FALSE)</f>
        <v>Het Vlier</v>
      </c>
      <c r="C1057" s="24" t="str">
        <f>VLOOKUP(Ruimtestaat[[#This Row],[Code]],Locaties[#All],4,FALSE)</f>
        <v>Het Vlier 1</v>
      </c>
      <c r="D1057" s="24" t="str">
        <f>VLOOKUP(Ruimtestaat[[#This Row],[Code]],Locaties[#All],5,FALSE)</f>
        <v>7414 AR</v>
      </c>
      <c r="E1057" s="24" t="str">
        <f>VLOOKUP(Ruimtestaat[[#This Row],[Code]],Locaties[#All],6,FALSE)</f>
        <v>Deventer</v>
      </c>
      <c r="F1057" s="54"/>
      <c r="G1057" s="24" t="s">
        <v>367</v>
      </c>
      <c r="H1057" s="24" t="s">
        <v>1429</v>
      </c>
      <c r="I1057" s="4" t="s">
        <v>1427</v>
      </c>
      <c r="J1057" s="24">
        <v>16</v>
      </c>
      <c r="K1057" s="54" t="str">
        <f>VLOOKUP(J1057,Ruimtegroepen[],2,FALSE)</f>
        <v>Leslokalen theorie</v>
      </c>
      <c r="L1057" s="24" t="s">
        <v>305</v>
      </c>
      <c r="M1057" s="24" t="s">
        <v>400</v>
      </c>
      <c r="N1057" s="83">
        <v>52.36</v>
      </c>
      <c r="O1057" s="83"/>
      <c r="P1057" s="93" t="str">
        <f>LEFT(VLOOKUP(Ruimtestaat[[#This Row],[Ruimte code]],Ruimtegroepen[#All],4,1),2)</f>
        <v>Le</v>
      </c>
      <c r="Q1057" s="93"/>
      <c r="R1057" s="84">
        <v>40</v>
      </c>
      <c r="S1057" s="84" t="s">
        <v>318</v>
      </c>
      <c r="T1057" s="85">
        <f>IF(R1057&gt;0,IF(RIGHT(Ruimtestaat[[#This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7" s="85">
        <f>IF(T1057&gt;0,VLOOKUP($J1057,Ruimtegroepen[],3,FALSE)*VLOOKUP($L1057,Vloersoorten[],3,FALSE)*VLOOKUP($S1057,Frequenties[],3,FALSE)*VLOOKUP($A1057,Locaties[],3,FALSE),0)</f>
        <v>0</v>
      </c>
      <c r="V1057" s="86">
        <f>Ruimtestaat[[#This Row],[Uitvoeringen werkdagen]]*Ruimtestaat[[#This Row],[Oppervlak (netto)]]</f>
        <v>10472</v>
      </c>
      <c r="W1057" s="87">
        <f>IF(U1057&gt;0,Ruimtestaat[[#This Row],[Prest. (m2 /jaar) werkdagen]]/Ruimtestaat[[#This Row],[Norm (m2/uur) werkdagen]],0)</f>
        <v>0</v>
      </c>
      <c r="X1057" s="88">
        <f>Ruimtestaat[[#This Row],[uren / jaar werkdagen]]*Tariefsopbouw!$E$35</f>
        <v>0</v>
      </c>
      <c r="Y1057" s="85"/>
      <c r="Z1057" s="89">
        <f>IF(Ruimtestaat[[#This Row],[Frequentie weekend]]&gt;0,VALUE(LEFT(Y1057,1))*R1057,0)</f>
        <v>0</v>
      </c>
      <c r="AA1057" s="85">
        <f>IF($Z1057&gt;0,VLOOKUP($J1057,Ruimtegroepen[],3,FALSE)*VLOOKUP($L1057,Vloersoorten[],3,FALSE)*VLOOKUP($Y1057,Frequenties[],3,FALSE)*VLOOKUP(#REF!,Locaties[],3,FALSE),0)</f>
        <v>0</v>
      </c>
      <c r="AB1057" s="87">
        <f>Ruimtestaat[[#This Row],[Uitvoeringen weekend]]*Ruimtestaat[[#This Row],[Oppervlak (netto)]]</f>
        <v>0</v>
      </c>
      <c r="AC1057" s="90">
        <f>IF(AB1057&gt;0,Ruimtestaat[[#This Row],[Prest. (m2 /jaar) weekend]]/Ruimtestaat[[#This Row],[Norm (m2/uur) weekend]],0)</f>
        <v>0</v>
      </c>
      <c r="AD1057" s="91">
        <f>Ruimtestaat[[#This Row],[uren / jaar weekend]]*Tariefsopbouw!$D$40</f>
        <v>0</v>
      </c>
      <c r="AE1057" s="60">
        <f>Ruimtestaat[[#This Row],[Prest. (m2 /jaar) weekend]]+Ruimtestaat[[#This Row],[Prest. (m2 /jaar) werkdagen]]</f>
        <v>10472</v>
      </c>
      <c r="AF1057" s="60">
        <f>Ruimtestaat[[#This Row],[uren / jaar weekend]]+Ruimtestaat[[#This Row],[uren / jaar werkdagen]]</f>
        <v>0</v>
      </c>
      <c r="AG1057" s="61">
        <f>Ruimtestaat[[#This Row],[kosten / jaar weekend]]+Ruimtestaat[[#This Row],[kosten / jaar werkdagen]]</f>
        <v>0</v>
      </c>
      <c r="AH1057" s="92"/>
      <c r="HL1057" s="59"/>
    </row>
    <row r="1058" spans="1:220">
      <c r="A1058" s="24">
        <v>7</v>
      </c>
      <c r="B1058" s="24" t="str">
        <f>VLOOKUP(Ruimtestaat[[#This Row],[Code]],Locaties[#All],2,FALSE)</f>
        <v>Het Vlier</v>
      </c>
      <c r="C1058" s="24" t="str">
        <f>VLOOKUP(Ruimtestaat[[#This Row],[Code]],Locaties[#All],4,FALSE)</f>
        <v>Het Vlier 1</v>
      </c>
      <c r="D1058" s="24" t="str">
        <f>VLOOKUP(Ruimtestaat[[#This Row],[Code]],Locaties[#All],5,FALSE)</f>
        <v>7414 AR</v>
      </c>
      <c r="E1058" s="24" t="str">
        <f>VLOOKUP(Ruimtestaat[[#This Row],[Code]],Locaties[#All],6,FALSE)</f>
        <v>Deventer</v>
      </c>
      <c r="F1058" s="54"/>
      <c r="G1058" s="24" t="s">
        <v>367</v>
      </c>
      <c r="H1058" s="24" t="s">
        <v>1430</v>
      </c>
      <c r="I1058" s="4" t="s">
        <v>1427</v>
      </c>
      <c r="J1058" s="24">
        <v>16</v>
      </c>
      <c r="K1058" s="54" t="str">
        <f>VLOOKUP(J1058,Ruimtegroepen[],2,FALSE)</f>
        <v>Leslokalen theorie</v>
      </c>
      <c r="L1058" s="24" t="s">
        <v>305</v>
      </c>
      <c r="M1058" s="24" t="s">
        <v>400</v>
      </c>
      <c r="N1058" s="83">
        <v>52.44</v>
      </c>
      <c r="O1058" s="83"/>
      <c r="P1058" s="93" t="str">
        <f>LEFT(VLOOKUP(Ruimtestaat[[#This Row],[Ruimte code]],Ruimtegroepen[#All],4,1),2)</f>
        <v>Le</v>
      </c>
      <c r="Q1058" s="93"/>
      <c r="R1058" s="84">
        <v>40</v>
      </c>
      <c r="S1058" s="84" t="s">
        <v>318</v>
      </c>
      <c r="T1058" s="85">
        <f>IF(R1058&gt;0,IF(RIGHT(Ruimtestaat[[#This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8" s="85">
        <f>IF(T1058&gt;0,VLOOKUP($J1058,Ruimtegroepen[],3,FALSE)*VLOOKUP($L1058,Vloersoorten[],3,FALSE)*VLOOKUP($S1058,Frequenties[],3,FALSE)*VLOOKUP($A1058,Locaties[],3,FALSE),0)</f>
        <v>0</v>
      </c>
      <c r="V1058" s="86">
        <f>Ruimtestaat[[#This Row],[Uitvoeringen werkdagen]]*Ruimtestaat[[#This Row],[Oppervlak (netto)]]</f>
        <v>10488</v>
      </c>
      <c r="W1058" s="87">
        <f>IF(U1058&gt;0,Ruimtestaat[[#This Row],[Prest. (m2 /jaar) werkdagen]]/Ruimtestaat[[#This Row],[Norm (m2/uur) werkdagen]],0)</f>
        <v>0</v>
      </c>
      <c r="X1058" s="88">
        <f>Ruimtestaat[[#This Row],[uren / jaar werkdagen]]*Tariefsopbouw!$E$35</f>
        <v>0</v>
      </c>
      <c r="Y1058" s="85"/>
      <c r="Z1058" s="89">
        <f>IF(Ruimtestaat[[#This Row],[Frequentie weekend]]&gt;0,VALUE(LEFT(Y1058,1))*R1058,0)</f>
        <v>0</v>
      </c>
      <c r="AA1058" s="85">
        <f>IF($Z1058&gt;0,VLOOKUP($J1058,Ruimtegroepen[],3,FALSE)*VLOOKUP($L1058,Vloersoorten[],3,FALSE)*VLOOKUP($Y1058,Frequenties[],3,FALSE)*VLOOKUP(#REF!,Locaties[],3,FALSE),0)</f>
        <v>0</v>
      </c>
      <c r="AB1058" s="87">
        <f>Ruimtestaat[[#This Row],[Uitvoeringen weekend]]*Ruimtestaat[[#This Row],[Oppervlak (netto)]]</f>
        <v>0</v>
      </c>
      <c r="AC1058" s="90">
        <f>IF(AB1058&gt;0,Ruimtestaat[[#This Row],[Prest. (m2 /jaar) weekend]]/Ruimtestaat[[#This Row],[Norm (m2/uur) weekend]],0)</f>
        <v>0</v>
      </c>
      <c r="AD1058" s="91">
        <f>Ruimtestaat[[#This Row],[uren / jaar weekend]]*Tariefsopbouw!$D$40</f>
        <v>0</v>
      </c>
      <c r="AE1058" s="60">
        <f>Ruimtestaat[[#This Row],[Prest. (m2 /jaar) weekend]]+Ruimtestaat[[#This Row],[Prest. (m2 /jaar) werkdagen]]</f>
        <v>10488</v>
      </c>
      <c r="AF1058" s="60">
        <f>Ruimtestaat[[#This Row],[uren / jaar weekend]]+Ruimtestaat[[#This Row],[uren / jaar werkdagen]]</f>
        <v>0</v>
      </c>
      <c r="AG1058" s="61">
        <f>Ruimtestaat[[#This Row],[kosten / jaar weekend]]+Ruimtestaat[[#This Row],[kosten / jaar werkdagen]]</f>
        <v>0</v>
      </c>
      <c r="AH1058" s="92"/>
      <c r="HL1058" s="59"/>
    </row>
    <row r="1059" spans="1:220">
      <c r="A1059" s="24">
        <v>7</v>
      </c>
      <c r="B1059" s="24" t="str">
        <f>VLOOKUP(Ruimtestaat[[#This Row],[Code]],Locaties[#All],2,FALSE)</f>
        <v>Het Vlier</v>
      </c>
      <c r="C1059" s="24" t="str">
        <f>VLOOKUP(Ruimtestaat[[#This Row],[Code]],Locaties[#All],4,FALSE)</f>
        <v>Het Vlier 1</v>
      </c>
      <c r="D1059" s="24" t="str">
        <f>VLOOKUP(Ruimtestaat[[#This Row],[Code]],Locaties[#All],5,FALSE)</f>
        <v>7414 AR</v>
      </c>
      <c r="E1059" s="24" t="str">
        <f>VLOOKUP(Ruimtestaat[[#This Row],[Code]],Locaties[#All],6,FALSE)</f>
        <v>Deventer</v>
      </c>
      <c r="F1059" s="54"/>
      <c r="G1059" s="24" t="s">
        <v>367</v>
      </c>
      <c r="H1059" s="24" t="s">
        <v>1431</v>
      </c>
      <c r="I1059" s="4" t="s">
        <v>1432</v>
      </c>
      <c r="J1059" s="24">
        <v>22</v>
      </c>
      <c r="K1059" s="54" t="str">
        <f>VLOOKUP(J1059,Ruimtegroepen[],2,FALSE)</f>
        <v>Niet in onderhoud</v>
      </c>
      <c r="M1059" s="24"/>
      <c r="N1059" s="83"/>
      <c r="O1059" s="83">
        <v>8.59</v>
      </c>
      <c r="P1059" s="93" t="str">
        <f>LEFT(VLOOKUP(Ruimtestaat[[#This Row],[Ruimte code]],Ruimtegroepen[#All],4,1),2)</f>
        <v/>
      </c>
      <c r="Q1059" s="93"/>
      <c r="R1059" s="84"/>
      <c r="S1059" s="84"/>
      <c r="T1059" s="85">
        <f>IF(R1059&gt;0,IF(RIGHT(Ruimtestaat[[#This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59" s="85">
        <f>IF(T1059&gt;0,VLOOKUP($J1059,Ruimtegroepen[],3,FALSE)*VLOOKUP($L1059,Vloersoorten[],3,FALSE)*VLOOKUP($S1059,Frequenties[],3,FALSE)*VLOOKUP($A1059,Locaties[],3,FALSE),0)</f>
        <v>0</v>
      </c>
      <c r="V1059" s="86">
        <f>Ruimtestaat[[#This Row],[Uitvoeringen werkdagen]]*Ruimtestaat[[#This Row],[Oppervlak (netto)]]</f>
        <v>0</v>
      </c>
      <c r="W1059" s="87">
        <f>IF(U1059&gt;0,Ruimtestaat[[#This Row],[Prest. (m2 /jaar) werkdagen]]/Ruimtestaat[[#This Row],[Norm (m2/uur) werkdagen]],0)</f>
        <v>0</v>
      </c>
      <c r="X1059" s="88">
        <f>Ruimtestaat[[#This Row],[uren / jaar werkdagen]]*Tariefsopbouw!$E$35</f>
        <v>0</v>
      </c>
      <c r="Y1059" s="85"/>
      <c r="Z1059" s="89">
        <f>IF(Ruimtestaat[[#This Row],[Frequentie weekend]]&gt;0,VALUE(LEFT(Y1059,1))*R1059,0)</f>
        <v>0</v>
      </c>
      <c r="AA1059" s="85">
        <f>IF($Z1059&gt;0,VLOOKUP($J1059,Ruimtegroepen[],3,FALSE)*VLOOKUP($L1059,Vloersoorten[],3,FALSE)*VLOOKUP($Y1059,Frequenties[],3,FALSE)*VLOOKUP(#REF!,Locaties[],3,FALSE),0)</f>
        <v>0</v>
      </c>
      <c r="AB1059" s="87">
        <f>Ruimtestaat[[#This Row],[Uitvoeringen weekend]]*Ruimtestaat[[#This Row],[Oppervlak (netto)]]</f>
        <v>0</v>
      </c>
      <c r="AC1059" s="90">
        <f>IF(AB1059&gt;0,Ruimtestaat[[#This Row],[Prest. (m2 /jaar) weekend]]/Ruimtestaat[[#This Row],[Norm (m2/uur) weekend]],0)</f>
        <v>0</v>
      </c>
      <c r="AD1059" s="91">
        <f>Ruimtestaat[[#This Row],[uren / jaar weekend]]*Tariefsopbouw!$D$40</f>
        <v>0</v>
      </c>
      <c r="AE1059" s="60">
        <f>Ruimtestaat[[#This Row],[Prest. (m2 /jaar) weekend]]+Ruimtestaat[[#This Row],[Prest. (m2 /jaar) werkdagen]]</f>
        <v>0</v>
      </c>
      <c r="AF1059" s="60">
        <f>Ruimtestaat[[#This Row],[uren / jaar weekend]]+Ruimtestaat[[#This Row],[uren / jaar werkdagen]]</f>
        <v>0</v>
      </c>
      <c r="AG1059" s="61">
        <f>Ruimtestaat[[#This Row],[kosten / jaar weekend]]+Ruimtestaat[[#This Row],[kosten / jaar werkdagen]]</f>
        <v>0</v>
      </c>
      <c r="AH1059" s="92"/>
      <c r="HL1059" s="59"/>
    </row>
    <row r="1060" spans="1:220">
      <c r="A1060" s="24">
        <v>7</v>
      </c>
      <c r="B1060" s="24" t="str">
        <f>VLOOKUP(Ruimtestaat[[#This Row],[Code]],Locaties[#All],2,FALSE)</f>
        <v>Het Vlier</v>
      </c>
      <c r="C1060" s="24" t="str">
        <f>VLOOKUP(Ruimtestaat[[#This Row],[Code]],Locaties[#All],4,FALSE)</f>
        <v>Het Vlier 1</v>
      </c>
      <c r="D1060" s="24" t="str">
        <f>VLOOKUP(Ruimtestaat[[#This Row],[Code]],Locaties[#All],5,FALSE)</f>
        <v>7414 AR</v>
      </c>
      <c r="E1060" s="24" t="str">
        <f>VLOOKUP(Ruimtestaat[[#This Row],[Code]],Locaties[#All],6,FALSE)</f>
        <v>Deventer</v>
      </c>
      <c r="F1060" s="54"/>
      <c r="G1060" s="24" t="s">
        <v>367</v>
      </c>
      <c r="H1060" s="24" t="s">
        <v>1433</v>
      </c>
      <c r="I1060" s="4" t="s">
        <v>1427</v>
      </c>
      <c r="J1060" s="24">
        <v>16</v>
      </c>
      <c r="K1060" s="54" t="str">
        <f>VLOOKUP(J1060,Ruimtegroepen[],2,FALSE)</f>
        <v>Leslokalen theorie</v>
      </c>
      <c r="L1060" s="24" t="s">
        <v>305</v>
      </c>
      <c r="M1060" s="24" t="s">
        <v>400</v>
      </c>
      <c r="N1060" s="83">
        <v>74.11</v>
      </c>
      <c r="O1060" s="83"/>
      <c r="P1060" s="93" t="str">
        <f>LEFT(VLOOKUP(Ruimtestaat[[#This Row],[Ruimte code]],Ruimtegroepen[#All],4,1),2)</f>
        <v>Le</v>
      </c>
      <c r="Q1060" s="93"/>
      <c r="R1060" s="84">
        <v>40</v>
      </c>
      <c r="S1060" s="84" t="s">
        <v>318</v>
      </c>
      <c r="T1060" s="85">
        <f>IF(R1060&gt;0,IF(RIGHT(Ruimtestaat[[#This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0" s="85">
        <f>IF(T1060&gt;0,VLOOKUP($J1060,Ruimtegroepen[],3,FALSE)*VLOOKUP($L1060,Vloersoorten[],3,FALSE)*VLOOKUP($S1060,Frequenties[],3,FALSE)*VLOOKUP($A1060,Locaties[],3,FALSE),0)</f>
        <v>0</v>
      </c>
      <c r="V1060" s="86">
        <f>Ruimtestaat[[#This Row],[Uitvoeringen werkdagen]]*Ruimtestaat[[#This Row],[Oppervlak (netto)]]</f>
        <v>14822</v>
      </c>
      <c r="W1060" s="87">
        <f>IF(U1060&gt;0,Ruimtestaat[[#This Row],[Prest. (m2 /jaar) werkdagen]]/Ruimtestaat[[#This Row],[Norm (m2/uur) werkdagen]],0)</f>
        <v>0</v>
      </c>
      <c r="X1060" s="88">
        <f>Ruimtestaat[[#This Row],[uren / jaar werkdagen]]*Tariefsopbouw!$E$35</f>
        <v>0</v>
      </c>
      <c r="Y1060" s="85"/>
      <c r="Z1060" s="89">
        <f>IF(Ruimtestaat[[#This Row],[Frequentie weekend]]&gt;0,VALUE(LEFT(Y1060,1))*R1060,0)</f>
        <v>0</v>
      </c>
      <c r="AA1060" s="85">
        <f>IF($Z1060&gt;0,VLOOKUP($J1060,Ruimtegroepen[],3,FALSE)*VLOOKUP($L1060,Vloersoorten[],3,FALSE)*VLOOKUP($Y1060,Frequenties[],3,FALSE)*VLOOKUP(#REF!,Locaties[],3,FALSE),0)</f>
        <v>0</v>
      </c>
      <c r="AB1060" s="87">
        <f>Ruimtestaat[[#This Row],[Uitvoeringen weekend]]*Ruimtestaat[[#This Row],[Oppervlak (netto)]]</f>
        <v>0</v>
      </c>
      <c r="AC1060" s="90">
        <f>IF(AB1060&gt;0,Ruimtestaat[[#This Row],[Prest. (m2 /jaar) weekend]]/Ruimtestaat[[#This Row],[Norm (m2/uur) weekend]],0)</f>
        <v>0</v>
      </c>
      <c r="AD1060" s="91">
        <f>Ruimtestaat[[#This Row],[uren / jaar weekend]]*Tariefsopbouw!$D$40</f>
        <v>0</v>
      </c>
      <c r="AE1060" s="60">
        <f>Ruimtestaat[[#This Row],[Prest. (m2 /jaar) weekend]]+Ruimtestaat[[#This Row],[Prest. (m2 /jaar) werkdagen]]</f>
        <v>14822</v>
      </c>
      <c r="AF1060" s="60">
        <f>Ruimtestaat[[#This Row],[uren / jaar weekend]]+Ruimtestaat[[#This Row],[uren / jaar werkdagen]]</f>
        <v>0</v>
      </c>
      <c r="AG1060" s="61">
        <f>Ruimtestaat[[#This Row],[kosten / jaar weekend]]+Ruimtestaat[[#This Row],[kosten / jaar werkdagen]]</f>
        <v>0</v>
      </c>
      <c r="AH1060" s="92"/>
      <c r="HL1060" s="59"/>
    </row>
    <row r="1061" spans="1:220">
      <c r="A1061" s="24">
        <v>7</v>
      </c>
      <c r="B1061" s="24" t="str">
        <f>VLOOKUP(Ruimtestaat[[#This Row],[Code]],Locaties[#All],2,FALSE)</f>
        <v>Het Vlier</v>
      </c>
      <c r="C1061" s="24" t="str">
        <f>VLOOKUP(Ruimtestaat[[#This Row],[Code]],Locaties[#All],4,FALSE)</f>
        <v>Het Vlier 1</v>
      </c>
      <c r="D1061" s="24" t="str">
        <f>VLOOKUP(Ruimtestaat[[#This Row],[Code]],Locaties[#All],5,FALSE)</f>
        <v>7414 AR</v>
      </c>
      <c r="E1061" s="24" t="str">
        <f>VLOOKUP(Ruimtestaat[[#This Row],[Code]],Locaties[#All],6,FALSE)</f>
        <v>Deventer</v>
      </c>
      <c r="F1061" s="54"/>
      <c r="G1061" s="24" t="s">
        <v>367</v>
      </c>
      <c r="H1061" s="24" t="s">
        <v>1434</v>
      </c>
      <c r="I1061" s="4" t="s">
        <v>1435</v>
      </c>
      <c r="J1061" s="24">
        <v>22</v>
      </c>
      <c r="K1061" s="54" t="str">
        <f>VLOOKUP(J1061,Ruimtegroepen[],2,FALSE)</f>
        <v>Niet in onderhoud</v>
      </c>
      <c r="M1061" s="24"/>
      <c r="N1061" s="83"/>
      <c r="O1061" s="83">
        <v>24.53</v>
      </c>
      <c r="P1061" s="93" t="str">
        <f>LEFT(VLOOKUP(Ruimtestaat[[#This Row],[Ruimte code]],Ruimtegroepen[#All],4,1),2)</f>
        <v/>
      </c>
      <c r="Q1061" s="93"/>
      <c r="R1061" s="84"/>
      <c r="S1061" s="84"/>
      <c r="T1061" s="85">
        <f>IF(R1061&gt;0,IF(RIGHT(Ruimtestaat[[#This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61" s="85">
        <f>IF(T1061&gt;0,VLOOKUP($J1061,Ruimtegroepen[],3,FALSE)*VLOOKUP($L1061,Vloersoorten[],3,FALSE)*VLOOKUP($S1061,Frequenties[],3,FALSE)*VLOOKUP($A1061,Locaties[],3,FALSE),0)</f>
        <v>0</v>
      </c>
      <c r="V1061" s="86">
        <f>Ruimtestaat[[#This Row],[Uitvoeringen werkdagen]]*Ruimtestaat[[#This Row],[Oppervlak (netto)]]</f>
        <v>0</v>
      </c>
      <c r="W1061" s="87">
        <f>IF(U1061&gt;0,Ruimtestaat[[#This Row],[Prest. (m2 /jaar) werkdagen]]/Ruimtestaat[[#This Row],[Norm (m2/uur) werkdagen]],0)</f>
        <v>0</v>
      </c>
      <c r="X1061" s="88">
        <f>Ruimtestaat[[#This Row],[uren / jaar werkdagen]]*Tariefsopbouw!$E$35</f>
        <v>0</v>
      </c>
      <c r="Y1061" s="85"/>
      <c r="Z1061" s="89">
        <f>IF(Ruimtestaat[[#This Row],[Frequentie weekend]]&gt;0,VALUE(LEFT(Y1061,1))*R1061,0)</f>
        <v>0</v>
      </c>
      <c r="AA1061" s="85">
        <f>IF($Z1061&gt;0,VLOOKUP($J1061,Ruimtegroepen[],3,FALSE)*VLOOKUP($L1061,Vloersoorten[],3,FALSE)*VLOOKUP($Y1061,Frequenties[],3,FALSE)*VLOOKUP(#REF!,Locaties[],3,FALSE),0)</f>
        <v>0</v>
      </c>
      <c r="AB1061" s="87">
        <f>Ruimtestaat[[#This Row],[Uitvoeringen weekend]]*Ruimtestaat[[#This Row],[Oppervlak (netto)]]</f>
        <v>0</v>
      </c>
      <c r="AC1061" s="90">
        <f>IF(AB1061&gt;0,Ruimtestaat[[#This Row],[Prest. (m2 /jaar) weekend]]/Ruimtestaat[[#This Row],[Norm (m2/uur) weekend]],0)</f>
        <v>0</v>
      </c>
      <c r="AD1061" s="91">
        <f>Ruimtestaat[[#This Row],[uren / jaar weekend]]*Tariefsopbouw!$D$40</f>
        <v>0</v>
      </c>
      <c r="AE1061" s="60">
        <f>Ruimtestaat[[#This Row],[Prest. (m2 /jaar) weekend]]+Ruimtestaat[[#This Row],[Prest. (m2 /jaar) werkdagen]]</f>
        <v>0</v>
      </c>
      <c r="AF1061" s="60">
        <f>Ruimtestaat[[#This Row],[uren / jaar weekend]]+Ruimtestaat[[#This Row],[uren / jaar werkdagen]]</f>
        <v>0</v>
      </c>
      <c r="AG1061" s="61">
        <f>Ruimtestaat[[#This Row],[kosten / jaar weekend]]+Ruimtestaat[[#This Row],[kosten / jaar werkdagen]]</f>
        <v>0</v>
      </c>
      <c r="AH1061" s="92"/>
      <c r="HL1061" s="59"/>
    </row>
    <row r="1062" spans="1:220">
      <c r="A1062" s="24">
        <v>7</v>
      </c>
      <c r="B1062" s="24" t="str">
        <f>VLOOKUP(Ruimtestaat[[#This Row],[Code]],Locaties[#All],2,FALSE)</f>
        <v>Het Vlier</v>
      </c>
      <c r="C1062" s="24" t="str">
        <f>VLOOKUP(Ruimtestaat[[#This Row],[Code]],Locaties[#All],4,FALSE)</f>
        <v>Het Vlier 1</v>
      </c>
      <c r="D1062" s="24" t="str">
        <f>VLOOKUP(Ruimtestaat[[#This Row],[Code]],Locaties[#All],5,FALSE)</f>
        <v>7414 AR</v>
      </c>
      <c r="E1062" s="24" t="str">
        <f>VLOOKUP(Ruimtestaat[[#This Row],[Code]],Locaties[#All],6,FALSE)</f>
        <v>Deventer</v>
      </c>
      <c r="F1062" s="54"/>
      <c r="G1062" s="24" t="s">
        <v>367</v>
      </c>
      <c r="H1062" s="24" t="s">
        <v>1436</v>
      </c>
      <c r="I1062" s="4" t="s">
        <v>1427</v>
      </c>
      <c r="J1062" s="24">
        <v>16</v>
      </c>
      <c r="K1062" s="54" t="str">
        <f>VLOOKUP(J1062,Ruimtegroepen[],2,FALSE)</f>
        <v>Leslokalen theorie</v>
      </c>
      <c r="L1062" s="24" t="s">
        <v>305</v>
      </c>
      <c r="M1062" s="24" t="s">
        <v>400</v>
      </c>
      <c r="N1062" s="83">
        <v>54.62</v>
      </c>
      <c r="O1062" s="83"/>
      <c r="P1062" s="93" t="str">
        <f>LEFT(VLOOKUP(Ruimtestaat[[#This Row],[Ruimte code]],Ruimtegroepen[#All],4,1),2)</f>
        <v>Le</v>
      </c>
      <c r="Q1062" s="93"/>
      <c r="R1062" s="84">
        <v>40</v>
      </c>
      <c r="S1062" s="84" t="s">
        <v>318</v>
      </c>
      <c r="T1062" s="85">
        <f>IF(R1062&gt;0,IF(RIGHT(Ruimtestaat[[#This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2" s="85">
        <f>IF(T1062&gt;0,VLOOKUP($J1062,Ruimtegroepen[],3,FALSE)*VLOOKUP($L1062,Vloersoorten[],3,FALSE)*VLOOKUP($S1062,Frequenties[],3,FALSE)*VLOOKUP($A1062,Locaties[],3,FALSE),0)</f>
        <v>0</v>
      </c>
      <c r="V1062" s="86">
        <f>Ruimtestaat[[#This Row],[Uitvoeringen werkdagen]]*Ruimtestaat[[#This Row],[Oppervlak (netto)]]</f>
        <v>10924</v>
      </c>
      <c r="W1062" s="87">
        <f>IF(U1062&gt;0,Ruimtestaat[[#This Row],[Prest. (m2 /jaar) werkdagen]]/Ruimtestaat[[#This Row],[Norm (m2/uur) werkdagen]],0)</f>
        <v>0</v>
      </c>
      <c r="X1062" s="88">
        <f>Ruimtestaat[[#This Row],[uren / jaar werkdagen]]*Tariefsopbouw!$E$35</f>
        <v>0</v>
      </c>
      <c r="Y1062" s="85"/>
      <c r="Z1062" s="89">
        <f>IF(Ruimtestaat[[#This Row],[Frequentie weekend]]&gt;0,VALUE(LEFT(Y1062,1))*R1062,0)</f>
        <v>0</v>
      </c>
      <c r="AA1062" s="85">
        <f>IF($Z1062&gt;0,VLOOKUP($J1062,Ruimtegroepen[],3,FALSE)*VLOOKUP($L1062,Vloersoorten[],3,FALSE)*VLOOKUP($Y1062,Frequenties[],3,FALSE)*VLOOKUP(#REF!,Locaties[],3,FALSE),0)</f>
        <v>0</v>
      </c>
      <c r="AB1062" s="87">
        <f>Ruimtestaat[[#This Row],[Uitvoeringen weekend]]*Ruimtestaat[[#This Row],[Oppervlak (netto)]]</f>
        <v>0</v>
      </c>
      <c r="AC1062" s="90">
        <f>IF(AB1062&gt;0,Ruimtestaat[[#This Row],[Prest. (m2 /jaar) weekend]]/Ruimtestaat[[#This Row],[Norm (m2/uur) weekend]],0)</f>
        <v>0</v>
      </c>
      <c r="AD1062" s="91">
        <f>Ruimtestaat[[#This Row],[uren / jaar weekend]]*Tariefsopbouw!$D$40</f>
        <v>0</v>
      </c>
      <c r="AE1062" s="60">
        <f>Ruimtestaat[[#This Row],[Prest. (m2 /jaar) weekend]]+Ruimtestaat[[#This Row],[Prest. (m2 /jaar) werkdagen]]</f>
        <v>10924</v>
      </c>
      <c r="AF1062" s="60">
        <f>Ruimtestaat[[#This Row],[uren / jaar weekend]]+Ruimtestaat[[#This Row],[uren / jaar werkdagen]]</f>
        <v>0</v>
      </c>
      <c r="AG1062" s="61">
        <f>Ruimtestaat[[#This Row],[kosten / jaar weekend]]+Ruimtestaat[[#This Row],[kosten / jaar werkdagen]]</f>
        <v>0</v>
      </c>
      <c r="AH1062" s="92"/>
      <c r="HL1062" s="59"/>
    </row>
    <row r="1063" spans="1:220">
      <c r="A1063" s="24">
        <v>7</v>
      </c>
      <c r="B1063" s="24" t="str">
        <f>VLOOKUP(Ruimtestaat[[#This Row],[Code]],Locaties[#All],2,FALSE)</f>
        <v>Het Vlier</v>
      </c>
      <c r="C1063" s="24" t="str">
        <f>VLOOKUP(Ruimtestaat[[#This Row],[Code]],Locaties[#All],4,FALSE)</f>
        <v>Het Vlier 1</v>
      </c>
      <c r="D1063" s="24" t="str">
        <f>VLOOKUP(Ruimtestaat[[#This Row],[Code]],Locaties[#All],5,FALSE)</f>
        <v>7414 AR</v>
      </c>
      <c r="E1063" s="24" t="str">
        <f>VLOOKUP(Ruimtestaat[[#This Row],[Code]],Locaties[#All],6,FALSE)</f>
        <v>Deventer</v>
      </c>
      <c r="F1063" s="54"/>
      <c r="G1063" s="24" t="s">
        <v>367</v>
      </c>
      <c r="H1063" s="24" t="s">
        <v>1437</v>
      </c>
      <c r="I1063" s="4" t="s">
        <v>1427</v>
      </c>
      <c r="J1063" s="24">
        <v>16</v>
      </c>
      <c r="K1063" s="54" t="str">
        <f>VLOOKUP(J1063,Ruimtegroepen[],2,FALSE)</f>
        <v>Leslokalen theorie</v>
      </c>
      <c r="L1063" s="24" t="s">
        <v>305</v>
      </c>
      <c r="M1063" s="24" t="s">
        <v>400</v>
      </c>
      <c r="N1063" s="83">
        <v>54.13</v>
      </c>
      <c r="O1063" s="83"/>
      <c r="P1063" s="93" t="str">
        <f>LEFT(VLOOKUP(Ruimtestaat[[#This Row],[Ruimte code]],Ruimtegroepen[#All],4,1),2)</f>
        <v>Le</v>
      </c>
      <c r="Q1063" s="93"/>
      <c r="R1063" s="84">
        <v>40</v>
      </c>
      <c r="S1063" s="84" t="s">
        <v>318</v>
      </c>
      <c r="T1063" s="85">
        <f>IF(R1063&gt;0,IF(RIGHT(Ruimtestaat[[#This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3" s="85">
        <f>IF(T1063&gt;0,VLOOKUP($J1063,Ruimtegroepen[],3,FALSE)*VLOOKUP($L1063,Vloersoorten[],3,FALSE)*VLOOKUP($S1063,Frequenties[],3,FALSE)*VLOOKUP($A1063,Locaties[],3,FALSE),0)</f>
        <v>0</v>
      </c>
      <c r="V1063" s="86">
        <f>Ruimtestaat[[#This Row],[Uitvoeringen werkdagen]]*Ruimtestaat[[#This Row],[Oppervlak (netto)]]</f>
        <v>10826</v>
      </c>
      <c r="W1063" s="87">
        <f>IF(U1063&gt;0,Ruimtestaat[[#This Row],[Prest. (m2 /jaar) werkdagen]]/Ruimtestaat[[#This Row],[Norm (m2/uur) werkdagen]],0)</f>
        <v>0</v>
      </c>
      <c r="X1063" s="88">
        <f>Ruimtestaat[[#This Row],[uren / jaar werkdagen]]*Tariefsopbouw!$E$35</f>
        <v>0</v>
      </c>
      <c r="Y1063" s="85"/>
      <c r="Z1063" s="89">
        <f>IF(Ruimtestaat[[#This Row],[Frequentie weekend]]&gt;0,VALUE(LEFT(Y1063,1))*R1063,0)</f>
        <v>0</v>
      </c>
      <c r="AA1063" s="85">
        <f>IF($Z1063&gt;0,VLOOKUP($J1063,Ruimtegroepen[],3,FALSE)*VLOOKUP($L1063,Vloersoorten[],3,FALSE)*VLOOKUP($Y1063,Frequenties[],3,FALSE)*VLOOKUP(#REF!,Locaties[],3,FALSE),0)</f>
        <v>0</v>
      </c>
      <c r="AB1063" s="87">
        <f>Ruimtestaat[[#This Row],[Uitvoeringen weekend]]*Ruimtestaat[[#This Row],[Oppervlak (netto)]]</f>
        <v>0</v>
      </c>
      <c r="AC1063" s="90">
        <f>IF(AB1063&gt;0,Ruimtestaat[[#This Row],[Prest. (m2 /jaar) weekend]]/Ruimtestaat[[#This Row],[Norm (m2/uur) weekend]],0)</f>
        <v>0</v>
      </c>
      <c r="AD1063" s="91">
        <f>Ruimtestaat[[#This Row],[uren / jaar weekend]]*Tariefsopbouw!$D$40</f>
        <v>0</v>
      </c>
      <c r="AE1063" s="60">
        <f>Ruimtestaat[[#This Row],[Prest. (m2 /jaar) weekend]]+Ruimtestaat[[#This Row],[Prest. (m2 /jaar) werkdagen]]</f>
        <v>10826</v>
      </c>
      <c r="AF1063" s="60">
        <f>Ruimtestaat[[#This Row],[uren / jaar weekend]]+Ruimtestaat[[#This Row],[uren / jaar werkdagen]]</f>
        <v>0</v>
      </c>
      <c r="AG1063" s="61">
        <f>Ruimtestaat[[#This Row],[kosten / jaar weekend]]+Ruimtestaat[[#This Row],[kosten / jaar werkdagen]]</f>
        <v>0</v>
      </c>
      <c r="AH1063" s="92"/>
      <c r="HL1063" s="59"/>
    </row>
    <row r="1064" spans="1:220">
      <c r="A1064" s="24">
        <v>7</v>
      </c>
      <c r="B1064" s="24" t="str">
        <f>VLOOKUP(Ruimtestaat[[#This Row],[Code]],Locaties[#All],2,FALSE)</f>
        <v>Het Vlier</v>
      </c>
      <c r="C1064" s="24" t="str">
        <f>VLOOKUP(Ruimtestaat[[#This Row],[Code]],Locaties[#All],4,FALSE)</f>
        <v>Het Vlier 1</v>
      </c>
      <c r="D1064" s="24" t="str">
        <f>VLOOKUP(Ruimtestaat[[#This Row],[Code]],Locaties[#All],5,FALSE)</f>
        <v>7414 AR</v>
      </c>
      <c r="E1064" s="24" t="str">
        <f>VLOOKUP(Ruimtestaat[[#This Row],[Code]],Locaties[#All],6,FALSE)</f>
        <v>Deventer</v>
      </c>
      <c r="F1064" s="54"/>
      <c r="G1064" s="24" t="s">
        <v>367</v>
      </c>
      <c r="H1064" s="24" t="s">
        <v>1438</v>
      </c>
      <c r="I1064" s="4" t="s">
        <v>1427</v>
      </c>
      <c r="J1064" s="24">
        <v>16</v>
      </c>
      <c r="K1064" s="54" t="str">
        <f>VLOOKUP(J1064,Ruimtegroepen[],2,FALSE)</f>
        <v>Leslokalen theorie</v>
      </c>
      <c r="L1064" s="24" t="s">
        <v>305</v>
      </c>
      <c r="M1064" s="24" t="s">
        <v>400</v>
      </c>
      <c r="N1064" s="83">
        <v>55.52</v>
      </c>
      <c r="O1064" s="83"/>
      <c r="P1064" s="93" t="str">
        <f>LEFT(VLOOKUP(Ruimtestaat[[#This Row],[Ruimte code]],Ruimtegroepen[#All],4,1),2)</f>
        <v>Le</v>
      </c>
      <c r="Q1064" s="93"/>
      <c r="R1064" s="84">
        <v>40</v>
      </c>
      <c r="S1064" s="84" t="s">
        <v>318</v>
      </c>
      <c r="T1064" s="85">
        <f>IF(R1064&gt;0,IF(RIGHT(Ruimtestaat[[#This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4" s="85">
        <f>IF(T1064&gt;0,VLOOKUP($J1064,Ruimtegroepen[],3,FALSE)*VLOOKUP($L1064,Vloersoorten[],3,FALSE)*VLOOKUP($S1064,Frequenties[],3,FALSE)*VLOOKUP($A1064,Locaties[],3,FALSE),0)</f>
        <v>0</v>
      </c>
      <c r="V1064" s="86">
        <f>Ruimtestaat[[#This Row],[Uitvoeringen werkdagen]]*Ruimtestaat[[#This Row],[Oppervlak (netto)]]</f>
        <v>11104</v>
      </c>
      <c r="W1064" s="87">
        <f>IF(U1064&gt;0,Ruimtestaat[[#This Row],[Prest. (m2 /jaar) werkdagen]]/Ruimtestaat[[#This Row],[Norm (m2/uur) werkdagen]],0)</f>
        <v>0</v>
      </c>
      <c r="X1064" s="88">
        <f>Ruimtestaat[[#This Row],[uren / jaar werkdagen]]*Tariefsopbouw!$E$35</f>
        <v>0</v>
      </c>
      <c r="Y1064" s="85"/>
      <c r="Z1064" s="89">
        <f>IF(Ruimtestaat[[#This Row],[Frequentie weekend]]&gt;0,VALUE(LEFT(Y1064,1))*R1064,0)</f>
        <v>0</v>
      </c>
      <c r="AA1064" s="85">
        <f>IF($Z1064&gt;0,VLOOKUP($J1064,Ruimtegroepen[],3,FALSE)*VLOOKUP($L1064,Vloersoorten[],3,FALSE)*VLOOKUP($Y1064,Frequenties[],3,FALSE)*VLOOKUP(#REF!,Locaties[],3,FALSE),0)</f>
        <v>0</v>
      </c>
      <c r="AB1064" s="87">
        <f>Ruimtestaat[[#This Row],[Uitvoeringen weekend]]*Ruimtestaat[[#This Row],[Oppervlak (netto)]]</f>
        <v>0</v>
      </c>
      <c r="AC1064" s="90">
        <f>IF(AB1064&gt;0,Ruimtestaat[[#This Row],[Prest. (m2 /jaar) weekend]]/Ruimtestaat[[#This Row],[Norm (m2/uur) weekend]],0)</f>
        <v>0</v>
      </c>
      <c r="AD1064" s="91">
        <f>Ruimtestaat[[#This Row],[uren / jaar weekend]]*Tariefsopbouw!$D$40</f>
        <v>0</v>
      </c>
      <c r="AE1064" s="60">
        <f>Ruimtestaat[[#This Row],[Prest. (m2 /jaar) weekend]]+Ruimtestaat[[#This Row],[Prest. (m2 /jaar) werkdagen]]</f>
        <v>11104</v>
      </c>
      <c r="AF1064" s="60">
        <f>Ruimtestaat[[#This Row],[uren / jaar weekend]]+Ruimtestaat[[#This Row],[uren / jaar werkdagen]]</f>
        <v>0</v>
      </c>
      <c r="AG1064" s="61">
        <f>Ruimtestaat[[#This Row],[kosten / jaar weekend]]+Ruimtestaat[[#This Row],[kosten / jaar werkdagen]]</f>
        <v>0</v>
      </c>
      <c r="AH1064" s="92"/>
      <c r="HL1064" s="59"/>
    </row>
    <row r="1065" spans="1:220">
      <c r="A1065" s="24">
        <v>7</v>
      </c>
      <c r="B1065" s="24" t="str">
        <f>VLOOKUP(Ruimtestaat[[#This Row],[Code]],Locaties[#All],2,FALSE)</f>
        <v>Het Vlier</v>
      </c>
      <c r="C1065" s="24" t="str">
        <f>VLOOKUP(Ruimtestaat[[#This Row],[Code]],Locaties[#All],4,FALSE)</f>
        <v>Het Vlier 1</v>
      </c>
      <c r="D1065" s="24" t="str">
        <f>VLOOKUP(Ruimtestaat[[#This Row],[Code]],Locaties[#All],5,FALSE)</f>
        <v>7414 AR</v>
      </c>
      <c r="E1065" s="24" t="str">
        <f>VLOOKUP(Ruimtestaat[[#This Row],[Code]],Locaties[#All],6,FALSE)</f>
        <v>Deventer</v>
      </c>
      <c r="F1065" s="54"/>
      <c r="G1065" s="24" t="s">
        <v>367</v>
      </c>
      <c r="H1065" s="24" t="s">
        <v>1439</v>
      </c>
      <c r="I1065" s="4" t="s">
        <v>1440</v>
      </c>
      <c r="J1065" s="24">
        <v>2</v>
      </c>
      <c r="K1065" s="54" t="str">
        <f>VLOOKUP(J1065,Ruimtegroepen[],2,FALSE)</f>
        <v>Kantoren</v>
      </c>
      <c r="L1065" s="24" t="s">
        <v>305</v>
      </c>
      <c r="M1065" s="24" t="s">
        <v>400</v>
      </c>
      <c r="N1065" s="83">
        <v>27.39</v>
      </c>
      <c r="O1065" s="83"/>
      <c r="P1065" s="93" t="str">
        <f>LEFT(VLOOKUP(Ruimtestaat[[#This Row],[Ruimte code]],Ruimtegroepen[#All],4,1),2)</f>
        <v>Bu</v>
      </c>
      <c r="Q1065" s="93"/>
      <c r="R1065" s="84">
        <v>42</v>
      </c>
      <c r="S1065" s="84" t="s">
        <v>322</v>
      </c>
      <c r="T1065" s="85">
        <f>IF(R1065&gt;0,IF(RIGHT(Ruimtestaat[[#This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65" s="85">
        <f>IF(T1065&gt;0,VLOOKUP($J1065,Ruimtegroepen[],3,FALSE)*VLOOKUP($L1065,Vloersoorten[],3,FALSE)*VLOOKUP($S1065,Frequenties[],3,FALSE)*VLOOKUP($A1065,Locaties[],3,FALSE),0)</f>
        <v>0</v>
      </c>
      <c r="V1065" s="86">
        <f>Ruimtestaat[[#This Row],[Uitvoeringen werkdagen]]*Ruimtestaat[[#This Row],[Oppervlak (netto)]]</f>
        <v>3451.14</v>
      </c>
      <c r="W1065" s="87">
        <f>IF(U1065&gt;0,Ruimtestaat[[#This Row],[Prest. (m2 /jaar) werkdagen]]/Ruimtestaat[[#This Row],[Norm (m2/uur) werkdagen]],0)</f>
        <v>0</v>
      </c>
      <c r="X1065" s="88">
        <f>Ruimtestaat[[#This Row],[uren / jaar werkdagen]]*Tariefsopbouw!$E$35</f>
        <v>0</v>
      </c>
      <c r="Y1065" s="85"/>
      <c r="Z1065" s="89">
        <f>IF(Ruimtestaat[[#This Row],[Frequentie weekend]]&gt;0,VALUE(LEFT(Y1065,1))*R1065,0)</f>
        <v>0</v>
      </c>
      <c r="AA1065" s="85">
        <f>IF($Z1065&gt;0,VLOOKUP($J1065,Ruimtegroepen[],3,FALSE)*VLOOKUP($L1065,Vloersoorten[],3,FALSE)*VLOOKUP($Y1065,Frequenties[],3,FALSE)*VLOOKUP(#REF!,Locaties[],3,FALSE),0)</f>
        <v>0</v>
      </c>
      <c r="AB1065" s="87">
        <f>Ruimtestaat[[#This Row],[Uitvoeringen weekend]]*Ruimtestaat[[#This Row],[Oppervlak (netto)]]</f>
        <v>0</v>
      </c>
      <c r="AC1065" s="90">
        <f>IF(AB1065&gt;0,Ruimtestaat[[#This Row],[Prest. (m2 /jaar) weekend]]/Ruimtestaat[[#This Row],[Norm (m2/uur) weekend]],0)</f>
        <v>0</v>
      </c>
      <c r="AD1065" s="91">
        <f>Ruimtestaat[[#This Row],[uren / jaar weekend]]*Tariefsopbouw!$D$40</f>
        <v>0</v>
      </c>
      <c r="AE1065" s="60">
        <f>Ruimtestaat[[#This Row],[Prest. (m2 /jaar) weekend]]+Ruimtestaat[[#This Row],[Prest. (m2 /jaar) werkdagen]]</f>
        <v>3451.14</v>
      </c>
      <c r="AF1065" s="60">
        <f>Ruimtestaat[[#This Row],[uren / jaar weekend]]+Ruimtestaat[[#This Row],[uren / jaar werkdagen]]</f>
        <v>0</v>
      </c>
      <c r="AG1065" s="61">
        <f>Ruimtestaat[[#This Row],[kosten / jaar weekend]]+Ruimtestaat[[#This Row],[kosten / jaar werkdagen]]</f>
        <v>0</v>
      </c>
      <c r="AH1065" s="92"/>
      <c r="HL1065" s="59"/>
    </row>
    <row r="1066" spans="1:220">
      <c r="A1066" s="24">
        <v>7</v>
      </c>
      <c r="B1066" s="24" t="str">
        <f>VLOOKUP(Ruimtestaat[[#This Row],[Code]],Locaties[#All],2,FALSE)</f>
        <v>Het Vlier</v>
      </c>
      <c r="C1066" s="24" t="str">
        <f>VLOOKUP(Ruimtestaat[[#This Row],[Code]],Locaties[#All],4,FALSE)</f>
        <v>Het Vlier 1</v>
      </c>
      <c r="D1066" s="24" t="str">
        <f>VLOOKUP(Ruimtestaat[[#This Row],[Code]],Locaties[#All],5,FALSE)</f>
        <v>7414 AR</v>
      </c>
      <c r="E1066" s="24" t="str">
        <f>VLOOKUP(Ruimtestaat[[#This Row],[Code]],Locaties[#All],6,FALSE)</f>
        <v>Deventer</v>
      </c>
      <c r="F1066" s="54"/>
      <c r="G1066" s="24" t="s">
        <v>367</v>
      </c>
      <c r="H1066" s="24" t="s">
        <v>1441</v>
      </c>
      <c r="I1066" s="4" t="s">
        <v>1427</v>
      </c>
      <c r="J1066" s="24">
        <v>16</v>
      </c>
      <c r="K1066" s="54" t="str">
        <f>VLOOKUP(J1066,Ruimtegroepen[],2,FALSE)</f>
        <v>Leslokalen theorie</v>
      </c>
      <c r="L1066" s="24" t="s">
        <v>305</v>
      </c>
      <c r="M1066" s="24" t="s">
        <v>400</v>
      </c>
      <c r="N1066" s="83">
        <v>74.459999999999994</v>
      </c>
      <c r="O1066" s="83"/>
      <c r="P1066" s="93" t="str">
        <f>LEFT(VLOOKUP(Ruimtestaat[[#This Row],[Ruimte code]],Ruimtegroepen[#All],4,1),2)</f>
        <v>Le</v>
      </c>
      <c r="Q1066" s="93"/>
      <c r="R1066" s="84">
        <v>40</v>
      </c>
      <c r="S1066" s="84" t="s">
        <v>318</v>
      </c>
      <c r="T1066" s="85">
        <f>IF(R1066&gt;0,IF(RIGHT(Ruimtestaat[[#This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6" s="85">
        <f>IF(T1066&gt;0,VLOOKUP($J1066,Ruimtegroepen[],3,FALSE)*VLOOKUP($L1066,Vloersoorten[],3,FALSE)*VLOOKUP($S1066,Frequenties[],3,FALSE)*VLOOKUP($A1066,Locaties[],3,FALSE),0)</f>
        <v>0</v>
      </c>
      <c r="V1066" s="86">
        <f>Ruimtestaat[[#This Row],[Uitvoeringen werkdagen]]*Ruimtestaat[[#This Row],[Oppervlak (netto)]]</f>
        <v>14891.999999999998</v>
      </c>
      <c r="W1066" s="87">
        <f>IF(U1066&gt;0,Ruimtestaat[[#This Row],[Prest. (m2 /jaar) werkdagen]]/Ruimtestaat[[#This Row],[Norm (m2/uur) werkdagen]],0)</f>
        <v>0</v>
      </c>
      <c r="X1066" s="88">
        <f>Ruimtestaat[[#This Row],[uren / jaar werkdagen]]*Tariefsopbouw!$E$35</f>
        <v>0</v>
      </c>
      <c r="Y1066" s="85"/>
      <c r="Z1066" s="89">
        <f>IF(Ruimtestaat[[#This Row],[Frequentie weekend]]&gt;0,VALUE(LEFT(Y1066,1))*R1066,0)</f>
        <v>0</v>
      </c>
      <c r="AA1066" s="85">
        <f>IF($Z1066&gt;0,VLOOKUP($J1066,Ruimtegroepen[],3,FALSE)*VLOOKUP($L1066,Vloersoorten[],3,FALSE)*VLOOKUP($Y1066,Frequenties[],3,FALSE)*VLOOKUP(#REF!,Locaties[],3,FALSE),0)</f>
        <v>0</v>
      </c>
      <c r="AB1066" s="87">
        <f>Ruimtestaat[[#This Row],[Uitvoeringen weekend]]*Ruimtestaat[[#This Row],[Oppervlak (netto)]]</f>
        <v>0</v>
      </c>
      <c r="AC1066" s="90">
        <f>IF(AB1066&gt;0,Ruimtestaat[[#This Row],[Prest. (m2 /jaar) weekend]]/Ruimtestaat[[#This Row],[Norm (m2/uur) weekend]],0)</f>
        <v>0</v>
      </c>
      <c r="AD1066" s="91">
        <f>Ruimtestaat[[#This Row],[uren / jaar weekend]]*Tariefsopbouw!$D$40</f>
        <v>0</v>
      </c>
      <c r="AE1066" s="60">
        <f>Ruimtestaat[[#This Row],[Prest. (m2 /jaar) weekend]]+Ruimtestaat[[#This Row],[Prest. (m2 /jaar) werkdagen]]</f>
        <v>14891.999999999998</v>
      </c>
      <c r="AF1066" s="60">
        <f>Ruimtestaat[[#This Row],[uren / jaar weekend]]+Ruimtestaat[[#This Row],[uren / jaar werkdagen]]</f>
        <v>0</v>
      </c>
      <c r="AG1066" s="61">
        <f>Ruimtestaat[[#This Row],[kosten / jaar weekend]]+Ruimtestaat[[#This Row],[kosten / jaar werkdagen]]</f>
        <v>0</v>
      </c>
      <c r="AH1066" s="92"/>
      <c r="HL1066" s="59"/>
    </row>
    <row r="1067" spans="1:220">
      <c r="A1067" s="24">
        <v>7</v>
      </c>
      <c r="B1067" s="24" t="str">
        <f>VLOOKUP(Ruimtestaat[[#This Row],[Code]],Locaties[#All],2,FALSE)</f>
        <v>Het Vlier</v>
      </c>
      <c r="C1067" s="24" t="str">
        <f>VLOOKUP(Ruimtestaat[[#This Row],[Code]],Locaties[#All],4,FALSE)</f>
        <v>Het Vlier 1</v>
      </c>
      <c r="D1067" s="24" t="str">
        <f>VLOOKUP(Ruimtestaat[[#This Row],[Code]],Locaties[#All],5,FALSE)</f>
        <v>7414 AR</v>
      </c>
      <c r="E1067" s="24" t="str">
        <f>VLOOKUP(Ruimtestaat[[#This Row],[Code]],Locaties[#All],6,FALSE)</f>
        <v>Deventer</v>
      </c>
      <c r="F1067" s="54"/>
      <c r="G1067" s="24" t="s">
        <v>367</v>
      </c>
      <c r="H1067" s="24" t="s">
        <v>1442</v>
      </c>
      <c r="I1067" s="4" t="s">
        <v>1443</v>
      </c>
      <c r="J1067" s="24">
        <v>2</v>
      </c>
      <c r="K1067" s="54" t="str">
        <f>VLOOKUP(J1067,Ruimtegroepen[],2,FALSE)</f>
        <v>Kantoren</v>
      </c>
      <c r="L1067" s="24" t="s">
        <v>305</v>
      </c>
      <c r="M1067" s="24" t="s">
        <v>400</v>
      </c>
      <c r="N1067" s="83">
        <v>17.309999999999999</v>
      </c>
      <c r="O1067" s="83"/>
      <c r="P1067" s="93" t="str">
        <f>LEFT(VLOOKUP(Ruimtestaat[[#This Row],[Ruimte code]],Ruimtegroepen[#All],4,1),2)</f>
        <v>Bu</v>
      </c>
      <c r="Q1067" s="93"/>
      <c r="R1067" s="84">
        <v>42</v>
      </c>
      <c r="S1067" s="84" t="s">
        <v>322</v>
      </c>
      <c r="T1067" s="85">
        <f>IF(R1067&gt;0,IF(RIGHT(Ruimtestaat[[#This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67" s="85">
        <f>IF(T1067&gt;0,VLOOKUP($J1067,Ruimtegroepen[],3,FALSE)*VLOOKUP($L1067,Vloersoorten[],3,FALSE)*VLOOKUP($S1067,Frequenties[],3,FALSE)*VLOOKUP($A1067,Locaties[],3,FALSE),0)</f>
        <v>0</v>
      </c>
      <c r="V1067" s="86">
        <f>Ruimtestaat[[#This Row],[Uitvoeringen werkdagen]]*Ruimtestaat[[#This Row],[Oppervlak (netto)]]</f>
        <v>2181.06</v>
      </c>
      <c r="W1067" s="87">
        <f>IF(U1067&gt;0,Ruimtestaat[[#This Row],[Prest. (m2 /jaar) werkdagen]]/Ruimtestaat[[#This Row],[Norm (m2/uur) werkdagen]],0)</f>
        <v>0</v>
      </c>
      <c r="X1067" s="88">
        <f>Ruimtestaat[[#This Row],[uren / jaar werkdagen]]*Tariefsopbouw!$E$35</f>
        <v>0</v>
      </c>
      <c r="Y1067" s="85"/>
      <c r="Z1067" s="89">
        <f>IF(Ruimtestaat[[#This Row],[Frequentie weekend]]&gt;0,VALUE(LEFT(Y1067,1))*R1067,0)</f>
        <v>0</v>
      </c>
      <c r="AA1067" s="85">
        <f>IF($Z1067&gt;0,VLOOKUP($J1067,Ruimtegroepen[],3,FALSE)*VLOOKUP($L1067,Vloersoorten[],3,FALSE)*VLOOKUP($Y1067,Frequenties[],3,FALSE)*VLOOKUP(#REF!,Locaties[],3,FALSE),0)</f>
        <v>0</v>
      </c>
      <c r="AB1067" s="87">
        <f>Ruimtestaat[[#This Row],[Uitvoeringen weekend]]*Ruimtestaat[[#This Row],[Oppervlak (netto)]]</f>
        <v>0</v>
      </c>
      <c r="AC1067" s="90">
        <f>IF(AB1067&gt;0,Ruimtestaat[[#This Row],[Prest. (m2 /jaar) weekend]]/Ruimtestaat[[#This Row],[Norm (m2/uur) weekend]],0)</f>
        <v>0</v>
      </c>
      <c r="AD1067" s="91">
        <f>Ruimtestaat[[#This Row],[uren / jaar weekend]]*Tariefsopbouw!$D$40</f>
        <v>0</v>
      </c>
      <c r="AE1067" s="60">
        <f>Ruimtestaat[[#This Row],[Prest. (m2 /jaar) weekend]]+Ruimtestaat[[#This Row],[Prest. (m2 /jaar) werkdagen]]</f>
        <v>2181.06</v>
      </c>
      <c r="AF1067" s="60">
        <f>Ruimtestaat[[#This Row],[uren / jaar weekend]]+Ruimtestaat[[#This Row],[uren / jaar werkdagen]]</f>
        <v>0</v>
      </c>
      <c r="AG1067" s="61">
        <f>Ruimtestaat[[#This Row],[kosten / jaar weekend]]+Ruimtestaat[[#This Row],[kosten / jaar werkdagen]]</f>
        <v>0</v>
      </c>
      <c r="AH1067" s="92"/>
      <c r="HL1067" s="59"/>
    </row>
    <row r="1068" spans="1:220">
      <c r="A1068" s="24">
        <v>7</v>
      </c>
      <c r="B1068" s="24" t="str">
        <f>VLOOKUP(Ruimtestaat[[#This Row],[Code]],Locaties[#All],2,FALSE)</f>
        <v>Het Vlier</v>
      </c>
      <c r="C1068" s="24" t="str">
        <f>VLOOKUP(Ruimtestaat[[#This Row],[Code]],Locaties[#All],4,FALSE)</f>
        <v>Het Vlier 1</v>
      </c>
      <c r="D1068" s="24" t="str">
        <f>VLOOKUP(Ruimtestaat[[#This Row],[Code]],Locaties[#All],5,FALSE)</f>
        <v>7414 AR</v>
      </c>
      <c r="E1068" s="24" t="str">
        <f>VLOOKUP(Ruimtestaat[[#This Row],[Code]],Locaties[#All],6,FALSE)</f>
        <v>Deventer</v>
      </c>
      <c r="F1068" s="54"/>
      <c r="G1068" s="24" t="s">
        <v>367</v>
      </c>
      <c r="H1068" s="24" t="s">
        <v>1444</v>
      </c>
      <c r="I1068" s="4" t="s">
        <v>1363</v>
      </c>
      <c r="J1068" s="24">
        <v>2</v>
      </c>
      <c r="K1068" s="54" t="str">
        <f>VLOOKUP(J1068,Ruimtegroepen[],2,FALSE)</f>
        <v>Kantoren</v>
      </c>
      <c r="L1068" s="24" t="s">
        <v>305</v>
      </c>
      <c r="M1068" s="24" t="s">
        <v>400</v>
      </c>
      <c r="N1068" s="83">
        <v>24.41</v>
      </c>
      <c r="O1068" s="83"/>
      <c r="P1068" s="93" t="str">
        <f>LEFT(VLOOKUP(Ruimtestaat[[#This Row],[Ruimte code]],Ruimtegroepen[#All],4,1),2)</f>
        <v>Bu</v>
      </c>
      <c r="Q1068" s="93"/>
      <c r="R1068" s="84">
        <v>42</v>
      </c>
      <c r="S1068" s="84" t="s">
        <v>322</v>
      </c>
      <c r="T1068" s="85">
        <f>IF(R1068&gt;0,IF(RIGHT(Ruimtestaat[[#This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68" s="85">
        <f>IF(T1068&gt;0,VLOOKUP($J1068,Ruimtegroepen[],3,FALSE)*VLOOKUP($L1068,Vloersoorten[],3,FALSE)*VLOOKUP($S1068,Frequenties[],3,FALSE)*VLOOKUP($A1068,Locaties[],3,FALSE),0)</f>
        <v>0</v>
      </c>
      <c r="V1068" s="86">
        <f>Ruimtestaat[[#This Row],[Uitvoeringen werkdagen]]*Ruimtestaat[[#This Row],[Oppervlak (netto)]]</f>
        <v>3075.66</v>
      </c>
      <c r="W1068" s="87">
        <f>IF(U1068&gt;0,Ruimtestaat[[#This Row],[Prest. (m2 /jaar) werkdagen]]/Ruimtestaat[[#This Row],[Norm (m2/uur) werkdagen]],0)</f>
        <v>0</v>
      </c>
      <c r="X1068" s="88">
        <f>Ruimtestaat[[#This Row],[uren / jaar werkdagen]]*Tariefsopbouw!$E$35</f>
        <v>0</v>
      </c>
      <c r="Y1068" s="85"/>
      <c r="Z1068" s="89">
        <f>IF(Ruimtestaat[[#This Row],[Frequentie weekend]]&gt;0,VALUE(LEFT(Y1068,1))*R1068,0)</f>
        <v>0</v>
      </c>
      <c r="AA1068" s="85">
        <f>IF($Z1068&gt;0,VLOOKUP($J1068,Ruimtegroepen[],3,FALSE)*VLOOKUP($L1068,Vloersoorten[],3,FALSE)*VLOOKUP($Y1068,Frequenties[],3,FALSE)*VLOOKUP(#REF!,Locaties[],3,FALSE),0)</f>
        <v>0</v>
      </c>
      <c r="AB1068" s="87">
        <f>Ruimtestaat[[#This Row],[Uitvoeringen weekend]]*Ruimtestaat[[#This Row],[Oppervlak (netto)]]</f>
        <v>0</v>
      </c>
      <c r="AC1068" s="90">
        <f>IF(AB1068&gt;0,Ruimtestaat[[#This Row],[Prest. (m2 /jaar) weekend]]/Ruimtestaat[[#This Row],[Norm (m2/uur) weekend]],0)</f>
        <v>0</v>
      </c>
      <c r="AD1068" s="91">
        <f>Ruimtestaat[[#This Row],[uren / jaar weekend]]*Tariefsopbouw!$D$40</f>
        <v>0</v>
      </c>
      <c r="AE1068" s="60">
        <f>Ruimtestaat[[#This Row],[Prest. (m2 /jaar) weekend]]+Ruimtestaat[[#This Row],[Prest. (m2 /jaar) werkdagen]]</f>
        <v>3075.66</v>
      </c>
      <c r="AF1068" s="60">
        <f>Ruimtestaat[[#This Row],[uren / jaar weekend]]+Ruimtestaat[[#This Row],[uren / jaar werkdagen]]</f>
        <v>0</v>
      </c>
      <c r="AG1068" s="61">
        <f>Ruimtestaat[[#This Row],[kosten / jaar weekend]]+Ruimtestaat[[#This Row],[kosten / jaar werkdagen]]</f>
        <v>0</v>
      </c>
      <c r="AH1068" s="92"/>
      <c r="HL1068" s="59"/>
    </row>
    <row r="1069" spans="1:220">
      <c r="A1069" s="24">
        <v>7</v>
      </c>
      <c r="B1069" s="24" t="str">
        <f>VLOOKUP(Ruimtestaat[[#This Row],[Code]],Locaties[#All],2,FALSE)</f>
        <v>Het Vlier</v>
      </c>
      <c r="C1069" s="24" t="str">
        <f>VLOOKUP(Ruimtestaat[[#This Row],[Code]],Locaties[#All],4,FALSE)</f>
        <v>Het Vlier 1</v>
      </c>
      <c r="D1069" s="24" t="str">
        <f>VLOOKUP(Ruimtestaat[[#This Row],[Code]],Locaties[#All],5,FALSE)</f>
        <v>7414 AR</v>
      </c>
      <c r="E1069" s="24" t="str">
        <f>VLOOKUP(Ruimtestaat[[#This Row],[Code]],Locaties[#All],6,FALSE)</f>
        <v>Deventer</v>
      </c>
      <c r="F1069" s="54"/>
      <c r="G1069" s="24" t="s">
        <v>367</v>
      </c>
      <c r="H1069" s="24" t="s">
        <v>1445</v>
      </c>
      <c r="I1069" s="4" t="s">
        <v>1363</v>
      </c>
      <c r="J1069" s="24">
        <v>2</v>
      </c>
      <c r="K1069" s="54" t="str">
        <f>VLOOKUP(J1069,Ruimtegroepen[],2,FALSE)</f>
        <v>Kantoren</v>
      </c>
      <c r="L1069" s="24" t="s">
        <v>305</v>
      </c>
      <c r="M1069" s="24" t="s">
        <v>400</v>
      </c>
      <c r="N1069" s="83">
        <v>22.78</v>
      </c>
      <c r="O1069" s="83"/>
      <c r="P1069" s="93" t="str">
        <f>LEFT(VLOOKUP(Ruimtestaat[[#This Row],[Ruimte code]],Ruimtegroepen[#All],4,1),2)</f>
        <v>Bu</v>
      </c>
      <c r="Q1069" s="93"/>
      <c r="R1069" s="84">
        <v>42</v>
      </c>
      <c r="S1069" s="84" t="s">
        <v>322</v>
      </c>
      <c r="T1069" s="85">
        <f>IF(R1069&gt;0,IF(RIGHT(Ruimtestaat[[#This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69" s="85">
        <f>IF(T1069&gt;0,VLOOKUP($J1069,Ruimtegroepen[],3,FALSE)*VLOOKUP($L1069,Vloersoorten[],3,FALSE)*VLOOKUP($S1069,Frequenties[],3,FALSE)*VLOOKUP($A1069,Locaties[],3,FALSE),0)</f>
        <v>0</v>
      </c>
      <c r="V1069" s="86">
        <f>Ruimtestaat[[#This Row],[Uitvoeringen werkdagen]]*Ruimtestaat[[#This Row],[Oppervlak (netto)]]</f>
        <v>2870.28</v>
      </c>
      <c r="W1069" s="87">
        <f>IF(U1069&gt;0,Ruimtestaat[[#This Row],[Prest. (m2 /jaar) werkdagen]]/Ruimtestaat[[#This Row],[Norm (m2/uur) werkdagen]],0)</f>
        <v>0</v>
      </c>
      <c r="X1069" s="88">
        <f>Ruimtestaat[[#This Row],[uren / jaar werkdagen]]*Tariefsopbouw!$E$35</f>
        <v>0</v>
      </c>
      <c r="Y1069" s="85"/>
      <c r="Z1069" s="89">
        <f>IF(Ruimtestaat[[#This Row],[Frequentie weekend]]&gt;0,VALUE(LEFT(Y1069,1))*R1069,0)</f>
        <v>0</v>
      </c>
      <c r="AA1069" s="85">
        <f>IF($Z1069&gt;0,VLOOKUP($J1069,Ruimtegroepen[],3,FALSE)*VLOOKUP($L1069,Vloersoorten[],3,FALSE)*VLOOKUP($Y1069,Frequenties[],3,FALSE)*VLOOKUP(#REF!,Locaties[],3,FALSE),0)</f>
        <v>0</v>
      </c>
      <c r="AB1069" s="87">
        <f>Ruimtestaat[[#This Row],[Uitvoeringen weekend]]*Ruimtestaat[[#This Row],[Oppervlak (netto)]]</f>
        <v>0</v>
      </c>
      <c r="AC1069" s="90">
        <f>IF(AB1069&gt;0,Ruimtestaat[[#This Row],[Prest. (m2 /jaar) weekend]]/Ruimtestaat[[#This Row],[Norm (m2/uur) weekend]],0)</f>
        <v>0</v>
      </c>
      <c r="AD1069" s="91">
        <f>Ruimtestaat[[#This Row],[uren / jaar weekend]]*Tariefsopbouw!$D$40</f>
        <v>0</v>
      </c>
      <c r="AE1069" s="60">
        <f>Ruimtestaat[[#This Row],[Prest. (m2 /jaar) weekend]]+Ruimtestaat[[#This Row],[Prest. (m2 /jaar) werkdagen]]</f>
        <v>2870.28</v>
      </c>
      <c r="AF1069" s="60">
        <f>Ruimtestaat[[#This Row],[uren / jaar weekend]]+Ruimtestaat[[#This Row],[uren / jaar werkdagen]]</f>
        <v>0</v>
      </c>
      <c r="AG1069" s="61">
        <f>Ruimtestaat[[#This Row],[kosten / jaar weekend]]+Ruimtestaat[[#This Row],[kosten / jaar werkdagen]]</f>
        <v>0</v>
      </c>
      <c r="AH1069" s="92"/>
      <c r="HL1069" s="59"/>
    </row>
    <row r="1070" spans="1:220">
      <c r="A1070" s="24">
        <v>7</v>
      </c>
      <c r="B1070" s="24" t="str">
        <f>VLOOKUP(Ruimtestaat[[#This Row],[Code]],Locaties[#All],2,FALSE)</f>
        <v>Het Vlier</v>
      </c>
      <c r="C1070" s="24" t="str">
        <f>VLOOKUP(Ruimtestaat[[#This Row],[Code]],Locaties[#All],4,FALSE)</f>
        <v>Het Vlier 1</v>
      </c>
      <c r="D1070" s="24" t="str">
        <f>VLOOKUP(Ruimtestaat[[#This Row],[Code]],Locaties[#All],5,FALSE)</f>
        <v>7414 AR</v>
      </c>
      <c r="E1070" s="24" t="str">
        <f>VLOOKUP(Ruimtestaat[[#This Row],[Code]],Locaties[#All],6,FALSE)</f>
        <v>Deventer</v>
      </c>
      <c r="F1070" s="54"/>
      <c r="G1070" s="24" t="s">
        <v>367</v>
      </c>
      <c r="H1070" s="24" t="s">
        <v>1446</v>
      </c>
      <c r="I1070" s="4" t="s">
        <v>1363</v>
      </c>
      <c r="J1070" s="24">
        <v>2</v>
      </c>
      <c r="K1070" s="54" t="str">
        <f>VLOOKUP(J1070,Ruimtegroepen[],2,FALSE)</f>
        <v>Kantoren</v>
      </c>
      <c r="L1070" s="24" t="s">
        <v>305</v>
      </c>
      <c r="M1070" s="24" t="s">
        <v>400</v>
      </c>
      <c r="N1070" s="83">
        <v>13.99</v>
      </c>
      <c r="O1070" s="83"/>
      <c r="P1070" s="93" t="str">
        <f>LEFT(VLOOKUP(Ruimtestaat[[#This Row],[Ruimte code]],Ruimtegroepen[#All],4,1),2)</f>
        <v>Bu</v>
      </c>
      <c r="Q1070" s="93"/>
      <c r="R1070" s="84">
        <v>42</v>
      </c>
      <c r="S1070" s="84" t="s">
        <v>322</v>
      </c>
      <c r="T1070" s="85">
        <f>IF(R1070&gt;0,IF(RIGHT(Ruimtestaat[[#This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70" s="85">
        <f>IF(T1070&gt;0,VLOOKUP($J1070,Ruimtegroepen[],3,FALSE)*VLOOKUP($L1070,Vloersoorten[],3,FALSE)*VLOOKUP($S1070,Frequenties[],3,FALSE)*VLOOKUP($A1070,Locaties[],3,FALSE),0)</f>
        <v>0</v>
      </c>
      <c r="V1070" s="86">
        <f>Ruimtestaat[[#This Row],[Uitvoeringen werkdagen]]*Ruimtestaat[[#This Row],[Oppervlak (netto)]]</f>
        <v>1762.74</v>
      </c>
      <c r="W1070" s="87">
        <f>IF(U1070&gt;0,Ruimtestaat[[#This Row],[Prest. (m2 /jaar) werkdagen]]/Ruimtestaat[[#This Row],[Norm (m2/uur) werkdagen]],0)</f>
        <v>0</v>
      </c>
      <c r="X1070" s="88">
        <f>Ruimtestaat[[#This Row],[uren / jaar werkdagen]]*Tariefsopbouw!$E$35</f>
        <v>0</v>
      </c>
      <c r="Y1070" s="85"/>
      <c r="Z1070" s="89">
        <f>IF(Ruimtestaat[[#This Row],[Frequentie weekend]]&gt;0,VALUE(LEFT(Y1070,1))*R1070,0)</f>
        <v>0</v>
      </c>
      <c r="AA1070" s="85">
        <f>IF($Z1070&gt;0,VLOOKUP($J1070,Ruimtegroepen[],3,FALSE)*VLOOKUP($L1070,Vloersoorten[],3,FALSE)*VLOOKUP($Y1070,Frequenties[],3,FALSE)*VLOOKUP(#REF!,Locaties[],3,FALSE),0)</f>
        <v>0</v>
      </c>
      <c r="AB1070" s="87">
        <f>Ruimtestaat[[#This Row],[Uitvoeringen weekend]]*Ruimtestaat[[#This Row],[Oppervlak (netto)]]</f>
        <v>0</v>
      </c>
      <c r="AC1070" s="90">
        <f>IF(AB1070&gt;0,Ruimtestaat[[#This Row],[Prest. (m2 /jaar) weekend]]/Ruimtestaat[[#This Row],[Norm (m2/uur) weekend]],0)</f>
        <v>0</v>
      </c>
      <c r="AD1070" s="91">
        <f>Ruimtestaat[[#This Row],[uren / jaar weekend]]*Tariefsopbouw!$D$40</f>
        <v>0</v>
      </c>
      <c r="AE1070" s="60">
        <f>Ruimtestaat[[#This Row],[Prest. (m2 /jaar) weekend]]+Ruimtestaat[[#This Row],[Prest. (m2 /jaar) werkdagen]]</f>
        <v>1762.74</v>
      </c>
      <c r="AF1070" s="60">
        <f>Ruimtestaat[[#This Row],[uren / jaar weekend]]+Ruimtestaat[[#This Row],[uren / jaar werkdagen]]</f>
        <v>0</v>
      </c>
      <c r="AG1070" s="61">
        <f>Ruimtestaat[[#This Row],[kosten / jaar weekend]]+Ruimtestaat[[#This Row],[kosten / jaar werkdagen]]</f>
        <v>0</v>
      </c>
      <c r="AH1070" s="92"/>
      <c r="HL1070" s="59"/>
    </row>
    <row r="1071" spans="1:220">
      <c r="A1071" s="24">
        <v>7</v>
      </c>
      <c r="B1071" s="24" t="str">
        <f>VLOOKUP(Ruimtestaat[[#This Row],[Code]],Locaties[#All],2,FALSE)</f>
        <v>Het Vlier</v>
      </c>
      <c r="C1071" s="24" t="str">
        <f>VLOOKUP(Ruimtestaat[[#This Row],[Code]],Locaties[#All],4,FALSE)</f>
        <v>Het Vlier 1</v>
      </c>
      <c r="D1071" s="24" t="str">
        <f>VLOOKUP(Ruimtestaat[[#This Row],[Code]],Locaties[#All],5,FALSE)</f>
        <v>7414 AR</v>
      </c>
      <c r="E1071" s="24" t="str">
        <f>VLOOKUP(Ruimtestaat[[#This Row],[Code]],Locaties[#All],6,FALSE)</f>
        <v>Deventer</v>
      </c>
      <c r="F1071" s="54"/>
      <c r="G1071" s="24" t="s">
        <v>367</v>
      </c>
      <c r="H1071" s="24" t="s">
        <v>1447</v>
      </c>
      <c r="I1071" s="4" t="s">
        <v>1363</v>
      </c>
      <c r="J1071" s="24">
        <v>2</v>
      </c>
      <c r="K1071" s="54" t="str">
        <f>VLOOKUP(J1071,Ruimtegroepen[],2,FALSE)</f>
        <v>Kantoren</v>
      </c>
      <c r="L1071" s="24" t="s">
        <v>305</v>
      </c>
      <c r="M1071" s="24" t="s">
        <v>400</v>
      </c>
      <c r="N1071" s="83">
        <v>16.37</v>
      </c>
      <c r="O1071" s="83"/>
      <c r="P1071" s="93" t="str">
        <f>LEFT(VLOOKUP(Ruimtestaat[[#This Row],[Ruimte code]],Ruimtegroepen[#All],4,1),2)</f>
        <v>Bu</v>
      </c>
      <c r="Q1071" s="93"/>
      <c r="R1071" s="84">
        <v>42</v>
      </c>
      <c r="S1071" s="84" t="s">
        <v>322</v>
      </c>
      <c r="T1071" s="85">
        <f>IF(R1071&gt;0,IF(RIGHT(Ruimtestaat[[#This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71" s="85">
        <f>IF(T1071&gt;0,VLOOKUP($J1071,Ruimtegroepen[],3,FALSE)*VLOOKUP($L1071,Vloersoorten[],3,FALSE)*VLOOKUP($S1071,Frequenties[],3,FALSE)*VLOOKUP($A1071,Locaties[],3,FALSE),0)</f>
        <v>0</v>
      </c>
      <c r="V1071" s="86">
        <f>Ruimtestaat[[#This Row],[Uitvoeringen werkdagen]]*Ruimtestaat[[#This Row],[Oppervlak (netto)]]</f>
        <v>2062.6200000000003</v>
      </c>
      <c r="W1071" s="87">
        <f>IF(U1071&gt;0,Ruimtestaat[[#This Row],[Prest. (m2 /jaar) werkdagen]]/Ruimtestaat[[#This Row],[Norm (m2/uur) werkdagen]],0)</f>
        <v>0</v>
      </c>
      <c r="X1071" s="88">
        <f>Ruimtestaat[[#This Row],[uren / jaar werkdagen]]*Tariefsopbouw!$E$35</f>
        <v>0</v>
      </c>
      <c r="Y1071" s="85"/>
      <c r="Z1071" s="89">
        <f>IF(Ruimtestaat[[#This Row],[Frequentie weekend]]&gt;0,VALUE(LEFT(Y1071,1))*R1071,0)</f>
        <v>0</v>
      </c>
      <c r="AA1071" s="85">
        <f>IF($Z1071&gt;0,VLOOKUP($J1071,Ruimtegroepen[],3,FALSE)*VLOOKUP($L1071,Vloersoorten[],3,FALSE)*VLOOKUP($Y1071,Frequenties[],3,FALSE)*VLOOKUP(#REF!,Locaties[],3,FALSE),0)</f>
        <v>0</v>
      </c>
      <c r="AB1071" s="87">
        <f>Ruimtestaat[[#This Row],[Uitvoeringen weekend]]*Ruimtestaat[[#This Row],[Oppervlak (netto)]]</f>
        <v>0</v>
      </c>
      <c r="AC1071" s="90">
        <f>IF(AB1071&gt;0,Ruimtestaat[[#This Row],[Prest. (m2 /jaar) weekend]]/Ruimtestaat[[#This Row],[Norm (m2/uur) weekend]],0)</f>
        <v>0</v>
      </c>
      <c r="AD1071" s="91">
        <f>Ruimtestaat[[#This Row],[uren / jaar weekend]]*Tariefsopbouw!$D$40</f>
        <v>0</v>
      </c>
      <c r="AE1071" s="60">
        <f>Ruimtestaat[[#This Row],[Prest. (m2 /jaar) weekend]]+Ruimtestaat[[#This Row],[Prest. (m2 /jaar) werkdagen]]</f>
        <v>2062.6200000000003</v>
      </c>
      <c r="AF1071" s="60">
        <f>Ruimtestaat[[#This Row],[uren / jaar weekend]]+Ruimtestaat[[#This Row],[uren / jaar werkdagen]]</f>
        <v>0</v>
      </c>
      <c r="AG1071" s="61">
        <f>Ruimtestaat[[#This Row],[kosten / jaar weekend]]+Ruimtestaat[[#This Row],[kosten / jaar werkdagen]]</f>
        <v>0</v>
      </c>
      <c r="AH1071" s="92"/>
      <c r="HL1071" s="59"/>
    </row>
    <row r="1072" spans="1:220">
      <c r="A1072" s="24">
        <v>7</v>
      </c>
      <c r="B1072" s="24" t="str">
        <f>VLOOKUP(Ruimtestaat[[#This Row],[Code]],Locaties[#All],2,FALSE)</f>
        <v>Het Vlier</v>
      </c>
      <c r="C1072" s="24" t="str">
        <f>VLOOKUP(Ruimtestaat[[#This Row],[Code]],Locaties[#All],4,FALSE)</f>
        <v>Het Vlier 1</v>
      </c>
      <c r="D1072" s="24" t="str">
        <f>VLOOKUP(Ruimtestaat[[#This Row],[Code]],Locaties[#All],5,FALSE)</f>
        <v>7414 AR</v>
      </c>
      <c r="E1072" s="24" t="str">
        <f>VLOOKUP(Ruimtestaat[[#This Row],[Code]],Locaties[#All],6,FALSE)</f>
        <v>Deventer</v>
      </c>
      <c r="F1072" s="54"/>
      <c r="G1072" s="24" t="s">
        <v>367</v>
      </c>
      <c r="H1072" s="24" t="s">
        <v>1448</v>
      </c>
      <c r="I1072" s="4" t="s">
        <v>1449</v>
      </c>
      <c r="J1072" s="24">
        <v>22</v>
      </c>
      <c r="K1072" s="54" t="str">
        <f>VLOOKUP(J1072,Ruimtegroepen[],2,FALSE)</f>
        <v>Niet in onderhoud</v>
      </c>
      <c r="M1072" s="24"/>
      <c r="N1072" s="83"/>
      <c r="O1072" s="83">
        <v>54.33</v>
      </c>
      <c r="P1072" s="93" t="str">
        <f>LEFT(VLOOKUP(Ruimtestaat[[#This Row],[Ruimte code]],Ruimtegroepen[#All],4,1),2)</f>
        <v/>
      </c>
      <c r="Q1072" s="93"/>
      <c r="R1072" s="84"/>
      <c r="S1072" s="84"/>
      <c r="T1072" s="85">
        <f>IF(R1072&gt;0,IF(RIGHT(Ruimtestaat[[#This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72" s="85">
        <f>IF(T1072&gt;0,VLOOKUP($J1072,Ruimtegroepen[],3,FALSE)*VLOOKUP($L1072,Vloersoorten[],3,FALSE)*VLOOKUP($S1072,Frequenties[],3,FALSE)*VLOOKUP($A1072,Locaties[],3,FALSE),0)</f>
        <v>0</v>
      </c>
      <c r="V1072" s="86">
        <f>Ruimtestaat[[#This Row],[Uitvoeringen werkdagen]]*Ruimtestaat[[#This Row],[Oppervlak (netto)]]</f>
        <v>0</v>
      </c>
      <c r="W1072" s="87">
        <f>IF(U1072&gt;0,Ruimtestaat[[#This Row],[Prest. (m2 /jaar) werkdagen]]/Ruimtestaat[[#This Row],[Norm (m2/uur) werkdagen]],0)</f>
        <v>0</v>
      </c>
      <c r="X1072" s="88">
        <f>Ruimtestaat[[#This Row],[uren / jaar werkdagen]]*Tariefsopbouw!$E$35</f>
        <v>0</v>
      </c>
      <c r="Y1072" s="85"/>
      <c r="Z1072" s="89">
        <f>IF(Ruimtestaat[[#This Row],[Frequentie weekend]]&gt;0,VALUE(LEFT(Y1072,1))*R1072,0)</f>
        <v>0</v>
      </c>
      <c r="AA1072" s="85">
        <f>IF($Z1072&gt;0,VLOOKUP($J1072,Ruimtegroepen[],3,FALSE)*VLOOKUP($L1072,Vloersoorten[],3,FALSE)*VLOOKUP($Y1072,Frequenties[],3,FALSE)*VLOOKUP(#REF!,Locaties[],3,FALSE),0)</f>
        <v>0</v>
      </c>
      <c r="AB1072" s="87">
        <f>Ruimtestaat[[#This Row],[Uitvoeringen weekend]]*Ruimtestaat[[#This Row],[Oppervlak (netto)]]</f>
        <v>0</v>
      </c>
      <c r="AC1072" s="90">
        <f>IF(AB1072&gt;0,Ruimtestaat[[#This Row],[Prest. (m2 /jaar) weekend]]/Ruimtestaat[[#This Row],[Norm (m2/uur) weekend]],0)</f>
        <v>0</v>
      </c>
      <c r="AD1072" s="91">
        <f>Ruimtestaat[[#This Row],[uren / jaar weekend]]*Tariefsopbouw!$D$40</f>
        <v>0</v>
      </c>
      <c r="AE1072" s="60">
        <f>Ruimtestaat[[#This Row],[Prest. (m2 /jaar) weekend]]+Ruimtestaat[[#This Row],[Prest. (m2 /jaar) werkdagen]]</f>
        <v>0</v>
      </c>
      <c r="AF1072" s="60">
        <f>Ruimtestaat[[#This Row],[uren / jaar weekend]]+Ruimtestaat[[#This Row],[uren / jaar werkdagen]]</f>
        <v>0</v>
      </c>
      <c r="AG1072" s="61">
        <f>Ruimtestaat[[#This Row],[kosten / jaar weekend]]+Ruimtestaat[[#This Row],[kosten / jaar werkdagen]]</f>
        <v>0</v>
      </c>
      <c r="AH1072" s="92"/>
      <c r="HL1072" s="59"/>
    </row>
    <row r="1073" spans="1:220">
      <c r="A1073" s="24">
        <v>7</v>
      </c>
      <c r="B1073" s="24" t="str">
        <f>VLOOKUP(Ruimtestaat[[#This Row],[Code]],Locaties[#All],2,FALSE)</f>
        <v>Het Vlier</v>
      </c>
      <c r="C1073" s="24" t="str">
        <f>VLOOKUP(Ruimtestaat[[#This Row],[Code]],Locaties[#All],4,FALSE)</f>
        <v>Het Vlier 1</v>
      </c>
      <c r="D1073" s="24" t="str">
        <f>VLOOKUP(Ruimtestaat[[#This Row],[Code]],Locaties[#All],5,FALSE)</f>
        <v>7414 AR</v>
      </c>
      <c r="E1073" s="24" t="str">
        <f>VLOOKUP(Ruimtestaat[[#This Row],[Code]],Locaties[#All],6,FALSE)</f>
        <v>Deventer</v>
      </c>
      <c r="F1073" s="54"/>
      <c r="G1073" s="24" t="s">
        <v>367</v>
      </c>
      <c r="H1073" s="24" t="s">
        <v>1450</v>
      </c>
      <c r="I1073" s="4" t="s">
        <v>1363</v>
      </c>
      <c r="J1073" s="24">
        <v>2</v>
      </c>
      <c r="K1073" s="54" t="str">
        <f>VLOOKUP(J1073,Ruimtegroepen[],2,FALSE)</f>
        <v>Kantoren</v>
      </c>
      <c r="L1073" s="24" t="s">
        <v>305</v>
      </c>
      <c r="M1073" s="24" t="s">
        <v>400</v>
      </c>
      <c r="N1073" s="83">
        <v>20.02</v>
      </c>
      <c r="O1073" s="83"/>
      <c r="P1073" s="93" t="str">
        <f>LEFT(VLOOKUP(Ruimtestaat[[#This Row],[Ruimte code]],Ruimtegroepen[#All],4,1),2)</f>
        <v>Bu</v>
      </c>
      <c r="Q1073" s="93"/>
      <c r="R1073" s="84">
        <v>42</v>
      </c>
      <c r="S1073" s="84" t="s">
        <v>322</v>
      </c>
      <c r="T1073" s="85">
        <f>IF(R1073&gt;0,IF(RIGHT(Ruimtestaat[[#This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73" s="85">
        <f>IF(T1073&gt;0,VLOOKUP($J1073,Ruimtegroepen[],3,FALSE)*VLOOKUP($L1073,Vloersoorten[],3,FALSE)*VLOOKUP($S1073,Frequenties[],3,FALSE)*VLOOKUP($A1073,Locaties[],3,FALSE),0)</f>
        <v>0</v>
      </c>
      <c r="V1073" s="86">
        <f>Ruimtestaat[[#This Row],[Uitvoeringen werkdagen]]*Ruimtestaat[[#This Row],[Oppervlak (netto)]]</f>
        <v>2522.52</v>
      </c>
      <c r="W1073" s="87">
        <f>IF(U1073&gt;0,Ruimtestaat[[#This Row],[Prest. (m2 /jaar) werkdagen]]/Ruimtestaat[[#This Row],[Norm (m2/uur) werkdagen]],0)</f>
        <v>0</v>
      </c>
      <c r="X1073" s="88">
        <f>Ruimtestaat[[#This Row],[uren / jaar werkdagen]]*Tariefsopbouw!$E$35</f>
        <v>0</v>
      </c>
      <c r="Y1073" s="85"/>
      <c r="Z1073" s="89">
        <f>IF(Ruimtestaat[[#This Row],[Frequentie weekend]]&gt;0,VALUE(LEFT(Y1073,1))*R1073,0)</f>
        <v>0</v>
      </c>
      <c r="AA1073" s="85">
        <f>IF($Z1073&gt;0,VLOOKUP($J1073,Ruimtegroepen[],3,FALSE)*VLOOKUP($L1073,Vloersoorten[],3,FALSE)*VLOOKUP($Y1073,Frequenties[],3,FALSE)*VLOOKUP(#REF!,Locaties[],3,FALSE),0)</f>
        <v>0</v>
      </c>
      <c r="AB1073" s="87">
        <f>Ruimtestaat[[#This Row],[Uitvoeringen weekend]]*Ruimtestaat[[#This Row],[Oppervlak (netto)]]</f>
        <v>0</v>
      </c>
      <c r="AC1073" s="90">
        <f>IF(AB1073&gt;0,Ruimtestaat[[#This Row],[Prest. (m2 /jaar) weekend]]/Ruimtestaat[[#This Row],[Norm (m2/uur) weekend]],0)</f>
        <v>0</v>
      </c>
      <c r="AD1073" s="91">
        <f>Ruimtestaat[[#This Row],[uren / jaar weekend]]*Tariefsopbouw!$D$40</f>
        <v>0</v>
      </c>
      <c r="AE1073" s="60">
        <f>Ruimtestaat[[#This Row],[Prest. (m2 /jaar) weekend]]+Ruimtestaat[[#This Row],[Prest. (m2 /jaar) werkdagen]]</f>
        <v>2522.52</v>
      </c>
      <c r="AF1073" s="60">
        <f>Ruimtestaat[[#This Row],[uren / jaar weekend]]+Ruimtestaat[[#This Row],[uren / jaar werkdagen]]</f>
        <v>0</v>
      </c>
      <c r="AG1073" s="61">
        <f>Ruimtestaat[[#This Row],[kosten / jaar weekend]]+Ruimtestaat[[#This Row],[kosten / jaar werkdagen]]</f>
        <v>0</v>
      </c>
      <c r="AH1073" s="92"/>
      <c r="HL1073" s="59"/>
    </row>
    <row r="1074" spans="1:220">
      <c r="A1074" s="24">
        <v>7</v>
      </c>
      <c r="B1074" s="24" t="str">
        <f>VLOOKUP(Ruimtestaat[[#This Row],[Code]],Locaties[#All],2,FALSE)</f>
        <v>Het Vlier</v>
      </c>
      <c r="C1074" s="24" t="str">
        <f>VLOOKUP(Ruimtestaat[[#This Row],[Code]],Locaties[#All],4,FALSE)</f>
        <v>Het Vlier 1</v>
      </c>
      <c r="D1074" s="24" t="str">
        <f>VLOOKUP(Ruimtestaat[[#This Row],[Code]],Locaties[#All],5,FALSE)</f>
        <v>7414 AR</v>
      </c>
      <c r="E1074" s="24" t="str">
        <f>VLOOKUP(Ruimtestaat[[#This Row],[Code]],Locaties[#All],6,FALSE)</f>
        <v>Deventer</v>
      </c>
      <c r="F1074" s="54"/>
      <c r="G1074" s="24" t="s">
        <v>367</v>
      </c>
      <c r="H1074" s="24" t="s">
        <v>1451</v>
      </c>
      <c r="I1074" s="4" t="s">
        <v>1452</v>
      </c>
      <c r="J1074" s="24">
        <v>12</v>
      </c>
      <c r="K1074" s="54" t="str">
        <f>VLOOKUP(J1074,Ruimtegroepen[],2,FALSE)</f>
        <v>Kantine</v>
      </c>
      <c r="L1074" s="24" t="s">
        <v>305</v>
      </c>
      <c r="M1074" s="24" t="s">
        <v>400</v>
      </c>
      <c r="N1074" s="83">
        <v>500.67</v>
      </c>
      <c r="O1074" s="83"/>
      <c r="P1074" s="93" t="str">
        <f>LEFT(VLOOKUP(Ruimtestaat[[#This Row],[Ruimte code]],Ruimtegroepen[#All],4,1),2)</f>
        <v>Ve</v>
      </c>
      <c r="Q1074" s="93"/>
      <c r="R1074" s="84">
        <v>40</v>
      </c>
      <c r="S1074" s="84" t="s">
        <v>318</v>
      </c>
      <c r="T1074" s="85">
        <f>IF(R1074&gt;0,IF(RIGHT(Ruimtestaat[[#This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4" s="85">
        <f>IF(T1074&gt;0,VLOOKUP($J1074,Ruimtegroepen[],3,FALSE)*VLOOKUP($L1074,Vloersoorten[],3,FALSE)*VLOOKUP($S1074,Frequenties[],3,FALSE)*VLOOKUP($A1074,Locaties[],3,FALSE),0)</f>
        <v>0</v>
      </c>
      <c r="V1074" s="86">
        <f>Ruimtestaat[[#This Row],[Uitvoeringen werkdagen]]*Ruimtestaat[[#This Row],[Oppervlak (netto)]]</f>
        <v>100134</v>
      </c>
      <c r="W1074" s="87">
        <f>IF(U1074&gt;0,Ruimtestaat[[#This Row],[Prest. (m2 /jaar) werkdagen]]/Ruimtestaat[[#This Row],[Norm (m2/uur) werkdagen]],0)</f>
        <v>0</v>
      </c>
      <c r="X1074" s="88">
        <f>Ruimtestaat[[#This Row],[uren / jaar werkdagen]]*Tariefsopbouw!$E$35</f>
        <v>0</v>
      </c>
      <c r="Y1074" s="85"/>
      <c r="Z1074" s="89">
        <f>IF(Ruimtestaat[[#This Row],[Frequentie weekend]]&gt;0,VALUE(LEFT(Y1074,1))*R1074,0)</f>
        <v>0</v>
      </c>
      <c r="AA1074" s="85">
        <f>IF($Z1074&gt;0,VLOOKUP($J1074,Ruimtegroepen[],3,FALSE)*VLOOKUP($L1074,Vloersoorten[],3,FALSE)*VLOOKUP($Y1074,Frequenties[],3,FALSE)*VLOOKUP(#REF!,Locaties[],3,FALSE),0)</f>
        <v>0</v>
      </c>
      <c r="AB1074" s="87">
        <f>Ruimtestaat[[#This Row],[Uitvoeringen weekend]]*Ruimtestaat[[#This Row],[Oppervlak (netto)]]</f>
        <v>0</v>
      </c>
      <c r="AC1074" s="90">
        <f>IF(AB1074&gt;0,Ruimtestaat[[#This Row],[Prest. (m2 /jaar) weekend]]/Ruimtestaat[[#This Row],[Norm (m2/uur) weekend]],0)</f>
        <v>0</v>
      </c>
      <c r="AD1074" s="91">
        <f>Ruimtestaat[[#This Row],[uren / jaar weekend]]*Tariefsopbouw!$D$40</f>
        <v>0</v>
      </c>
      <c r="AE1074" s="60">
        <f>Ruimtestaat[[#This Row],[Prest. (m2 /jaar) weekend]]+Ruimtestaat[[#This Row],[Prest. (m2 /jaar) werkdagen]]</f>
        <v>100134</v>
      </c>
      <c r="AF1074" s="60">
        <f>Ruimtestaat[[#This Row],[uren / jaar weekend]]+Ruimtestaat[[#This Row],[uren / jaar werkdagen]]</f>
        <v>0</v>
      </c>
      <c r="AG1074" s="61">
        <f>Ruimtestaat[[#This Row],[kosten / jaar weekend]]+Ruimtestaat[[#This Row],[kosten / jaar werkdagen]]</f>
        <v>0</v>
      </c>
      <c r="AH1074" s="92"/>
      <c r="HL1074" s="59"/>
    </row>
    <row r="1075" spans="1:220">
      <c r="A1075" s="24">
        <v>7</v>
      </c>
      <c r="B1075" s="24" t="str">
        <f>VLOOKUP(Ruimtestaat[[#This Row],[Code]],Locaties[#All],2,FALSE)</f>
        <v>Het Vlier</v>
      </c>
      <c r="C1075" s="24" t="str">
        <f>VLOOKUP(Ruimtestaat[[#This Row],[Code]],Locaties[#All],4,FALSE)</f>
        <v>Het Vlier 1</v>
      </c>
      <c r="D1075" s="24" t="str">
        <f>VLOOKUP(Ruimtestaat[[#This Row],[Code]],Locaties[#All],5,FALSE)</f>
        <v>7414 AR</v>
      </c>
      <c r="E1075" s="24" t="str">
        <f>VLOOKUP(Ruimtestaat[[#This Row],[Code]],Locaties[#All],6,FALSE)</f>
        <v>Deventer</v>
      </c>
      <c r="F1075" s="54"/>
      <c r="G1075" s="24" t="s">
        <v>367</v>
      </c>
      <c r="H1075" s="24" t="s">
        <v>1453</v>
      </c>
      <c r="I1075" s="4" t="s">
        <v>1435</v>
      </c>
      <c r="J1075" s="24">
        <v>22</v>
      </c>
      <c r="K1075" s="54" t="str">
        <f>VLOOKUP(J1075,Ruimtegroepen[],2,FALSE)</f>
        <v>Niet in onderhoud</v>
      </c>
      <c r="M1075" s="24"/>
      <c r="N1075" s="83"/>
      <c r="O1075" s="83">
        <v>21.3</v>
      </c>
      <c r="P1075" s="93" t="str">
        <f>LEFT(VLOOKUP(Ruimtestaat[[#This Row],[Ruimte code]],Ruimtegroepen[#All],4,1),2)</f>
        <v/>
      </c>
      <c r="Q1075" s="93"/>
      <c r="R1075" s="84"/>
      <c r="S1075" s="84"/>
      <c r="T1075" s="85">
        <f>IF(R1075&gt;0,IF(RIGHT(Ruimtestaat[[#This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75" s="85">
        <f>IF(T1075&gt;0,VLOOKUP($J1075,Ruimtegroepen[],3,FALSE)*VLOOKUP($L1075,Vloersoorten[],3,FALSE)*VLOOKUP($S1075,Frequenties[],3,FALSE)*VLOOKUP($A1075,Locaties[],3,FALSE),0)</f>
        <v>0</v>
      </c>
      <c r="V1075" s="86">
        <f>Ruimtestaat[[#This Row],[Uitvoeringen werkdagen]]*Ruimtestaat[[#This Row],[Oppervlak (netto)]]</f>
        <v>0</v>
      </c>
      <c r="W1075" s="87">
        <f>IF(U1075&gt;0,Ruimtestaat[[#This Row],[Prest. (m2 /jaar) werkdagen]]/Ruimtestaat[[#This Row],[Norm (m2/uur) werkdagen]],0)</f>
        <v>0</v>
      </c>
      <c r="X1075" s="88">
        <f>Ruimtestaat[[#This Row],[uren / jaar werkdagen]]*Tariefsopbouw!$E$35</f>
        <v>0</v>
      </c>
      <c r="Y1075" s="85"/>
      <c r="Z1075" s="89">
        <f>IF(Ruimtestaat[[#This Row],[Frequentie weekend]]&gt;0,VALUE(LEFT(Y1075,1))*R1075,0)</f>
        <v>0</v>
      </c>
      <c r="AA1075" s="85">
        <f>IF($Z1075&gt;0,VLOOKUP($J1075,Ruimtegroepen[],3,FALSE)*VLOOKUP($L1075,Vloersoorten[],3,FALSE)*VLOOKUP($Y1075,Frequenties[],3,FALSE)*VLOOKUP(#REF!,Locaties[],3,FALSE),0)</f>
        <v>0</v>
      </c>
      <c r="AB1075" s="87">
        <f>Ruimtestaat[[#This Row],[Uitvoeringen weekend]]*Ruimtestaat[[#This Row],[Oppervlak (netto)]]</f>
        <v>0</v>
      </c>
      <c r="AC1075" s="90">
        <f>IF(AB1075&gt;0,Ruimtestaat[[#This Row],[Prest. (m2 /jaar) weekend]]/Ruimtestaat[[#This Row],[Norm (m2/uur) weekend]],0)</f>
        <v>0</v>
      </c>
      <c r="AD1075" s="91">
        <f>Ruimtestaat[[#This Row],[uren / jaar weekend]]*Tariefsopbouw!$D$40</f>
        <v>0</v>
      </c>
      <c r="AE1075" s="60">
        <f>Ruimtestaat[[#This Row],[Prest. (m2 /jaar) weekend]]+Ruimtestaat[[#This Row],[Prest. (m2 /jaar) werkdagen]]</f>
        <v>0</v>
      </c>
      <c r="AF1075" s="60">
        <f>Ruimtestaat[[#This Row],[uren / jaar weekend]]+Ruimtestaat[[#This Row],[uren / jaar werkdagen]]</f>
        <v>0</v>
      </c>
      <c r="AG1075" s="61">
        <f>Ruimtestaat[[#This Row],[kosten / jaar weekend]]+Ruimtestaat[[#This Row],[kosten / jaar werkdagen]]</f>
        <v>0</v>
      </c>
      <c r="AH1075" s="92"/>
      <c r="HL1075" s="59"/>
    </row>
    <row r="1076" spans="1:220">
      <c r="A1076" s="24">
        <v>7</v>
      </c>
      <c r="B1076" s="24" t="str">
        <f>VLOOKUP(Ruimtestaat[[#This Row],[Code]],Locaties[#All],2,FALSE)</f>
        <v>Het Vlier</v>
      </c>
      <c r="C1076" s="24" t="str">
        <f>VLOOKUP(Ruimtestaat[[#This Row],[Code]],Locaties[#All],4,FALSE)</f>
        <v>Het Vlier 1</v>
      </c>
      <c r="D1076" s="24" t="str">
        <f>VLOOKUP(Ruimtestaat[[#This Row],[Code]],Locaties[#All],5,FALSE)</f>
        <v>7414 AR</v>
      </c>
      <c r="E1076" s="24" t="str">
        <f>VLOOKUP(Ruimtestaat[[#This Row],[Code]],Locaties[#All],6,FALSE)</f>
        <v>Deventer</v>
      </c>
      <c r="F1076" s="54"/>
      <c r="G1076" s="24" t="s">
        <v>367</v>
      </c>
      <c r="H1076" s="24" t="s">
        <v>1454</v>
      </c>
      <c r="I1076" s="4" t="s">
        <v>1455</v>
      </c>
      <c r="J1076" s="24">
        <v>5</v>
      </c>
      <c r="K1076" s="54" t="str">
        <f>VLOOKUP(J1076,Ruimtegroepen[],2,FALSE)</f>
        <v>Sanitair</v>
      </c>
      <c r="L1076" s="24" t="s">
        <v>305</v>
      </c>
      <c r="M1076" s="24" t="s">
        <v>400</v>
      </c>
      <c r="N1076" s="83">
        <v>6.52</v>
      </c>
      <c r="O1076" s="83"/>
      <c r="P1076" s="93" t="str">
        <f>LEFT(VLOOKUP(Ruimtestaat[[#This Row],[Ruimte code]],Ruimtegroepen[#All],4,1),2)</f>
        <v>Sa</v>
      </c>
      <c r="Q1076" s="93"/>
      <c r="R1076" s="84">
        <v>42</v>
      </c>
      <c r="S1076" s="84" t="s">
        <v>316</v>
      </c>
      <c r="T1076" s="85">
        <f>IF(R1076&gt;0,IF(RIGHT(Ruimtestaat[[#This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76" s="85">
        <f>IF(T1076&gt;0,VLOOKUP($J1076,Ruimtegroepen[],3,FALSE)*VLOOKUP($L1076,Vloersoorten[],3,FALSE)*VLOOKUP($S1076,Frequenties[],3,FALSE)*VLOOKUP($A1076,Locaties[],3,FALSE),0)</f>
        <v>0</v>
      </c>
      <c r="V1076" s="86">
        <f>Ruimtestaat[[#This Row],[Uitvoeringen werkdagen]]*Ruimtestaat[[#This Row],[Oppervlak (netto)]]</f>
        <v>2738.3999999999996</v>
      </c>
      <c r="W1076" s="87">
        <f>IF(U1076&gt;0,Ruimtestaat[[#This Row],[Prest. (m2 /jaar) werkdagen]]/Ruimtestaat[[#This Row],[Norm (m2/uur) werkdagen]],0)</f>
        <v>0</v>
      </c>
      <c r="X1076" s="88">
        <f>Ruimtestaat[[#This Row],[uren / jaar werkdagen]]*Tariefsopbouw!$E$35</f>
        <v>0</v>
      </c>
      <c r="Y1076" s="85"/>
      <c r="Z1076" s="89">
        <f>IF(Ruimtestaat[[#This Row],[Frequentie weekend]]&gt;0,VALUE(LEFT(Y1076,1))*R1076,0)</f>
        <v>0</v>
      </c>
      <c r="AA1076" s="85">
        <f>IF($Z1076&gt;0,VLOOKUP($J1076,Ruimtegroepen[],3,FALSE)*VLOOKUP($L1076,Vloersoorten[],3,FALSE)*VLOOKUP($Y1076,Frequenties[],3,FALSE)*VLOOKUP(#REF!,Locaties[],3,FALSE),0)</f>
        <v>0</v>
      </c>
      <c r="AB1076" s="87">
        <f>Ruimtestaat[[#This Row],[Uitvoeringen weekend]]*Ruimtestaat[[#This Row],[Oppervlak (netto)]]</f>
        <v>0</v>
      </c>
      <c r="AC1076" s="90">
        <f>IF(AB1076&gt;0,Ruimtestaat[[#This Row],[Prest. (m2 /jaar) weekend]]/Ruimtestaat[[#This Row],[Norm (m2/uur) weekend]],0)</f>
        <v>0</v>
      </c>
      <c r="AD1076" s="91">
        <f>Ruimtestaat[[#This Row],[uren / jaar weekend]]*Tariefsopbouw!$D$40</f>
        <v>0</v>
      </c>
      <c r="AE1076" s="60">
        <f>Ruimtestaat[[#This Row],[Prest. (m2 /jaar) weekend]]+Ruimtestaat[[#This Row],[Prest. (m2 /jaar) werkdagen]]</f>
        <v>2738.3999999999996</v>
      </c>
      <c r="AF1076" s="60">
        <f>Ruimtestaat[[#This Row],[uren / jaar weekend]]+Ruimtestaat[[#This Row],[uren / jaar werkdagen]]</f>
        <v>0</v>
      </c>
      <c r="AG1076" s="61">
        <f>Ruimtestaat[[#This Row],[kosten / jaar weekend]]+Ruimtestaat[[#This Row],[kosten / jaar werkdagen]]</f>
        <v>0</v>
      </c>
      <c r="AH1076" s="92"/>
      <c r="HL1076" s="59"/>
    </row>
    <row r="1077" spans="1:220">
      <c r="A1077" s="24">
        <v>7</v>
      </c>
      <c r="B1077" s="24" t="str">
        <f>VLOOKUP(Ruimtestaat[[#This Row],[Code]],Locaties[#All],2,FALSE)</f>
        <v>Het Vlier</v>
      </c>
      <c r="C1077" s="24" t="str">
        <f>VLOOKUP(Ruimtestaat[[#This Row],[Code]],Locaties[#All],4,FALSE)</f>
        <v>Het Vlier 1</v>
      </c>
      <c r="D1077" s="24" t="str">
        <f>VLOOKUP(Ruimtestaat[[#This Row],[Code]],Locaties[#All],5,FALSE)</f>
        <v>7414 AR</v>
      </c>
      <c r="E1077" s="24" t="str">
        <f>VLOOKUP(Ruimtestaat[[#This Row],[Code]],Locaties[#All],6,FALSE)</f>
        <v>Deventer</v>
      </c>
      <c r="F1077" s="54"/>
      <c r="G1077" s="24" t="s">
        <v>367</v>
      </c>
      <c r="H1077" s="24" t="s">
        <v>1456</v>
      </c>
      <c r="I1077" s="4" t="s">
        <v>1455</v>
      </c>
      <c r="J1077" s="24">
        <v>5</v>
      </c>
      <c r="K1077" s="54" t="str">
        <f>VLOOKUP(J1077,Ruimtegroepen[],2,FALSE)</f>
        <v>Sanitair</v>
      </c>
      <c r="L1077" s="24" t="s">
        <v>305</v>
      </c>
      <c r="M1077" s="24" t="s">
        <v>400</v>
      </c>
      <c r="N1077" s="83">
        <v>6.52</v>
      </c>
      <c r="O1077" s="83"/>
      <c r="P1077" s="93" t="str">
        <f>LEFT(VLOOKUP(Ruimtestaat[[#This Row],[Ruimte code]],Ruimtegroepen[#All],4,1),2)</f>
        <v>Sa</v>
      </c>
      <c r="Q1077" s="93"/>
      <c r="R1077" s="84">
        <v>42</v>
      </c>
      <c r="S1077" s="84" t="s">
        <v>316</v>
      </c>
      <c r="T1077" s="85">
        <f>IF(R1077&gt;0,IF(RIGHT(Ruimtestaat[[#This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77" s="85">
        <f>IF(T1077&gt;0,VLOOKUP($J1077,Ruimtegroepen[],3,FALSE)*VLOOKUP($L1077,Vloersoorten[],3,FALSE)*VLOOKUP($S1077,Frequenties[],3,FALSE)*VLOOKUP($A1077,Locaties[],3,FALSE),0)</f>
        <v>0</v>
      </c>
      <c r="V1077" s="86">
        <f>Ruimtestaat[[#This Row],[Uitvoeringen werkdagen]]*Ruimtestaat[[#This Row],[Oppervlak (netto)]]</f>
        <v>2738.3999999999996</v>
      </c>
      <c r="W1077" s="87">
        <f>IF(U1077&gt;0,Ruimtestaat[[#This Row],[Prest. (m2 /jaar) werkdagen]]/Ruimtestaat[[#This Row],[Norm (m2/uur) werkdagen]],0)</f>
        <v>0</v>
      </c>
      <c r="X1077" s="88">
        <f>Ruimtestaat[[#This Row],[uren / jaar werkdagen]]*Tariefsopbouw!$E$35</f>
        <v>0</v>
      </c>
      <c r="Y1077" s="85"/>
      <c r="Z1077" s="89">
        <f>IF(Ruimtestaat[[#This Row],[Frequentie weekend]]&gt;0,VALUE(LEFT(Y1077,1))*R1077,0)</f>
        <v>0</v>
      </c>
      <c r="AA1077" s="85">
        <f>IF($Z1077&gt;0,VLOOKUP($J1077,Ruimtegroepen[],3,FALSE)*VLOOKUP($L1077,Vloersoorten[],3,FALSE)*VLOOKUP($Y1077,Frequenties[],3,FALSE)*VLOOKUP(#REF!,Locaties[],3,FALSE),0)</f>
        <v>0</v>
      </c>
      <c r="AB1077" s="87">
        <f>Ruimtestaat[[#This Row],[Uitvoeringen weekend]]*Ruimtestaat[[#This Row],[Oppervlak (netto)]]</f>
        <v>0</v>
      </c>
      <c r="AC1077" s="90">
        <f>IF(AB1077&gt;0,Ruimtestaat[[#This Row],[Prest. (m2 /jaar) weekend]]/Ruimtestaat[[#This Row],[Norm (m2/uur) weekend]],0)</f>
        <v>0</v>
      </c>
      <c r="AD1077" s="91">
        <f>Ruimtestaat[[#This Row],[uren / jaar weekend]]*Tariefsopbouw!$D$40</f>
        <v>0</v>
      </c>
      <c r="AE1077" s="60">
        <f>Ruimtestaat[[#This Row],[Prest. (m2 /jaar) weekend]]+Ruimtestaat[[#This Row],[Prest. (m2 /jaar) werkdagen]]</f>
        <v>2738.3999999999996</v>
      </c>
      <c r="AF1077" s="60">
        <f>Ruimtestaat[[#This Row],[uren / jaar weekend]]+Ruimtestaat[[#This Row],[uren / jaar werkdagen]]</f>
        <v>0</v>
      </c>
      <c r="AG1077" s="61">
        <f>Ruimtestaat[[#This Row],[kosten / jaar weekend]]+Ruimtestaat[[#This Row],[kosten / jaar werkdagen]]</f>
        <v>0</v>
      </c>
      <c r="AH1077" s="92"/>
      <c r="HL1077" s="59"/>
    </row>
    <row r="1078" spans="1:220">
      <c r="A1078" s="24">
        <v>7</v>
      </c>
      <c r="B1078" s="24" t="str">
        <f>VLOOKUP(Ruimtestaat[[#This Row],[Code]],Locaties[#All],2,FALSE)</f>
        <v>Het Vlier</v>
      </c>
      <c r="C1078" s="24" t="str">
        <f>VLOOKUP(Ruimtestaat[[#This Row],[Code]],Locaties[#All],4,FALSE)</f>
        <v>Het Vlier 1</v>
      </c>
      <c r="D1078" s="24" t="str">
        <f>VLOOKUP(Ruimtestaat[[#This Row],[Code]],Locaties[#All],5,FALSE)</f>
        <v>7414 AR</v>
      </c>
      <c r="E1078" s="24" t="str">
        <f>VLOOKUP(Ruimtestaat[[#This Row],[Code]],Locaties[#All],6,FALSE)</f>
        <v>Deventer</v>
      </c>
      <c r="F1078" s="54"/>
      <c r="G1078" s="24" t="s">
        <v>367</v>
      </c>
      <c r="H1078" s="24" t="s">
        <v>1457</v>
      </c>
      <c r="I1078" s="4" t="s">
        <v>1458</v>
      </c>
      <c r="J1078" s="24">
        <v>7</v>
      </c>
      <c r="K1078" s="54" t="str">
        <f>VLOOKUP(J1078,Ruimtegroepen[],2,FALSE)</f>
        <v>Entree</v>
      </c>
      <c r="L1078" s="24" t="s">
        <v>303</v>
      </c>
      <c r="M1078" s="24" t="s">
        <v>387</v>
      </c>
      <c r="N1078" s="83">
        <v>51.36</v>
      </c>
      <c r="O1078" s="83"/>
      <c r="P1078" s="93" t="str">
        <f>LEFT(VLOOKUP(Ruimtestaat[[#This Row],[Ruimte code]],Ruimtegroepen[#All],4,1),2)</f>
        <v>Ve</v>
      </c>
      <c r="Q1078" s="93"/>
      <c r="R1078" s="84">
        <v>40</v>
      </c>
      <c r="S1078" s="84" t="s">
        <v>318</v>
      </c>
      <c r="T1078" s="85">
        <f>IF(R1078&gt;0,IF(RIGHT(Ruimtestaat[[#This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8" s="85">
        <f>IF(T1078&gt;0,VLOOKUP($J1078,Ruimtegroepen[],3,FALSE)*VLOOKUP($L1078,Vloersoorten[],3,FALSE)*VLOOKUP($S1078,Frequenties[],3,FALSE)*VLOOKUP($A1078,Locaties[],3,FALSE),0)</f>
        <v>0</v>
      </c>
      <c r="V1078" s="86">
        <f>Ruimtestaat[[#This Row],[Uitvoeringen werkdagen]]*Ruimtestaat[[#This Row],[Oppervlak (netto)]]</f>
        <v>10272</v>
      </c>
      <c r="W1078" s="87">
        <f>IF(U1078&gt;0,Ruimtestaat[[#This Row],[Prest. (m2 /jaar) werkdagen]]/Ruimtestaat[[#This Row],[Norm (m2/uur) werkdagen]],0)</f>
        <v>0</v>
      </c>
      <c r="X1078" s="88">
        <f>Ruimtestaat[[#This Row],[uren / jaar werkdagen]]*Tariefsopbouw!$E$35</f>
        <v>0</v>
      </c>
      <c r="Y1078" s="85"/>
      <c r="Z1078" s="89">
        <f>IF(Ruimtestaat[[#This Row],[Frequentie weekend]]&gt;0,VALUE(LEFT(Y1078,1))*R1078,0)</f>
        <v>0</v>
      </c>
      <c r="AA1078" s="85">
        <f>IF($Z1078&gt;0,VLOOKUP($J1078,Ruimtegroepen[],3,FALSE)*VLOOKUP($L1078,Vloersoorten[],3,FALSE)*VLOOKUP($Y1078,Frequenties[],3,FALSE)*VLOOKUP(#REF!,Locaties[],3,FALSE),0)</f>
        <v>0</v>
      </c>
      <c r="AB1078" s="87">
        <f>Ruimtestaat[[#This Row],[Uitvoeringen weekend]]*Ruimtestaat[[#This Row],[Oppervlak (netto)]]</f>
        <v>0</v>
      </c>
      <c r="AC1078" s="90">
        <f>IF(AB1078&gt;0,Ruimtestaat[[#This Row],[Prest. (m2 /jaar) weekend]]/Ruimtestaat[[#This Row],[Norm (m2/uur) weekend]],0)</f>
        <v>0</v>
      </c>
      <c r="AD1078" s="91">
        <f>Ruimtestaat[[#This Row],[uren / jaar weekend]]*Tariefsopbouw!$D$40</f>
        <v>0</v>
      </c>
      <c r="AE1078" s="60">
        <f>Ruimtestaat[[#This Row],[Prest. (m2 /jaar) weekend]]+Ruimtestaat[[#This Row],[Prest. (m2 /jaar) werkdagen]]</f>
        <v>10272</v>
      </c>
      <c r="AF1078" s="60">
        <f>Ruimtestaat[[#This Row],[uren / jaar weekend]]+Ruimtestaat[[#This Row],[uren / jaar werkdagen]]</f>
        <v>0</v>
      </c>
      <c r="AG1078" s="61">
        <f>Ruimtestaat[[#This Row],[kosten / jaar weekend]]+Ruimtestaat[[#This Row],[kosten / jaar werkdagen]]</f>
        <v>0</v>
      </c>
      <c r="AH1078" s="92"/>
      <c r="HL1078" s="59"/>
    </row>
    <row r="1079" spans="1:220">
      <c r="A1079" s="24">
        <v>7</v>
      </c>
      <c r="B1079" s="24" t="str">
        <f>VLOOKUP(Ruimtestaat[[#This Row],[Code]],Locaties[#All],2,FALSE)</f>
        <v>Het Vlier</v>
      </c>
      <c r="C1079" s="24" t="str">
        <f>VLOOKUP(Ruimtestaat[[#This Row],[Code]],Locaties[#All],4,FALSE)</f>
        <v>Het Vlier 1</v>
      </c>
      <c r="D1079" s="24" t="str">
        <f>VLOOKUP(Ruimtestaat[[#This Row],[Code]],Locaties[#All],5,FALSE)</f>
        <v>7414 AR</v>
      </c>
      <c r="E1079" s="24" t="str">
        <f>VLOOKUP(Ruimtestaat[[#This Row],[Code]],Locaties[#All],6,FALSE)</f>
        <v>Deventer</v>
      </c>
      <c r="F1079" s="54"/>
      <c r="G1079" s="24" t="s">
        <v>367</v>
      </c>
      <c r="H1079" s="24" t="s">
        <v>1459</v>
      </c>
      <c r="I1079" s="4" t="s">
        <v>1460</v>
      </c>
      <c r="J1079" s="24">
        <v>6</v>
      </c>
      <c r="K1079" s="54" t="str">
        <f>VLOOKUP(J1079,Ruimtegroepen[],2,FALSE)</f>
        <v>Gangen/hallen</v>
      </c>
      <c r="L1079" s="24" t="s">
        <v>303</v>
      </c>
      <c r="M1079" s="24" t="s">
        <v>387</v>
      </c>
      <c r="N1079" s="83">
        <v>13.5</v>
      </c>
      <c r="O1079" s="83"/>
      <c r="P1079" s="93" t="str">
        <f>LEFT(VLOOKUP(Ruimtestaat[[#This Row],[Ruimte code]],Ruimtegroepen[#All],4,1),2)</f>
        <v>Ve</v>
      </c>
      <c r="Q1079" s="93"/>
      <c r="R1079" s="84">
        <v>40</v>
      </c>
      <c r="S1079" s="84" t="s">
        <v>318</v>
      </c>
      <c r="T1079" s="85">
        <f>IF(R1079&gt;0,IF(RIGHT(Ruimtestaat[[#This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9" s="85">
        <f>IF(T1079&gt;0,VLOOKUP($J1079,Ruimtegroepen[],3,FALSE)*VLOOKUP($L1079,Vloersoorten[],3,FALSE)*VLOOKUP($S1079,Frequenties[],3,FALSE)*VLOOKUP($A1079,Locaties[],3,FALSE),0)</f>
        <v>0</v>
      </c>
      <c r="V1079" s="86">
        <f>Ruimtestaat[[#This Row],[Uitvoeringen werkdagen]]*Ruimtestaat[[#This Row],[Oppervlak (netto)]]</f>
        <v>2700</v>
      </c>
      <c r="W1079" s="87">
        <f>IF(U1079&gt;0,Ruimtestaat[[#This Row],[Prest. (m2 /jaar) werkdagen]]/Ruimtestaat[[#This Row],[Norm (m2/uur) werkdagen]],0)</f>
        <v>0</v>
      </c>
      <c r="X1079" s="88">
        <f>Ruimtestaat[[#This Row],[uren / jaar werkdagen]]*Tariefsopbouw!$E$35</f>
        <v>0</v>
      </c>
      <c r="Y1079" s="85"/>
      <c r="Z1079" s="89">
        <f>IF(Ruimtestaat[[#This Row],[Frequentie weekend]]&gt;0,VALUE(LEFT(Y1079,1))*R1079,0)</f>
        <v>0</v>
      </c>
      <c r="AA1079" s="85">
        <f>IF($Z1079&gt;0,VLOOKUP($J1079,Ruimtegroepen[],3,FALSE)*VLOOKUP($L1079,Vloersoorten[],3,FALSE)*VLOOKUP($Y1079,Frequenties[],3,FALSE)*VLOOKUP(#REF!,Locaties[],3,FALSE),0)</f>
        <v>0</v>
      </c>
      <c r="AB1079" s="87">
        <f>Ruimtestaat[[#This Row],[Uitvoeringen weekend]]*Ruimtestaat[[#This Row],[Oppervlak (netto)]]</f>
        <v>0</v>
      </c>
      <c r="AC1079" s="90">
        <f>IF(AB1079&gt;0,Ruimtestaat[[#This Row],[Prest. (m2 /jaar) weekend]]/Ruimtestaat[[#This Row],[Norm (m2/uur) weekend]],0)</f>
        <v>0</v>
      </c>
      <c r="AD1079" s="91">
        <f>Ruimtestaat[[#This Row],[uren / jaar weekend]]*Tariefsopbouw!$D$40</f>
        <v>0</v>
      </c>
      <c r="AE1079" s="60">
        <f>Ruimtestaat[[#This Row],[Prest. (m2 /jaar) weekend]]+Ruimtestaat[[#This Row],[Prest. (m2 /jaar) werkdagen]]</f>
        <v>2700</v>
      </c>
      <c r="AF1079" s="60">
        <f>Ruimtestaat[[#This Row],[uren / jaar weekend]]+Ruimtestaat[[#This Row],[uren / jaar werkdagen]]</f>
        <v>0</v>
      </c>
      <c r="AG1079" s="61">
        <f>Ruimtestaat[[#This Row],[kosten / jaar weekend]]+Ruimtestaat[[#This Row],[kosten / jaar werkdagen]]</f>
        <v>0</v>
      </c>
      <c r="AH1079" s="92"/>
      <c r="HL1079" s="59"/>
    </row>
    <row r="1080" spans="1:220">
      <c r="A1080" s="24">
        <v>7</v>
      </c>
      <c r="B1080" s="24" t="str">
        <f>VLOOKUP(Ruimtestaat[[#This Row],[Code]],Locaties[#All],2,FALSE)</f>
        <v>Het Vlier</v>
      </c>
      <c r="C1080" s="24" t="str">
        <f>VLOOKUP(Ruimtestaat[[#This Row],[Code]],Locaties[#All],4,FALSE)</f>
        <v>Het Vlier 1</v>
      </c>
      <c r="D1080" s="24" t="str">
        <f>VLOOKUP(Ruimtestaat[[#This Row],[Code]],Locaties[#All],5,FALSE)</f>
        <v>7414 AR</v>
      </c>
      <c r="E1080" s="24" t="str">
        <f>VLOOKUP(Ruimtestaat[[#This Row],[Code]],Locaties[#All],6,FALSE)</f>
        <v>Deventer</v>
      </c>
      <c r="F1080" s="54"/>
      <c r="G1080" s="24" t="s">
        <v>367</v>
      </c>
      <c r="H1080" s="24" t="s">
        <v>1461</v>
      </c>
      <c r="I1080" s="4" t="s">
        <v>1462</v>
      </c>
      <c r="J1080" s="24">
        <v>2</v>
      </c>
      <c r="K1080" s="54" t="str">
        <f>VLOOKUP(J1080,Ruimtegroepen[],2,FALSE)</f>
        <v>Kantoren</v>
      </c>
      <c r="L1080" s="24" t="s">
        <v>305</v>
      </c>
      <c r="M1080" s="24" t="s">
        <v>400</v>
      </c>
      <c r="N1080" s="83">
        <v>42.01</v>
      </c>
      <c r="O1080" s="83"/>
      <c r="P1080" s="93" t="str">
        <f>LEFT(VLOOKUP(Ruimtestaat[[#This Row],[Ruimte code]],Ruimtegroepen[#All],4,1),2)</f>
        <v>Bu</v>
      </c>
      <c r="Q1080" s="93"/>
      <c r="R1080" s="84">
        <v>42</v>
      </c>
      <c r="S1080" s="84" t="s">
        <v>322</v>
      </c>
      <c r="T1080" s="85">
        <f>IF(R1080&gt;0,IF(RIGHT(Ruimtestaat[[#This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80" s="85">
        <f>IF(T1080&gt;0,VLOOKUP($J1080,Ruimtegroepen[],3,FALSE)*VLOOKUP($L1080,Vloersoorten[],3,FALSE)*VLOOKUP($S1080,Frequenties[],3,FALSE)*VLOOKUP($A1080,Locaties[],3,FALSE),0)</f>
        <v>0</v>
      </c>
      <c r="V1080" s="86">
        <f>Ruimtestaat[[#This Row],[Uitvoeringen werkdagen]]*Ruimtestaat[[#This Row],[Oppervlak (netto)]]</f>
        <v>5293.2599999999993</v>
      </c>
      <c r="W1080" s="87">
        <f>IF(U1080&gt;0,Ruimtestaat[[#This Row],[Prest. (m2 /jaar) werkdagen]]/Ruimtestaat[[#This Row],[Norm (m2/uur) werkdagen]],0)</f>
        <v>0</v>
      </c>
      <c r="X1080" s="88">
        <f>Ruimtestaat[[#This Row],[uren / jaar werkdagen]]*Tariefsopbouw!$E$35</f>
        <v>0</v>
      </c>
      <c r="Y1080" s="85"/>
      <c r="Z1080" s="89">
        <f>IF(Ruimtestaat[[#This Row],[Frequentie weekend]]&gt;0,VALUE(LEFT(Y1080,1))*R1080,0)</f>
        <v>0</v>
      </c>
      <c r="AA1080" s="85">
        <f>IF($Z1080&gt;0,VLOOKUP($J1080,Ruimtegroepen[],3,FALSE)*VLOOKUP($L1080,Vloersoorten[],3,FALSE)*VLOOKUP($Y1080,Frequenties[],3,FALSE)*VLOOKUP(#REF!,Locaties[],3,FALSE),0)</f>
        <v>0</v>
      </c>
      <c r="AB1080" s="87">
        <f>Ruimtestaat[[#This Row],[Uitvoeringen weekend]]*Ruimtestaat[[#This Row],[Oppervlak (netto)]]</f>
        <v>0</v>
      </c>
      <c r="AC1080" s="90">
        <f>IF(AB1080&gt;0,Ruimtestaat[[#This Row],[Prest. (m2 /jaar) weekend]]/Ruimtestaat[[#This Row],[Norm (m2/uur) weekend]],0)</f>
        <v>0</v>
      </c>
      <c r="AD1080" s="91">
        <f>Ruimtestaat[[#This Row],[uren / jaar weekend]]*Tariefsopbouw!$D$40</f>
        <v>0</v>
      </c>
      <c r="AE1080" s="60">
        <f>Ruimtestaat[[#This Row],[Prest. (m2 /jaar) weekend]]+Ruimtestaat[[#This Row],[Prest. (m2 /jaar) werkdagen]]</f>
        <v>5293.2599999999993</v>
      </c>
      <c r="AF1080" s="60">
        <f>Ruimtestaat[[#This Row],[uren / jaar weekend]]+Ruimtestaat[[#This Row],[uren / jaar werkdagen]]</f>
        <v>0</v>
      </c>
      <c r="AG1080" s="61">
        <f>Ruimtestaat[[#This Row],[kosten / jaar weekend]]+Ruimtestaat[[#This Row],[kosten / jaar werkdagen]]</f>
        <v>0</v>
      </c>
      <c r="AH1080" s="92"/>
      <c r="HL1080" s="59"/>
    </row>
    <row r="1081" spans="1:220">
      <c r="A1081" s="24">
        <v>7</v>
      </c>
      <c r="B1081" s="24" t="str">
        <f>VLOOKUP(Ruimtestaat[[#This Row],[Code]],Locaties[#All],2,FALSE)</f>
        <v>Het Vlier</v>
      </c>
      <c r="C1081" s="24" t="str">
        <f>VLOOKUP(Ruimtestaat[[#This Row],[Code]],Locaties[#All],4,FALSE)</f>
        <v>Het Vlier 1</v>
      </c>
      <c r="D1081" s="24" t="str">
        <f>VLOOKUP(Ruimtestaat[[#This Row],[Code]],Locaties[#All],5,FALSE)</f>
        <v>7414 AR</v>
      </c>
      <c r="E1081" s="24" t="str">
        <f>VLOOKUP(Ruimtestaat[[#This Row],[Code]],Locaties[#All],6,FALSE)</f>
        <v>Deventer</v>
      </c>
      <c r="F1081" s="54"/>
      <c r="G1081" s="24" t="s">
        <v>367</v>
      </c>
      <c r="H1081" s="24" t="s">
        <v>1463</v>
      </c>
      <c r="I1081" s="4" t="s">
        <v>386</v>
      </c>
      <c r="J1081" s="24">
        <v>2</v>
      </c>
      <c r="K1081" s="54" t="str">
        <f>VLOOKUP(J1081,Ruimtegroepen[],2,FALSE)</f>
        <v>Kantoren</v>
      </c>
      <c r="L1081" s="24" t="s">
        <v>305</v>
      </c>
      <c r="M1081" s="24" t="s">
        <v>400</v>
      </c>
      <c r="N1081" s="83">
        <v>61.53</v>
      </c>
      <c r="O1081" s="83"/>
      <c r="P1081" s="93" t="str">
        <f>LEFT(VLOOKUP(Ruimtestaat[[#This Row],[Ruimte code]],Ruimtegroepen[#All],4,1),2)</f>
        <v>Bu</v>
      </c>
      <c r="Q1081" s="93"/>
      <c r="R1081" s="84">
        <v>42</v>
      </c>
      <c r="S1081" s="84" t="s">
        <v>322</v>
      </c>
      <c r="T1081" s="85">
        <f>IF(R1081&gt;0,IF(RIGHT(Ruimtestaat[[#This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81" s="85">
        <f>IF(T1081&gt;0,VLOOKUP($J1081,Ruimtegroepen[],3,FALSE)*VLOOKUP($L1081,Vloersoorten[],3,FALSE)*VLOOKUP($S1081,Frequenties[],3,FALSE)*VLOOKUP($A1081,Locaties[],3,FALSE),0)</f>
        <v>0</v>
      </c>
      <c r="V1081" s="86">
        <f>Ruimtestaat[[#This Row],[Uitvoeringen werkdagen]]*Ruimtestaat[[#This Row],[Oppervlak (netto)]]</f>
        <v>7752.78</v>
      </c>
      <c r="W1081" s="87">
        <f>IF(U1081&gt;0,Ruimtestaat[[#This Row],[Prest. (m2 /jaar) werkdagen]]/Ruimtestaat[[#This Row],[Norm (m2/uur) werkdagen]],0)</f>
        <v>0</v>
      </c>
      <c r="X1081" s="88">
        <f>Ruimtestaat[[#This Row],[uren / jaar werkdagen]]*Tariefsopbouw!$E$35</f>
        <v>0</v>
      </c>
      <c r="Y1081" s="85"/>
      <c r="Z1081" s="89">
        <f>IF(Ruimtestaat[[#This Row],[Frequentie weekend]]&gt;0,VALUE(LEFT(Y1081,1))*R1081,0)</f>
        <v>0</v>
      </c>
      <c r="AA1081" s="85">
        <f>IF($Z1081&gt;0,VLOOKUP($J1081,Ruimtegroepen[],3,FALSE)*VLOOKUP($L1081,Vloersoorten[],3,FALSE)*VLOOKUP($Y1081,Frequenties[],3,FALSE)*VLOOKUP(#REF!,Locaties[],3,FALSE),0)</f>
        <v>0</v>
      </c>
      <c r="AB1081" s="87">
        <f>Ruimtestaat[[#This Row],[Uitvoeringen weekend]]*Ruimtestaat[[#This Row],[Oppervlak (netto)]]</f>
        <v>0</v>
      </c>
      <c r="AC1081" s="90">
        <f>IF(AB1081&gt;0,Ruimtestaat[[#This Row],[Prest. (m2 /jaar) weekend]]/Ruimtestaat[[#This Row],[Norm (m2/uur) weekend]],0)</f>
        <v>0</v>
      </c>
      <c r="AD1081" s="91">
        <f>Ruimtestaat[[#This Row],[uren / jaar weekend]]*Tariefsopbouw!$D$40</f>
        <v>0</v>
      </c>
      <c r="AE1081" s="60">
        <f>Ruimtestaat[[#This Row],[Prest. (m2 /jaar) weekend]]+Ruimtestaat[[#This Row],[Prest. (m2 /jaar) werkdagen]]</f>
        <v>7752.78</v>
      </c>
      <c r="AF1081" s="60">
        <f>Ruimtestaat[[#This Row],[uren / jaar weekend]]+Ruimtestaat[[#This Row],[uren / jaar werkdagen]]</f>
        <v>0</v>
      </c>
      <c r="AG1081" s="61">
        <f>Ruimtestaat[[#This Row],[kosten / jaar weekend]]+Ruimtestaat[[#This Row],[kosten / jaar werkdagen]]</f>
        <v>0</v>
      </c>
      <c r="AH1081" s="92"/>
      <c r="HL1081" s="59"/>
    </row>
    <row r="1082" spans="1:220">
      <c r="A1082" s="24">
        <v>7</v>
      </c>
      <c r="B1082" s="24" t="str">
        <f>VLOOKUP(Ruimtestaat[[#This Row],[Code]],Locaties[#All],2,FALSE)</f>
        <v>Het Vlier</v>
      </c>
      <c r="C1082" s="24" t="str">
        <f>VLOOKUP(Ruimtestaat[[#This Row],[Code]],Locaties[#All],4,FALSE)</f>
        <v>Het Vlier 1</v>
      </c>
      <c r="D1082" s="24" t="str">
        <f>VLOOKUP(Ruimtestaat[[#This Row],[Code]],Locaties[#All],5,FALSE)</f>
        <v>7414 AR</v>
      </c>
      <c r="E1082" s="24" t="str">
        <f>VLOOKUP(Ruimtestaat[[#This Row],[Code]],Locaties[#All],6,FALSE)</f>
        <v>Deventer</v>
      </c>
      <c r="F1082" s="54"/>
      <c r="G1082" s="24" t="s">
        <v>367</v>
      </c>
      <c r="H1082" s="24" t="s">
        <v>1464</v>
      </c>
      <c r="I1082" s="4" t="s">
        <v>1465</v>
      </c>
      <c r="J1082" s="24">
        <v>2</v>
      </c>
      <c r="K1082" s="54" t="str">
        <f>VLOOKUP(J1082,Ruimtegroepen[],2,FALSE)</f>
        <v>Kantoren</v>
      </c>
      <c r="L1082" s="24" t="s">
        <v>305</v>
      </c>
      <c r="M1082" s="24" t="s">
        <v>400</v>
      </c>
      <c r="N1082" s="83">
        <v>27.31</v>
      </c>
      <c r="O1082" s="83"/>
      <c r="P1082" s="93" t="str">
        <f>LEFT(VLOOKUP(Ruimtestaat[[#This Row],[Ruimte code]],Ruimtegroepen[#All],4,1),2)</f>
        <v>Bu</v>
      </c>
      <c r="Q1082" s="93"/>
      <c r="R1082" s="84">
        <v>42</v>
      </c>
      <c r="S1082" s="84" t="s">
        <v>322</v>
      </c>
      <c r="T1082" s="85">
        <f>IF(R1082&gt;0,IF(RIGHT(Ruimtestaat[[#This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82" s="85">
        <f>IF(T1082&gt;0,VLOOKUP($J1082,Ruimtegroepen[],3,FALSE)*VLOOKUP($L1082,Vloersoorten[],3,FALSE)*VLOOKUP($S1082,Frequenties[],3,FALSE)*VLOOKUP($A1082,Locaties[],3,FALSE),0)</f>
        <v>0</v>
      </c>
      <c r="V1082" s="86">
        <f>Ruimtestaat[[#This Row],[Uitvoeringen werkdagen]]*Ruimtestaat[[#This Row],[Oppervlak (netto)]]</f>
        <v>3441.06</v>
      </c>
      <c r="W1082" s="87">
        <f>IF(U1082&gt;0,Ruimtestaat[[#This Row],[Prest. (m2 /jaar) werkdagen]]/Ruimtestaat[[#This Row],[Norm (m2/uur) werkdagen]],0)</f>
        <v>0</v>
      </c>
      <c r="X1082" s="88">
        <f>Ruimtestaat[[#This Row],[uren / jaar werkdagen]]*Tariefsopbouw!$E$35</f>
        <v>0</v>
      </c>
      <c r="Y1082" s="85"/>
      <c r="Z1082" s="89">
        <f>IF(Ruimtestaat[[#This Row],[Frequentie weekend]]&gt;0,VALUE(LEFT(Y1082,1))*R1082,0)</f>
        <v>0</v>
      </c>
      <c r="AA1082" s="85">
        <f>IF($Z1082&gt;0,VLOOKUP($J1082,Ruimtegroepen[],3,FALSE)*VLOOKUP($L1082,Vloersoorten[],3,FALSE)*VLOOKUP($Y1082,Frequenties[],3,FALSE)*VLOOKUP(#REF!,Locaties[],3,FALSE),0)</f>
        <v>0</v>
      </c>
      <c r="AB1082" s="87">
        <f>Ruimtestaat[[#This Row],[Uitvoeringen weekend]]*Ruimtestaat[[#This Row],[Oppervlak (netto)]]</f>
        <v>0</v>
      </c>
      <c r="AC1082" s="90">
        <f>IF(AB1082&gt;0,Ruimtestaat[[#This Row],[Prest. (m2 /jaar) weekend]]/Ruimtestaat[[#This Row],[Norm (m2/uur) weekend]],0)</f>
        <v>0</v>
      </c>
      <c r="AD1082" s="91">
        <f>Ruimtestaat[[#This Row],[uren / jaar weekend]]*Tariefsopbouw!$D$40</f>
        <v>0</v>
      </c>
      <c r="AE1082" s="60">
        <f>Ruimtestaat[[#This Row],[Prest. (m2 /jaar) weekend]]+Ruimtestaat[[#This Row],[Prest. (m2 /jaar) werkdagen]]</f>
        <v>3441.06</v>
      </c>
      <c r="AF1082" s="60">
        <f>Ruimtestaat[[#This Row],[uren / jaar weekend]]+Ruimtestaat[[#This Row],[uren / jaar werkdagen]]</f>
        <v>0</v>
      </c>
      <c r="AG1082" s="61">
        <f>Ruimtestaat[[#This Row],[kosten / jaar weekend]]+Ruimtestaat[[#This Row],[kosten / jaar werkdagen]]</f>
        <v>0</v>
      </c>
      <c r="AH1082" s="92"/>
      <c r="HL1082" s="59"/>
    </row>
    <row r="1083" spans="1:220">
      <c r="A1083" s="24">
        <v>7</v>
      </c>
      <c r="B1083" s="24" t="str">
        <f>VLOOKUP(Ruimtestaat[[#This Row],[Code]],Locaties[#All],2,FALSE)</f>
        <v>Het Vlier</v>
      </c>
      <c r="C1083" s="24" t="str">
        <f>VLOOKUP(Ruimtestaat[[#This Row],[Code]],Locaties[#All],4,FALSE)</f>
        <v>Het Vlier 1</v>
      </c>
      <c r="D1083" s="24" t="str">
        <f>VLOOKUP(Ruimtestaat[[#This Row],[Code]],Locaties[#All],5,FALSE)</f>
        <v>7414 AR</v>
      </c>
      <c r="E1083" s="24" t="str">
        <f>VLOOKUP(Ruimtestaat[[#This Row],[Code]],Locaties[#All],6,FALSE)</f>
        <v>Deventer</v>
      </c>
      <c r="F1083" s="54"/>
      <c r="G1083" s="24" t="s">
        <v>367</v>
      </c>
      <c r="H1083" s="24" t="s">
        <v>1466</v>
      </c>
      <c r="I1083" s="4" t="s">
        <v>1467</v>
      </c>
      <c r="J1083" s="24">
        <v>22</v>
      </c>
      <c r="K1083" s="54" t="str">
        <f>VLOOKUP(J1083,Ruimtegroepen[],2,FALSE)</f>
        <v>Niet in onderhoud</v>
      </c>
      <c r="M1083" s="24"/>
      <c r="N1083" s="83"/>
      <c r="O1083" s="83">
        <v>3.45</v>
      </c>
      <c r="P1083" s="93" t="str">
        <f>LEFT(VLOOKUP(Ruimtestaat[[#This Row],[Ruimte code]],Ruimtegroepen[#All],4,1),2)</f>
        <v/>
      </c>
      <c r="Q1083" s="93"/>
      <c r="R1083" s="84"/>
      <c r="S1083" s="84"/>
      <c r="T1083" s="85">
        <f>IF(R1083&gt;0,IF(RIGHT(Ruimtestaat[[#This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3" s="85">
        <f>IF(T1083&gt;0,VLOOKUP($J1083,Ruimtegroepen[],3,FALSE)*VLOOKUP($L1083,Vloersoorten[],3,FALSE)*VLOOKUP($S1083,Frequenties[],3,FALSE)*VLOOKUP($A1083,Locaties[],3,FALSE),0)</f>
        <v>0</v>
      </c>
      <c r="V1083" s="86">
        <f>Ruimtestaat[[#This Row],[Uitvoeringen werkdagen]]*Ruimtestaat[[#This Row],[Oppervlak (netto)]]</f>
        <v>0</v>
      </c>
      <c r="W1083" s="87">
        <f>IF(U1083&gt;0,Ruimtestaat[[#This Row],[Prest. (m2 /jaar) werkdagen]]/Ruimtestaat[[#This Row],[Norm (m2/uur) werkdagen]],0)</f>
        <v>0</v>
      </c>
      <c r="X1083" s="88">
        <f>Ruimtestaat[[#This Row],[uren / jaar werkdagen]]*Tariefsopbouw!$E$35</f>
        <v>0</v>
      </c>
      <c r="Y1083" s="85"/>
      <c r="Z1083" s="89">
        <f>IF(Ruimtestaat[[#This Row],[Frequentie weekend]]&gt;0,VALUE(LEFT(Y1083,1))*R1083,0)</f>
        <v>0</v>
      </c>
      <c r="AA1083" s="85">
        <f>IF($Z1083&gt;0,VLOOKUP($J1083,Ruimtegroepen[],3,FALSE)*VLOOKUP($L1083,Vloersoorten[],3,FALSE)*VLOOKUP($Y1083,Frequenties[],3,FALSE)*VLOOKUP(#REF!,Locaties[],3,FALSE),0)</f>
        <v>0</v>
      </c>
      <c r="AB1083" s="87">
        <f>Ruimtestaat[[#This Row],[Uitvoeringen weekend]]*Ruimtestaat[[#This Row],[Oppervlak (netto)]]</f>
        <v>0</v>
      </c>
      <c r="AC1083" s="90">
        <f>IF(AB1083&gt;0,Ruimtestaat[[#This Row],[Prest. (m2 /jaar) weekend]]/Ruimtestaat[[#This Row],[Norm (m2/uur) weekend]],0)</f>
        <v>0</v>
      </c>
      <c r="AD1083" s="91">
        <f>Ruimtestaat[[#This Row],[uren / jaar weekend]]*Tariefsopbouw!$D$40</f>
        <v>0</v>
      </c>
      <c r="AE1083" s="60">
        <f>Ruimtestaat[[#This Row],[Prest. (m2 /jaar) weekend]]+Ruimtestaat[[#This Row],[Prest. (m2 /jaar) werkdagen]]</f>
        <v>0</v>
      </c>
      <c r="AF1083" s="60">
        <f>Ruimtestaat[[#This Row],[uren / jaar weekend]]+Ruimtestaat[[#This Row],[uren / jaar werkdagen]]</f>
        <v>0</v>
      </c>
      <c r="AG1083" s="61">
        <f>Ruimtestaat[[#This Row],[kosten / jaar weekend]]+Ruimtestaat[[#This Row],[kosten / jaar werkdagen]]</f>
        <v>0</v>
      </c>
      <c r="AH1083" s="92"/>
      <c r="HL1083" s="59"/>
    </row>
    <row r="1084" spans="1:220">
      <c r="A1084" s="24">
        <v>7</v>
      </c>
      <c r="B1084" s="24" t="str">
        <f>VLOOKUP(Ruimtestaat[[#This Row],[Code]],Locaties[#All],2,FALSE)</f>
        <v>Het Vlier</v>
      </c>
      <c r="C1084" s="24" t="str">
        <f>VLOOKUP(Ruimtestaat[[#This Row],[Code]],Locaties[#All],4,FALSE)</f>
        <v>Het Vlier 1</v>
      </c>
      <c r="D1084" s="24" t="str">
        <f>VLOOKUP(Ruimtestaat[[#This Row],[Code]],Locaties[#All],5,FALSE)</f>
        <v>7414 AR</v>
      </c>
      <c r="E1084" s="24" t="str">
        <f>VLOOKUP(Ruimtestaat[[#This Row],[Code]],Locaties[#All],6,FALSE)</f>
        <v>Deventer</v>
      </c>
      <c r="F1084" s="54"/>
      <c r="G1084" s="24" t="s">
        <v>367</v>
      </c>
      <c r="H1084" s="24" t="s">
        <v>1468</v>
      </c>
      <c r="I1084" s="4" t="s">
        <v>1469</v>
      </c>
      <c r="J1084" s="24">
        <v>22</v>
      </c>
      <c r="K1084" s="54" t="str">
        <f>VLOOKUP(J1084,Ruimtegroepen[],2,FALSE)</f>
        <v>Niet in onderhoud</v>
      </c>
      <c r="M1084" s="24"/>
      <c r="N1084" s="83"/>
      <c r="O1084" s="83">
        <v>3.63</v>
      </c>
      <c r="P1084" s="93" t="str">
        <f>LEFT(VLOOKUP(Ruimtestaat[[#This Row],[Ruimte code]],Ruimtegroepen[#All],4,1),2)</f>
        <v/>
      </c>
      <c r="Q1084" s="93"/>
      <c r="R1084" s="84"/>
      <c r="S1084" s="84"/>
      <c r="T1084" s="85">
        <f>IF(R1084&gt;0,IF(RIGHT(Ruimtestaat[[#This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4" s="85">
        <f>IF(T1084&gt;0,VLOOKUP($J1084,Ruimtegroepen[],3,FALSE)*VLOOKUP($L1084,Vloersoorten[],3,FALSE)*VLOOKUP($S1084,Frequenties[],3,FALSE)*VLOOKUP($A1084,Locaties[],3,FALSE),0)</f>
        <v>0</v>
      </c>
      <c r="V1084" s="86">
        <f>Ruimtestaat[[#This Row],[Uitvoeringen werkdagen]]*Ruimtestaat[[#This Row],[Oppervlak (netto)]]</f>
        <v>0</v>
      </c>
      <c r="W1084" s="87">
        <f>IF(U1084&gt;0,Ruimtestaat[[#This Row],[Prest. (m2 /jaar) werkdagen]]/Ruimtestaat[[#This Row],[Norm (m2/uur) werkdagen]],0)</f>
        <v>0</v>
      </c>
      <c r="X1084" s="88">
        <f>Ruimtestaat[[#This Row],[uren / jaar werkdagen]]*Tariefsopbouw!$E$35</f>
        <v>0</v>
      </c>
      <c r="Y1084" s="85"/>
      <c r="Z1084" s="89">
        <f>IF(Ruimtestaat[[#This Row],[Frequentie weekend]]&gt;0,VALUE(LEFT(Y1084,1))*R1084,0)</f>
        <v>0</v>
      </c>
      <c r="AA1084" s="85">
        <f>IF($Z1084&gt;0,VLOOKUP($J1084,Ruimtegroepen[],3,FALSE)*VLOOKUP($L1084,Vloersoorten[],3,FALSE)*VLOOKUP($Y1084,Frequenties[],3,FALSE)*VLOOKUP(#REF!,Locaties[],3,FALSE),0)</f>
        <v>0</v>
      </c>
      <c r="AB1084" s="87">
        <f>Ruimtestaat[[#This Row],[Uitvoeringen weekend]]*Ruimtestaat[[#This Row],[Oppervlak (netto)]]</f>
        <v>0</v>
      </c>
      <c r="AC1084" s="90">
        <f>IF(AB1084&gt;0,Ruimtestaat[[#This Row],[Prest. (m2 /jaar) weekend]]/Ruimtestaat[[#This Row],[Norm (m2/uur) weekend]],0)</f>
        <v>0</v>
      </c>
      <c r="AD1084" s="91">
        <f>Ruimtestaat[[#This Row],[uren / jaar weekend]]*Tariefsopbouw!$D$40</f>
        <v>0</v>
      </c>
      <c r="AE1084" s="60">
        <f>Ruimtestaat[[#This Row],[Prest. (m2 /jaar) weekend]]+Ruimtestaat[[#This Row],[Prest. (m2 /jaar) werkdagen]]</f>
        <v>0</v>
      </c>
      <c r="AF1084" s="60">
        <f>Ruimtestaat[[#This Row],[uren / jaar weekend]]+Ruimtestaat[[#This Row],[uren / jaar werkdagen]]</f>
        <v>0</v>
      </c>
      <c r="AG1084" s="61">
        <f>Ruimtestaat[[#This Row],[kosten / jaar weekend]]+Ruimtestaat[[#This Row],[kosten / jaar werkdagen]]</f>
        <v>0</v>
      </c>
      <c r="AH1084" s="92"/>
      <c r="HL1084" s="59"/>
    </row>
    <row r="1085" spans="1:220">
      <c r="A1085" s="24">
        <v>7</v>
      </c>
      <c r="B1085" s="24" t="str">
        <f>VLOOKUP(Ruimtestaat[[#This Row],[Code]],Locaties[#All],2,FALSE)</f>
        <v>Het Vlier</v>
      </c>
      <c r="C1085" s="24" t="str">
        <f>VLOOKUP(Ruimtestaat[[#This Row],[Code]],Locaties[#All],4,FALSE)</f>
        <v>Het Vlier 1</v>
      </c>
      <c r="D1085" s="24" t="str">
        <f>VLOOKUP(Ruimtestaat[[#This Row],[Code]],Locaties[#All],5,FALSE)</f>
        <v>7414 AR</v>
      </c>
      <c r="E1085" s="24" t="str">
        <f>VLOOKUP(Ruimtestaat[[#This Row],[Code]],Locaties[#All],6,FALSE)</f>
        <v>Deventer</v>
      </c>
      <c r="F1085" s="54"/>
      <c r="G1085" s="24" t="s">
        <v>367</v>
      </c>
      <c r="H1085" s="24" t="s">
        <v>1470</v>
      </c>
      <c r="I1085" s="4" t="s">
        <v>103</v>
      </c>
      <c r="J1085" s="24">
        <v>10</v>
      </c>
      <c r="K1085" s="54" t="str">
        <f>VLOOKUP(J1085,Ruimtegroepen[],2,FALSE)</f>
        <v>Trappenhuizen/lift</v>
      </c>
      <c r="L1085" s="24" t="s">
        <v>300</v>
      </c>
      <c r="M1085" s="24" t="s">
        <v>909</v>
      </c>
      <c r="N1085" s="83">
        <v>3.27</v>
      </c>
      <c r="O1085" s="83"/>
      <c r="P1085" s="93" t="str">
        <f>LEFT(VLOOKUP(Ruimtestaat[[#This Row],[Ruimte code]],Ruimtegroepen[#All],4,1),2)</f>
        <v>Ve</v>
      </c>
      <c r="Q1085" s="93"/>
      <c r="R1085" s="84">
        <v>40</v>
      </c>
      <c r="S1085" s="84" t="s">
        <v>318</v>
      </c>
      <c r="T1085" s="85">
        <f>IF(R1085&gt;0,IF(RIGHT(Ruimtestaat[[#This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85" s="85">
        <f>IF(T1085&gt;0,VLOOKUP($J1085,Ruimtegroepen[],3,FALSE)*VLOOKUP($L1085,Vloersoorten[],3,FALSE)*VLOOKUP($S1085,Frequenties[],3,FALSE)*VLOOKUP($A1085,Locaties[],3,FALSE),0)</f>
        <v>0</v>
      </c>
      <c r="V1085" s="86">
        <f>Ruimtestaat[[#This Row],[Uitvoeringen werkdagen]]*Ruimtestaat[[#This Row],[Oppervlak (netto)]]</f>
        <v>654</v>
      </c>
      <c r="W1085" s="87">
        <f>IF(U1085&gt;0,Ruimtestaat[[#This Row],[Prest. (m2 /jaar) werkdagen]]/Ruimtestaat[[#This Row],[Norm (m2/uur) werkdagen]],0)</f>
        <v>0</v>
      </c>
      <c r="X1085" s="88">
        <f>Ruimtestaat[[#This Row],[uren / jaar werkdagen]]*Tariefsopbouw!$E$35</f>
        <v>0</v>
      </c>
      <c r="Y1085" s="85"/>
      <c r="Z1085" s="89">
        <f>IF(Ruimtestaat[[#This Row],[Frequentie weekend]]&gt;0,VALUE(LEFT(Y1085,1))*R1085,0)</f>
        <v>0</v>
      </c>
      <c r="AA1085" s="85">
        <f>IF($Z1085&gt;0,VLOOKUP($J1085,Ruimtegroepen[],3,FALSE)*VLOOKUP($L1085,Vloersoorten[],3,FALSE)*VLOOKUP($Y1085,Frequenties[],3,FALSE)*VLOOKUP(#REF!,Locaties[],3,FALSE),0)</f>
        <v>0</v>
      </c>
      <c r="AB1085" s="87">
        <f>Ruimtestaat[[#This Row],[Uitvoeringen weekend]]*Ruimtestaat[[#This Row],[Oppervlak (netto)]]</f>
        <v>0</v>
      </c>
      <c r="AC1085" s="90">
        <f>IF(AB1085&gt;0,Ruimtestaat[[#This Row],[Prest. (m2 /jaar) weekend]]/Ruimtestaat[[#This Row],[Norm (m2/uur) weekend]],0)</f>
        <v>0</v>
      </c>
      <c r="AD1085" s="91">
        <f>Ruimtestaat[[#This Row],[uren / jaar weekend]]*Tariefsopbouw!$D$40</f>
        <v>0</v>
      </c>
      <c r="AE1085" s="60">
        <f>Ruimtestaat[[#This Row],[Prest. (m2 /jaar) weekend]]+Ruimtestaat[[#This Row],[Prest. (m2 /jaar) werkdagen]]</f>
        <v>654</v>
      </c>
      <c r="AF1085" s="60">
        <f>Ruimtestaat[[#This Row],[uren / jaar weekend]]+Ruimtestaat[[#This Row],[uren / jaar werkdagen]]</f>
        <v>0</v>
      </c>
      <c r="AG1085" s="61">
        <f>Ruimtestaat[[#This Row],[kosten / jaar weekend]]+Ruimtestaat[[#This Row],[kosten / jaar werkdagen]]</f>
        <v>0</v>
      </c>
      <c r="AH1085" s="92"/>
      <c r="HL1085" s="59"/>
    </row>
    <row r="1086" spans="1:220">
      <c r="A1086" s="24">
        <v>7</v>
      </c>
      <c r="B1086" s="24" t="str">
        <f>VLOOKUP(Ruimtestaat[[#This Row],[Code]],Locaties[#All],2,FALSE)</f>
        <v>Het Vlier</v>
      </c>
      <c r="C1086" s="24" t="str">
        <f>VLOOKUP(Ruimtestaat[[#This Row],[Code]],Locaties[#All],4,FALSE)</f>
        <v>Het Vlier 1</v>
      </c>
      <c r="D1086" s="24" t="str">
        <f>VLOOKUP(Ruimtestaat[[#This Row],[Code]],Locaties[#All],5,FALSE)</f>
        <v>7414 AR</v>
      </c>
      <c r="E1086" s="24" t="str">
        <f>VLOOKUP(Ruimtestaat[[#This Row],[Code]],Locaties[#All],6,FALSE)</f>
        <v>Deventer</v>
      </c>
      <c r="F1086" s="54"/>
      <c r="G1086" s="24" t="s">
        <v>367</v>
      </c>
      <c r="H1086" s="24" t="s">
        <v>1471</v>
      </c>
      <c r="I1086" s="4" t="s">
        <v>375</v>
      </c>
      <c r="J1086" s="24">
        <v>22</v>
      </c>
      <c r="K1086" s="54" t="str">
        <f>VLOOKUP(J1086,Ruimtegroepen[],2,FALSE)</f>
        <v>Niet in onderhoud</v>
      </c>
      <c r="M1086" s="24"/>
      <c r="N1086" s="83"/>
      <c r="O1086" s="83">
        <v>4.03</v>
      </c>
      <c r="P1086" s="93" t="str">
        <f>LEFT(VLOOKUP(Ruimtestaat[[#This Row],[Ruimte code]],Ruimtegroepen[#All],4,1),2)</f>
        <v/>
      </c>
      <c r="Q1086" s="93"/>
      <c r="R1086" s="84"/>
      <c r="S1086" s="84"/>
      <c r="T1086" s="85">
        <f>IF(R1086&gt;0,IF(RIGHT(Ruimtestaat[[#This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6" s="85">
        <f>IF(T1086&gt;0,VLOOKUP($J1086,Ruimtegroepen[],3,FALSE)*VLOOKUP($L1086,Vloersoorten[],3,FALSE)*VLOOKUP($S1086,Frequenties[],3,FALSE)*VLOOKUP($A1086,Locaties[],3,FALSE),0)</f>
        <v>0</v>
      </c>
      <c r="V1086" s="86">
        <f>Ruimtestaat[[#This Row],[Uitvoeringen werkdagen]]*Ruimtestaat[[#This Row],[Oppervlak (netto)]]</f>
        <v>0</v>
      </c>
      <c r="W1086" s="87">
        <f>IF(U1086&gt;0,Ruimtestaat[[#This Row],[Prest. (m2 /jaar) werkdagen]]/Ruimtestaat[[#This Row],[Norm (m2/uur) werkdagen]],0)</f>
        <v>0</v>
      </c>
      <c r="X1086" s="88">
        <f>Ruimtestaat[[#This Row],[uren / jaar werkdagen]]*Tariefsopbouw!$E$35</f>
        <v>0</v>
      </c>
      <c r="Y1086" s="85"/>
      <c r="Z1086" s="89">
        <f>IF(Ruimtestaat[[#This Row],[Frequentie weekend]]&gt;0,VALUE(LEFT(Y1086,1))*R1086,0)</f>
        <v>0</v>
      </c>
      <c r="AA1086" s="85">
        <f>IF($Z1086&gt;0,VLOOKUP($J1086,Ruimtegroepen[],3,FALSE)*VLOOKUP($L1086,Vloersoorten[],3,FALSE)*VLOOKUP($Y1086,Frequenties[],3,FALSE)*VLOOKUP(#REF!,Locaties[],3,FALSE),0)</f>
        <v>0</v>
      </c>
      <c r="AB1086" s="87">
        <f>Ruimtestaat[[#This Row],[Uitvoeringen weekend]]*Ruimtestaat[[#This Row],[Oppervlak (netto)]]</f>
        <v>0</v>
      </c>
      <c r="AC1086" s="90">
        <f>IF(AB1086&gt;0,Ruimtestaat[[#This Row],[Prest. (m2 /jaar) weekend]]/Ruimtestaat[[#This Row],[Norm (m2/uur) weekend]],0)</f>
        <v>0</v>
      </c>
      <c r="AD1086" s="91">
        <f>Ruimtestaat[[#This Row],[uren / jaar weekend]]*Tariefsopbouw!$D$40</f>
        <v>0</v>
      </c>
      <c r="AE1086" s="60">
        <f>Ruimtestaat[[#This Row],[Prest. (m2 /jaar) weekend]]+Ruimtestaat[[#This Row],[Prest. (m2 /jaar) werkdagen]]</f>
        <v>0</v>
      </c>
      <c r="AF1086" s="60">
        <f>Ruimtestaat[[#This Row],[uren / jaar weekend]]+Ruimtestaat[[#This Row],[uren / jaar werkdagen]]</f>
        <v>0</v>
      </c>
      <c r="AG1086" s="61">
        <f>Ruimtestaat[[#This Row],[kosten / jaar weekend]]+Ruimtestaat[[#This Row],[kosten / jaar werkdagen]]</f>
        <v>0</v>
      </c>
      <c r="AH1086" s="92"/>
      <c r="HL1086" s="59"/>
    </row>
    <row r="1087" spans="1:220">
      <c r="A1087" s="24">
        <v>7</v>
      </c>
      <c r="B1087" s="24" t="str">
        <f>VLOOKUP(Ruimtestaat[[#This Row],[Code]],Locaties[#All],2,FALSE)</f>
        <v>Het Vlier</v>
      </c>
      <c r="C1087" s="24" t="str">
        <f>VLOOKUP(Ruimtestaat[[#This Row],[Code]],Locaties[#All],4,FALSE)</f>
        <v>Het Vlier 1</v>
      </c>
      <c r="D1087" s="24" t="str">
        <f>VLOOKUP(Ruimtestaat[[#This Row],[Code]],Locaties[#All],5,FALSE)</f>
        <v>7414 AR</v>
      </c>
      <c r="E1087" s="24" t="str">
        <f>VLOOKUP(Ruimtestaat[[#This Row],[Code]],Locaties[#All],6,FALSE)</f>
        <v>Deventer</v>
      </c>
      <c r="F1087" s="54"/>
      <c r="G1087" s="24" t="s">
        <v>367</v>
      </c>
      <c r="H1087" s="24" t="s">
        <v>1472</v>
      </c>
      <c r="I1087" s="4" t="s">
        <v>1473</v>
      </c>
      <c r="J1087" s="24">
        <v>9</v>
      </c>
      <c r="K1087" s="54" t="str">
        <f>VLOOKUP(J1087,Ruimtegroepen[],2,FALSE)</f>
        <v>Garderobe</v>
      </c>
      <c r="L1087" s="24" t="s">
        <v>305</v>
      </c>
      <c r="M1087" s="24" t="s">
        <v>400</v>
      </c>
      <c r="N1087" s="83">
        <v>18.79</v>
      </c>
      <c r="O1087" s="83"/>
      <c r="P1087" s="93" t="str">
        <f>LEFT(VLOOKUP(Ruimtestaat[[#This Row],[Ruimte code]],Ruimtegroepen[#All],4,1),2)</f>
        <v>Ve</v>
      </c>
      <c r="Q1087" s="93"/>
      <c r="R1087" s="84">
        <v>40</v>
      </c>
      <c r="S1087" s="84" t="s">
        <v>318</v>
      </c>
      <c r="T1087" s="85">
        <f>IF(R1087&gt;0,IF(RIGHT(Ruimtestaat[[#This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87" s="85">
        <f>IF(T1087&gt;0,VLOOKUP($J1087,Ruimtegroepen[],3,FALSE)*VLOOKUP($L1087,Vloersoorten[],3,FALSE)*VLOOKUP($S1087,Frequenties[],3,FALSE)*VLOOKUP($A1087,Locaties[],3,FALSE),0)</f>
        <v>0</v>
      </c>
      <c r="V1087" s="86">
        <f>Ruimtestaat[[#This Row],[Uitvoeringen werkdagen]]*Ruimtestaat[[#This Row],[Oppervlak (netto)]]</f>
        <v>3758</v>
      </c>
      <c r="W1087" s="87">
        <f>IF(U1087&gt;0,Ruimtestaat[[#This Row],[Prest. (m2 /jaar) werkdagen]]/Ruimtestaat[[#This Row],[Norm (m2/uur) werkdagen]],0)</f>
        <v>0</v>
      </c>
      <c r="X1087" s="88">
        <f>Ruimtestaat[[#This Row],[uren / jaar werkdagen]]*Tariefsopbouw!$E$35</f>
        <v>0</v>
      </c>
      <c r="Y1087" s="85"/>
      <c r="Z1087" s="89">
        <f>IF(Ruimtestaat[[#This Row],[Frequentie weekend]]&gt;0,VALUE(LEFT(Y1087,1))*R1087,0)</f>
        <v>0</v>
      </c>
      <c r="AA1087" s="85">
        <f>IF($Z1087&gt;0,VLOOKUP($J1087,Ruimtegroepen[],3,FALSE)*VLOOKUP($L1087,Vloersoorten[],3,FALSE)*VLOOKUP($Y1087,Frequenties[],3,FALSE)*VLOOKUP(#REF!,Locaties[],3,FALSE),0)</f>
        <v>0</v>
      </c>
      <c r="AB1087" s="87">
        <f>Ruimtestaat[[#This Row],[Uitvoeringen weekend]]*Ruimtestaat[[#This Row],[Oppervlak (netto)]]</f>
        <v>0</v>
      </c>
      <c r="AC1087" s="90">
        <f>IF(AB1087&gt;0,Ruimtestaat[[#This Row],[Prest. (m2 /jaar) weekend]]/Ruimtestaat[[#This Row],[Norm (m2/uur) weekend]],0)</f>
        <v>0</v>
      </c>
      <c r="AD1087" s="91">
        <f>Ruimtestaat[[#This Row],[uren / jaar weekend]]*Tariefsopbouw!$D$40</f>
        <v>0</v>
      </c>
      <c r="AE1087" s="60">
        <f>Ruimtestaat[[#This Row],[Prest. (m2 /jaar) weekend]]+Ruimtestaat[[#This Row],[Prest. (m2 /jaar) werkdagen]]</f>
        <v>3758</v>
      </c>
      <c r="AF1087" s="60">
        <f>Ruimtestaat[[#This Row],[uren / jaar weekend]]+Ruimtestaat[[#This Row],[uren / jaar werkdagen]]</f>
        <v>0</v>
      </c>
      <c r="AG1087" s="61">
        <f>Ruimtestaat[[#This Row],[kosten / jaar weekend]]+Ruimtestaat[[#This Row],[kosten / jaar werkdagen]]</f>
        <v>0</v>
      </c>
      <c r="AH1087" s="92"/>
      <c r="HL1087" s="59"/>
    </row>
    <row r="1088" spans="1:220">
      <c r="A1088" s="24">
        <v>7</v>
      </c>
      <c r="B1088" s="24" t="str">
        <f>VLOOKUP(Ruimtestaat[[#This Row],[Code]],Locaties[#All],2,FALSE)</f>
        <v>Het Vlier</v>
      </c>
      <c r="C1088" s="24" t="str">
        <f>VLOOKUP(Ruimtestaat[[#This Row],[Code]],Locaties[#All],4,FALSE)</f>
        <v>Het Vlier 1</v>
      </c>
      <c r="D1088" s="24" t="str">
        <f>VLOOKUP(Ruimtestaat[[#This Row],[Code]],Locaties[#All],5,FALSE)</f>
        <v>7414 AR</v>
      </c>
      <c r="E1088" s="24" t="str">
        <f>VLOOKUP(Ruimtestaat[[#This Row],[Code]],Locaties[#All],6,FALSE)</f>
        <v>Deventer</v>
      </c>
      <c r="F1088" s="54"/>
      <c r="G1088" s="24" t="s">
        <v>367</v>
      </c>
      <c r="H1088" s="24" t="s">
        <v>1474</v>
      </c>
      <c r="I1088" s="4" t="s">
        <v>1475</v>
      </c>
      <c r="J1088" s="24">
        <v>22</v>
      </c>
      <c r="K1088" s="54" t="str">
        <f>VLOOKUP(J1088,Ruimtegroepen[],2,FALSE)</f>
        <v>Niet in onderhoud</v>
      </c>
      <c r="M1088" s="24"/>
      <c r="N1088" s="83"/>
      <c r="O1088" s="83">
        <v>6.69</v>
      </c>
      <c r="P1088" s="93" t="str">
        <f>LEFT(VLOOKUP(Ruimtestaat[[#This Row],[Ruimte code]],Ruimtegroepen[#All],4,1),2)</f>
        <v/>
      </c>
      <c r="Q1088" s="93"/>
      <c r="R1088" s="84"/>
      <c r="S1088" s="84"/>
      <c r="T1088" s="85">
        <f>IF(R1088&gt;0,IF(RIGHT(Ruimtestaat[[#This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8" s="85">
        <f>IF(T1088&gt;0,VLOOKUP($J1088,Ruimtegroepen[],3,FALSE)*VLOOKUP($L1088,Vloersoorten[],3,FALSE)*VLOOKUP($S1088,Frequenties[],3,FALSE)*VLOOKUP($A1088,Locaties[],3,FALSE),0)</f>
        <v>0</v>
      </c>
      <c r="V1088" s="86">
        <f>Ruimtestaat[[#This Row],[Uitvoeringen werkdagen]]*Ruimtestaat[[#This Row],[Oppervlak (netto)]]</f>
        <v>0</v>
      </c>
      <c r="W1088" s="87">
        <f>IF(U1088&gt;0,Ruimtestaat[[#This Row],[Prest. (m2 /jaar) werkdagen]]/Ruimtestaat[[#This Row],[Norm (m2/uur) werkdagen]],0)</f>
        <v>0</v>
      </c>
      <c r="X1088" s="88">
        <f>Ruimtestaat[[#This Row],[uren / jaar werkdagen]]*Tariefsopbouw!$E$35</f>
        <v>0</v>
      </c>
      <c r="Y1088" s="85"/>
      <c r="Z1088" s="89">
        <f>IF(Ruimtestaat[[#This Row],[Frequentie weekend]]&gt;0,VALUE(LEFT(Y1088,1))*R1088,0)</f>
        <v>0</v>
      </c>
      <c r="AA1088" s="85">
        <f>IF($Z1088&gt;0,VLOOKUP($J1088,Ruimtegroepen[],3,FALSE)*VLOOKUP($L1088,Vloersoorten[],3,FALSE)*VLOOKUP($Y1088,Frequenties[],3,FALSE)*VLOOKUP(#REF!,Locaties[],3,FALSE),0)</f>
        <v>0</v>
      </c>
      <c r="AB1088" s="87">
        <f>Ruimtestaat[[#This Row],[Uitvoeringen weekend]]*Ruimtestaat[[#This Row],[Oppervlak (netto)]]</f>
        <v>0</v>
      </c>
      <c r="AC1088" s="90">
        <f>IF(AB1088&gt;0,Ruimtestaat[[#This Row],[Prest. (m2 /jaar) weekend]]/Ruimtestaat[[#This Row],[Norm (m2/uur) weekend]],0)</f>
        <v>0</v>
      </c>
      <c r="AD1088" s="91">
        <f>Ruimtestaat[[#This Row],[uren / jaar weekend]]*Tariefsopbouw!$D$40</f>
        <v>0</v>
      </c>
      <c r="AE1088" s="60">
        <f>Ruimtestaat[[#This Row],[Prest. (m2 /jaar) weekend]]+Ruimtestaat[[#This Row],[Prest. (m2 /jaar) werkdagen]]</f>
        <v>0</v>
      </c>
      <c r="AF1088" s="60">
        <f>Ruimtestaat[[#This Row],[uren / jaar weekend]]+Ruimtestaat[[#This Row],[uren / jaar werkdagen]]</f>
        <v>0</v>
      </c>
      <c r="AG1088" s="61">
        <f>Ruimtestaat[[#This Row],[kosten / jaar weekend]]+Ruimtestaat[[#This Row],[kosten / jaar werkdagen]]</f>
        <v>0</v>
      </c>
      <c r="AH1088" s="92"/>
      <c r="HL1088" s="59"/>
    </row>
    <row r="1089" spans="1:220">
      <c r="A1089" s="24">
        <v>7</v>
      </c>
      <c r="B1089" s="24" t="str">
        <f>VLOOKUP(Ruimtestaat[[#This Row],[Code]],Locaties[#All],2,FALSE)</f>
        <v>Het Vlier</v>
      </c>
      <c r="C1089" s="24" t="str">
        <f>VLOOKUP(Ruimtestaat[[#This Row],[Code]],Locaties[#All],4,FALSE)</f>
        <v>Het Vlier 1</v>
      </c>
      <c r="D1089" s="24" t="str">
        <f>VLOOKUP(Ruimtestaat[[#This Row],[Code]],Locaties[#All],5,FALSE)</f>
        <v>7414 AR</v>
      </c>
      <c r="E1089" s="24" t="str">
        <f>VLOOKUP(Ruimtestaat[[#This Row],[Code]],Locaties[#All],6,FALSE)</f>
        <v>Deventer</v>
      </c>
      <c r="F1089" s="54"/>
      <c r="G1089" s="24" t="s">
        <v>367</v>
      </c>
      <c r="H1089" s="24" t="s">
        <v>1476</v>
      </c>
      <c r="I1089" s="4" t="s">
        <v>1477</v>
      </c>
      <c r="J1089" s="24">
        <v>22</v>
      </c>
      <c r="K1089" s="54" t="str">
        <f>VLOOKUP(J1089,Ruimtegroepen[],2,FALSE)</f>
        <v>Niet in onderhoud</v>
      </c>
      <c r="M1089" s="24"/>
      <c r="N1089" s="83"/>
      <c r="O1089" s="83">
        <v>62.46</v>
      </c>
      <c r="P1089" s="93" t="str">
        <f>LEFT(VLOOKUP(Ruimtestaat[[#This Row],[Ruimte code]],Ruimtegroepen[#All],4,1),2)</f>
        <v/>
      </c>
      <c r="Q1089" s="93"/>
      <c r="R1089" s="84"/>
      <c r="S1089" s="84"/>
      <c r="T1089" s="85">
        <f>IF(R1089&gt;0,IF(RIGHT(Ruimtestaat[[#This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9" s="85">
        <f>IF(T1089&gt;0,VLOOKUP($J1089,Ruimtegroepen[],3,FALSE)*VLOOKUP($L1089,Vloersoorten[],3,FALSE)*VLOOKUP($S1089,Frequenties[],3,FALSE)*VLOOKUP($A1089,Locaties[],3,FALSE),0)</f>
        <v>0</v>
      </c>
      <c r="V1089" s="86">
        <f>Ruimtestaat[[#This Row],[Uitvoeringen werkdagen]]*Ruimtestaat[[#This Row],[Oppervlak (netto)]]</f>
        <v>0</v>
      </c>
      <c r="W1089" s="87">
        <f>IF(U1089&gt;0,Ruimtestaat[[#This Row],[Prest. (m2 /jaar) werkdagen]]/Ruimtestaat[[#This Row],[Norm (m2/uur) werkdagen]],0)</f>
        <v>0</v>
      </c>
      <c r="X1089" s="88">
        <f>Ruimtestaat[[#This Row],[uren / jaar werkdagen]]*Tariefsopbouw!$E$35</f>
        <v>0</v>
      </c>
      <c r="Y1089" s="85"/>
      <c r="Z1089" s="89">
        <f>IF(Ruimtestaat[[#This Row],[Frequentie weekend]]&gt;0,VALUE(LEFT(Y1089,1))*R1089,0)</f>
        <v>0</v>
      </c>
      <c r="AA1089" s="85">
        <f>IF($Z1089&gt;0,VLOOKUP($J1089,Ruimtegroepen[],3,FALSE)*VLOOKUP($L1089,Vloersoorten[],3,FALSE)*VLOOKUP($Y1089,Frequenties[],3,FALSE)*VLOOKUP(#REF!,Locaties[],3,FALSE),0)</f>
        <v>0</v>
      </c>
      <c r="AB1089" s="87">
        <f>Ruimtestaat[[#This Row],[Uitvoeringen weekend]]*Ruimtestaat[[#This Row],[Oppervlak (netto)]]</f>
        <v>0</v>
      </c>
      <c r="AC1089" s="90">
        <f>IF(AB1089&gt;0,Ruimtestaat[[#This Row],[Prest. (m2 /jaar) weekend]]/Ruimtestaat[[#This Row],[Norm (m2/uur) weekend]],0)</f>
        <v>0</v>
      </c>
      <c r="AD1089" s="91">
        <f>Ruimtestaat[[#This Row],[uren / jaar weekend]]*Tariefsopbouw!$D$40</f>
        <v>0</v>
      </c>
      <c r="AE1089" s="60">
        <f>Ruimtestaat[[#This Row],[Prest. (m2 /jaar) weekend]]+Ruimtestaat[[#This Row],[Prest. (m2 /jaar) werkdagen]]</f>
        <v>0</v>
      </c>
      <c r="AF1089" s="60">
        <f>Ruimtestaat[[#This Row],[uren / jaar weekend]]+Ruimtestaat[[#This Row],[uren / jaar werkdagen]]</f>
        <v>0</v>
      </c>
      <c r="AG1089" s="61">
        <f>Ruimtestaat[[#This Row],[kosten / jaar weekend]]+Ruimtestaat[[#This Row],[kosten / jaar werkdagen]]</f>
        <v>0</v>
      </c>
      <c r="AH1089" s="92"/>
      <c r="HL1089" s="59"/>
    </row>
    <row r="1090" spans="1:220">
      <c r="A1090" s="24">
        <v>7</v>
      </c>
      <c r="B1090" s="24" t="str">
        <f>VLOOKUP(Ruimtestaat[[#This Row],[Code]],Locaties[#All],2,FALSE)</f>
        <v>Het Vlier</v>
      </c>
      <c r="C1090" s="24" t="str">
        <f>VLOOKUP(Ruimtestaat[[#This Row],[Code]],Locaties[#All],4,FALSE)</f>
        <v>Het Vlier 1</v>
      </c>
      <c r="D1090" s="24" t="str">
        <f>VLOOKUP(Ruimtestaat[[#This Row],[Code]],Locaties[#All],5,FALSE)</f>
        <v>7414 AR</v>
      </c>
      <c r="E1090" s="24" t="str">
        <f>VLOOKUP(Ruimtestaat[[#This Row],[Code]],Locaties[#All],6,FALSE)</f>
        <v>Deventer</v>
      </c>
      <c r="F1090" s="54"/>
      <c r="G1090" s="24" t="s">
        <v>367</v>
      </c>
      <c r="H1090" s="24" t="s">
        <v>1478</v>
      </c>
      <c r="I1090" s="4" t="s">
        <v>1479</v>
      </c>
      <c r="J1090" s="24">
        <v>22</v>
      </c>
      <c r="K1090" s="54" t="str">
        <f>VLOOKUP(J1090,Ruimtegroepen[],2,FALSE)</f>
        <v>Niet in onderhoud</v>
      </c>
      <c r="M1090" s="24"/>
      <c r="N1090" s="83"/>
      <c r="O1090" s="83">
        <v>0.33</v>
      </c>
      <c r="P1090" s="93" t="str">
        <f>LEFT(VLOOKUP(Ruimtestaat[[#This Row],[Ruimte code]],Ruimtegroepen[#All],4,1),2)</f>
        <v/>
      </c>
      <c r="Q1090" s="93"/>
      <c r="R1090" s="84"/>
      <c r="S1090" s="84"/>
      <c r="T1090" s="85">
        <f>IF(R1090&gt;0,IF(RIGHT(Ruimtestaat[[#This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90" s="85">
        <f>IF(T1090&gt;0,VLOOKUP($J1090,Ruimtegroepen[],3,FALSE)*VLOOKUP($L1090,Vloersoorten[],3,FALSE)*VLOOKUP($S1090,Frequenties[],3,FALSE)*VLOOKUP($A1090,Locaties[],3,FALSE),0)</f>
        <v>0</v>
      </c>
      <c r="V1090" s="86">
        <f>Ruimtestaat[[#This Row],[Uitvoeringen werkdagen]]*Ruimtestaat[[#This Row],[Oppervlak (netto)]]</f>
        <v>0</v>
      </c>
      <c r="W1090" s="87">
        <f>IF(U1090&gt;0,Ruimtestaat[[#This Row],[Prest. (m2 /jaar) werkdagen]]/Ruimtestaat[[#This Row],[Norm (m2/uur) werkdagen]],0)</f>
        <v>0</v>
      </c>
      <c r="X1090" s="88">
        <f>Ruimtestaat[[#This Row],[uren / jaar werkdagen]]*Tariefsopbouw!$E$35</f>
        <v>0</v>
      </c>
      <c r="Y1090" s="85"/>
      <c r="Z1090" s="89">
        <f>IF(Ruimtestaat[[#This Row],[Frequentie weekend]]&gt;0,VALUE(LEFT(Y1090,1))*R1090,0)</f>
        <v>0</v>
      </c>
      <c r="AA1090" s="85">
        <f>IF($Z1090&gt;0,VLOOKUP($J1090,Ruimtegroepen[],3,FALSE)*VLOOKUP($L1090,Vloersoorten[],3,FALSE)*VLOOKUP($Y1090,Frequenties[],3,FALSE)*VLOOKUP(#REF!,Locaties[],3,FALSE),0)</f>
        <v>0</v>
      </c>
      <c r="AB1090" s="87">
        <f>Ruimtestaat[[#This Row],[Uitvoeringen weekend]]*Ruimtestaat[[#This Row],[Oppervlak (netto)]]</f>
        <v>0</v>
      </c>
      <c r="AC1090" s="90">
        <f>IF(AB1090&gt;0,Ruimtestaat[[#This Row],[Prest. (m2 /jaar) weekend]]/Ruimtestaat[[#This Row],[Norm (m2/uur) weekend]],0)</f>
        <v>0</v>
      </c>
      <c r="AD1090" s="91">
        <f>Ruimtestaat[[#This Row],[uren / jaar weekend]]*Tariefsopbouw!$D$40</f>
        <v>0</v>
      </c>
      <c r="AE1090" s="60">
        <f>Ruimtestaat[[#This Row],[Prest. (m2 /jaar) weekend]]+Ruimtestaat[[#This Row],[Prest. (m2 /jaar) werkdagen]]</f>
        <v>0</v>
      </c>
      <c r="AF1090" s="60">
        <f>Ruimtestaat[[#This Row],[uren / jaar weekend]]+Ruimtestaat[[#This Row],[uren / jaar werkdagen]]</f>
        <v>0</v>
      </c>
      <c r="AG1090" s="61">
        <f>Ruimtestaat[[#This Row],[kosten / jaar weekend]]+Ruimtestaat[[#This Row],[kosten / jaar werkdagen]]</f>
        <v>0</v>
      </c>
      <c r="AH1090" s="92"/>
      <c r="HL1090" s="59"/>
    </row>
    <row r="1091" spans="1:220">
      <c r="A1091" s="24">
        <v>7</v>
      </c>
      <c r="B1091" s="24" t="str">
        <f>VLOOKUP(Ruimtestaat[[#This Row],[Code]],Locaties[#All],2,FALSE)</f>
        <v>Het Vlier</v>
      </c>
      <c r="C1091" s="24" t="str">
        <f>VLOOKUP(Ruimtestaat[[#This Row],[Code]],Locaties[#All],4,FALSE)</f>
        <v>Het Vlier 1</v>
      </c>
      <c r="D1091" s="24" t="str">
        <f>VLOOKUP(Ruimtestaat[[#This Row],[Code]],Locaties[#All],5,FALSE)</f>
        <v>7414 AR</v>
      </c>
      <c r="E1091" s="24" t="str">
        <f>VLOOKUP(Ruimtestaat[[#This Row],[Code]],Locaties[#All],6,FALSE)</f>
        <v>Deventer</v>
      </c>
      <c r="F1091" s="54"/>
      <c r="G1091" s="24" t="s">
        <v>367</v>
      </c>
      <c r="H1091" s="24" t="s">
        <v>1480</v>
      </c>
      <c r="I1091" s="4" t="s">
        <v>1481</v>
      </c>
      <c r="J1091" s="24">
        <v>9</v>
      </c>
      <c r="K1091" s="54" t="str">
        <f>VLOOKUP(J1091,Ruimtegroepen[],2,FALSE)</f>
        <v>Garderobe</v>
      </c>
      <c r="L1091" s="24" t="s">
        <v>305</v>
      </c>
      <c r="M1091" s="24" t="s">
        <v>400</v>
      </c>
      <c r="N1091" s="83">
        <v>54.06</v>
      </c>
      <c r="O1091" s="83"/>
      <c r="P1091" s="93" t="str">
        <f>LEFT(VLOOKUP(Ruimtestaat[[#This Row],[Ruimte code]],Ruimtegroepen[#All],4,1),2)</f>
        <v>Ve</v>
      </c>
      <c r="Q1091" s="93"/>
      <c r="R1091" s="84">
        <v>40</v>
      </c>
      <c r="S1091" s="84" t="s">
        <v>318</v>
      </c>
      <c r="T1091" s="85">
        <f>IF(R1091&gt;0,IF(RIGHT(Ruimtestaat[[#This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91" s="85">
        <f>IF(T1091&gt;0,VLOOKUP($J1091,Ruimtegroepen[],3,FALSE)*VLOOKUP($L1091,Vloersoorten[],3,FALSE)*VLOOKUP($S1091,Frequenties[],3,FALSE)*VLOOKUP($A1091,Locaties[],3,FALSE),0)</f>
        <v>0</v>
      </c>
      <c r="V1091" s="86">
        <f>Ruimtestaat[[#This Row],[Uitvoeringen werkdagen]]*Ruimtestaat[[#This Row],[Oppervlak (netto)]]</f>
        <v>10812</v>
      </c>
      <c r="W1091" s="87">
        <f>IF(U1091&gt;0,Ruimtestaat[[#This Row],[Prest. (m2 /jaar) werkdagen]]/Ruimtestaat[[#This Row],[Norm (m2/uur) werkdagen]],0)</f>
        <v>0</v>
      </c>
      <c r="X1091" s="88">
        <f>Ruimtestaat[[#This Row],[uren / jaar werkdagen]]*Tariefsopbouw!$E$35</f>
        <v>0</v>
      </c>
      <c r="Y1091" s="85"/>
      <c r="Z1091" s="89">
        <f>IF(Ruimtestaat[[#This Row],[Frequentie weekend]]&gt;0,VALUE(LEFT(Y1091,1))*R1091,0)</f>
        <v>0</v>
      </c>
      <c r="AA1091" s="85">
        <f>IF($Z1091&gt;0,VLOOKUP($J1091,Ruimtegroepen[],3,FALSE)*VLOOKUP($L1091,Vloersoorten[],3,FALSE)*VLOOKUP($Y1091,Frequenties[],3,FALSE)*VLOOKUP(#REF!,Locaties[],3,FALSE),0)</f>
        <v>0</v>
      </c>
      <c r="AB1091" s="87">
        <f>Ruimtestaat[[#This Row],[Uitvoeringen weekend]]*Ruimtestaat[[#This Row],[Oppervlak (netto)]]</f>
        <v>0</v>
      </c>
      <c r="AC1091" s="90">
        <f>IF(AB1091&gt;0,Ruimtestaat[[#This Row],[Prest. (m2 /jaar) weekend]]/Ruimtestaat[[#This Row],[Norm (m2/uur) weekend]],0)</f>
        <v>0</v>
      </c>
      <c r="AD1091" s="91">
        <f>Ruimtestaat[[#This Row],[uren / jaar weekend]]*Tariefsopbouw!$D$40</f>
        <v>0</v>
      </c>
      <c r="AE1091" s="60">
        <f>Ruimtestaat[[#This Row],[Prest. (m2 /jaar) weekend]]+Ruimtestaat[[#This Row],[Prest. (m2 /jaar) werkdagen]]</f>
        <v>10812</v>
      </c>
      <c r="AF1091" s="60">
        <f>Ruimtestaat[[#This Row],[uren / jaar weekend]]+Ruimtestaat[[#This Row],[uren / jaar werkdagen]]</f>
        <v>0</v>
      </c>
      <c r="AG1091" s="61">
        <f>Ruimtestaat[[#This Row],[kosten / jaar weekend]]+Ruimtestaat[[#This Row],[kosten / jaar werkdagen]]</f>
        <v>0</v>
      </c>
      <c r="AH1091" s="92"/>
      <c r="HL1091" s="59"/>
    </row>
    <row r="1092" spans="1:220">
      <c r="A1092" s="24">
        <v>7</v>
      </c>
      <c r="B1092" s="24" t="str">
        <f>VLOOKUP(Ruimtestaat[[#This Row],[Code]],Locaties[#All],2,FALSE)</f>
        <v>Het Vlier</v>
      </c>
      <c r="C1092" s="24" t="str">
        <f>VLOOKUP(Ruimtestaat[[#This Row],[Code]],Locaties[#All],4,FALSE)</f>
        <v>Het Vlier 1</v>
      </c>
      <c r="D1092" s="24" t="str">
        <f>VLOOKUP(Ruimtestaat[[#This Row],[Code]],Locaties[#All],5,FALSE)</f>
        <v>7414 AR</v>
      </c>
      <c r="E1092" s="24" t="str">
        <f>VLOOKUP(Ruimtestaat[[#This Row],[Code]],Locaties[#All],6,FALSE)</f>
        <v>Deventer</v>
      </c>
      <c r="F1092" s="54"/>
      <c r="G1092" s="24" t="s">
        <v>367</v>
      </c>
      <c r="H1092" s="24" t="s">
        <v>1482</v>
      </c>
      <c r="I1092" s="4" t="s">
        <v>1479</v>
      </c>
      <c r="J1092" s="24">
        <v>22</v>
      </c>
      <c r="K1092" s="54" t="str">
        <f>VLOOKUP(J1092,Ruimtegroepen[],2,FALSE)</f>
        <v>Niet in onderhoud</v>
      </c>
      <c r="M1092" s="24"/>
      <c r="N1092" s="83"/>
      <c r="O1092" s="83">
        <v>3.54</v>
      </c>
      <c r="P1092" s="93" t="str">
        <f>LEFT(VLOOKUP(Ruimtestaat[[#This Row],[Ruimte code]],Ruimtegroepen[#All],4,1),2)</f>
        <v/>
      </c>
      <c r="Q1092" s="93"/>
      <c r="R1092" s="84"/>
      <c r="S1092" s="84"/>
      <c r="T1092" s="85">
        <f>IF(R1092&gt;0,IF(RIGHT(Ruimtestaat[[#This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92" s="85">
        <f>IF(T1092&gt;0,VLOOKUP($J1092,Ruimtegroepen[],3,FALSE)*VLOOKUP($L1092,Vloersoorten[],3,FALSE)*VLOOKUP($S1092,Frequenties[],3,FALSE)*VLOOKUP($A1092,Locaties[],3,FALSE),0)</f>
        <v>0</v>
      </c>
      <c r="V1092" s="86">
        <f>Ruimtestaat[[#This Row],[Uitvoeringen werkdagen]]*Ruimtestaat[[#This Row],[Oppervlak (netto)]]</f>
        <v>0</v>
      </c>
      <c r="W1092" s="87">
        <f>IF(U1092&gt;0,Ruimtestaat[[#This Row],[Prest. (m2 /jaar) werkdagen]]/Ruimtestaat[[#This Row],[Norm (m2/uur) werkdagen]],0)</f>
        <v>0</v>
      </c>
      <c r="X1092" s="88">
        <f>Ruimtestaat[[#This Row],[uren / jaar werkdagen]]*Tariefsopbouw!$E$35</f>
        <v>0</v>
      </c>
      <c r="Y1092" s="85"/>
      <c r="Z1092" s="89">
        <f>IF(Ruimtestaat[[#This Row],[Frequentie weekend]]&gt;0,VALUE(LEFT(Y1092,1))*R1092,0)</f>
        <v>0</v>
      </c>
      <c r="AA1092" s="85">
        <f>IF($Z1092&gt;0,VLOOKUP($J1092,Ruimtegroepen[],3,FALSE)*VLOOKUP($L1092,Vloersoorten[],3,FALSE)*VLOOKUP($Y1092,Frequenties[],3,FALSE)*VLOOKUP(#REF!,Locaties[],3,FALSE),0)</f>
        <v>0</v>
      </c>
      <c r="AB1092" s="87">
        <f>Ruimtestaat[[#This Row],[Uitvoeringen weekend]]*Ruimtestaat[[#This Row],[Oppervlak (netto)]]</f>
        <v>0</v>
      </c>
      <c r="AC1092" s="90">
        <f>IF(AB1092&gt;0,Ruimtestaat[[#This Row],[Prest. (m2 /jaar) weekend]]/Ruimtestaat[[#This Row],[Norm (m2/uur) weekend]],0)</f>
        <v>0</v>
      </c>
      <c r="AD1092" s="91">
        <f>Ruimtestaat[[#This Row],[uren / jaar weekend]]*Tariefsopbouw!$D$40</f>
        <v>0</v>
      </c>
      <c r="AE1092" s="60">
        <f>Ruimtestaat[[#This Row],[Prest. (m2 /jaar) weekend]]+Ruimtestaat[[#This Row],[Prest. (m2 /jaar) werkdagen]]</f>
        <v>0</v>
      </c>
      <c r="AF1092" s="60">
        <f>Ruimtestaat[[#This Row],[uren / jaar weekend]]+Ruimtestaat[[#This Row],[uren / jaar werkdagen]]</f>
        <v>0</v>
      </c>
      <c r="AG1092" s="61">
        <f>Ruimtestaat[[#This Row],[kosten / jaar weekend]]+Ruimtestaat[[#This Row],[kosten / jaar werkdagen]]</f>
        <v>0</v>
      </c>
      <c r="AH1092" s="92"/>
      <c r="HL1092" s="59"/>
    </row>
    <row r="1093" spans="1:220">
      <c r="A1093" s="24">
        <v>7</v>
      </c>
      <c r="B1093" s="24" t="str">
        <f>VLOOKUP(Ruimtestaat[[#This Row],[Code]],Locaties[#All],2,FALSE)</f>
        <v>Het Vlier</v>
      </c>
      <c r="C1093" s="24" t="str">
        <f>VLOOKUP(Ruimtestaat[[#This Row],[Code]],Locaties[#All],4,FALSE)</f>
        <v>Het Vlier 1</v>
      </c>
      <c r="D1093" s="24" t="str">
        <f>VLOOKUP(Ruimtestaat[[#This Row],[Code]],Locaties[#All],5,FALSE)</f>
        <v>7414 AR</v>
      </c>
      <c r="E1093" s="24" t="str">
        <f>VLOOKUP(Ruimtestaat[[#This Row],[Code]],Locaties[#All],6,FALSE)</f>
        <v>Deventer</v>
      </c>
      <c r="F1093" s="54"/>
      <c r="G1093" s="24" t="s">
        <v>367</v>
      </c>
      <c r="H1093" s="24" t="s">
        <v>1483</v>
      </c>
      <c r="I1093" s="4" t="s">
        <v>1484</v>
      </c>
      <c r="J1093" s="24">
        <v>2</v>
      </c>
      <c r="K1093" s="54" t="str">
        <f>VLOOKUP(J1093,Ruimtegroepen[],2,FALSE)</f>
        <v>Kantoren</v>
      </c>
      <c r="L1093" s="24" t="s">
        <v>305</v>
      </c>
      <c r="M1093" s="24" t="s">
        <v>400</v>
      </c>
      <c r="N1093" s="83">
        <v>26.92</v>
      </c>
      <c r="O1093" s="83"/>
      <c r="P1093" s="93" t="str">
        <f>LEFT(VLOOKUP(Ruimtestaat[[#This Row],[Ruimte code]],Ruimtegroepen[#All],4,1),2)</f>
        <v>Bu</v>
      </c>
      <c r="Q1093" s="93"/>
      <c r="R1093" s="84">
        <v>42</v>
      </c>
      <c r="S1093" s="84" t="s">
        <v>322</v>
      </c>
      <c r="T1093" s="85">
        <f>IF(R1093&gt;0,IF(RIGHT(Ruimtestaat[[#This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93" s="85">
        <f>IF(T1093&gt;0,VLOOKUP($J1093,Ruimtegroepen[],3,FALSE)*VLOOKUP($L1093,Vloersoorten[],3,FALSE)*VLOOKUP($S1093,Frequenties[],3,FALSE)*VLOOKUP($A1093,Locaties[],3,FALSE),0)</f>
        <v>0</v>
      </c>
      <c r="V1093" s="86">
        <f>Ruimtestaat[[#This Row],[Uitvoeringen werkdagen]]*Ruimtestaat[[#This Row],[Oppervlak (netto)]]</f>
        <v>3391.92</v>
      </c>
      <c r="W1093" s="87">
        <f>IF(U1093&gt;0,Ruimtestaat[[#This Row],[Prest. (m2 /jaar) werkdagen]]/Ruimtestaat[[#This Row],[Norm (m2/uur) werkdagen]],0)</f>
        <v>0</v>
      </c>
      <c r="X1093" s="88">
        <f>Ruimtestaat[[#This Row],[uren / jaar werkdagen]]*Tariefsopbouw!$E$35</f>
        <v>0</v>
      </c>
      <c r="Y1093" s="85"/>
      <c r="Z1093" s="89">
        <f>IF(Ruimtestaat[[#This Row],[Frequentie weekend]]&gt;0,VALUE(LEFT(Y1093,1))*R1093,0)</f>
        <v>0</v>
      </c>
      <c r="AA1093" s="85">
        <f>IF($Z1093&gt;0,VLOOKUP($J1093,Ruimtegroepen[],3,FALSE)*VLOOKUP($L1093,Vloersoorten[],3,FALSE)*VLOOKUP($Y1093,Frequenties[],3,FALSE)*VLOOKUP(#REF!,Locaties[],3,FALSE),0)</f>
        <v>0</v>
      </c>
      <c r="AB1093" s="87">
        <f>Ruimtestaat[[#This Row],[Uitvoeringen weekend]]*Ruimtestaat[[#This Row],[Oppervlak (netto)]]</f>
        <v>0</v>
      </c>
      <c r="AC1093" s="90">
        <f>IF(AB1093&gt;0,Ruimtestaat[[#This Row],[Prest. (m2 /jaar) weekend]]/Ruimtestaat[[#This Row],[Norm (m2/uur) weekend]],0)</f>
        <v>0</v>
      </c>
      <c r="AD1093" s="91">
        <f>Ruimtestaat[[#This Row],[uren / jaar weekend]]*Tariefsopbouw!$D$40</f>
        <v>0</v>
      </c>
      <c r="AE1093" s="60">
        <f>Ruimtestaat[[#This Row],[Prest. (m2 /jaar) weekend]]+Ruimtestaat[[#This Row],[Prest. (m2 /jaar) werkdagen]]</f>
        <v>3391.92</v>
      </c>
      <c r="AF1093" s="60">
        <f>Ruimtestaat[[#This Row],[uren / jaar weekend]]+Ruimtestaat[[#This Row],[uren / jaar werkdagen]]</f>
        <v>0</v>
      </c>
      <c r="AG1093" s="61">
        <f>Ruimtestaat[[#This Row],[kosten / jaar weekend]]+Ruimtestaat[[#This Row],[kosten / jaar werkdagen]]</f>
        <v>0</v>
      </c>
      <c r="AH1093" s="92"/>
      <c r="HL1093" s="59"/>
    </row>
    <row r="1094" spans="1:220">
      <c r="A1094" s="24">
        <v>7</v>
      </c>
      <c r="B1094" s="24" t="str">
        <f>VLOOKUP(Ruimtestaat[[#This Row],[Code]],Locaties[#All],2,FALSE)</f>
        <v>Het Vlier</v>
      </c>
      <c r="C1094" s="24" t="str">
        <f>VLOOKUP(Ruimtestaat[[#This Row],[Code]],Locaties[#All],4,FALSE)</f>
        <v>Het Vlier 1</v>
      </c>
      <c r="D1094" s="24" t="str">
        <f>VLOOKUP(Ruimtestaat[[#This Row],[Code]],Locaties[#All],5,FALSE)</f>
        <v>7414 AR</v>
      </c>
      <c r="E1094" s="24" t="str">
        <f>VLOOKUP(Ruimtestaat[[#This Row],[Code]],Locaties[#All],6,FALSE)</f>
        <v>Deventer</v>
      </c>
      <c r="F1094" s="54"/>
      <c r="G1094" s="24" t="s">
        <v>367</v>
      </c>
      <c r="H1094" s="24" t="s">
        <v>1485</v>
      </c>
      <c r="I1094" s="4" t="s">
        <v>407</v>
      </c>
      <c r="J1094" s="24">
        <v>4</v>
      </c>
      <c r="K1094" s="54" t="str">
        <f>VLOOKUP(J1094,Ruimtegroepen[],2,FALSE)</f>
        <v>Vergader/spreekkamers</v>
      </c>
      <c r="L1094" s="24" t="s">
        <v>305</v>
      </c>
      <c r="M1094" s="24" t="s">
        <v>400</v>
      </c>
      <c r="N1094" s="83">
        <v>12.87</v>
      </c>
      <c r="O1094" s="83"/>
      <c r="P1094" s="93" t="str">
        <f>LEFT(VLOOKUP(Ruimtestaat[[#This Row],[Ruimte code]],Ruimtegroepen[#All],4,1),2)</f>
        <v>Bu</v>
      </c>
      <c r="Q1094" s="93"/>
      <c r="R1094" s="84">
        <v>40</v>
      </c>
      <c r="S1094" s="84" t="s">
        <v>322</v>
      </c>
      <c r="T1094" s="85">
        <f>IF(R1094&gt;0,IF(RIGHT(Ruimtestaat[[#This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094" s="85">
        <f>IF(T1094&gt;0,VLOOKUP($J1094,Ruimtegroepen[],3,FALSE)*VLOOKUP($L1094,Vloersoorten[],3,FALSE)*VLOOKUP($S1094,Frequenties[],3,FALSE)*VLOOKUP($A1094,Locaties[],3,FALSE),0)</f>
        <v>0</v>
      </c>
      <c r="V1094" s="86">
        <f>Ruimtestaat[[#This Row],[Uitvoeringen werkdagen]]*Ruimtestaat[[#This Row],[Oppervlak (netto)]]</f>
        <v>1544.3999999999999</v>
      </c>
      <c r="W1094" s="87">
        <f>IF(U1094&gt;0,Ruimtestaat[[#This Row],[Prest. (m2 /jaar) werkdagen]]/Ruimtestaat[[#This Row],[Norm (m2/uur) werkdagen]],0)</f>
        <v>0</v>
      </c>
      <c r="X1094" s="88">
        <f>Ruimtestaat[[#This Row],[uren / jaar werkdagen]]*Tariefsopbouw!$E$35</f>
        <v>0</v>
      </c>
      <c r="Y1094" s="85"/>
      <c r="Z1094" s="89">
        <f>IF(Ruimtestaat[[#This Row],[Frequentie weekend]]&gt;0,VALUE(LEFT(Y1094,1))*R1094,0)</f>
        <v>0</v>
      </c>
      <c r="AA1094" s="85">
        <f>IF($Z1094&gt;0,VLOOKUP($J1094,Ruimtegroepen[],3,FALSE)*VLOOKUP($L1094,Vloersoorten[],3,FALSE)*VLOOKUP($Y1094,Frequenties[],3,FALSE)*VLOOKUP(#REF!,Locaties[],3,FALSE),0)</f>
        <v>0</v>
      </c>
      <c r="AB1094" s="87">
        <f>Ruimtestaat[[#This Row],[Uitvoeringen weekend]]*Ruimtestaat[[#This Row],[Oppervlak (netto)]]</f>
        <v>0</v>
      </c>
      <c r="AC1094" s="90">
        <f>IF(AB1094&gt;0,Ruimtestaat[[#This Row],[Prest. (m2 /jaar) weekend]]/Ruimtestaat[[#This Row],[Norm (m2/uur) weekend]],0)</f>
        <v>0</v>
      </c>
      <c r="AD1094" s="91">
        <f>Ruimtestaat[[#This Row],[uren / jaar weekend]]*Tariefsopbouw!$D$40</f>
        <v>0</v>
      </c>
      <c r="AE1094" s="60">
        <f>Ruimtestaat[[#This Row],[Prest. (m2 /jaar) weekend]]+Ruimtestaat[[#This Row],[Prest. (m2 /jaar) werkdagen]]</f>
        <v>1544.3999999999999</v>
      </c>
      <c r="AF1094" s="60">
        <f>Ruimtestaat[[#This Row],[uren / jaar weekend]]+Ruimtestaat[[#This Row],[uren / jaar werkdagen]]</f>
        <v>0</v>
      </c>
      <c r="AG1094" s="61">
        <f>Ruimtestaat[[#This Row],[kosten / jaar weekend]]+Ruimtestaat[[#This Row],[kosten / jaar werkdagen]]</f>
        <v>0</v>
      </c>
      <c r="AH1094" s="92"/>
      <c r="HL1094" s="59"/>
    </row>
    <row r="1095" spans="1:220">
      <c r="A1095" s="24">
        <v>7</v>
      </c>
      <c r="B1095" s="24" t="str">
        <f>VLOOKUP(Ruimtestaat[[#This Row],[Code]],Locaties[#All],2,FALSE)</f>
        <v>Het Vlier</v>
      </c>
      <c r="C1095" s="24" t="str">
        <f>VLOOKUP(Ruimtestaat[[#This Row],[Code]],Locaties[#All],4,FALSE)</f>
        <v>Het Vlier 1</v>
      </c>
      <c r="D1095" s="24" t="str">
        <f>VLOOKUP(Ruimtestaat[[#This Row],[Code]],Locaties[#All],5,FALSE)</f>
        <v>7414 AR</v>
      </c>
      <c r="E1095" s="24" t="str">
        <f>VLOOKUP(Ruimtestaat[[#This Row],[Code]],Locaties[#All],6,FALSE)</f>
        <v>Deventer</v>
      </c>
      <c r="F1095" s="54"/>
      <c r="G1095" s="24" t="s">
        <v>367</v>
      </c>
      <c r="H1095" s="24" t="s">
        <v>1486</v>
      </c>
      <c r="I1095" s="4" t="s">
        <v>407</v>
      </c>
      <c r="J1095" s="24">
        <v>4</v>
      </c>
      <c r="K1095" s="54" t="str">
        <f>VLOOKUP(J1095,Ruimtegroepen[],2,FALSE)</f>
        <v>Vergader/spreekkamers</v>
      </c>
      <c r="L1095" s="24" t="s">
        <v>305</v>
      </c>
      <c r="M1095" s="24" t="s">
        <v>400</v>
      </c>
      <c r="N1095" s="83">
        <v>14.09</v>
      </c>
      <c r="O1095" s="83"/>
      <c r="P1095" s="93" t="str">
        <f>LEFT(VLOOKUP(Ruimtestaat[[#This Row],[Ruimte code]],Ruimtegroepen[#All],4,1),2)</f>
        <v>Bu</v>
      </c>
      <c r="Q1095" s="93"/>
      <c r="R1095" s="84">
        <v>40</v>
      </c>
      <c r="S1095" s="84" t="s">
        <v>322</v>
      </c>
      <c r="T1095" s="85">
        <f>IF(R1095&gt;0,IF(RIGHT(Ruimtestaat[[#This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095" s="85">
        <f>IF(T1095&gt;0,VLOOKUP($J1095,Ruimtegroepen[],3,FALSE)*VLOOKUP($L1095,Vloersoorten[],3,FALSE)*VLOOKUP($S1095,Frequenties[],3,FALSE)*VLOOKUP($A1095,Locaties[],3,FALSE),0)</f>
        <v>0</v>
      </c>
      <c r="V1095" s="86">
        <f>Ruimtestaat[[#This Row],[Uitvoeringen werkdagen]]*Ruimtestaat[[#This Row],[Oppervlak (netto)]]</f>
        <v>1690.8</v>
      </c>
      <c r="W1095" s="87">
        <f>IF(U1095&gt;0,Ruimtestaat[[#This Row],[Prest. (m2 /jaar) werkdagen]]/Ruimtestaat[[#This Row],[Norm (m2/uur) werkdagen]],0)</f>
        <v>0</v>
      </c>
      <c r="X1095" s="88">
        <f>Ruimtestaat[[#This Row],[uren / jaar werkdagen]]*Tariefsopbouw!$E$35</f>
        <v>0</v>
      </c>
      <c r="Y1095" s="85"/>
      <c r="Z1095" s="89">
        <f>IF(Ruimtestaat[[#This Row],[Frequentie weekend]]&gt;0,VALUE(LEFT(Y1095,1))*R1095,0)</f>
        <v>0</v>
      </c>
      <c r="AA1095" s="85">
        <f>IF($Z1095&gt;0,VLOOKUP($J1095,Ruimtegroepen[],3,FALSE)*VLOOKUP($L1095,Vloersoorten[],3,FALSE)*VLOOKUP($Y1095,Frequenties[],3,FALSE)*VLOOKUP(#REF!,Locaties[],3,FALSE),0)</f>
        <v>0</v>
      </c>
      <c r="AB1095" s="87">
        <f>Ruimtestaat[[#This Row],[Uitvoeringen weekend]]*Ruimtestaat[[#This Row],[Oppervlak (netto)]]</f>
        <v>0</v>
      </c>
      <c r="AC1095" s="90">
        <f>IF(AB1095&gt;0,Ruimtestaat[[#This Row],[Prest. (m2 /jaar) weekend]]/Ruimtestaat[[#This Row],[Norm (m2/uur) weekend]],0)</f>
        <v>0</v>
      </c>
      <c r="AD1095" s="91">
        <f>Ruimtestaat[[#This Row],[uren / jaar weekend]]*Tariefsopbouw!$D$40</f>
        <v>0</v>
      </c>
      <c r="AE1095" s="60">
        <f>Ruimtestaat[[#This Row],[Prest. (m2 /jaar) weekend]]+Ruimtestaat[[#This Row],[Prest. (m2 /jaar) werkdagen]]</f>
        <v>1690.8</v>
      </c>
      <c r="AF1095" s="60">
        <f>Ruimtestaat[[#This Row],[uren / jaar weekend]]+Ruimtestaat[[#This Row],[uren / jaar werkdagen]]</f>
        <v>0</v>
      </c>
      <c r="AG1095" s="61">
        <f>Ruimtestaat[[#This Row],[kosten / jaar weekend]]+Ruimtestaat[[#This Row],[kosten / jaar werkdagen]]</f>
        <v>0</v>
      </c>
      <c r="AH1095" s="92"/>
      <c r="HL1095" s="59"/>
    </row>
    <row r="1096" spans="1:220">
      <c r="A1096" s="24">
        <v>7</v>
      </c>
      <c r="B1096" s="24" t="str">
        <f>VLOOKUP(Ruimtestaat[[#This Row],[Code]],Locaties[#All],2,FALSE)</f>
        <v>Het Vlier</v>
      </c>
      <c r="C1096" s="24" t="str">
        <f>VLOOKUP(Ruimtestaat[[#This Row],[Code]],Locaties[#All],4,FALSE)</f>
        <v>Het Vlier 1</v>
      </c>
      <c r="D1096" s="24" t="str">
        <f>VLOOKUP(Ruimtestaat[[#This Row],[Code]],Locaties[#All],5,FALSE)</f>
        <v>7414 AR</v>
      </c>
      <c r="E1096" s="24" t="str">
        <f>VLOOKUP(Ruimtestaat[[#This Row],[Code]],Locaties[#All],6,FALSE)</f>
        <v>Deventer</v>
      </c>
      <c r="F1096" s="54"/>
      <c r="G1096" s="24" t="s">
        <v>367</v>
      </c>
      <c r="H1096" s="24" t="s">
        <v>1487</v>
      </c>
      <c r="I1096" s="4" t="s">
        <v>1488</v>
      </c>
      <c r="J1096" s="24">
        <v>2</v>
      </c>
      <c r="K1096" s="54" t="str">
        <f>VLOOKUP(J1096,Ruimtegroepen[],2,FALSE)</f>
        <v>Kantoren</v>
      </c>
      <c r="L1096" s="24" t="s">
        <v>305</v>
      </c>
      <c r="M1096" s="24" t="s">
        <v>400</v>
      </c>
      <c r="N1096" s="83">
        <v>19.61</v>
      </c>
      <c r="O1096" s="83"/>
      <c r="P1096" s="93" t="str">
        <f>LEFT(VLOOKUP(Ruimtestaat[[#This Row],[Ruimte code]],Ruimtegroepen[#All],4,1),2)</f>
        <v>Bu</v>
      </c>
      <c r="Q1096" s="93"/>
      <c r="R1096" s="84">
        <v>42</v>
      </c>
      <c r="S1096" s="84" t="s">
        <v>322</v>
      </c>
      <c r="T1096" s="85">
        <f>IF(R1096&gt;0,IF(RIGHT(Ruimtestaat[[#This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96" s="85">
        <f>IF(T1096&gt;0,VLOOKUP($J1096,Ruimtegroepen[],3,FALSE)*VLOOKUP($L1096,Vloersoorten[],3,FALSE)*VLOOKUP($S1096,Frequenties[],3,FALSE)*VLOOKUP($A1096,Locaties[],3,FALSE),0)</f>
        <v>0</v>
      </c>
      <c r="V1096" s="86">
        <f>Ruimtestaat[[#This Row],[Uitvoeringen werkdagen]]*Ruimtestaat[[#This Row],[Oppervlak (netto)]]</f>
        <v>2470.86</v>
      </c>
      <c r="W1096" s="87">
        <f>IF(U1096&gt;0,Ruimtestaat[[#This Row],[Prest. (m2 /jaar) werkdagen]]/Ruimtestaat[[#This Row],[Norm (m2/uur) werkdagen]],0)</f>
        <v>0</v>
      </c>
      <c r="X1096" s="88">
        <f>Ruimtestaat[[#This Row],[uren / jaar werkdagen]]*Tariefsopbouw!$E$35</f>
        <v>0</v>
      </c>
      <c r="Y1096" s="85"/>
      <c r="Z1096" s="89">
        <f>IF(Ruimtestaat[[#This Row],[Frequentie weekend]]&gt;0,VALUE(LEFT(Y1096,1))*R1096,0)</f>
        <v>0</v>
      </c>
      <c r="AA1096" s="85">
        <f>IF($Z1096&gt;0,VLOOKUP($J1096,Ruimtegroepen[],3,FALSE)*VLOOKUP($L1096,Vloersoorten[],3,FALSE)*VLOOKUP($Y1096,Frequenties[],3,FALSE)*VLOOKUP(#REF!,Locaties[],3,FALSE),0)</f>
        <v>0</v>
      </c>
      <c r="AB1096" s="87">
        <f>Ruimtestaat[[#This Row],[Uitvoeringen weekend]]*Ruimtestaat[[#This Row],[Oppervlak (netto)]]</f>
        <v>0</v>
      </c>
      <c r="AC1096" s="90">
        <f>IF(AB1096&gt;0,Ruimtestaat[[#This Row],[Prest. (m2 /jaar) weekend]]/Ruimtestaat[[#This Row],[Norm (m2/uur) weekend]],0)</f>
        <v>0</v>
      </c>
      <c r="AD1096" s="91">
        <f>Ruimtestaat[[#This Row],[uren / jaar weekend]]*Tariefsopbouw!$D$40</f>
        <v>0</v>
      </c>
      <c r="AE1096" s="60">
        <f>Ruimtestaat[[#This Row],[Prest. (m2 /jaar) weekend]]+Ruimtestaat[[#This Row],[Prest. (m2 /jaar) werkdagen]]</f>
        <v>2470.86</v>
      </c>
      <c r="AF1096" s="60">
        <f>Ruimtestaat[[#This Row],[uren / jaar weekend]]+Ruimtestaat[[#This Row],[uren / jaar werkdagen]]</f>
        <v>0</v>
      </c>
      <c r="AG1096" s="61">
        <f>Ruimtestaat[[#This Row],[kosten / jaar weekend]]+Ruimtestaat[[#This Row],[kosten / jaar werkdagen]]</f>
        <v>0</v>
      </c>
      <c r="AH1096" s="92"/>
      <c r="HL1096" s="59"/>
    </row>
    <row r="1097" spans="1:220">
      <c r="A1097" s="24">
        <v>7</v>
      </c>
      <c r="B1097" s="24" t="str">
        <f>VLOOKUP(Ruimtestaat[[#This Row],[Code]],Locaties[#All],2,FALSE)</f>
        <v>Het Vlier</v>
      </c>
      <c r="C1097" s="24" t="str">
        <f>VLOOKUP(Ruimtestaat[[#This Row],[Code]],Locaties[#All],4,FALSE)</f>
        <v>Het Vlier 1</v>
      </c>
      <c r="D1097" s="24" t="str">
        <f>VLOOKUP(Ruimtestaat[[#This Row],[Code]],Locaties[#All],5,FALSE)</f>
        <v>7414 AR</v>
      </c>
      <c r="E1097" s="24" t="str">
        <f>VLOOKUP(Ruimtestaat[[#This Row],[Code]],Locaties[#All],6,FALSE)</f>
        <v>Deventer</v>
      </c>
      <c r="F1097" s="54"/>
      <c r="G1097" s="24" t="s">
        <v>367</v>
      </c>
      <c r="H1097" s="24" t="s">
        <v>1489</v>
      </c>
      <c r="I1097" s="4" t="s">
        <v>407</v>
      </c>
      <c r="J1097" s="24">
        <v>4</v>
      </c>
      <c r="K1097" s="54" t="str">
        <f>VLOOKUP(J1097,Ruimtegroepen[],2,FALSE)</f>
        <v>Vergader/spreekkamers</v>
      </c>
      <c r="L1097" s="24" t="s">
        <v>305</v>
      </c>
      <c r="M1097" s="24" t="s">
        <v>400</v>
      </c>
      <c r="N1097" s="83">
        <v>16.47</v>
      </c>
      <c r="O1097" s="83"/>
      <c r="P1097" s="93" t="str">
        <f>LEFT(VLOOKUP(Ruimtestaat[[#This Row],[Ruimte code]],Ruimtegroepen[#All],4,1),2)</f>
        <v>Bu</v>
      </c>
      <c r="Q1097" s="93"/>
      <c r="R1097" s="84">
        <v>40</v>
      </c>
      <c r="S1097" s="84" t="s">
        <v>322</v>
      </c>
      <c r="T1097" s="85">
        <f>IF(R1097&gt;0,IF(RIGHT(Ruimtestaat[[#This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097" s="85">
        <f>IF(T1097&gt;0,VLOOKUP($J1097,Ruimtegroepen[],3,FALSE)*VLOOKUP($L1097,Vloersoorten[],3,FALSE)*VLOOKUP($S1097,Frequenties[],3,FALSE)*VLOOKUP($A1097,Locaties[],3,FALSE),0)</f>
        <v>0</v>
      </c>
      <c r="V1097" s="86">
        <f>Ruimtestaat[[#This Row],[Uitvoeringen werkdagen]]*Ruimtestaat[[#This Row],[Oppervlak (netto)]]</f>
        <v>1976.3999999999999</v>
      </c>
      <c r="W1097" s="87">
        <f>IF(U1097&gt;0,Ruimtestaat[[#This Row],[Prest. (m2 /jaar) werkdagen]]/Ruimtestaat[[#This Row],[Norm (m2/uur) werkdagen]],0)</f>
        <v>0</v>
      </c>
      <c r="X1097" s="88">
        <f>Ruimtestaat[[#This Row],[uren / jaar werkdagen]]*Tariefsopbouw!$E$35</f>
        <v>0</v>
      </c>
      <c r="Y1097" s="85"/>
      <c r="Z1097" s="89">
        <f>IF(Ruimtestaat[[#This Row],[Frequentie weekend]]&gt;0,VALUE(LEFT(Y1097,1))*R1097,0)</f>
        <v>0</v>
      </c>
      <c r="AA1097" s="85">
        <f>IF($Z1097&gt;0,VLOOKUP($J1097,Ruimtegroepen[],3,FALSE)*VLOOKUP($L1097,Vloersoorten[],3,FALSE)*VLOOKUP($Y1097,Frequenties[],3,FALSE)*VLOOKUP(#REF!,Locaties[],3,FALSE),0)</f>
        <v>0</v>
      </c>
      <c r="AB1097" s="87">
        <f>Ruimtestaat[[#This Row],[Uitvoeringen weekend]]*Ruimtestaat[[#This Row],[Oppervlak (netto)]]</f>
        <v>0</v>
      </c>
      <c r="AC1097" s="90">
        <f>IF(AB1097&gt;0,Ruimtestaat[[#This Row],[Prest. (m2 /jaar) weekend]]/Ruimtestaat[[#This Row],[Norm (m2/uur) weekend]],0)</f>
        <v>0</v>
      </c>
      <c r="AD1097" s="91">
        <f>Ruimtestaat[[#This Row],[uren / jaar weekend]]*Tariefsopbouw!$D$40</f>
        <v>0</v>
      </c>
      <c r="AE1097" s="60">
        <f>Ruimtestaat[[#This Row],[Prest. (m2 /jaar) weekend]]+Ruimtestaat[[#This Row],[Prest. (m2 /jaar) werkdagen]]</f>
        <v>1976.3999999999999</v>
      </c>
      <c r="AF1097" s="60">
        <f>Ruimtestaat[[#This Row],[uren / jaar weekend]]+Ruimtestaat[[#This Row],[uren / jaar werkdagen]]</f>
        <v>0</v>
      </c>
      <c r="AG1097" s="61">
        <f>Ruimtestaat[[#This Row],[kosten / jaar weekend]]+Ruimtestaat[[#This Row],[kosten / jaar werkdagen]]</f>
        <v>0</v>
      </c>
      <c r="AH1097" s="92"/>
      <c r="HL1097" s="59"/>
    </row>
    <row r="1098" spans="1:220">
      <c r="A1098" s="24">
        <v>7</v>
      </c>
      <c r="B1098" s="24" t="str">
        <f>VLOOKUP(Ruimtestaat[[#This Row],[Code]],Locaties[#All],2,FALSE)</f>
        <v>Het Vlier</v>
      </c>
      <c r="C1098" s="24" t="str">
        <f>VLOOKUP(Ruimtestaat[[#This Row],[Code]],Locaties[#All],4,FALSE)</f>
        <v>Het Vlier 1</v>
      </c>
      <c r="D1098" s="24" t="str">
        <f>VLOOKUP(Ruimtestaat[[#This Row],[Code]],Locaties[#All],5,FALSE)</f>
        <v>7414 AR</v>
      </c>
      <c r="E1098" s="24" t="str">
        <f>VLOOKUP(Ruimtestaat[[#This Row],[Code]],Locaties[#All],6,FALSE)</f>
        <v>Deventer</v>
      </c>
      <c r="F1098" s="54"/>
      <c r="G1098" s="24" t="s">
        <v>367</v>
      </c>
      <c r="H1098" s="24" t="s">
        <v>1490</v>
      </c>
      <c r="I1098" s="4" t="s">
        <v>1491</v>
      </c>
      <c r="J1098" s="24">
        <v>5</v>
      </c>
      <c r="K1098" s="54" t="str">
        <f>VLOOKUP(J1098,Ruimtegroepen[],2,FALSE)</f>
        <v>Sanitair</v>
      </c>
      <c r="L1098" s="24" t="s">
        <v>305</v>
      </c>
      <c r="M1098" s="24" t="s">
        <v>400</v>
      </c>
      <c r="N1098" s="83">
        <v>13.57</v>
      </c>
      <c r="O1098" s="83"/>
      <c r="P1098" s="93" t="str">
        <f>LEFT(VLOOKUP(Ruimtestaat[[#This Row],[Ruimte code]],Ruimtegroepen[#All],4,1),2)</f>
        <v>Sa</v>
      </c>
      <c r="Q1098" s="93"/>
      <c r="R1098" s="84">
        <v>42</v>
      </c>
      <c r="S1098" s="84" t="s">
        <v>316</v>
      </c>
      <c r="T1098" s="85">
        <f>IF(R1098&gt;0,IF(RIGHT(Ruimtestaat[[#This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98" s="85">
        <f>IF(T1098&gt;0,VLOOKUP($J1098,Ruimtegroepen[],3,FALSE)*VLOOKUP($L1098,Vloersoorten[],3,FALSE)*VLOOKUP($S1098,Frequenties[],3,FALSE)*VLOOKUP($A1098,Locaties[],3,FALSE),0)</f>
        <v>0</v>
      </c>
      <c r="V1098" s="86">
        <f>Ruimtestaat[[#This Row],[Uitvoeringen werkdagen]]*Ruimtestaat[[#This Row],[Oppervlak (netto)]]</f>
        <v>5699.4000000000005</v>
      </c>
      <c r="W1098" s="87">
        <f>IF(U1098&gt;0,Ruimtestaat[[#This Row],[Prest. (m2 /jaar) werkdagen]]/Ruimtestaat[[#This Row],[Norm (m2/uur) werkdagen]],0)</f>
        <v>0</v>
      </c>
      <c r="X1098" s="88">
        <f>Ruimtestaat[[#This Row],[uren / jaar werkdagen]]*Tariefsopbouw!$E$35</f>
        <v>0</v>
      </c>
      <c r="Y1098" s="85"/>
      <c r="Z1098" s="89">
        <f>IF(Ruimtestaat[[#This Row],[Frequentie weekend]]&gt;0,VALUE(LEFT(Y1098,1))*R1098,0)</f>
        <v>0</v>
      </c>
      <c r="AA1098" s="85">
        <f>IF($Z1098&gt;0,VLOOKUP($J1098,Ruimtegroepen[],3,FALSE)*VLOOKUP($L1098,Vloersoorten[],3,FALSE)*VLOOKUP($Y1098,Frequenties[],3,FALSE)*VLOOKUP(#REF!,Locaties[],3,FALSE),0)</f>
        <v>0</v>
      </c>
      <c r="AB1098" s="87">
        <f>Ruimtestaat[[#This Row],[Uitvoeringen weekend]]*Ruimtestaat[[#This Row],[Oppervlak (netto)]]</f>
        <v>0</v>
      </c>
      <c r="AC1098" s="90">
        <f>IF(AB1098&gt;0,Ruimtestaat[[#This Row],[Prest. (m2 /jaar) weekend]]/Ruimtestaat[[#This Row],[Norm (m2/uur) weekend]],0)</f>
        <v>0</v>
      </c>
      <c r="AD1098" s="91">
        <f>Ruimtestaat[[#This Row],[uren / jaar weekend]]*Tariefsopbouw!$D$40</f>
        <v>0</v>
      </c>
      <c r="AE1098" s="60">
        <f>Ruimtestaat[[#This Row],[Prest. (m2 /jaar) weekend]]+Ruimtestaat[[#This Row],[Prest. (m2 /jaar) werkdagen]]</f>
        <v>5699.4000000000005</v>
      </c>
      <c r="AF1098" s="60">
        <f>Ruimtestaat[[#This Row],[uren / jaar weekend]]+Ruimtestaat[[#This Row],[uren / jaar werkdagen]]</f>
        <v>0</v>
      </c>
      <c r="AG1098" s="61">
        <f>Ruimtestaat[[#This Row],[kosten / jaar weekend]]+Ruimtestaat[[#This Row],[kosten / jaar werkdagen]]</f>
        <v>0</v>
      </c>
      <c r="AH1098" s="92"/>
      <c r="HL1098" s="59"/>
    </row>
    <row r="1099" spans="1:220">
      <c r="A1099" s="24">
        <v>7</v>
      </c>
      <c r="B1099" s="24" t="str">
        <f>VLOOKUP(Ruimtestaat[[#This Row],[Code]],Locaties[#All],2,FALSE)</f>
        <v>Het Vlier</v>
      </c>
      <c r="C1099" s="24" t="str">
        <f>VLOOKUP(Ruimtestaat[[#This Row],[Code]],Locaties[#All],4,FALSE)</f>
        <v>Het Vlier 1</v>
      </c>
      <c r="D1099" s="24" t="str">
        <f>VLOOKUP(Ruimtestaat[[#This Row],[Code]],Locaties[#All],5,FALSE)</f>
        <v>7414 AR</v>
      </c>
      <c r="E1099" s="24" t="str">
        <f>VLOOKUP(Ruimtestaat[[#This Row],[Code]],Locaties[#All],6,FALSE)</f>
        <v>Deventer</v>
      </c>
      <c r="F1099" s="54"/>
      <c r="G1099" s="24" t="s">
        <v>367</v>
      </c>
      <c r="H1099" s="24" t="s">
        <v>1492</v>
      </c>
      <c r="I1099" s="4" t="s">
        <v>1493</v>
      </c>
      <c r="J1099" s="24">
        <v>5</v>
      </c>
      <c r="K1099" s="54" t="str">
        <f>VLOOKUP(J1099,Ruimtegroepen[],2,FALSE)</f>
        <v>Sanitair</v>
      </c>
      <c r="L1099" s="24" t="s">
        <v>305</v>
      </c>
      <c r="M1099" s="24" t="s">
        <v>400</v>
      </c>
      <c r="N1099" s="83">
        <v>14.59</v>
      </c>
      <c r="O1099" s="83"/>
      <c r="P1099" s="93" t="str">
        <f>LEFT(VLOOKUP(Ruimtestaat[[#This Row],[Ruimte code]],Ruimtegroepen[#All],4,1),2)</f>
        <v>Sa</v>
      </c>
      <c r="Q1099" s="93"/>
      <c r="R1099" s="84">
        <v>42</v>
      </c>
      <c r="S1099" s="84" t="s">
        <v>316</v>
      </c>
      <c r="T1099" s="85">
        <f>IF(R1099&gt;0,IF(RIGHT(Ruimtestaat[[#This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99" s="85">
        <f>IF(T1099&gt;0,VLOOKUP($J1099,Ruimtegroepen[],3,FALSE)*VLOOKUP($L1099,Vloersoorten[],3,FALSE)*VLOOKUP($S1099,Frequenties[],3,FALSE)*VLOOKUP($A1099,Locaties[],3,FALSE),0)</f>
        <v>0</v>
      </c>
      <c r="V1099" s="86">
        <f>Ruimtestaat[[#This Row],[Uitvoeringen werkdagen]]*Ruimtestaat[[#This Row],[Oppervlak (netto)]]</f>
        <v>6127.8</v>
      </c>
      <c r="W1099" s="87">
        <f>IF(U1099&gt;0,Ruimtestaat[[#This Row],[Prest. (m2 /jaar) werkdagen]]/Ruimtestaat[[#This Row],[Norm (m2/uur) werkdagen]],0)</f>
        <v>0</v>
      </c>
      <c r="X1099" s="88">
        <f>Ruimtestaat[[#This Row],[uren / jaar werkdagen]]*Tariefsopbouw!$E$35</f>
        <v>0</v>
      </c>
      <c r="Y1099" s="85"/>
      <c r="Z1099" s="89">
        <f>IF(Ruimtestaat[[#This Row],[Frequentie weekend]]&gt;0,VALUE(LEFT(Y1099,1))*R1099,0)</f>
        <v>0</v>
      </c>
      <c r="AA1099" s="85">
        <f>IF($Z1099&gt;0,VLOOKUP($J1099,Ruimtegroepen[],3,FALSE)*VLOOKUP($L1099,Vloersoorten[],3,FALSE)*VLOOKUP($Y1099,Frequenties[],3,FALSE)*VLOOKUP(#REF!,Locaties[],3,FALSE),0)</f>
        <v>0</v>
      </c>
      <c r="AB1099" s="87">
        <f>Ruimtestaat[[#This Row],[Uitvoeringen weekend]]*Ruimtestaat[[#This Row],[Oppervlak (netto)]]</f>
        <v>0</v>
      </c>
      <c r="AC1099" s="90">
        <f>IF(AB1099&gt;0,Ruimtestaat[[#This Row],[Prest. (m2 /jaar) weekend]]/Ruimtestaat[[#This Row],[Norm (m2/uur) weekend]],0)</f>
        <v>0</v>
      </c>
      <c r="AD1099" s="91">
        <f>Ruimtestaat[[#This Row],[uren / jaar weekend]]*Tariefsopbouw!$D$40</f>
        <v>0</v>
      </c>
      <c r="AE1099" s="60">
        <f>Ruimtestaat[[#This Row],[Prest. (m2 /jaar) weekend]]+Ruimtestaat[[#This Row],[Prest. (m2 /jaar) werkdagen]]</f>
        <v>6127.8</v>
      </c>
      <c r="AF1099" s="60">
        <f>Ruimtestaat[[#This Row],[uren / jaar weekend]]+Ruimtestaat[[#This Row],[uren / jaar werkdagen]]</f>
        <v>0</v>
      </c>
      <c r="AG1099" s="61">
        <f>Ruimtestaat[[#This Row],[kosten / jaar weekend]]+Ruimtestaat[[#This Row],[kosten / jaar werkdagen]]</f>
        <v>0</v>
      </c>
      <c r="AH1099" s="92"/>
      <c r="HL1099" s="59"/>
    </row>
    <row r="1100" spans="1:220">
      <c r="A1100" s="24">
        <v>7</v>
      </c>
      <c r="B1100" s="24" t="str">
        <f>VLOOKUP(Ruimtestaat[[#This Row],[Code]],Locaties[#All],2,FALSE)</f>
        <v>Het Vlier</v>
      </c>
      <c r="C1100" s="24" t="str">
        <f>VLOOKUP(Ruimtestaat[[#This Row],[Code]],Locaties[#All],4,FALSE)</f>
        <v>Het Vlier 1</v>
      </c>
      <c r="D1100" s="24" t="str">
        <f>VLOOKUP(Ruimtestaat[[#This Row],[Code]],Locaties[#All],5,FALSE)</f>
        <v>7414 AR</v>
      </c>
      <c r="E1100" s="24" t="str">
        <f>VLOOKUP(Ruimtestaat[[#This Row],[Code]],Locaties[#All],6,FALSE)</f>
        <v>Deventer</v>
      </c>
      <c r="F1100" s="54"/>
      <c r="G1100" s="24" t="s">
        <v>367</v>
      </c>
      <c r="H1100" s="24" t="s">
        <v>1494</v>
      </c>
      <c r="I1100" s="4" t="s">
        <v>1495</v>
      </c>
      <c r="J1100" s="24">
        <v>9</v>
      </c>
      <c r="K1100" s="54" t="str">
        <f>VLOOKUP(J1100,Ruimtegroepen[],2,FALSE)</f>
        <v>Garderobe</v>
      </c>
      <c r="L1100" s="24" t="s">
        <v>305</v>
      </c>
      <c r="M1100" s="24" t="s">
        <v>400</v>
      </c>
      <c r="N1100" s="83">
        <v>84.52</v>
      </c>
      <c r="O1100" s="83"/>
      <c r="P1100" s="93" t="str">
        <f>LEFT(VLOOKUP(Ruimtestaat[[#This Row],[Ruimte code]],Ruimtegroepen[#All],4,1),2)</f>
        <v>Ve</v>
      </c>
      <c r="Q1100" s="93"/>
      <c r="R1100" s="84">
        <v>40</v>
      </c>
      <c r="S1100" s="84" t="s">
        <v>318</v>
      </c>
      <c r="T1100" s="85">
        <f>IF(R1100&gt;0,IF(RIGHT(Ruimtestaat[[#This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0" s="85">
        <f>IF(T1100&gt;0,VLOOKUP($J1100,Ruimtegroepen[],3,FALSE)*VLOOKUP($L1100,Vloersoorten[],3,FALSE)*VLOOKUP($S1100,Frequenties[],3,FALSE)*VLOOKUP($A1100,Locaties[],3,FALSE),0)</f>
        <v>0</v>
      </c>
      <c r="V1100" s="86">
        <f>Ruimtestaat[[#This Row],[Uitvoeringen werkdagen]]*Ruimtestaat[[#This Row],[Oppervlak (netto)]]</f>
        <v>16904</v>
      </c>
      <c r="W1100" s="87">
        <f>IF(U1100&gt;0,Ruimtestaat[[#This Row],[Prest. (m2 /jaar) werkdagen]]/Ruimtestaat[[#This Row],[Norm (m2/uur) werkdagen]],0)</f>
        <v>0</v>
      </c>
      <c r="X1100" s="88">
        <f>Ruimtestaat[[#This Row],[uren / jaar werkdagen]]*Tariefsopbouw!$E$35</f>
        <v>0</v>
      </c>
      <c r="Y1100" s="85"/>
      <c r="Z1100" s="89">
        <f>IF(Ruimtestaat[[#This Row],[Frequentie weekend]]&gt;0,VALUE(LEFT(Y1100,1))*R1100,0)</f>
        <v>0</v>
      </c>
      <c r="AA1100" s="85">
        <f>IF($Z1100&gt;0,VLOOKUP($J1100,Ruimtegroepen[],3,FALSE)*VLOOKUP($L1100,Vloersoorten[],3,FALSE)*VLOOKUP($Y1100,Frequenties[],3,FALSE)*VLOOKUP(#REF!,Locaties[],3,FALSE),0)</f>
        <v>0</v>
      </c>
      <c r="AB1100" s="87">
        <f>Ruimtestaat[[#This Row],[Uitvoeringen weekend]]*Ruimtestaat[[#This Row],[Oppervlak (netto)]]</f>
        <v>0</v>
      </c>
      <c r="AC1100" s="90">
        <f>IF(AB1100&gt;0,Ruimtestaat[[#This Row],[Prest. (m2 /jaar) weekend]]/Ruimtestaat[[#This Row],[Norm (m2/uur) weekend]],0)</f>
        <v>0</v>
      </c>
      <c r="AD1100" s="91">
        <f>Ruimtestaat[[#This Row],[uren / jaar weekend]]*Tariefsopbouw!$D$40</f>
        <v>0</v>
      </c>
      <c r="AE1100" s="60">
        <f>Ruimtestaat[[#This Row],[Prest. (m2 /jaar) weekend]]+Ruimtestaat[[#This Row],[Prest. (m2 /jaar) werkdagen]]</f>
        <v>16904</v>
      </c>
      <c r="AF1100" s="60">
        <f>Ruimtestaat[[#This Row],[uren / jaar weekend]]+Ruimtestaat[[#This Row],[uren / jaar werkdagen]]</f>
        <v>0</v>
      </c>
      <c r="AG1100" s="61">
        <f>Ruimtestaat[[#This Row],[kosten / jaar weekend]]+Ruimtestaat[[#This Row],[kosten / jaar werkdagen]]</f>
        <v>0</v>
      </c>
      <c r="AH1100" s="92"/>
      <c r="HL1100" s="59"/>
    </row>
    <row r="1101" spans="1:220">
      <c r="A1101" s="24">
        <v>7</v>
      </c>
      <c r="B1101" s="24" t="str">
        <f>VLOOKUP(Ruimtestaat[[#This Row],[Code]],Locaties[#All],2,FALSE)</f>
        <v>Het Vlier</v>
      </c>
      <c r="C1101" s="24" t="str">
        <f>VLOOKUP(Ruimtestaat[[#This Row],[Code]],Locaties[#All],4,FALSE)</f>
        <v>Het Vlier 1</v>
      </c>
      <c r="D1101" s="24" t="str">
        <f>VLOOKUP(Ruimtestaat[[#This Row],[Code]],Locaties[#All],5,FALSE)</f>
        <v>7414 AR</v>
      </c>
      <c r="E1101" s="24" t="str">
        <f>VLOOKUP(Ruimtestaat[[#This Row],[Code]],Locaties[#All],6,FALSE)</f>
        <v>Deventer</v>
      </c>
      <c r="F1101" s="54"/>
      <c r="G1101" s="24" t="s">
        <v>367</v>
      </c>
      <c r="H1101" s="24" t="s">
        <v>1496</v>
      </c>
      <c r="I1101" s="4" t="s">
        <v>1497</v>
      </c>
      <c r="J1101" s="24">
        <v>22</v>
      </c>
      <c r="K1101" s="54" t="str">
        <f>VLOOKUP(J1101,Ruimtegroepen[],2,FALSE)</f>
        <v>Niet in onderhoud</v>
      </c>
      <c r="M1101" s="24"/>
      <c r="N1101" s="83"/>
      <c r="O1101" s="83">
        <v>7.93</v>
      </c>
      <c r="P1101" s="93" t="str">
        <f>LEFT(VLOOKUP(Ruimtestaat[[#This Row],[Ruimte code]],Ruimtegroepen[#All],4,1),2)</f>
        <v/>
      </c>
      <c r="Q1101" s="93"/>
      <c r="R1101" s="84"/>
      <c r="S1101" s="84"/>
      <c r="T1101" s="85">
        <f>IF(R1101&gt;0,IF(RIGHT(Ruimtestaat[[#This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01" s="85">
        <f>IF(T1101&gt;0,VLOOKUP($J1101,Ruimtegroepen[],3,FALSE)*VLOOKUP($L1101,Vloersoorten[],3,FALSE)*VLOOKUP($S1101,Frequenties[],3,FALSE)*VLOOKUP($A1101,Locaties[],3,FALSE),0)</f>
        <v>0</v>
      </c>
      <c r="V1101" s="86">
        <f>Ruimtestaat[[#This Row],[Uitvoeringen werkdagen]]*Ruimtestaat[[#This Row],[Oppervlak (netto)]]</f>
        <v>0</v>
      </c>
      <c r="W1101" s="87">
        <f>IF(U1101&gt;0,Ruimtestaat[[#This Row],[Prest. (m2 /jaar) werkdagen]]/Ruimtestaat[[#This Row],[Norm (m2/uur) werkdagen]],0)</f>
        <v>0</v>
      </c>
      <c r="X1101" s="88">
        <f>Ruimtestaat[[#This Row],[uren / jaar werkdagen]]*Tariefsopbouw!$E$35</f>
        <v>0</v>
      </c>
      <c r="Y1101" s="85"/>
      <c r="Z1101" s="89">
        <f>IF(Ruimtestaat[[#This Row],[Frequentie weekend]]&gt;0,VALUE(LEFT(Y1101,1))*R1101,0)</f>
        <v>0</v>
      </c>
      <c r="AA1101" s="85">
        <f>IF($Z1101&gt;0,VLOOKUP($J1101,Ruimtegroepen[],3,FALSE)*VLOOKUP($L1101,Vloersoorten[],3,FALSE)*VLOOKUP($Y1101,Frequenties[],3,FALSE)*VLOOKUP(#REF!,Locaties[],3,FALSE),0)</f>
        <v>0</v>
      </c>
      <c r="AB1101" s="87">
        <f>Ruimtestaat[[#This Row],[Uitvoeringen weekend]]*Ruimtestaat[[#This Row],[Oppervlak (netto)]]</f>
        <v>0</v>
      </c>
      <c r="AC1101" s="90">
        <f>IF(AB1101&gt;0,Ruimtestaat[[#This Row],[Prest. (m2 /jaar) weekend]]/Ruimtestaat[[#This Row],[Norm (m2/uur) weekend]],0)</f>
        <v>0</v>
      </c>
      <c r="AD1101" s="91">
        <f>Ruimtestaat[[#This Row],[uren / jaar weekend]]*Tariefsopbouw!$D$40</f>
        <v>0</v>
      </c>
      <c r="AE1101" s="60">
        <f>Ruimtestaat[[#This Row],[Prest. (m2 /jaar) weekend]]+Ruimtestaat[[#This Row],[Prest. (m2 /jaar) werkdagen]]</f>
        <v>0</v>
      </c>
      <c r="AF1101" s="60">
        <f>Ruimtestaat[[#This Row],[uren / jaar weekend]]+Ruimtestaat[[#This Row],[uren / jaar werkdagen]]</f>
        <v>0</v>
      </c>
      <c r="AG1101" s="61">
        <f>Ruimtestaat[[#This Row],[kosten / jaar weekend]]+Ruimtestaat[[#This Row],[kosten / jaar werkdagen]]</f>
        <v>0</v>
      </c>
      <c r="AH1101" s="92"/>
      <c r="HL1101" s="59"/>
    </row>
    <row r="1102" spans="1:220">
      <c r="A1102" s="24">
        <v>7</v>
      </c>
      <c r="B1102" s="24" t="str">
        <f>VLOOKUP(Ruimtestaat[[#This Row],[Code]],Locaties[#All],2,FALSE)</f>
        <v>Het Vlier</v>
      </c>
      <c r="C1102" s="24" t="str">
        <f>VLOOKUP(Ruimtestaat[[#This Row],[Code]],Locaties[#All],4,FALSE)</f>
        <v>Het Vlier 1</v>
      </c>
      <c r="D1102" s="24" t="str">
        <f>VLOOKUP(Ruimtestaat[[#This Row],[Code]],Locaties[#All],5,FALSE)</f>
        <v>7414 AR</v>
      </c>
      <c r="E1102" s="24" t="str">
        <f>VLOOKUP(Ruimtestaat[[#This Row],[Code]],Locaties[#All],6,FALSE)</f>
        <v>Deventer</v>
      </c>
      <c r="F1102" s="54"/>
      <c r="G1102" s="24" t="s">
        <v>367</v>
      </c>
      <c r="H1102" s="24" t="s">
        <v>1498</v>
      </c>
      <c r="I1102" s="4" t="s">
        <v>1499</v>
      </c>
      <c r="J1102" s="24">
        <v>22</v>
      </c>
      <c r="K1102" s="54" t="str">
        <f>VLOOKUP(J1102,Ruimtegroepen[],2,FALSE)</f>
        <v>Niet in onderhoud</v>
      </c>
      <c r="M1102" s="24"/>
      <c r="N1102" s="83"/>
      <c r="O1102" s="83">
        <v>12.92</v>
      </c>
      <c r="P1102" s="93" t="str">
        <f>LEFT(VLOOKUP(Ruimtestaat[[#This Row],[Ruimte code]],Ruimtegroepen[#All],4,1),2)</f>
        <v/>
      </c>
      <c r="Q1102" s="93"/>
      <c r="R1102" s="84"/>
      <c r="S1102" s="84"/>
      <c r="T1102" s="85">
        <f>IF(R1102&gt;0,IF(RIGHT(Ruimtestaat[[#This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02" s="85">
        <f>IF(T1102&gt;0,VLOOKUP($J1102,Ruimtegroepen[],3,FALSE)*VLOOKUP($L1102,Vloersoorten[],3,FALSE)*VLOOKUP($S1102,Frequenties[],3,FALSE)*VLOOKUP($A1102,Locaties[],3,FALSE),0)</f>
        <v>0</v>
      </c>
      <c r="V1102" s="86">
        <f>Ruimtestaat[[#This Row],[Uitvoeringen werkdagen]]*Ruimtestaat[[#This Row],[Oppervlak (netto)]]</f>
        <v>0</v>
      </c>
      <c r="W1102" s="87">
        <f>IF(U1102&gt;0,Ruimtestaat[[#This Row],[Prest. (m2 /jaar) werkdagen]]/Ruimtestaat[[#This Row],[Norm (m2/uur) werkdagen]],0)</f>
        <v>0</v>
      </c>
      <c r="X1102" s="88">
        <f>Ruimtestaat[[#This Row],[uren / jaar werkdagen]]*Tariefsopbouw!$E$35</f>
        <v>0</v>
      </c>
      <c r="Y1102" s="85"/>
      <c r="Z1102" s="89">
        <f>IF(Ruimtestaat[[#This Row],[Frequentie weekend]]&gt;0,VALUE(LEFT(Y1102,1))*R1102,0)</f>
        <v>0</v>
      </c>
      <c r="AA1102" s="85">
        <f>IF($Z1102&gt;0,VLOOKUP($J1102,Ruimtegroepen[],3,FALSE)*VLOOKUP($L1102,Vloersoorten[],3,FALSE)*VLOOKUP($Y1102,Frequenties[],3,FALSE)*VLOOKUP(#REF!,Locaties[],3,FALSE),0)</f>
        <v>0</v>
      </c>
      <c r="AB1102" s="87">
        <f>Ruimtestaat[[#This Row],[Uitvoeringen weekend]]*Ruimtestaat[[#This Row],[Oppervlak (netto)]]</f>
        <v>0</v>
      </c>
      <c r="AC1102" s="90">
        <f>IF(AB1102&gt;0,Ruimtestaat[[#This Row],[Prest. (m2 /jaar) weekend]]/Ruimtestaat[[#This Row],[Norm (m2/uur) weekend]],0)</f>
        <v>0</v>
      </c>
      <c r="AD1102" s="91">
        <f>Ruimtestaat[[#This Row],[uren / jaar weekend]]*Tariefsopbouw!$D$40</f>
        <v>0</v>
      </c>
      <c r="AE1102" s="60">
        <f>Ruimtestaat[[#This Row],[Prest. (m2 /jaar) weekend]]+Ruimtestaat[[#This Row],[Prest. (m2 /jaar) werkdagen]]</f>
        <v>0</v>
      </c>
      <c r="AF1102" s="60">
        <f>Ruimtestaat[[#This Row],[uren / jaar weekend]]+Ruimtestaat[[#This Row],[uren / jaar werkdagen]]</f>
        <v>0</v>
      </c>
      <c r="AG1102" s="61">
        <f>Ruimtestaat[[#This Row],[kosten / jaar weekend]]+Ruimtestaat[[#This Row],[kosten / jaar werkdagen]]</f>
        <v>0</v>
      </c>
      <c r="AH1102" s="92"/>
      <c r="HL1102" s="59"/>
    </row>
    <row r="1103" spans="1:220">
      <c r="A1103" s="24">
        <v>7</v>
      </c>
      <c r="B1103" s="24" t="str">
        <f>VLOOKUP(Ruimtestaat[[#This Row],[Code]],Locaties[#All],2,FALSE)</f>
        <v>Het Vlier</v>
      </c>
      <c r="C1103" s="24" t="str">
        <f>VLOOKUP(Ruimtestaat[[#This Row],[Code]],Locaties[#All],4,FALSE)</f>
        <v>Het Vlier 1</v>
      </c>
      <c r="D1103" s="24" t="str">
        <f>VLOOKUP(Ruimtestaat[[#This Row],[Code]],Locaties[#All],5,FALSE)</f>
        <v>7414 AR</v>
      </c>
      <c r="E1103" s="24" t="str">
        <f>VLOOKUP(Ruimtestaat[[#This Row],[Code]],Locaties[#All],6,FALSE)</f>
        <v>Deventer</v>
      </c>
      <c r="F1103" s="54"/>
      <c r="G1103" s="24" t="s">
        <v>367</v>
      </c>
      <c r="H1103" s="24" t="s">
        <v>1500</v>
      </c>
      <c r="I1103" s="4" t="s">
        <v>407</v>
      </c>
      <c r="J1103" s="24">
        <v>4</v>
      </c>
      <c r="K1103" s="54" t="str">
        <f>VLOOKUP(J1103,Ruimtegroepen[],2,FALSE)</f>
        <v>Vergader/spreekkamers</v>
      </c>
      <c r="L1103" s="24" t="s">
        <v>305</v>
      </c>
      <c r="M1103" s="24" t="s">
        <v>400</v>
      </c>
      <c r="N1103" s="83">
        <v>16.93</v>
      </c>
      <c r="O1103" s="83"/>
      <c r="P1103" s="93" t="str">
        <f>LEFT(VLOOKUP(Ruimtestaat[[#This Row],[Ruimte code]],Ruimtegroepen[#All],4,1),2)</f>
        <v>Bu</v>
      </c>
      <c r="Q1103" s="93"/>
      <c r="R1103" s="84">
        <v>40</v>
      </c>
      <c r="S1103" s="84" t="s">
        <v>322</v>
      </c>
      <c r="T1103" s="85">
        <f>IF(R1103&gt;0,IF(RIGHT(Ruimtestaat[[#This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103" s="85">
        <f>IF(T1103&gt;0,VLOOKUP($J1103,Ruimtegroepen[],3,FALSE)*VLOOKUP($L1103,Vloersoorten[],3,FALSE)*VLOOKUP($S1103,Frequenties[],3,FALSE)*VLOOKUP($A1103,Locaties[],3,FALSE),0)</f>
        <v>0</v>
      </c>
      <c r="V1103" s="86">
        <f>Ruimtestaat[[#This Row],[Uitvoeringen werkdagen]]*Ruimtestaat[[#This Row],[Oppervlak (netto)]]</f>
        <v>2031.6</v>
      </c>
      <c r="W1103" s="87">
        <f>IF(U1103&gt;0,Ruimtestaat[[#This Row],[Prest. (m2 /jaar) werkdagen]]/Ruimtestaat[[#This Row],[Norm (m2/uur) werkdagen]],0)</f>
        <v>0</v>
      </c>
      <c r="X1103" s="88">
        <f>Ruimtestaat[[#This Row],[uren / jaar werkdagen]]*Tariefsopbouw!$E$35</f>
        <v>0</v>
      </c>
      <c r="Y1103" s="85"/>
      <c r="Z1103" s="89">
        <f>IF(Ruimtestaat[[#This Row],[Frequentie weekend]]&gt;0,VALUE(LEFT(Y1103,1))*R1103,0)</f>
        <v>0</v>
      </c>
      <c r="AA1103" s="85">
        <f>IF($Z1103&gt;0,VLOOKUP($J1103,Ruimtegroepen[],3,FALSE)*VLOOKUP($L1103,Vloersoorten[],3,FALSE)*VLOOKUP($Y1103,Frequenties[],3,FALSE)*VLOOKUP(#REF!,Locaties[],3,FALSE),0)</f>
        <v>0</v>
      </c>
      <c r="AB1103" s="87">
        <f>Ruimtestaat[[#This Row],[Uitvoeringen weekend]]*Ruimtestaat[[#This Row],[Oppervlak (netto)]]</f>
        <v>0</v>
      </c>
      <c r="AC1103" s="90">
        <f>IF(AB1103&gt;0,Ruimtestaat[[#This Row],[Prest. (m2 /jaar) weekend]]/Ruimtestaat[[#This Row],[Norm (m2/uur) weekend]],0)</f>
        <v>0</v>
      </c>
      <c r="AD1103" s="91">
        <f>Ruimtestaat[[#This Row],[uren / jaar weekend]]*Tariefsopbouw!$D$40</f>
        <v>0</v>
      </c>
      <c r="AE1103" s="60">
        <f>Ruimtestaat[[#This Row],[Prest. (m2 /jaar) weekend]]+Ruimtestaat[[#This Row],[Prest. (m2 /jaar) werkdagen]]</f>
        <v>2031.6</v>
      </c>
      <c r="AF1103" s="60">
        <f>Ruimtestaat[[#This Row],[uren / jaar weekend]]+Ruimtestaat[[#This Row],[uren / jaar werkdagen]]</f>
        <v>0</v>
      </c>
      <c r="AG1103" s="61">
        <f>Ruimtestaat[[#This Row],[kosten / jaar weekend]]+Ruimtestaat[[#This Row],[kosten / jaar werkdagen]]</f>
        <v>0</v>
      </c>
      <c r="AH1103" s="92"/>
      <c r="HL1103" s="59"/>
    </row>
    <row r="1104" spans="1:220">
      <c r="A1104" s="24">
        <v>7</v>
      </c>
      <c r="B1104" s="24" t="str">
        <f>VLOOKUP(Ruimtestaat[[#This Row],[Code]],Locaties[#All],2,FALSE)</f>
        <v>Het Vlier</v>
      </c>
      <c r="C1104" s="24" t="str">
        <f>VLOOKUP(Ruimtestaat[[#This Row],[Code]],Locaties[#All],4,FALSE)</f>
        <v>Het Vlier 1</v>
      </c>
      <c r="D1104" s="24" t="str">
        <f>VLOOKUP(Ruimtestaat[[#This Row],[Code]],Locaties[#All],5,FALSE)</f>
        <v>7414 AR</v>
      </c>
      <c r="E1104" s="24" t="str">
        <f>VLOOKUP(Ruimtestaat[[#This Row],[Code]],Locaties[#All],6,FALSE)</f>
        <v>Deventer</v>
      </c>
      <c r="F1104" s="54"/>
      <c r="G1104" s="24" t="s">
        <v>367</v>
      </c>
      <c r="H1104" s="24" t="s">
        <v>1501</v>
      </c>
      <c r="I1104" s="4" t="s">
        <v>1502</v>
      </c>
      <c r="J1104" s="24">
        <v>16</v>
      </c>
      <c r="K1104" s="54" t="str">
        <f>VLOOKUP(J1104,Ruimtegroepen[],2,FALSE)</f>
        <v>Leslokalen theorie</v>
      </c>
      <c r="L1104" s="24" t="s">
        <v>305</v>
      </c>
      <c r="M1104" s="24" t="s">
        <v>400</v>
      </c>
      <c r="N1104" s="83">
        <v>61.64</v>
      </c>
      <c r="O1104" s="83"/>
      <c r="P1104" s="93" t="str">
        <f>LEFT(VLOOKUP(Ruimtestaat[[#This Row],[Ruimte code]],Ruimtegroepen[#All],4,1),2)</f>
        <v>Le</v>
      </c>
      <c r="Q1104" s="93"/>
      <c r="R1104" s="84">
        <v>40</v>
      </c>
      <c r="S1104" s="84" t="s">
        <v>318</v>
      </c>
      <c r="T1104" s="85">
        <f>IF(R1104&gt;0,IF(RIGHT(Ruimtestaat[[#This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4" s="85">
        <f>IF(T1104&gt;0,VLOOKUP($J1104,Ruimtegroepen[],3,FALSE)*VLOOKUP($L1104,Vloersoorten[],3,FALSE)*VLOOKUP($S1104,Frequenties[],3,FALSE)*VLOOKUP($A1104,Locaties[],3,FALSE),0)</f>
        <v>0</v>
      </c>
      <c r="V1104" s="86">
        <f>Ruimtestaat[[#This Row],[Uitvoeringen werkdagen]]*Ruimtestaat[[#This Row],[Oppervlak (netto)]]</f>
        <v>12328</v>
      </c>
      <c r="W1104" s="87">
        <f>IF(U1104&gt;0,Ruimtestaat[[#This Row],[Prest. (m2 /jaar) werkdagen]]/Ruimtestaat[[#This Row],[Norm (m2/uur) werkdagen]],0)</f>
        <v>0</v>
      </c>
      <c r="X1104" s="88">
        <f>Ruimtestaat[[#This Row],[uren / jaar werkdagen]]*Tariefsopbouw!$E$35</f>
        <v>0</v>
      </c>
      <c r="Y1104" s="85"/>
      <c r="Z1104" s="89">
        <f>IF(Ruimtestaat[[#This Row],[Frequentie weekend]]&gt;0,VALUE(LEFT(Y1104,1))*R1104,0)</f>
        <v>0</v>
      </c>
      <c r="AA1104" s="85">
        <f>IF($Z1104&gt;0,VLOOKUP($J1104,Ruimtegroepen[],3,FALSE)*VLOOKUP($L1104,Vloersoorten[],3,FALSE)*VLOOKUP($Y1104,Frequenties[],3,FALSE)*VLOOKUP(#REF!,Locaties[],3,FALSE),0)</f>
        <v>0</v>
      </c>
      <c r="AB1104" s="87">
        <f>Ruimtestaat[[#This Row],[Uitvoeringen weekend]]*Ruimtestaat[[#This Row],[Oppervlak (netto)]]</f>
        <v>0</v>
      </c>
      <c r="AC1104" s="90">
        <f>IF(AB1104&gt;0,Ruimtestaat[[#This Row],[Prest. (m2 /jaar) weekend]]/Ruimtestaat[[#This Row],[Norm (m2/uur) weekend]],0)</f>
        <v>0</v>
      </c>
      <c r="AD1104" s="91">
        <f>Ruimtestaat[[#This Row],[uren / jaar weekend]]*Tariefsopbouw!$D$40</f>
        <v>0</v>
      </c>
      <c r="AE1104" s="60">
        <f>Ruimtestaat[[#This Row],[Prest. (m2 /jaar) weekend]]+Ruimtestaat[[#This Row],[Prest. (m2 /jaar) werkdagen]]</f>
        <v>12328</v>
      </c>
      <c r="AF1104" s="60">
        <f>Ruimtestaat[[#This Row],[uren / jaar weekend]]+Ruimtestaat[[#This Row],[uren / jaar werkdagen]]</f>
        <v>0</v>
      </c>
      <c r="AG1104" s="61">
        <f>Ruimtestaat[[#This Row],[kosten / jaar weekend]]+Ruimtestaat[[#This Row],[kosten / jaar werkdagen]]</f>
        <v>0</v>
      </c>
      <c r="AH1104" s="92"/>
      <c r="HL1104" s="59"/>
    </row>
    <row r="1105" spans="1:220">
      <c r="A1105" s="24">
        <v>7</v>
      </c>
      <c r="B1105" s="24" t="str">
        <f>VLOOKUP(Ruimtestaat[[#This Row],[Code]],Locaties[#All],2,FALSE)</f>
        <v>Het Vlier</v>
      </c>
      <c r="C1105" s="24" t="str">
        <f>VLOOKUP(Ruimtestaat[[#This Row],[Code]],Locaties[#All],4,FALSE)</f>
        <v>Het Vlier 1</v>
      </c>
      <c r="D1105" s="24" t="str">
        <f>VLOOKUP(Ruimtestaat[[#This Row],[Code]],Locaties[#All],5,FALSE)</f>
        <v>7414 AR</v>
      </c>
      <c r="E1105" s="24" t="str">
        <f>VLOOKUP(Ruimtestaat[[#This Row],[Code]],Locaties[#All],6,FALSE)</f>
        <v>Deventer</v>
      </c>
      <c r="F1105" s="54"/>
      <c r="G1105" s="24" t="s">
        <v>367</v>
      </c>
      <c r="H1105" s="24" t="s">
        <v>1503</v>
      </c>
      <c r="I1105" s="4" t="s">
        <v>375</v>
      </c>
      <c r="J1105" s="24">
        <v>22</v>
      </c>
      <c r="K1105" s="54" t="str">
        <f>VLOOKUP(J1105,Ruimtegroepen[],2,FALSE)</f>
        <v>Niet in onderhoud</v>
      </c>
      <c r="M1105" s="24"/>
      <c r="N1105" s="83"/>
      <c r="O1105" s="83">
        <v>1.34</v>
      </c>
      <c r="P1105" s="93" t="str">
        <f>LEFT(VLOOKUP(Ruimtestaat[[#This Row],[Ruimte code]],Ruimtegroepen[#All],4,1),2)</f>
        <v/>
      </c>
      <c r="Q1105" s="93"/>
      <c r="R1105" s="84"/>
      <c r="S1105" s="84"/>
      <c r="T1105" s="85">
        <f>IF(R1105&gt;0,IF(RIGHT(Ruimtestaat[[#This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05" s="85">
        <f>IF(T1105&gt;0,VLOOKUP($J1105,Ruimtegroepen[],3,FALSE)*VLOOKUP($L1105,Vloersoorten[],3,FALSE)*VLOOKUP($S1105,Frequenties[],3,FALSE)*VLOOKUP($A1105,Locaties[],3,FALSE),0)</f>
        <v>0</v>
      </c>
      <c r="V1105" s="86">
        <f>Ruimtestaat[[#This Row],[Uitvoeringen werkdagen]]*Ruimtestaat[[#This Row],[Oppervlak (netto)]]</f>
        <v>0</v>
      </c>
      <c r="W1105" s="87">
        <f>IF(U1105&gt;0,Ruimtestaat[[#This Row],[Prest. (m2 /jaar) werkdagen]]/Ruimtestaat[[#This Row],[Norm (m2/uur) werkdagen]],0)</f>
        <v>0</v>
      </c>
      <c r="X1105" s="88">
        <f>Ruimtestaat[[#This Row],[uren / jaar werkdagen]]*Tariefsopbouw!$E$35</f>
        <v>0</v>
      </c>
      <c r="Y1105" s="85"/>
      <c r="Z1105" s="89">
        <f>IF(Ruimtestaat[[#This Row],[Frequentie weekend]]&gt;0,VALUE(LEFT(Y1105,1))*R1105,0)</f>
        <v>0</v>
      </c>
      <c r="AA1105" s="85">
        <f>IF($Z1105&gt;0,VLOOKUP($J1105,Ruimtegroepen[],3,FALSE)*VLOOKUP($L1105,Vloersoorten[],3,FALSE)*VLOOKUP($Y1105,Frequenties[],3,FALSE)*VLOOKUP(#REF!,Locaties[],3,FALSE),0)</f>
        <v>0</v>
      </c>
      <c r="AB1105" s="87">
        <f>Ruimtestaat[[#This Row],[Uitvoeringen weekend]]*Ruimtestaat[[#This Row],[Oppervlak (netto)]]</f>
        <v>0</v>
      </c>
      <c r="AC1105" s="90">
        <f>IF(AB1105&gt;0,Ruimtestaat[[#This Row],[Prest. (m2 /jaar) weekend]]/Ruimtestaat[[#This Row],[Norm (m2/uur) weekend]],0)</f>
        <v>0</v>
      </c>
      <c r="AD1105" s="91">
        <f>Ruimtestaat[[#This Row],[uren / jaar weekend]]*Tariefsopbouw!$D$40</f>
        <v>0</v>
      </c>
      <c r="AE1105" s="60">
        <f>Ruimtestaat[[#This Row],[Prest. (m2 /jaar) weekend]]+Ruimtestaat[[#This Row],[Prest. (m2 /jaar) werkdagen]]</f>
        <v>0</v>
      </c>
      <c r="AF1105" s="60">
        <f>Ruimtestaat[[#This Row],[uren / jaar weekend]]+Ruimtestaat[[#This Row],[uren / jaar werkdagen]]</f>
        <v>0</v>
      </c>
      <c r="AG1105" s="61">
        <f>Ruimtestaat[[#This Row],[kosten / jaar weekend]]+Ruimtestaat[[#This Row],[kosten / jaar werkdagen]]</f>
        <v>0</v>
      </c>
      <c r="AH1105" s="92"/>
      <c r="HL1105" s="59"/>
    </row>
    <row r="1106" spans="1:220">
      <c r="A1106" s="24">
        <v>7</v>
      </c>
      <c r="B1106" s="24" t="str">
        <f>VLOOKUP(Ruimtestaat[[#This Row],[Code]],Locaties[#All],2,FALSE)</f>
        <v>Het Vlier</v>
      </c>
      <c r="C1106" s="24" t="str">
        <f>VLOOKUP(Ruimtestaat[[#This Row],[Code]],Locaties[#All],4,FALSE)</f>
        <v>Het Vlier 1</v>
      </c>
      <c r="D1106" s="24" t="str">
        <f>VLOOKUP(Ruimtestaat[[#This Row],[Code]],Locaties[#All],5,FALSE)</f>
        <v>7414 AR</v>
      </c>
      <c r="E1106" s="24" t="str">
        <f>VLOOKUP(Ruimtestaat[[#This Row],[Code]],Locaties[#All],6,FALSE)</f>
        <v>Deventer</v>
      </c>
      <c r="F1106" s="54"/>
      <c r="G1106" s="24" t="s">
        <v>367</v>
      </c>
      <c r="H1106" s="24" t="s">
        <v>1504</v>
      </c>
      <c r="I1106" s="4" t="s">
        <v>375</v>
      </c>
      <c r="J1106" s="24">
        <v>22</v>
      </c>
      <c r="K1106" s="54" t="str">
        <f>VLOOKUP(J1106,Ruimtegroepen[],2,FALSE)</f>
        <v>Niet in onderhoud</v>
      </c>
      <c r="M1106" s="24"/>
      <c r="N1106" s="83"/>
      <c r="O1106" s="83">
        <v>1.34</v>
      </c>
      <c r="P1106" s="93" t="str">
        <f>LEFT(VLOOKUP(Ruimtestaat[[#This Row],[Ruimte code]],Ruimtegroepen[#All],4,1),2)</f>
        <v/>
      </c>
      <c r="Q1106" s="93"/>
      <c r="R1106" s="84"/>
      <c r="S1106" s="84"/>
      <c r="T1106" s="85">
        <f>IF(R1106&gt;0,IF(RIGHT(Ruimtestaat[[#This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06" s="85">
        <f>IF(T1106&gt;0,VLOOKUP($J1106,Ruimtegroepen[],3,FALSE)*VLOOKUP($L1106,Vloersoorten[],3,FALSE)*VLOOKUP($S1106,Frequenties[],3,FALSE)*VLOOKUP($A1106,Locaties[],3,FALSE),0)</f>
        <v>0</v>
      </c>
      <c r="V1106" s="86">
        <f>Ruimtestaat[[#This Row],[Uitvoeringen werkdagen]]*Ruimtestaat[[#This Row],[Oppervlak (netto)]]</f>
        <v>0</v>
      </c>
      <c r="W1106" s="87">
        <f>IF(U1106&gt;0,Ruimtestaat[[#This Row],[Prest. (m2 /jaar) werkdagen]]/Ruimtestaat[[#This Row],[Norm (m2/uur) werkdagen]],0)</f>
        <v>0</v>
      </c>
      <c r="X1106" s="88">
        <f>Ruimtestaat[[#This Row],[uren / jaar werkdagen]]*Tariefsopbouw!$E$35</f>
        <v>0</v>
      </c>
      <c r="Y1106" s="85"/>
      <c r="Z1106" s="89">
        <f>IF(Ruimtestaat[[#This Row],[Frequentie weekend]]&gt;0,VALUE(LEFT(Y1106,1))*R1106,0)</f>
        <v>0</v>
      </c>
      <c r="AA1106" s="85">
        <f>IF($Z1106&gt;0,VLOOKUP($J1106,Ruimtegroepen[],3,FALSE)*VLOOKUP($L1106,Vloersoorten[],3,FALSE)*VLOOKUP($Y1106,Frequenties[],3,FALSE)*VLOOKUP(#REF!,Locaties[],3,FALSE),0)</f>
        <v>0</v>
      </c>
      <c r="AB1106" s="87">
        <f>Ruimtestaat[[#This Row],[Uitvoeringen weekend]]*Ruimtestaat[[#This Row],[Oppervlak (netto)]]</f>
        <v>0</v>
      </c>
      <c r="AC1106" s="90">
        <f>IF(AB1106&gt;0,Ruimtestaat[[#This Row],[Prest. (m2 /jaar) weekend]]/Ruimtestaat[[#This Row],[Norm (m2/uur) weekend]],0)</f>
        <v>0</v>
      </c>
      <c r="AD1106" s="91">
        <f>Ruimtestaat[[#This Row],[uren / jaar weekend]]*Tariefsopbouw!$D$40</f>
        <v>0</v>
      </c>
      <c r="AE1106" s="60">
        <f>Ruimtestaat[[#This Row],[Prest. (m2 /jaar) weekend]]+Ruimtestaat[[#This Row],[Prest. (m2 /jaar) werkdagen]]</f>
        <v>0</v>
      </c>
      <c r="AF1106" s="60">
        <f>Ruimtestaat[[#This Row],[uren / jaar weekend]]+Ruimtestaat[[#This Row],[uren / jaar werkdagen]]</f>
        <v>0</v>
      </c>
      <c r="AG1106" s="61">
        <f>Ruimtestaat[[#This Row],[kosten / jaar weekend]]+Ruimtestaat[[#This Row],[kosten / jaar werkdagen]]</f>
        <v>0</v>
      </c>
      <c r="AH1106" s="92"/>
      <c r="HL1106" s="59"/>
    </row>
    <row r="1107" spans="1:220">
      <c r="A1107" s="24">
        <v>7</v>
      </c>
      <c r="B1107" s="24" t="str">
        <f>VLOOKUP(Ruimtestaat[[#This Row],[Code]],Locaties[#All],2,FALSE)</f>
        <v>Het Vlier</v>
      </c>
      <c r="C1107" s="24" t="str">
        <f>VLOOKUP(Ruimtestaat[[#This Row],[Code]],Locaties[#All],4,FALSE)</f>
        <v>Het Vlier 1</v>
      </c>
      <c r="D1107" s="24" t="str">
        <f>VLOOKUP(Ruimtestaat[[#This Row],[Code]],Locaties[#All],5,FALSE)</f>
        <v>7414 AR</v>
      </c>
      <c r="E1107" s="24" t="str">
        <f>VLOOKUP(Ruimtestaat[[#This Row],[Code]],Locaties[#All],6,FALSE)</f>
        <v>Deventer</v>
      </c>
      <c r="F1107" s="54"/>
      <c r="G1107" s="24" t="s">
        <v>367</v>
      </c>
      <c r="H1107" s="24" t="s">
        <v>1505</v>
      </c>
      <c r="I1107" s="4" t="s">
        <v>1506</v>
      </c>
      <c r="J1107" s="24">
        <v>16</v>
      </c>
      <c r="K1107" s="54" t="str">
        <f>VLOOKUP(J1107,Ruimtegroepen[],2,FALSE)</f>
        <v>Leslokalen theorie</v>
      </c>
      <c r="L1107" s="24" t="s">
        <v>305</v>
      </c>
      <c r="M1107" s="24" t="s">
        <v>400</v>
      </c>
      <c r="N1107" s="83">
        <v>34.869999999999997</v>
      </c>
      <c r="O1107" s="83"/>
      <c r="P1107" s="93" t="str">
        <f>LEFT(VLOOKUP(Ruimtestaat[[#This Row],[Ruimte code]],Ruimtegroepen[#All],4,1),2)</f>
        <v>Le</v>
      </c>
      <c r="Q1107" s="93"/>
      <c r="R1107" s="84">
        <v>40</v>
      </c>
      <c r="S1107" s="84" t="s">
        <v>318</v>
      </c>
      <c r="T1107" s="85">
        <f>IF(R1107&gt;0,IF(RIGHT(Ruimtestaat[[#This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7" s="85">
        <f>IF(T1107&gt;0,VLOOKUP($J1107,Ruimtegroepen[],3,FALSE)*VLOOKUP($L1107,Vloersoorten[],3,FALSE)*VLOOKUP($S1107,Frequenties[],3,FALSE)*VLOOKUP($A1107,Locaties[],3,FALSE),0)</f>
        <v>0</v>
      </c>
      <c r="V1107" s="86">
        <f>Ruimtestaat[[#This Row],[Uitvoeringen werkdagen]]*Ruimtestaat[[#This Row],[Oppervlak (netto)]]</f>
        <v>6973.9999999999991</v>
      </c>
      <c r="W1107" s="87">
        <f>IF(U1107&gt;0,Ruimtestaat[[#This Row],[Prest. (m2 /jaar) werkdagen]]/Ruimtestaat[[#This Row],[Norm (m2/uur) werkdagen]],0)</f>
        <v>0</v>
      </c>
      <c r="X1107" s="88">
        <f>Ruimtestaat[[#This Row],[uren / jaar werkdagen]]*Tariefsopbouw!$E$35</f>
        <v>0</v>
      </c>
      <c r="Y1107" s="85"/>
      <c r="Z1107" s="89">
        <f>IF(Ruimtestaat[[#This Row],[Frequentie weekend]]&gt;0,VALUE(LEFT(Y1107,1))*R1107,0)</f>
        <v>0</v>
      </c>
      <c r="AA1107" s="85">
        <f>IF($Z1107&gt;0,VLOOKUP($J1107,Ruimtegroepen[],3,FALSE)*VLOOKUP($L1107,Vloersoorten[],3,FALSE)*VLOOKUP($Y1107,Frequenties[],3,FALSE)*VLOOKUP(#REF!,Locaties[],3,FALSE),0)</f>
        <v>0</v>
      </c>
      <c r="AB1107" s="87">
        <f>Ruimtestaat[[#This Row],[Uitvoeringen weekend]]*Ruimtestaat[[#This Row],[Oppervlak (netto)]]</f>
        <v>0</v>
      </c>
      <c r="AC1107" s="90">
        <f>IF(AB1107&gt;0,Ruimtestaat[[#This Row],[Prest. (m2 /jaar) weekend]]/Ruimtestaat[[#This Row],[Norm (m2/uur) weekend]],0)</f>
        <v>0</v>
      </c>
      <c r="AD1107" s="91">
        <f>Ruimtestaat[[#This Row],[uren / jaar weekend]]*Tariefsopbouw!$D$40</f>
        <v>0</v>
      </c>
      <c r="AE1107" s="60">
        <f>Ruimtestaat[[#This Row],[Prest. (m2 /jaar) weekend]]+Ruimtestaat[[#This Row],[Prest. (m2 /jaar) werkdagen]]</f>
        <v>6973.9999999999991</v>
      </c>
      <c r="AF1107" s="60">
        <f>Ruimtestaat[[#This Row],[uren / jaar weekend]]+Ruimtestaat[[#This Row],[uren / jaar werkdagen]]</f>
        <v>0</v>
      </c>
      <c r="AG1107" s="61">
        <f>Ruimtestaat[[#This Row],[kosten / jaar weekend]]+Ruimtestaat[[#This Row],[kosten / jaar werkdagen]]</f>
        <v>0</v>
      </c>
      <c r="AH1107" s="92"/>
      <c r="HL1107" s="59"/>
    </row>
    <row r="1108" spans="1:220">
      <c r="A1108" s="24">
        <v>7</v>
      </c>
      <c r="B1108" s="24" t="str">
        <f>VLOOKUP(Ruimtestaat[[#This Row],[Code]],Locaties[#All],2,FALSE)</f>
        <v>Het Vlier</v>
      </c>
      <c r="C1108" s="24" t="str">
        <f>VLOOKUP(Ruimtestaat[[#This Row],[Code]],Locaties[#All],4,FALSE)</f>
        <v>Het Vlier 1</v>
      </c>
      <c r="D1108" s="24" t="str">
        <f>VLOOKUP(Ruimtestaat[[#This Row],[Code]],Locaties[#All],5,FALSE)</f>
        <v>7414 AR</v>
      </c>
      <c r="E1108" s="24" t="str">
        <f>VLOOKUP(Ruimtestaat[[#This Row],[Code]],Locaties[#All],6,FALSE)</f>
        <v>Deventer</v>
      </c>
      <c r="F1108" s="54"/>
      <c r="G1108" s="24" t="s">
        <v>367</v>
      </c>
      <c r="H1108" s="24" t="s">
        <v>1507</v>
      </c>
      <c r="I1108" s="4" t="s">
        <v>1506</v>
      </c>
      <c r="J1108" s="24">
        <v>16</v>
      </c>
      <c r="K1108" s="54" t="str">
        <f>VLOOKUP(J1108,Ruimtegroepen[],2,FALSE)</f>
        <v>Leslokalen theorie</v>
      </c>
      <c r="L1108" s="24" t="s">
        <v>300</v>
      </c>
      <c r="M1108" s="24" t="s">
        <v>926</v>
      </c>
      <c r="N1108" s="83">
        <v>37.6</v>
      </c>
      <c r="O1108" s="83"/>
      <c r="P1108" s="93" t="str">
        <f>LEFT(VLOOKUP(Ruimtestaat[[#This Row],[Ruimte code]],Ruimtegroepen[#All],4,1),2)</f>
        <v>Le</v>
      </c>
      <c r="Q1108" s="93"/>
      <c r="R1108" s="84">
        <v>40</v>
      </c>
      <c r="S1108" s="84" t="s">
        <v>318</v>
      </c>
      <c r="T1108" s="85">
        <f>IF(R1108&gt;0,IF(RIGHT(Ruimtestaat[[#This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8" s="85">
        <f>IF(T1108&gt;0,VLOOKUP($J1108,Ruimtegroepen[],3,FALSE)*VLOOKUP($L1108,Vloersoorten[],3,FALSE)*VLOOKUP($S1108,Frequenties[],3,FALSE)*VLOOKUP($A1108,Locaties[],3,FALSE),0)</f>
        <v>0</v>
      </c>
      <c r="V1108" s="86">
        <f>Ruimtestaat[[#This Row],[Uitvoeringen werkdagen]]*Ruimtestaat[[#This Row],[Oppervlak (netto)]]</f>
        <v>7520</v>
      </c>
      <c r="W1108" s="87">
        <f>IF(U1108&gt;0,Ruimtestaat[[#This Row],[Prest. (m2 /jaar) werkdagen]]/Ruimtestaat[[#This Row],[Norm (m2/uur) werkdagen]],0)</f>
        <v>0</v>
      </c>
      <c r="X1108" s="88">
        <f>Ruimtestaat[[#This Row],[uren / jaar werkdagen]]*Tariefsopbouw!$E$35</f>
        <v>0</v>
      </c>
      <c r="Y1108" s="85"/>
      <c r="Z1108" s="89">
        <f>IF(Ruimtestaat[[#This Row],[Frequentie weekend]]&gt;0,VALUE(LEFT(Y1108,1))*R1108,0)</f>
        <v>0</v>
      </c>
      <c r="AA1108" s="85">
        <f>IF($Z1108&gt;0,VLOOKUP($J1108,Ruimtegroepen[],3,FALSE)*VLOOKUP($L1108,Vloersoorten[],3,FALSE)*VLOOKUP($Y1108,Frequenties[],3,FALSE)*VLOOKUP(#REF!,Locaties[],3,FALSE),0)</f>
        <v>0</v>
      </c>
      <c r="AB1108" s="87">
        <f>Ruimtestaat[[#This Row],[Uitvoeringen weekend]]*Ruimtestaat[[#This Row],[Oppervlak (netto)]]</f>
        <v>0</v>
      </c>
      <c r="AC1108" s="90">
        <f>IF(AB1108&gt;0,Ruimtestaat[[#This Row],[Prest. (m2 /jaar) weekend]]/Ruimtestaat[[#This Row],[Norm (m2/uur) weekend]],0)</f>
        <v>0</v>
      </c>
      <c r="AD1108" s="91">
        <f>Ruimtestaat[[#This Row],[uren / jaar weekend]]*Tariefsopbouw!$D$40</f>
        <v>0</v>
      </c>
      <c r="AE1108" s="60">
        <f>Ruimtestaat[[#This Row],[Prest. (m2 /jaar) weekend]]+Ruimtestaat[[#This Row],[Prest. (m2 /jaar) werkdagen]]</f>
        <v>7520</v>
      </c>
      <c r="AF1108" s="60">
        <f>Ruimtestaat[[#This Row],[uren / jaar weekend]]+Ruimtestaat[[#This Row],[uren / jaar werkdagen]]</f>
        <v>0</v>
      </c>
      <c r="AG1108" s="61">
        <f>Ruimtestaat[[#This Row],[kosten / jaar weekend]]+Ruimtestaat[[#This Row],[kosten / jaar werkdagen]]</f>
        <v>0</v>
      </c>
      <c r="AH1108" s="92"/>
      <c r="HL1108" s="59"/>
    </row>
    <row r="1109" spans="1:220">
      <c r="A1109" s="24">
        <v>7</v>
      </c>
      <c r="B1109" s="24" t="str">
        <f>VLOOKUP(Ruimtestaat[[#This Row],[Code]],Locaties[#All],2,FALSE)</f>
        <v>Het Vlier</v>
      </c>
      <c r="C1109" s="24" t="str">
        <f>VLOOKUP(Ruimtestaat[[#This Row],[Code]],Locaties[#All],4,FALSE)</f>
        <v>Het Vlier 1</v>
      </c>
      <c r="D1109" s="24" t="str">
        <f>VLOOKUP(Ruimtestaat[[#This Row],[Code]],Locaties[#All],5,FALSE)</f>
        <v>7414 AR</v>
      </c>
      <c r="E1109" s="24" t="str">
        <f>VLOOKUP(Ruimtestaat[[#This Row],[Code]],Locaties[#All],6,FALSE)</f>
        <v>Deventer</v>
      </c>
      <c r="F1109" s="54"/>
      <c r="G1109" s="24" t="s">
        <v>512</v>
      </c>
      <c r="H1109" s="24" t="s">
        <v>942</v>
      </c>
      <c r="I1109" s="4" t="s">
        <v>1427</v>
      </c>
      <c r="J1109" s="24">
        <v>16</v>
      </c>
      <c r="K1109" s="54" t="str">
        <f>VLOOKUP(J1109,Ruimtegroepen[],2,FALSE)</f>
        <v>Leslokalen theorie</v>
      </c>
      <c r="L1109" s="24" t="s">
        <v>305</v>
      </c>
      <c r="M1109" s="24" t="s">
        <v>400</v>
      </c>
      <c r="N1109" s="83">
        <v>119.81</v>
      </c>
      <c r="O1109" s="83"/>
      <c r="P1109" s="93" t="str">
        <f>LEFT(VLOOKUP(Ruimtestaat[[#This Row],[Ruimte code]],Ruimtegroepen[#All],4,1),2)</f>
        <v>Le</v>
      </c>
      <c r="Q1109" s="93"/>
      <c r="R1109" s="84">
        <v>40</v>
      </c>
      <c r="S1109" s="84" t="s">
        <v>318</v>
      </c>
      <c r="T1109" s="85">
        <f>IF(R1109&gt;0,IF(RIGHT(Ruimtestaat[[#This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9" s="85">
        <f>IF(T1109&gt;0,VLOOKUP($J1109,Ruimtegroepen[],3,FALSE)*VLOOKUP($L1109,Vloersoorten[],3,FALSE)*VLOOKUP($S1109,Frequenties[],3,FALSE)*VLOOKUP($A1109,Locaties[],3,FALSE),0)</f>
        <v>0</v>
      </c>
      <c r="V1109" s="86">
        <f>Ruimtestaat[[#This Row],[Uitvoeringen werkdagen]]*Ruimtestaat[[#This Row],[Oppervlak (netto)]]</f>
        <v>23962</v>
      </c>
      <c r="W1109" s="87">
        <f>IF(U1109&gt;0,Ruimtestaat[[#This Row],[Prest. (m2 /jaar) werkdagen]]/Ruimtestaat[[#This Row],[Norm (m2/uur) werkdagen]],0)</f>
        <v>0</v>
      </c>
      <c r="X1109" s="88">
        <f>Ruimtestaat[[#This Row],[uren / jaar werkdagen]]*Tariefsopbouw!$E$35</f>
        <v>0</v>
      </c>
      <c r="Y1109" s="85"/>
      <c r="Z1109" s="89">
        <f>IF(Ruimtestaat[[#This Row],[Frequentie weekend]]&gt;0,VALUE(LEFT(Y1109,1))*R1109,0)</f>
        <v>0</v>
      </c>
      <c r="AA1109" s="85">
        <f>IF($Z1109&gt;0,VLOOKUP($J1109,Ruimtegroepen[],3,FALSE)*VLOOKUP($L1109,Vloersoorten[],3,FALSE)*VLOOKUP($Y1109,Frequenties[],3,FALSE)*VLOOKUP(#REF!,Locaties[],3,FALSE),0)</f>
        <v>0</v>
      </c>
      <c r="AB1109" s="87">
        <f>Ruimtestaat[[#This Row],[Uitvoeringen weekend]]*Ruimtestaat[[#This Row],[Oppervlak (netto)]]</f>
        <v>0</v>
      </c>
      <c r="AC1109" s="90">
        <f>IF(AB1109&gt;0,Ruimtestaat[[#This Row],[Prest. (m2 /jaar) weekend]]/Ruimtestaat[[#This Row],[Norm (m2/uur) weekend]],0)</f>
        <v>0</v>
      </c>
      <c r="AD1109" s="91">
        <f>Ruimtestaat[[#This Row],[uren / jaar weekend]]*Tariefsopbouw!$D$40</f>
        <v>0</v>
      </c>
      <c r="AE1109" s="60">
        <f>Ruimtestaat[[#This Row],[Prest. (m2 /jaar) weekend]]+Ruimtestaat[[#This Row],[Prest. (m2 /jaar) werkdagen]]</f>
        <v>23962</v>
      </c>
      <c r="AF1109" s="60">
        <f>Ruimtestaat[[#This Row],[uren / jaar weekend]]+Ruimtestaat[[#This Row],[uren / jaar werkdagen]]</f>
        <v>0</v>
      </c>
      <c r="AG1109" s="61">
        <f>Ruimtestaat[[#This Row],[kosten / jaar weekend]]+Ruimtestaat[[#This Row],[kosten / jaar werkdagen]]</f>
        <v>0</v>
      </c>
      <c r="AH1109" s="92"/>
      <c r="HL1109" s="59"/>
    </row>
    <row r="1110" spans="1:220">
      <c r="A1110" s="24">
        <v>7</v>
      </c>
      <c r="B1110" s="24" t="str">
        <f>VLOOKUP(Ruimtestaat[[#This Row],[Code]],Locaties[#All],2,FALSE)</f>
        <v>Het Vlier</v>
      </c>
      <c r="C1110" s="24" t="str">
        <f>VLOOKUP(Ruimtestaat[[#This Row],[Code]],Locaties[#All],4,FALSE)</f>
        <v>Het Vlier 1</v>
      </c>
      <c r="D1110" s="24" t="str">
        <f>VLOOKUP(Ruimtestaat[[#This Row],[Code]],Locaties[#All],5,FALSE)</f>
        <v>7414 AR</v>
      </c>
      <c r="E1110" s="24" t="str">
        <f>VLOOKUP(Ruimtestaat[[#This Row],[Code]],Locaties[#All],6,FALSE)</f>
        <v>Deventer</v>
      </c>
      <c r="F1110" s="54"/>
      <c r="G1110" s="24" t="s">
        <v>512</v>
      </c>
      <c r="H1110" s="24" t="s">
        <v>1508</v>
      </c>
      <c r="I1110" s="4" t="s">
        <v>1427</v>
      </c>
      <c r="J1110" s="24">
        <v>16</v>
      </c>
      <c r="K1110" s="54" t="str">
        <f>VLOOKUP(J1110,Ruimtegroepen[],2,FALSE)</f>
        <v>Leslokalen theorie</v>
      </c>
      <c r="L1110" s="24" t="s">
        <v>305</v>
      </c>
      <c r="M1110" s="24" t="s">
        <v>400</v>
      </c>
      <c r="N1110" s="83">
        <v>73.489999999999995</v>
      </c>
      <c r="O1110" s="83"/>
      <c r="P1110" s="93" t="str">
        <f>LEFT(VLOOKUP(Ruimtestaat[[#This Row],[Ruimte code]],Ruimtegroepen[#All],4,1),2)</f>
        <v>Le</v>
      </c>
      <c r="Q1110" s="93"/>
      <c r="R1110" s="84">
        <v>40</v>
      </c>
      <c r="S1110" s="84" t="s">
        <v>318</v>
      </c>
      <c r="T1110" s="85">
        <f>IF(R1110&gt;0,IF(RIGHT(Ruimtestaat[[#This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0" s="85">
        <f>IF(T1110&gt;0,VLOOKUP($J1110,Ruimtegroepen[],3,FALSE)*VLOOKUP($L1110,Vloersoorten[],3,FALSE)*VLOOKUP($S1110,Frequenties[],3,FALSE)*VLOOKUP($A1110,Locaties[],3,FALSE),0)</f>
        <v>0</v>
      </c>
      <c r="V1110" s="86">
        <f>Ruimtestaat[[#This Row],[Uitvoeringen werkdagen]]*Ruimtestaat[[#This Row],[Oppervlak (netto)]]</f>
        <v>14697.999999999998</v>
      </c>
      <c r="W1110" s="87">
        <f>IF(U1110&gt;0,Ruimtestaat[[#This Row],[Prest. (m2 /jaar) werkdagen]]/Ruimtestaat[[#This Row],[Norm (m2/uur) werkdagen]],0)</f>
        <v>0</v>
      </c>
      <c r="X1110" s="88">
        <f>Ruimtestaat[[#This Row],[uren / jaar werkdagen]]*Tariefsopbouw!$E$35</f>
        <v>0</v>
      </c>
      <c r="Y1110" s="85"/>
      <c r="Z1110" s="89">
        <f>IF(Ruimtestaat[[#This Row],[Frequentie weekend]]&gt;0,VALUE(LEFT(Y1110,1))*R1110,0)</f>
        <v>0</v>
      </c>
      <c r="AA1110" s="85">
        <f>IF($Z1110&gt;0,VLOOKUP($J1110,Ruimtegroepen[],3,FALSE)*VLOOKUP($L1110,Vloersoorten[],3,FALSE)*VLOOKUP($Y1110,Frequenties[],3,FALSE)*VLOOKUP(#REF!,Locaties[],3,FALSE),0)</f>
        <v>0</v>
      </c>
      <c r="AB1110" s="87">
        <f>Ruimtestaat[[#This Row],[Uitvoeringen weekend]]*Ruimtestaat[[#This Row],[Oppervlak (netto)]]</f>
        <v>0</v>
      </c>
      <c r="AC1110" s="90">
        <f>IF(AB1110&gt;0,Ruimtestaat[[#This Row],[Prest. (m2 /jaar) weekend]]/Ruimtestaat[[#This Row],[Norm (m2/uur) weekend]],0)</f>
        <v>0</v>
      </c>
      <c r="AD1110" s="91">
        <f>Ruimtestaat[[#This Row],[uren / jaar weekend]]*Tariefsopbouw!$D$40</f>
        <v>0</v>
      </c>
      <c r="AE1110" s="60">
        <f>Ruimtestaat[[#This Row],[Prest. (m2 /jaar) weekend]]+Ruimtestaat[[#This Row],[Prest. (m2 /jaar) werkdagen]]</f>
        <v>14697.999999999998</v>
      </c>
      <c r="AF1110" s="60">
        <f>Ruimtestaat[[#This Row],[uren / jaar weekend]]+Ruimtestaat[[#This Row],[uren / jaar werkdagen]]</f>
        <v>0</v>
      </c>
      <c r="AG1110" s="61">
        <f>Ruimtestaat[[#This Row],[kosten / jaar weekend]]+Ruimtestaat[[#This Row],[kosten / jaar werkdagen]]</f>
        <v>0</v>
      </c>
      <c r="AH1110" s="92"/>
      <c r="HL1110" s="59"/>
    </row>
    <row r="1111" spans="1:220">
      <c r="A1111" s="24">
        <v>7</v>
      </c>
      <c r="B1111" s="24" t="str">
        <f>VLOOKUP(Ruimtestaat[[#This Row],[Code]],Locaties[#All],2,FALSE)</f>
        <v>Het Vlier</v>
      </c>
      <c r="C1111" s="24" t="str">
        <f>VLOOKUP(Ruimtestaat[[#This Row],[Code]],Locaties[#All],4,FALSE)</f>
        <v>Het Vlier 1</v>
      </c>
      <c r="D1111" s="24" t="str">
        <f>VLOOKUP(Ruimtestaat[[#This Row],[Code]],Locaties[#All],5,FALSE)</f>
        <v>7414 AR</v>
      </c>
      <c r="E1111" s="24" t="str">
        <f>VLOOKUP(Ruimtestaat[[#This Row],[Code]],Locaties[#All],6,FALSE)</f>
        <v>Deventer</v>
      </c>
      <c r="F1111" s="54"/>
      <c r="G1111" s="24" t="s">
        <v>512</v>
      </c>
      <c r="H1111" s="24" t="s">
        <v>1509</v>
      </c>
      <c r="I1111" s="4" t="s">
        <v>1488</v>
      </c>
      <c r="J1111" s="24">
        <v>2</v>
      </c>
      <c r="K1111" s="54" t="str">
        <f>VLOOKUP(J1111,Ruimtegroepen[],2,FALSE)</f>
        <v>Kantoren</v>
      </c>
      <c r="L1111" s="24" t="s">
        <v>305</v>
      </c>
      <c r="M1111" s="24" t="s">
        <v>400</v>
      </c>
      <c r="N1111" s="83">
        <v>31.35</v>
      </c>
      <c r="O1111" s="83"/>
      <c r="P1111" s="93" t="str">
        <f>LEFT(VLOOKUP(Ruimtestaat[[#This Row],[Ruimte code]],Ruimtegroepen[#All],4,1),2)</f>
        <v>Bu</v>
      </c>
      <c r="Q1111" s="93"/>
      <c r="R1111" s="84">
        <v>42</v>
      </c>
      <c r="S1111" s="84" t="s">
        <v>322</v>
      </c>
      <c r="T1111" s="85">
        <f>IF(R1111&gt;0,IF(RIGHT(Ruimtestaat[[#This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11" s="85">
        <f>IF(T1111&gt;0,VLOOKUP($J1111,Ruimtegroepen[],3,FALSE)*VLOOKUP($L1111,Vloersoorten[],3,FALSE)*VLOOKUP($S1111,Frequenties[],3,FALSE)*VLOOKUP($A1111,Locaties[],3,FALSE),0)</f>
        <v>0</v>
      </c>
      <c r="V1111" s="86">
        <f>Ruimtestaat[[#This Row],[Uitvoeringen werkdagen]]*Ruimtestaat[[#This Row],[Oppervlak (netto)]]</f>
        <v>3950.1000000000004</v>
      </c>
      <c r="W1111" s="87">
        <f>IF(U1111&gt;0,Ruimtestaat[[#This Row],[Prest. (m2 /jaar) werkdagen]]/Ruimtestaat[[#This Row],[Norm (m2/uur) werkdagen]],0)</f>
        <v>0</v>
      </c>
      <c r="X1111" s="88">
        <f>Ruimtestaat[[#This Row],[uren / jaar werkdagen]]*Tariefsopbouw!$E$35</f>
        <v>0</v>
      </c>
      <c r="Y1111" s="85"/>
      <c r="Z1111" s="89">
        <f>IF(Ruimtestaat[[#This Row],[Frequentie weekend]]&gt;0,VALUE(LEFT(Y1111,1))*R1111,0)</f>
        <v>0</v>
      </c>
      <c r="AA1111" s="85">
        <f>IF($Z1111&gt;0,VLOOKUP($J1111,Ruimtegroepen[],3,FALSE)*VLOOKUP($L1111,Vloersoorten[],3,FALSE)*VLOOKUP($Y1111,Frequenties[],3,FALSE)*VLOOKUP(#REF!,Locaties[],3,FALSE),0)</f>
        <v>0</v>
      </c>
      <c r="AB1111" s="87">
        <f>Ruimtestaat[[#This Row],[Uitvoeringen weekend]]*Ruimtestaat[[#This Row],[Oppervlak (netto)]]</f>
        <v>0</v>
      </c>
      <c r="AC1111" s="90">
        <f>IF(AB1111&gt;0,Ruimtestaat[[#This Row],[Prest. (m2 /jaar) weekend]]/Ruimtestaat[[#This Row],[Norm (m2/uur) weekend]],0)</f>
        <v>0</v>
      </c>
      <c r="AD1111" s="91">
        <f>Ruimtestaat[[#This Row],[uren / jaar weekend]]*Tariefsopbouw!$D$40</f>
        <v>0</v>
      </c>
      <c r="AE1111" s="60">
        <f>Ruimtestaat[[#This Row],[Prest. (m2 /jaar) weekend]]+Ruimtestaat[[#This Row],[Prest. (m2 /jaar) werkdagen]]</f>
        <v>3950.1000000000004</v>
      </c>
      <c r="AF1111" s="60">
        <f>Ruimtestaat[[#This Row],[uren / jaar weekend]]+Ruimtestaat[[#This Row],[uren / jaar werkdagen]]</f>
        <v>0</v>
      </c>
      <c r="AG1111" s="61">
        <f>Ruimtestaat[[#This Row],[kosten / jaar weekend]]+Ruimtestaat[[#This Row],[kosten / jaar werkdagen]]</f>
        <v>0</v>
      </c>
      <c r="AH1111" s="92"/>
      <c r="HL1111" s="59"/>
    </row>
    <row r="1112" spans="1:220">
      <c r="A1112" s="24">
        <v>7</v>
      </c>
      <c r="B1112" s="24" t="str">
        <f>VLOOKUP(Ruimtestaat[[#This Row],[Code]],Locaties[#All],2,FALSE)</f>
        <v>Het Vlier</v>
      </c>
      <c r="C1112" s="24" t="str">
        <f>VLOOKUP(Ruimtestaat[[#This Row],[Code]],Locaties[#All],4,FALSE)</f>
        <v>Het Vlier 1</v>
      </c>
      <c r="D1112" s="24" t="str">
        <f>VLOOKUP(Ruimtestaat[[#This Row],[Code]],Locaties[#All],5,FALSE)</f>
        <v>7414 AR</v>
      </c>
      <c r="E1112" s="24" t="str">
        <f>VLOOKUP(Ruimtestaat[[#This Row],[Code]],Locaties[#All],6,FALSE)</f>
        <v>Deventer</v>
      </c>
      <c r="F1112" s="54"/>
      <c r="G1112" s="24" t="s">
        <v>512</v>
      </c>
      <c r="H1112" s="24" t="s">
        <v>1510</v>
      </c>
      <c r="I1112" s="4" t="s">
        <v>1427</v>
      </c>
      <c r="J1112" s="24">
        <v>16</v>
      </c>
      <c r="K1112" s="54" t="str">
        <f>VLOOKUP(J1112,Ruimtegroepen[],2,FALSE)</f>
        <v>Leslokalen theorie</v>
      </c>
      <c r="L1112" s="24" t="s">
        <v>305</v>
      </c>
      <c r="M1112" s="24" t="s">
        <v>400</v>
      </c>
      <c r="N1112" s="83">
        <v>59.04</v>
      </c>
      <c r="O1112" s="83"/>
      <c r="P1112" s="93" t="str">
        <f>LEFT(VLOOKUP(Ruimtestaat[[#This Row],[Ruimte code]],Ruimtegroepen[#All],4,1),2)</f>
        <v>Le</v>
      </c>
      <c r="Q1112" s="93"/>
      <c r="R1112" s="84">
        <v>40</v>
      </c>
      <c r="S1112" s="84" t="s">
        <v>318</v>
      </c>
      <c r="T1112" s="85">
        <f>IF(R1112&gt;0,IF(RIGHT(Ruimtestaat[[#This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2" s="85">
        <f>IF(T1112&gt;0,VLOOKUP($J1112,Ruimtegroepen[],3,FALSE)*VLOOKUP($L1112,Vloersoorten[],3,FALSE)*VLOOKUP($S1112,Frequenties[],3,FALSE)*VLOOKUP($A1112,Locaties[],3,FALSE),0)</f>
        <v>0</v>
      </c>
      <c r="V1112" s="86">
        <f>Ruimtestaat[[#This Row],[Uitvoeringen werkdagen]]*Ruimtestaat[[#This Row],[Oppervlak (netto)]]</f>
        <v>11808</v>
      </c>
      <c r="W1112" s="87">
        <f>IF(U1112&gt;0,Ruimtestaat[[#This Row],[Prest. (m2 /jaar) werkdagen]]/Ruimtestaat[[#This Row],[Norm (m2/uur) werkdagen]],0)</f>
        <v>0</v>
      </c>
      <c r="X1112" s="88">
        <f>Ruimtestaat[[#This Row],[uren / jaar werkdagen]]*Tariefsopbouw!$E$35</f>
        <v>0</v>
      </c>
      <c r="Y1112" s="85"/>
      <c r="Z1112" s="89">
        <f>IF(Ruimtestaat[[#This Row],[Frequentie weekend]]&gt;0,VALUE(LEFT(Y1112,1))*R1112,0)</f>
        <v>0</v>
      </c>
      <c r="AA1112" s="85">
        <f>IF($Z1112&gt;0,VLOOKUP($J1112,Ruimtegroepen[],3,FALSE)*VLOOKUP($L1112,Vloersoorten[],3,FALSE)*VLOOKUP($Y1112,Frequenties[],3,FALSE)*VLOOKUP(#REF!,Locaties[],3,FALSE),0)</f>
        <v>0</v>
      </c>
      <c r="AB1112" s="87">
        <f>Ruimtestaat[[#This Row],[Uitvoeringen weekend]]*Ruimtestaat[[#This Row],[Oppervlak (netto)]]</f>
        <v>0</v>
      </c>
      <c r="AC1112" s="90">
        <f>IF(AB1112&gt;0,Ruimtestaat[[#This Row],[Prest. (m2 /jaar) weekend]]/Ruimtestaat[[#This Row],[Norm (m2/uur) weekend]],0)</f>
        <v>0</v>
      </c>
      <c r="AD1112" s="91">
        <f>Ruimtestaat[[#This Row],[uren / jaar weekend]]*Tariefsopbouw!$D$40</f>
        <v>0</v>
      </c>
      <c r="AE1112" s="60">
        <f>Ruimtestaat[[#This Row],[Prest. (m2 /jaar) weekend]]+Ruimtestaat[[#This Row],[Prest. (m2 /jaar) werkdagen]]</f>
        <v>11808</v>
      </c>
      <c r="AF1112" s="60">
        <f>Ruimtestaat[[#This Row],[uren / jaar weekend]]+Ruimtestaat[[#This Row],[uren / jaar werkdagen]]</f>
        <v>0</v>
      </c>
      <c r="AG1112" s="61">
        <f>Ruimtestaat[[#This Row],[kosten / jaar weekend]]+Ruimtestaat[[#This Row],[kosten / jaar werkdagen]]</f>
        <v>0</v>
      </c>
      <c r="AH1112" s="92"/>
      <c r="HL1112" s="59"/>
    </row>
    <row r="1113" spans="1:220">
      <c r="A1113" s="24">
        <v>7</v>
      </c>
      <c r="B1113" s="24" t="str">
        <f>VLOOKUP(Ruimtestaat[[#This Row],[Code]],Locaties[#All],2,FALSE)</f>
        <v>Het Vlier</v>
      </c>
      <c r="C1113" s="24" t="str">
        <f>VLOOKUP(Ruimtestaat[[#This Row],[Code]],Locaties[#All],4,FALSE)</f>
        <v>Het Vlier 1</v>
      </c>
      <c r="D1113" s="24" t="str">
        <f>VLOOKUP(Ruimtestaat[[#This Row],[Code]],Locaties[#All],5,FALSE)</f>
        <v>7414 AR</v>
      </c>
      <c r="E1113" s="24" t="str">
        <f>VLOOKUP(Ruimtestaat[[#This Row],[Code]],Locaties[#All],6,FALSE)</f>
        <v>Deventer</v>
      </c>
      <c r="F1113" s="54"/>
      <c r="G1113" s="24" t="s">
        <v>512</v>
      </c>
      <c r="H1113" s="24" t="s">
        <v>1511</v>
      </c>
      <c r="I1113" s="4" t="s">
        <v>1427</v>
      </c>
      <c r="J1113" s="24">
        <v>16</v>
      </c>
      <c r="K1113" s="54" t="str">
        <f>VLOOKUP(J1113,Ruimtegroepen[],2,FALSE)</f>
        <v>Leslokalen theorie</v>
      </c>
      <c r="L1113" s="24" t="s">
        <v>305</v>
      </c>
      <c r="M1113" s="24" t="s">
        <v>400</v>
      </c>
      <c r="N1113" s="83">
        <v>120.84</v>
      </c>
      <c r="O1113" s="83"/>
      <c r="P1113" s="93" t="str">
        <f>LEFT(VLOOKUP(Ruimtestaat[[#This Row],[Ruimte code]],Ruimtegroepen[#All],4,1),2)</f>
        <v>Le</v>
      </c>
      <c r="Q1113" s="93"/>
      <c r="R1113" s="84">
        <v>40</v>
      </c>
      <c r="S1113" s="84" t="s">
        <v>318</v>
      </c>
      <c r="T1113" s="85">
        <f>IF(R1113&gt;0,IF(RIGHT(Ruimtestaat[[#This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3" s="85">
        <f>IF(T1113&gt;0,VLOOKUP($J1113,Ruimtegroepen[],3,FALSE)*VLOOKUP($L1113,Vloersoorten[],3,FALSE)*VLOOKUP($S1113,Frequenties[],3,FALSE)*VLOOKUP($A1113,Locaties[],3,FALSE),0)</f>
        <v>0</v>
      </c>
      <c r="V1113" s="86">
        <f>Ruimtestaat[[#This Row],[Uitvoeringen werkdagen]]*Ruimtestaat[[#This Row],[Oppervlak (netto)]]</f>
        <v>24168</v>
      </c>
      <c r="W1113" s="87">
        <f>IF(U1113&gt;0,Ruimtestaat[[#This Row],[Prest. (m2 /jaar) werkdagen]]/Ruimtestaat[[#This Row],[Norm (m2/uur) werkdagen]],0)</f>
        <v>0</v>
      </c>
      <c r="X1113" s="88">
        <f>Ruimtestaat[[#This Row],[uren / jaar werkdagen]]*Tariefsopbouw!$E$35</f>
        <v>0</v>
      </c>
      <c r="Y1113" s="85"/>
      <c r="Z1113" s="89">
        <f>IF(Ruimtestaat[[#This Row],[Frequentie weekend]]&gt;0,VALUE(LEFT(Y1113,1))*R1113,0)</f>
        <v>0</v>
      </c>
      <c r="AA1113" s="85">
        <f>IF($Z1113&gt;0,VLOOKUP($J1113,Ruimtegroepen[],3,FALSE)*VLOOKUP($L1113,Vloersoorten[],3,FALSE)*VLOOKUP($Y1113,Frequenties[],3,FALSE)*VLOOKUP(#REF!,Locaties[],3,FALSE),0)</f>
        <v>0</v>
      </c>
      <c r="AB1113" s="87">
        <f>Ruimtestaat[[#This Row],[Uitvoeringen weekend]]*Ruimtestaat[[#This Row],[Oppervlak (netto)]]</f>
        <v>0</v>
      </c>
      <c r="AC1113" s="90">
        <f>IF(AB1113&gt;0,Ruimtestaat[[#This Row],[Prest. (m2 /jaar) weekend]]/Ruimtestaat[[#This Row],[Norm (m2/uur) weekend]],0)</f>
        <v>0</v>
      </c>
      <c r="AD1113" s="91">
        <f>Ruimtestaat[[#This Row],[uren / jaar weekend]]*Tariefsopbouw!$D$40</f>
        <v>0</v>
      </c>
      <c r="AE1113" s="60">
        <f>Ruimtestaat[[#This Row],[Prest. (m2 /jaar) weekend]]+Ruimtestaat[[#This Row],[Prest. (m2 /jaar) werkdagen]]</f>
        <v>24168</v>
      </c>
      <c r="AF1113" s="60">
        <f>Ruimtestaat[[#This Row],[uren / jaar weekend]]+Ruimtestaat[[#This Row],[uren / jaar werkdagen]]</f>
        <v>0</v>
      </c>
      <c r="AG1113" s="61">
        <f>Ruimtestaat[[#This Row],[kosten / jaar weekend]]+Ruimtestaat[[#This Row],[kosten / jaar werkdagen]]</f>
        <v>0</v>
      </c>
      <c r="AH1113" s="92"/>
      <c r="HL1113" s="59"/>
    </row>
    <row r="1114" spans="1:220">
      <c r="A1114" s="24">
        <v>7</v>
      </c>
      <c r="B1114" s="24" t="str">
        <f>VLOOKUP(Ruimtestaat[[#This Row],[Code]],Locaties[#All],2,FALSE)</f>
        <v>Het Vlier</v>
      </c>
      <c r="C1114" s="24" t="str">
        <f>VLOOKUP(Ruimtestaat[[#This Row],[Code]],Locaties[#All],4,FALSE)</f>
        <v>Het Vlier 1</v>
      </c>
      <c r="D1114" s="24" t="str">
        <f>VLOOKUP(Ruimtestaat[[#This Row],[Code]],Locaties[#All],5,FALSE)</f>
        <v>7414 AR</v>
      </c>
      <c r="E1114" s="24" t="str">
        <f>VLOOKUP(Ruimtestaat[[#This Row],[Code]],Locaties[#All],6,FALSE)</f>
        <v>Deventer</v>
      </c>
      <c r="F1114" s="54"/>
      <c r="G1114" s="24" t="s">
        <v>512</v>
      </c>
      <c r="H1114" s="24" t="s">
        <v>1512</v>
      </c>
      <c r="I1114" s="4" t="s">
        <v>1427</v>
      </c>
      <c r="J1114" s="24">
        <v>16</v>
      </c>
      <c r="K1114" s="54" t="str">
        <f>VLOOKUP(J1114,Ruimtegroepen[],2,FALSE)</f>
        <v>Leslokalen theorie</v>
      </c>
      <c r="L1114" s="24" t="s">
        <v>305</v>
      </c>
      <c r="M1114" s="24" t="s">
        <v>400</v>
      </c>
      <c r="N1114" s="83">
        <v>121.21</v>
      </c>
      <c r="O1114" s="83"/>
      <c r="P1114" s="93" t="str">
        <f>LEFT(VLOOKUP(Ruimtestaat[[#This Row],[Ruimte code]],Ruimtegroepen[#All],4,1),2)</f>
        <v>Le</v>
      </c>
      <c r="Q1114" s="93"/>
      <c r="R1114" s="84">
        <v>40</v>
      </c>
      <c r="S1114" s="84" t="s">
        <v>318</v>
      </c>
      <c r="T1114" s="85">
        <f>IF(R1114&gt;0,IF(RIGHT(Ruimtestaat[[#This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4" s="85">
        <f>IF(T1114&gt;0,VLOOKUP($J1114,Ruimtegroepen[],3,FALSE)*VLOOKUP($L1114,Vloersoorten[],3,FALSE)*VLOOKUP($S1114,Frequenties[],3,FALSE)*VLOOKUP($A1114,Locaties[],3,FALSE),0)</f>
        <v>0</v>
      </c>
      <c r="V1114" s="86">
        <f>Ruimtestaat[[#This Row],[Uitvoeringen werkdagen]]*Ruimtestaat[[#This Row],[Oppervlak (netto)]]</f>
        <v>24242</v>
      </c>
      <c r="W1114" s="87">
        <f>IF(U1114&gt;0,Ruimtestaat[[#This Row],[Prest. (m2 /jaar) werkdagen]]/Ruimtestaat[[#This Row],[Norm (m2/uur) werkdagen]],0)</f>
        <v>0</v>
      </c>
      <c r="X1114" s="88">
        <f>Ruimtestaat[[#This Row],[uren / jaar werkdagen]]*Tariefsopbouw!$E$35</f>
        <v>0</v>
      </c>
      <c r="Y1114" s="85"/>
      <c r="Z1114" s="89">
        <f>IF(Ruimtestaat[[#This Row],[Frequentie weekend]]&gt;0,VALUE(LEFT(Y1114,1))*R1114,0)</f>
        <v>0</v>
      </c>
      <c r="AA1114" s="85">
        <f>IF($Z1114&gt;0,VLOOKUP($J1114,Ruimtegroepen[],3,FALSE)*VLOOKUP($L1114,Vloersoorten[],3,FALSE)*VLOOKUP($Y1114,Frequenties[],3,FALSE)*VLOOKUP(#REF!,Locaties[],3,FALSE),0)</f>
        <v>0</v>
      </c>
      <c r="AB1114" s="87">
        <f>Ruimtestaat[[#This Row],[Uitvoeringen weekend]]*Ruimtestaat[[#This Row],[Oppervlak (netto)]]</f>
        <v>0</v>
      </c>
      <c r="AC1114" s="90">
        <f>IF(AB1114&gt;0,Ruimtestaat[[#This Row],[Prest. (m2 /jaar) weekend]]/Ruimtestaat[[#This Row],[Norm (m2/uur) weekend]],0)</f>
        <v>0</v>
      </c>
      <c r="AD1114" s="91">
        <f>Ruimtestaat[[#This Row],[uren / jaar weekend]]*Tariefsopbouw!$D$40</f>
        <v>0</v>
      </c>
      <c r="AE1114" s="60">
        <f>Ruimtestaat[[#This Row],[Prest. (m2 /jaar) weekend]]+Ruimtestaat[[#This Row],[Prest. (m2 /jaar) werkdagen]]</f>
        <v>24242</v>
      </c>
      <c r="AF1114" s="60">
        <f>Ruimtestaat[[#This Row],[uren / jaar weekend]]+Ruimtestaat[[#This Row],[uren / jaar werkdagen]]</f>
        <v>0</v>
      </c>
      <c r="AG1114" s="61">
        <f>Ruimtestaat[[#This Row],[kosten / jaar weekend]]+Ruimtestaat[[#This Row],[kosten / jaar werkdagen]]</f>
        <v>0</v>
      </c>
      <c r="AH1114" s="92"/>
      <c r="HL1114" s="59"/>
    </row>
    <row r="1115" spans="1:220">
      <c r="A1115" s="24">
        <v>7</v>
      </c>
      <c r="B1115" s="24" t="str">
        <f>VLOOKUP(Ruimtestaat[[#This Row],[Code]],Locaties[#All],2,FALSE)</f>
        <v>Het Vlier</v>
      </c>
      <c r="C1115" s="24" t="str">
        <f>VLOOKUP(Ruimtestaat[[#This Row],[Code]],Locaties[#All],4,FALSE)</f>
        <v>Het Vlier 1</v>
      </c>
      <c r="D1115" s="24" t="str">
        <f>VLOOKUP(Ruimtestaat[[#This Row],[Code]],Locaties[#All],5,FALSE)</f>
        <v>7414 AR</v>
      </c>
      <c r="E1115" s="24" t="str">
        <f>VLOOKUP(Ruimtestaat[[#This Row],[Code]],Locaties[#All],6,FALSE)</f>
        <v>Deventer</v>
      </c>
      <c r="F1115" s="54"/>
      <c r="G1115" s="24" t="s">
        <v>512</v>
      </c>
      <c r="H1115" s="24" t="s">
        <v>1513</v>
      </c>
      <c r="I1115" s="4" t="s">
        <v>1427</v>
      </c>
      <c r="J1115" s="24">
        <v>16</v>
      </c>
      <c r="K1115" s="54" t="str">
        <f>VLOOKUP(J1115,Ruimtegroepen[],2,FALSE)</f>
        <v>Leslokalen theorie</v>
      </c>
      <c r="L1115" s="24" t="s">
        <v>305</v>
      </c>
      <c r="M1115" s="24" t="s">
        <v>400</v>
      </c>
      <c r="N1115" s="83">
        <v>60.14</v>
      </c>
      <c r="O1115" s="83"/>
      <c r="P1115" s="93" t="str">
        <f>LEFT(VLOOKUP(Ruimtestaat[[#This Row],[Ruimte code]],Ruimtegroepen[#All],4,1),2)</f>
        <v>Le</v>
      </c>
      <c r="Q1115" s="93"/>
      <c r="R1115" s="84">
        <v>40</v>
      </c>
      <c r="S1115" s="84" t="s">
        <v>318</v>
      </c>
      <c r="T1115" s="85">
        <f>IF(R1115&gt;0,IF(RIGHT(Ruimtestaat[[#This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5" s="85">
        <f>IF(T1115&gt;0,VLOOKUP($J1115,Ruimtegroepen[],3,FALSE)*VLOOKUP($L1115,Vloersoorten[],3,FALSE)*VLOOKUP($S1115,Frequenties[],3,FALSE)*VLOOKUP($A1115,Locaties[],3,FALSE),0)</f>
        <v>0</v>
      </c>
      <c r="V1115" s="86">
        <f>Ruimtestaat[[#This Row],[Uitvoeringen werkdagen]]*Ruimtestaat[[#This Row],[Oppervlak (netto)]]</f>
        <v>12028</v>
      </c>
      <c r="W1115" s="87">
        <f>IF(U1115&gt;0,Ruimtestaat[[#This Row],[Prest. (m2 /jaar) werkdagen]]/Ruimtestaat[[#This Row],[Norm (m2/uur) werkdagen]],0)</f>
        <v>0</v>
      </c>
      <c r="X1115" s="88">
        <f>Ruimtestaat[[#This Row],[uren / jaar werkdagen]]*Tariefsopbouw!$E$35</f>
        <v>0</v>
      </c>
      <c r="Y1115" s="85"/>
      <c r="Z1115" s="89">
        <f>IF(Ruimtestaat[[#This Row],[Frequentie weekend]]&gt;0,VALUE(LEFT(Y1115,1))*R1115,0)</f>
        <v>0</v>
      </c>
      <c r="AA1115" s="85">
        <f>IF($Z1115&gt;0,VLOOKUP($J1115,Ruimtegroepen[],3,FALSE)*VLOOKUP($L1115,Vloersoorten[],3,FALSE)*VLOOKUP($Y1115,Frequenties[],3,FALSE)*VLOOKUP(#REF!,Locaties[],3,FALSE),0)</f>
        <v>0</v>
      </c>
      <c r="AB1115" s="87">
        <f>Ruimtestaat[[#This Row],[Uitvoeringen weekend]]*Ruimtestaat[[#This Row],[Oppervlak (netto)]]</f>
        <v>0</v>
      </c>
      <c r="AC1115" s="90">
        <f>IF(AB1115&gt;0,Ruimtestaat[[#This Row],[Prest. (m2 /jaar) weekend]]/Ruimtestaat[[#This Row],[Norm (m2/uur) weekend]],0)</f>
        <v>0</v>
      </c>
      <c r="AD1115" s="91">
        <f>Ruimtestaat[[#This Row],[uren / jaar weekend]]*Tariefsopbouw!$D$40</f>
        <v>0</v>
      </c>
      <c r="AE1115" s="60">
        <f>Ruimtestaat[[#This Row],[Prest. (m2 /jaar) weekend]]+Ruimtestaat[[#This Row],[Prest. (m2 /jaar) werkdagen]]</f>
        <v>12028</v>
      </c>
      <c r="AF1115" s="60">
        <f>Ruimtestaat[[#This Row],[uren / jaar weekend]]+Ruimtestaat[[#This Row],[uren / jaar werkdagen]]</f>
        <v>0</v>
      </c>
      <c r="AG1115" s="61">
        <f>Ruimtestaat[[#This Row],[kosten / jaar weekend]]+Ruimtestaat[[#This Row],[kosten / jaar werkdagen]]</f>
        <v>0</v>
      </c>
      <c r="AH1115" s="92"/>
      <c r="HL1115" s="59"/>
    </row>
    <row r="1116" spans="1:220">
      <c r="A1116" s="24">
        <v>7</v>
      </c>
      <c r="B1116" s="24" t="str">
        <f>VLOOKUP(Ruimtestaat[[#This Row],[Code]],Locaties[#All],2,FALSE)</f>
        <v>Het Vlier</v>
      </c>
      <c r="C1116" s="24" t="str">
        <f>VLOOKUP(Ruimtestaat[[#This Row],[Code]],Locaties[#All],4,FALSE)</f>
        <v>Het Vlier 1</v>
      </c>
      <c r="D1116" s="24" t="str">
        <f>VLOOKUP(Ruimtestaat[[#This Row],[Code]],Locaties[#All],5,FALSE)</f>
        <v>7414 AR</v>
      </c>
      <c r="E1116" s="24" t="str">
        <f>VLOOKUP(Ruimtestaat[[#This Row],[Code]],Locaties[#All],6,FALSE)</f>
        <v>Deventer</v>
      </c>
      <c r="F1116" s="54"/>
      <c r="G1116" s="24" t="s">
        <v>512</v>
      </c>
      <c r="H1116" s="24" t="s">
        <v>1514</v>
      </c>
      <c r="I1116" s="4" t="s">
        <v>1515</v>
      </c>
      <c r="J1116" s="24">
        <v>16</v>
      </c>
      <c r="K1116" s="54" t="str">
        <f>VLOOKUP(J1116,Ruimtegroepen[],2,FALSE)</f>
        <v>Leslokalen theorie</v>
      </c>
      <c r="L1116" s="24" t="s">
        <v>303</v>
      </c>
      <c r="M1116" s="24" t="s">
        <v>387</v>
      </c>
      <c r="N1116" s="83">
        <v>124.6</v>
      </c>
      <c r="O1116" s="83"/>
      <c r="P1116" s="93" t="str">
        <f>LEFT(VLOOKUP(Ruimtestaat[[#This Row],[Ruimte code]],Ruimtegroepen[#All],4,1),2)</f>
        <v>Le</v>
      </c>
      <c r="Q1116" s="93"/>
      <c r="R1116" s="84">
        <v>40</v>
      </c>
      <c r="S1116" s="84" t="s">
        <v>318</v>
      </c>
      <c r="T1116" s="85">
        <f>IF(R1116&gt;0,IF(RIGHT(Ruimtestaat[[#This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6" s="85">
        <f>IF(T1116&gt;0,VLOOKUP($J1116,Ruimtegroepen[],3,FALSE)*VLOOKUP($L1116,Vloersoorten[],3,FALSE)*VLOOKUP($S1116,Frequenties[],3,FALSE)*VLOOKUP($A1116,Locaties[],3,FALSE),0)</f>
        <v>0</v>
      </c>
      <c r="V1116" s="86">
        <f>Ruimtestaat[[#This Row],[Uitvoeringen werkdagen]]*Ruimtestaat[[#This Row],[Oppervlak (netto)]]</f>
        <v>24920</v>
      </c>
      <c r="W1116" s="87">
        <f>IF(U1116&gt;0,Ruimtestaat[[#This Row],[Prest. (m2 /jaar) werkdagen]]/Ruimtestaat[[#This Row],[Norm (m2/uur) werkdagen]],0)</f>
        <v>0</v>
      </c>
      <c r="X1116" s="88">
        <f>Ruimtestaat[[#This Row],[uren / jaar werkdagen]]*Tariefsopbouw!$E$35</f>
        <v>0</v>
      </c>
      <c r="Y1116" s="85"/>
      <c r="Z1116" s="89">
        <f>IF(Ruimtestaat[[#This Row],[Frequentie weekend]]&gt;0,VALUE(LEFT(Y1116,1))*R1116,0)</f>
        <v>0</v>
      </c>
      <c r="AA1116" s="85">
        <f>IF($Z1116&gt;0,VLOOKUP($J1116,Ruimtegroepen[],3,FALSE)*VLOOKUP($L1116,Vloersoorten[],3,FALSE)*VLOOKUP($Y1116,Frequenties[],3,FALSE)*VLOOKUP(#REF!,Locaties[],3,FALSE),0)</f>
        <v>0</v>
      </c>
      <c r="AB1116" s="87">
        <f>Ruimtestaat[[#This Row],[Uitvoeringen weekend]]*Ruimtestaat[[#This Row],[Oppervlak (netto)]]</f>
        <v>0</v>
      </c>
      <c r="AC1116" s="90">
        <f>IF(AB1116&gt;0,Ruimtestaat[[#This Row],[Prest. (m2 /jaar) weekend]]/Ruimtestaat[[#This Row],[Norm (m2/uur) weekend]],0)</f>
        <v>0</v>
      </c>
      <c r="AD1116" s="91">
        <f>Ruimtestaat[[#This Row],[uren / jaar weekend]]*Tariefsopbouw!$D$40</f>
        <v>0</v>
      </c>
      <c r="AE1116" s="60">
        <f>Ruimtestaat[[#This Row],[Prest. (m2 /jaar) weekend]]+Ruimtestaat[[#This Row],[Prest. (m2 /jaar) werkdagen]]</f>
        <v>24920</v>
      </c>
      <c r="AF1116" s="60">
        <f>Ruimtestaat[[#This Row],[uren / jaar weekend]]+Ruimtestaat[[#This Row],[uren / jaar werkdagen]]</f>
        <v>0</v>
      </c>
      <c r="AG1116" s="61">
        <f>Ruimtestaat[[#This Row],[kosten / jaar weekend]]+Ruimtestaat[[#This Row],[kosten / jaar werkdagen]]</f>
        <v>0</v>
      </c>
      <c r="AH1116" s="92"/>
      <c r="HL1116" s="59"/>
    </row>
    <row r="1117" spans="1:220">
      <c r="A1117" s="24">
        <v>7</v>
      </c>
      <c r="B1117" s="24" t="str">
        <f>VLOOKUP(Ruimtestaat[[#This Row],[Code]],Locaties[#All],2,FALSE)</f>
        <v>Het Vlier</v>
      </c>
      <c r="C1117" s="24" t="str">
        <f>VLOOKUP(Ruimtestaat[[#This Row],[Code]],Locaties[#All],4,FALSE)</f>
        <v>Het Vlier 1</v>
      </c>
      <c r="D1117" s="24" t="str">
        <f>VLOOKUP(Ruimtestaat[[#This Row],[Code]],Locaties[#All],5,FALSE)</f>
        <v>7414 AR</v>
      </c>
      <c r="E1117" s="24" t="str">
        <f>VLOOKUP(Ruimtestaat[[#This Row],[Code]],Locaties[#All],6,FALSE)</f>
        <v>Deventer</v>
      </c>
      <c r="F1117" s="54"/>
      <c r="G1117" s="24" t="s">
        <v>512</v>
      </c>
      <c r="H1117" s="24" t="s">
        <v>1516</v>
      </c>
      <c r="I1117" s="4" t="s">
        <v>1517</v>
      </c>
      <c r="J1117" s="24">
        <v>16</v>
      </c>
      <c r="K1117" s="54" t="str">
        <f>VLOOKUP(J1117,Ruimtegroepen[],2,FALSE)</f>
        <v>Leslokalen theorie</v>
      </c>
      <c r="L1117" s="24" t="s">
        <v>303</v>
      </c>
      <c r="M1117" s="24" t="s">
        <v>387</v>
      </c>
      <c r="N1117" s="83">
        <v>11.24</v>
      </c>
      <c r="O1117" s="83"/>
      <c r="P1117" s="93" t="str">
        <f>LEFT(VLOOKUP(Ruimtestaat[[#This Row],[Ruimte code]],Ruimtegroepen[#All],4,1),2)</f>
        <v>Le</v>
      </c>
      <c r="Q1117" s="93"/>
      <c r="R1117" s="84">
        <v>40</v>
      </c>
      <c r="S1117" s="84" t="s">
        <v>318</v>
      </c>
      <c r="T1117" s="85">
        <f>IF(R1117&gt;0,IF(RIGHT(Ruimtestaat[[#This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7" s="85">
        <f>IF(T1117&gt;0,VLOOKUP($J1117,Ruimtegroepen[],3,FALSE)*VLOOKUP($L1117,Vloersoorten[],3,FALSE)*VLOOKUP($S1117,Frequenties[],3,FALSE)*VLOOKUP($A1117,Locaties[],3,FALSE),0)</f>
        <v>0</v>
      </c>
      <c r="V1117" s="86">
        <f>Ruimtestaat[[#This Row],[Uitvoeringen werkdagen]]*Ruimtestaat[[#This Row],[Oppervlak (netto)]]</f>
        <v>2248</v>
      </c>
      <c r="W1117" s="87">
        <f>IF(U1117&gt;0,Ruimtestaat[[#This Row],[Prest. (m2 /jaar) werkdagen]]/Ruimtestaat[[#This Row],[Norm (m2/uur) werkdagen]],0)</f>
        <v>0</v>
      </c>
      <c r="X1117" s="88">
        <f>Ruimtestaat[[#This Row],[uren / jaar werkdagen]]*Tariefsopbouw!$E$35</f>
        <v>0</v>
      </c>
      <c r="Y1117" s="85"/>
      <c r="Z1117" s="89">
        <f>IF(Ruimtestaat[[#This Row],[Frequentie weekend]]&gt;0,VALUE(LEFT(Y1117,1))*R1117,0)</f>
        <v>0</v>
      </c>
      <c r="AA1117" s="85">
        <f>IF($Z1117&gt;0,VLOOKUP($J1117,Ruimtegroepen[],3,FALSE)*VLOOKUP($L1117,Vloersoorten[],3,FALSE)*VLOOKUP($Y1117,Frequenties[],3,FALSE)*VLOOKUP(#REF!,Locaties[],3,FALSE),0)</f>
        <v>0</v>
      </c>
      <c r="AB1117" s="87">
        <f>Ruimtestaat[[#This Row],[Uitvoeringen weekend]]*Ruimtestaat[[#This Row],[Oppervlak (netto)]]</f>
        <v>0</v>
      </c>
      <c r="AC1117" s="90">
        <f>IF(AB1117&gt;0,Ruimtestaat[[#This Row],[Prest. (m2 /jaar) weekend]]/Ruimtestaat[[#This Row],[Norm (m2/uur) weekend]],0)</f>
        <v>0</v>
      </c>
      <c r="AD1117" s="91">
        <f>Ruimtestaat[[#This Row],[uren / jaar weekend]]*Tariefsopbouw!$D$40</f>
        <v>0</v>
      </c>
      <c r="AE1117" s="60">
        <f>Ruimtestaat[[#This Row],[Prest. (m2 /jaar) weekend]]+Ruimtestaat[[#This Row],[Prest. (m2 /jaar) werkdagen]]</f>
        <v>2248</v>
      </c>
      <c r="AF1117" s="60">
        <f>Ruimtestaat[[#This Row],[uren / jaar weekend]]+Ruimtestaat[[#This Row],[uren / jaar werkdagen]]</f>
        <v>0</v>
      </c>
      <c r="AG1117" s="61">
        <f>Ruimtestaat[[#This Row],[kosten / jaar weekend]]+Ruimtestaat[[#This Row],[kosten / jaar werkdagen]]</f>
        <v>0</v>
      </c>
      <c r="AH1117" s="92"/>
      <c r="HL1117" s="59"/>
    </row>
    <row r="1118" spans="1:220">
      <c r="A1118" s="24">
        <v>7</v>
      </c>
      <c r="B1118" s="24" t="str">
        <f>VLOOKUP(Ruimtestaat[[#This Row],[Code]],Locaties[#All],2,FALSE)</f>
        <v>Het Vlier</v>
      </c>
      <c r="C1118" s="24" t="str">
        <f>VLOOKUP(Ruimtestaat[[#This Row],[Code]],Locaties[#All],4,FALSE)</f>
        <v>Het Vlier 1</v>
      </c>
      <c r="D1118" s="24" t="str">
        <f>VLOOKUP(Ruimtestaat[[#This Row],[Code]],Locaties[#All],5,FALSE)</f>
        <v>7414 AR</v>
      </c>
      <c r="E1118" s="24" t="str">
        <f>VLOOKUP(Ruimtestaat[[#This Row],[Code]],Locaties[#All],6,FALSE)</f>
        <v>Deventer</v>
      </c>
      <c r="F1118" s="54"/>
      <c r="G1118" s="24" t="s">
        <v>512</v>
      </c>
      <c r="H1118" s="24" t="s">
        <v>1518</v>
      </c>
      <c r="I1118" s="4" t="s">
        <v>1517</v>
      </c>
      <c r="J1118" s="24">
        <v>16</v>
      </c>
      <c r="K1118" s="54" t="str">
        <f>VLOOKUP(J1118,Ruimtegroepen[],2,FALSE)</f>
        <v>Leslokalen theorie</v>
      </c>
      <c r="L1118" s="24" t="s">
        <v>303</v>
      </c>
      <c r="M1118" s="24" t="s">
        <v>387</v>
      </c>
      <c r="N1118" s="83">
        <v>10.97</v>
      </c>
      <c r="O1118" s="83"/>
      <c r="P1118" s="93" t="str">
        <f>LEFT(VLOOKUP(Ruimtestaat[[#This Row],[Ruimte code]],Ruimtegroepen[#All],4,1),2)</f>
        <v>Le</v>
      </c>
      <c r="Q1118" s="93"/>
      <c r="R1118" s="84">
        <v>40</v>
      </c>
      <c r="S1118" s="84" t="s">
        <v>318</v>
      </c>
      <c r="T1118" s="85">
        <f>IF(R1118&gt;0,IF(RIGHT(Ruimtestaat[[#This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8" s="85">
        <f>IF(T1118&gt;0,VLOOKUP($J1118,Ruimtegroepen[],3,FALSE)*VLOOKUP($L1118,Vloersoorten[],3,FALSE)*VLOOKUP($S1118,Frequenties[],3,FALSE)*VLOOKUP($A1118,Locaties[],3,FALSE),0)</f>
        <v>0</v>
      </c>
      <c r="V1118" s="86">
        <f>Ruimtestaat[[#This Row],[Uitvoeringen werkdagen]]*Ruimtestaat[[#This Row],[Oppervlak (netto)]]</f>
        <v>2194</v>
      </c>
      <c r="W1118" s="87">
        <f>IF(U1118&gt;0,Ruimtestaat[[#This Row],[Prest. (m2 /jaar) werkdagen]]/Ruimtestaat[[#This Row],[Norm (m2/uur) werkdagen]],0)</f>
        <v>0</v>
      </c>
      <c r="X1118" s="88">
        <f>Ruimtestaat[[#This Row],[uren / jaar werkdagen]]*Tariefsopbouw!$E$35</f>
        <v>0</v>
      </c>
      <c r="Y1118" s="85"/>
      <c r="Z1118" s="89">
        <f>IF(Ruimtestaat[[#This Row],[Frequentie weekend]]&gt;0,VALUE(LEFT(Y1118,1))*R1118,0)</f>
        <v>0</v>
      </c>
      <c r="AA1118" s="85">
        <f>IF($Z1118&gt;0,VLOOKUP($J1118,Ruimtegroepen[],3,FALSE)*VLOOKUP($L1118,Vloersoorten[],3,FALSE)*VLOOKUP($Y1118,Frequenties[],3,FALSE)*VLOOKUP(#REF!,Locaties[],3,FALSE),0)</f>
        <v>0</v>
      </c>
      <c r="AB1118" s="87">
        <f>Ruimtestaat[[#This Row],[Uitvoeringen weekend]]*Ruimtestaat[[#This Row],[Oppervlak (netto)]]</f>
        <v>0</v>
      </c>
      <c r="AC1118" s="90">
        <f>IF(AB1118&gt;0,Ruimtestaat[[#This Row],[Prest. (m2 /jaar) weekend]]/Ruimtestaat[[#This Row],[Norm (m2/uur) weekend]],0)</f>
        <v>0</v>
      </c>
      <c r="AD1118" s="91">
        <f>Ruimtestaat[[#This Row],[uren / jaar weekend]]*Tariefsopbouw!$D$40</f>
        <v>0</v>
      </c>
      <c r="AE1118" s="60">
        <f>Ruimtestaat[[#This Row],[Prest. (m2 /jaar) weekend]]+Ruimtestaat[[#This Row],[Prest. (m2 /jaar) werkdagen]]</f>
        <v>2194</v>
      </c>
      <c r="AF1118" s="60">
        <f>Ruimtestaat[[#This Row],[uren / jaar weekend]]+Ruimtestaat[[#This Row],[uren / jaar werkdagen]]</f>
        <v>0</v>
      </c>
      <c r="AG1118" s="61">
        <f>Ruimtestaat[[#This Row],[kosten / jaar weekend]]+Ruimtestaat[[#This Row],[kosten / jaar werkdagen]]</f>
        <v>0</v>
      </c>
      <c r="AH1118" s="92"/>
      <c r="HL1118" s="59"/>
    </row>
    <row r="1119" spans="1:220">
      <c r="A1119" s="24">
        <v>7</v>
      </c>
      <c r="B1119" s="24" t="str">
        <f>VLOOKUP(Ruimtestaat[[#This Row],[Code]],Locaties[#All],2,FALSE)</f>
        <v>Het Vlier</v>
      </c>
      <c r="C1119" s="24" t="str">
        <f>VLOOKUP(Ruimtestaat[[#This Row],[Code]],Locaties[#All],4,FALSE)</f>
        <v>Het Vlier 1</v>
      </c>
      <c r="D1119" s="24" t="str">
        <f>VLOOKUP(Ruimtestaat[[#This Row],[Code]],Locaties[#All],5,FALSE)</f>
        <v>7414 AR</v>
      </c>
      <c r="E1119" s="24" t="str">
        <f>VLOOKUP(Ruimtestaat[[#This Row],[Code]],Locaties[#All],6,FALSE)</f>
        <v>Deventer</v>
      </c>
      <c r="F1119" s="54"/>
      <c r="G1119" s="24" t="s">
        <v>512</v>
      </c>
      <c r="H1119" s="24" t="s">
        <v>1519</v>
      </c>
      <c r="I1119" s="4" t="s">
        <v>1517</v>
      </c>
      <c r="J1119" s="24">
        <v>16</v>
      </c>
      <c r="K1119" s="54" t="str">
        <f>VLOOKUP(J1119,Ruimtegroepen[],2,FALSE)</f>
        <v>Leslokalen theorie</v>
      </c>
      <c r="L1119" s="24" t="s">
        <v>303</v>
      </c>
      <c r="M1119" s="24" t="s">
        <v>387</v>
      </c>
      <c r="N1119" s="83">
        <v>10.35</v>
      </c>
      <c r="O1119" s="83"/>
      <c r="P1119" s="93" t="str">
        <f>LEFT(VLOOKUP(Ruimtestaat[[#This Row],[Ruimte code]],Ruimtegroepen[#All],4,1),2)</f>
        <v>Le</v>
      </c>
      <c r="Q1119" s="93"/>
      <c r="R1119" s="84">
        <v>40</v>
      </c>
      <c r="S1119" s="84" t="s">
        <v>318</v>
      </c>
      <c r="T1119" s="85">
        <f>IF(R1119&gt;0,IF(RIGHT(Ruimtestaat[[#This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9" s="85">
        <f>IF(T1119&gt;0,VLOOKUP($J1119,Ruimtegroepen[],3,FALSE)*VLOOKUP($L1119,Vloersoorten[],3,FALSE)*VLOOKUP($S1119,Frequenties[],3,FALSE)*VLOOKUP($A1119,Locaties[],3,FALSE),0)</f>
        <v>0</v>
      </c>
      <c r="V1119" s="86">
        <f>Ruimtestaat[[#This Row],[Uitvoeringen werkdagen]]*Ruimtestaat[[#This Row],[Oppervlak (netto)]]</f>
        <v>2070</v>
      </c>
      <c r="W1119" s="87">
        <f>IF(U1119&gt;0,Ruimtestaat[[#This Row],[Prest. (m2 /jaar) werkdagen]]/Ruimtestaat[[#This Row],[Norm (m2/uur) werkdagen]],0)</f>
        <v>0</v>
      </c>
      <c r="X1119" s="88">
        <f>Ruimtestaat[[#This Row],[uren / jaar werkdagen]]*Tariefsopbouw!$E$35</f>
        <v>0</v>
      </c>
      <c r="Y1119" s="85"/>
      <c r="Z1119" s="89">
        <f>IF(Ruimtestaat[[#This Row],[Frequentie weekend]]&gt;0,VALUE(LEFT(Y1119,1))*R1119,0)</f>
        <v>0</v>
      </c>
      <c r="AA1119" s="85">
        <f>IF($Z1119&gt;0,VLOOKUP($J1119,Ruimtegroepen[],3,FALSE)*VLOOKUP($L1119,Vloersoorten[],3,FALSE)*VLOOKUP($Y1119,Frequenties[],3,FALSE)*VLOOKUP(#REF!,Locaties[],3,FALSE),0)</f>
        <v>0</v>
      </c>
      <c r="AB1119" s="87">
        <f>Ruimtestaat[[#This Row],[Uitvoeringen weekend]]*Ruimtestaat[[#This Row],[Oppervlak (netto)]]</f>
        <v>0</v>
      </c>
      <c r="AC1119" s="90">
        <f>IF(AB1119&gt;0,Ruimtestaat[[#This Row],[Prest. (m2 /jaar) weekend]]/Ruimtestaat[[#This Row],[Norm (m2/uur) weekend]],0)</f>
        <v>0</v>
      </c>
      <c r="AD1119" s="91">
        <f>Ruimtestaat[[#This Row],[uren / jaar weekend]]*Tariefsopbouw!$D$40</f>
        <v>0</v>
      </c>
      <c r="AE1119" s="60">
        <f>Ruimtestaat[[#This Row],[Prest. (m2 /jaar) weekend]]+Ruimtestaat[[#This Row],[Prest. (m2 /jaar) werkdagen]]</f>
        <v>2070</v>
      </c>
      <c r="AF1119" s="60">
        <f>Ruimtestaat[[#This Row],[uren / jaar weekend]]+Ruimtestaat[[#This Row],[uren / jaar werkdagen]]</f>
        <v>0</v>
      </c>
      <c r="AG1119" s="61">
        <f>Ruimtestaat[[#This Row],[kosten / jaar weekend]]+Ruimtestaat[[#This Row],[kosten / jaar werkdagen]]</f>
        <v>0</v>
      </c>
      <c r="AH1119" s="92"/>
      <c r="HL1119" s="59"/>
    </row>
    <row r="1120" spans="1:220">
      <c r="A1120" s="24">
        <v>7</v>
      </c>
      <c r="B1120" s="24" t="str">
        <f>VLOOKUP(Ruimtestaat[[#This Row],[Code]],Locaties[#All],2,FALSE)</f>
        <v>Het Vlier</v>
      </c>
      <c r="C1120" s="24" t="str">
        <f>VLOOKUP(Ruimtestaat[[#This Row],[Code]],Locaties[#All],4,FALSE)</f>
        <v>Het Vlier 1</v>
      </c>
      <c r="D1120" s="24" t="str">
        <f>VLOOKUP(Ruimtestaat[[#This Row],[Code]],Locaties[#All],5,FALSE)</f>
        <v>7414 AR</v>
      </c>
      <c r="E1120" s="24" t="str">
        <f>VLOOKUP(Ruimtestaat[[#This Row],[Code]],Locaties[#All],6,FALSE)</f>
        <v>Deventer</v>
      </c>
      <c r="F1120" s="54"/>
      <c r="G1120" s="24" t="s">
        <v>512</v>
      </c>
      <c r="H1120" s="24" t="s">
        <v>1520</v>
      </c>
      <c r="I1120" s="4" t="s">
        <v>1517</v>
      </c>
      <c r="J1120" s="24">
        <v>16</v>
      </c>
      <c r="K1120" s="54" t="str">
        <f>VLOOKUP(J1120,Ruimtegroepen[],2,FALSE)</f>
        <v>Leslokalen theorie</v>
      </c>
      <c r="L1120" s="24" t="s">
        <v>303</v>
      </c>
      <c r="M1120" s="24" t="s">
        <v>387</v>
      </c>
      <c r="N1120" s="83">
        <v>20.329999999999998</v>
      </c>
      <c r="O1120" s="83"/>
      <c r="P1120" s="93" t="str">
        <f>LEFT(VLOOKUP(Ruimtestaat[[#This Row],[Ruimte code]],Ruimtegroepen[#All],4,1),2)</f>
        <v>Le</v>
      </c>
      <c r="Q1120" s="93"/>
      <c r="R1120" s="84">
        <v>40</v>
      </c>
      <c r="S1120" s="84" t="s">
        <v>318</v>
      </c>
      <c r="T1120" s="85">
        <f>IF(R1120&gt;0,IF(RIGHT(Ruimtestaat[[#This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0" s="85">
        <f>IF(T1120&gt;0,VLOOKUP($J1120,Ruimtegroepen[],3,FALSE)*VLOOKUP($L1120,Vloersoorten[],3,FALSE)*VLOOKUP($S1120,Frequenties[],3,FALSE)*VLOOKUP($A1120,Locaties[],3,FALSE),0)</f>
        <v>0</v>
      </c>
      <c r="V1120" s="86">
        <f>Ruimtestaat[[#This Row],[Uitvoeringen werkdagen]]*Ruimtestaat[[#This Row],[Oppervlak (netto)]]</f>
        <v>4065.9999999999995</v>
      </c>
      <c r="W1120" s="87">
        <f>IF(U1120&gt;0,Ruimtestaat[[#This Row],[Prest. (m2 /jaar) werkdagen]]/Ruimtestaat[[#This Row],[Norm (m2/uur) werkdagen]],0)</f>
        <v>0</v>
      </c>
      <c r="X1120" s="88">
        <f>Ruimtestaat[[#This Row],[uren / jaar werkdagen]]*Tariefsopbouw!$E$35</f>
        <v>0</v>
      </c>
      <c r="Y1120" s="85"/>
      <c r="Z1120" s="89">
        <f>IF(Ruimtestaat[[#This Row],[Frequentie weekend]]&gt;0,VALUE(LEFT(Y1120,1))*R1120,0)</f>
        <v>0</v>
      </c>
      <c r="AA1120" s="85">
        <f>IF($Z1120&gt;0,VLOOKUP($J1120,Ruimtegroepen[],3,FALSE)*VLOOKUP($L1120,Vloersoorten[],3,FALSE)*VLOOKUP($Y1120,Frequenties[],3,FALSE)*VLOOKUP(#REF!,Locaties[],3,FALSE),0)</f>
        <v>0</v>
      </c>
      <c r="AB1120" s="87">
        <f>Ruimtestaat[[#This Row],[Uitvoeringen weekend]]*Ruimtestaat[[#This Row],[Oppervlak (netto)]]</f>
        <v>0</v>
      </c>
      <c r="AC1120" s="90">
        <f>IF(AB1120&gt;0,Ruimtestaat[[#This Row],[Prest. (m2 /jaar) weekend]]/Ruimtestaat[[#This Row],[Norm (m2/uur) weekend]],0)</f>
        <v>0</v>
      </c>
      <c r="AD1120" s="91">
        <f>Ruimtestaat[[#This Row],[uren / jaar weekend]]*Tariefsopbouw!$D$40</f>
        <v>0</v>
      </c>
      <c r="AE1120" s="60">
        <f>Ruimtestaat[[#This Row],[Prest. (m2 /jaar) weekend]]+Ruimtestaat[[#This Row],[Prest. (m2 /jaar) werkdagen]]</f>
        <v>4065.9999999999995</v>
      </c>
      <c r="AF1120" s="60">
        <f>Ruimtestaat[[#This Row],[uren / jaar weekend]]+Ruimtestaat[[#This Row],[uren / jaar werkdagen]]</f>
        <v>0</v>
      </c>
      <c r="AG1120" s="61">
        <f>Ruimtestaat[[#This Row],[kosten / jaar weekend]]+Ruimtestaat[[#This Row],[kosten / jaar werkdagen]]</f>
        <v>0</v>
      </c>
      <c r="AH1120" s="92"/>
      <c r="HL1120" s="59"/>
    </row>
    <row r="1121" spans="1:220">
      <c r="A1121" s="24">
        <v>7</v>
      </c>
      <c r="B1121" s="24" t="str">
        <f>VLOOKUP(Ruimtestaat[[#This Row],[Code]],Locaties[#All],2,FALSE)</f>
        <v>Het Vlier</v>
      </c>
      <c r="C1121" s="24" t="str">
        <f>VLOOKUP(Ruimtestaat[[#This Row],[Code]],Locaties[#All],4,FALSE)</f>
        <v>Het Vlier 1</v>
      </c>
      <c r="D1121" s="24" t="str">
        <f>VLOOKUP(Ruimtestaat[[#This Row],[Code]],Locaties[#All],5,FALSE)</f>
        <v>7414 AR</v>
      </c>
      <c r="E1121" s="24" t="str">
        <f>VLOOKUP(Ruimtestaat[[#This Row],[Code]],Locaties[#All],6,FALSE)</f>
        <v>Deventer</v>
      </c>
      <c r="F1121" s="54"/>
      <c r="G1121" s="24" t="s">
        <v>512</v>
      </c>
      <c r="H1121" s="24" t="s">
        <v>1521</v>
      </c>
      <c r="I1121" s="4" t="s">
        <v>1517</v>
      </c>
      <c r="J1121" s="24">
        <v>22</v>
      </c>
      <c r="K1121" s="54" t="str">
        <f>VLOOKUP(J1121,Ruimtegroepen[],2,FALSE)</f>
        <v>Niet in onderhoud</v>
      </c>
      <c r="M1121" s="24"/>
      <c r="N1121" s="83"/>
      <c r="O1121" s="83">
        <v>20.329999999999998</v>
      </c>
      <c r="P1121" s="93" t="str">
        <f>LEFT(VLOOKUP(Ruimtestaat[[#This Row],[Ruimte code]],Ruimtegroepen[#All],4,1),2)</f>
        <v/>
      </c>
      <c r="Q1121" s="93"/>
      <c r="R1121" s="84"/>
      <c r="S1121" s="84"/>
      <c r="T1121" s="85">
        <f>IF(R1121&gt;0,IF(RIGHT(Ruimtestaat[[#This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21" s="85">
        <f>IF(T1121&gt;0,VLOOKUP($J1121,Ruimtegroepen[],3,FALSE)*VLOOKUP($L1121,Vloersoorten[],3,FALSE)*VLOOKUP($S1121,Frequenties[],3,FALSE)*VLOOKUP($A1121,Locaties[],3,FALSE),0)</f>
        <v>0</v>
      </c>
      <c r="V1121" s="86">
        <f>Ruimtestaat[[#This Row],[Uitvoeringen werkdagen]]*Ruimtestaat[[#This Row],[Oppervlak (netto)]]</f>
        <v>0</v>
      </c>
      <c r="W1121" s="87">
        <f>IF(U1121&gt;0,Ruimtestaat[[#This Row],[Prest. (m2 /jaar) werkdagen]]/Ruimtestaat[[#This Row],[Norm (m2/uur) werkdagen]],0)</f>
        <v>0</v>
      </c>
      <c r="X1121" s="88">
        <f>Ruimtestaat[[#This Row],[uren / jaar werkdagen]]*Tariefsopbouw!$E$35</f>
        <v>0</v>
      </c>
      <c r="Y1121" s="85"/>
      <c r="Z1121" s="89">
        <f>IF(Ruimtestaat[[#This Row],[Frequentie weekend]]&gt;0,VALUE(LEFT(Y1121,1))*R1121,0)</f>
        <v>0</v>
      </c>
      <c r="AA1121" s="85">
        <f>IF($Z1121&gt;0,VLOOKUP($J1121,Ruimtegroepen[],3,FALSE)*VLOOKUP($L1121,Vloersoorten[],3,FALSE)*VLOOKUP($Y1121,Frequenties[],3,FALSE)*VLOOKUP(#REF!,Locaties[],3,FALSE),0)</f>
        <v>0</v>
      </c>
      <c r="AB1121" s="87">
        <f>Ruimtestaat[[#This Row],[Uitvoeringen weekend]]*Ruimtestaat[[#This Row],[Oppervlak (netto)]]</f>
        <v>0</v>
      </c>
      <c r="AC1121" s="90">
        <f>IF(AB1121&gt;0,Ruimtestaat[[#This Row],[Prest. (m2 /jaar) weekend]]/Ruimtestaat[[#This Row],[Norm (m2/uur) weekend]],0)</f>
        <v>0</v>
      </c>
      <c r="AD1121" s="91">
        <f>Ruimtestaat[[#This Row],[uren / jaar weekend]]*Tariefsopbouw!$D$40</f>
        <v>0</v>
      </c>
      <c r="AE1121" s="60">
        <f>Ruimtestaat[[#This Row],[Prest. (m2 /jaar) weekend]]+Ruimtestaat[[#This Row],[Prest. (m2 /jaar) werkdagen]]</f>
        <v>0</v>
      </c>
      <c r="AF1121" s="60">
        <f>Ruimtestaat[[#This Row],[uren / jaar weekend]]+Ruimtestaat[[#This Row],[uren / jaar werkdagen]]</f>
        <v>0</v>
      </c>
      <c r="AG1121" s="61">
        <f>Ruimtestaat[[#This Row],[kosten / jaar weekend]]+Ruimtestaat[[#This Row],[kosten / jaar werkdagen]]</f>
        <v>0</v>
      </c>
      <c r="AH1121" s="92"/>
      <c r="HL1121" s="59"/>
    </row>
    <row r="1122" spans="1:220">
      <c r="A1122" s="24">
        <v>7</v>
      </c>
      <c r="B1122" s="24" t="str">
        <f>VLOOKUP(Ruimtestaat[[#This Row],[Code]],Locaties[#All],2,FALSE)</f>
        <v>Het Vlier</v>
      </c>
      <c r="C1122" s="24" t="str">
        <f>VLOOKUP(Ruimtestaat[[#This Row],[Code]],Locaties[#All],4,FALSE)</f>
        <v>Het Vlier 1</v>
      </c>
      <c r="D1122" s="24" t="str">
        <f>VLOOKUP(Ruimtestaat[[#This Row],[Code]],Locaties[#All],5,FALSE)</f>
        <v>7414 AR</v>
      </c>
      <c r="E1122" s="24" t="str">
        <f>VLOOKUP(Ruimtestaat[[#This Row],[Code]],Locaties[#All],6,FALSE)</f>
        <v>Deventer</v>
      </c>
      <c r="F1122" s="54"/>
      <c r="G1122" s="24" t="s">
        <v>512</v>
      </c>
      <c r="H1122" s="24" t="s">
        <v>943</v>
      </c>
      <c r="I1122" s="4" t="s">
        <v>1427</v>
      </c>
      <c r="J1122" s="24">
        <v>16</v>
      </c>
      <c r="K1122" s="54" t="str">
        <f>VLOOKUP(J1122,Ruimtegroepen[],2,FALSE)</f>
        <v>Leslokalen theorie</v>
      </c>
      <c r="L1122" s="24" t="s">
        <v>305</v>
      </c>
      <c r="M1122" s="24" t="s">
        <v>400</v>
      </c>
      <c r="N1122" s="83">
        <v>58.23</v>
      </c>
      <c r="O1122" s="83"/>
      <c r="P1122" s="93" t="str">
        <f>LEFT(VLOOKUP(Ruimtestaat[[#This Row],[Ruimte code]],Ruimtegroepen[#All],4,1),2)</f>
        <v>Le</v>
      </c>
      <c r="Q1122" s="93"/>
      <c r="R1122" s="84">
        <v>40</v>
      </c>
      <c r="S1122" s="84" t="s">
        <v>318</v>
      </c>
      <c r="T1122" s="85">
        <f>IF(R1122&gt;0,IF(RIGHT(Ruimtestaat[[#This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2" s="85">
        <f>IF(T1122&gt;0,VLOOKUP($J1122,Ruimtegroepen[],3,FALSE)*VLOOKUP($L1122,Vloersoorten[],3,FALSE)*VLOOKUP($S1122,Frequenties[],3,FALSE)*VLOOKUP($A1122,Locaties[],3,FALSE),0)</f>
        <v>0</v>
      </c>
      <c r="V1122" s="86">
        <f>Ruimtestaat[[#This Row],[Uitvoeringen werkdagen]]*Ruimtestaat[[#This Row],[Oppervlak (netto)]]</f>
        <v>11646</v>
      </c>
      <c r="W1122" s="87">
        <f>IF(U1122&gt;0,Ruimtestaat[[#This Row],[Prest. (m2 /jaar) werkdagen]]/Ruimtestaat[[#This Row],[Norm (m2/uur) werkdagen]],0)</f>
        <v>0</v>
      </c>
      <c r="X1122" s="88">
        <f>Ruimtestaat[[#This Row],[uren / jaar werkdagen]]*Tariefsopbouw!$E$35</f>
        <v>0</v>
      </c>
      <c r="Y1122" s="85"/>
      <c r="Z1122" s="89">
        <f>IF(Ruimtestaat[[#This Row],[Frequentie weekend]]&gt;0,VALUE(LEFT(Y1122,1))*R1122,0)</f>
        <v>0</v>
      </c>
      <c r="AA1122" s="85">
        <f>IF($Z1122&gt;0,VLOOKUP($J1122,Ruimtegroepen[],3,FALSE)*VLOOKUP($L1122,Vloersoorten[],3,FALSE)*VLOOKUP($Y1122,Frequenties[],3,FALSE)*VLOOKUP(#REF!,Locaties[],3,FALSE),0)</f>
        <v>0</v>
      </c>
      <c r="AB1122" s="87">
        <f>Ruimtestaat[[#This Row],[Uitvoeringen weekend]]*Ruimtestaat[[#This Row],[Oppervlak (netto)]]</f>
        <v>0</v>
      </c>
      <c r="AC1122" s="90">
        <f>IF(AB1122&gt;0,Ruimtestaat[[#This Row],[Prest. (m2 /jaar) weekend]]/Ruimtestaat[[#This Row],[Norm (m2/uur) weekend]],0)</f>
        <v>0</v>
      </c>
      <c r="AD1122" s="91">
        <f>Ruimtestaat[[#This Row],[uren / jaar weekend]]*Tariefsopbouw!$D$40</f>
        <v>0</v>
      </c>
      <c r="AE1122" s="60">
        <f>Ruimtestaat[[#This Row],[Prest. (m2 /jaar) weekend]]+Ruimtestaat[[#This Row],[Prest. (m2 /jaar) werkdagen]]</f>
        <v>11646</v>
      </c>
      <c r="AF1122" s="60">
        <f>Ruimtestaat[[#This Row],[uren / jaar weekend]]+Ruimtestaat[[#This Row],[uren / jaar werkdagen]]</f>
        <v>0</v>
      </c>
      <c r="AG1122" s="61">
        <f>Ruimtestaat[[#This Row],[kosten / jaar weekend]]+Ruimtestaat[[#This Row],[kosten / jaar werkdagen]]</f>
        <v>0</v>
      </c>
      <c r="AH1122" s="92"/>
      <c r="HL1122" s="59"/>
    </row>
    <row r="1123" spans="1:220">
      <c r="A1123" s="24">
        <v>7</v>
      </c>
      <c r="B1123" s="24" t="str">
        <f>VLOOKUP(Ruimtestaat[[#This Row],[Code]],Locaties[#All],2,FALSE)</f>
        <v>Het Vlier</v>
      </c>
      <c r="C1123" s="24" t="str">
        <f>VLOOKUP(Ruimtestaat[[#This Row],[Code]],Locaties[#All],4,FALSE)</f>
        <v>Het Vlier 1</v>
      </c>
      <c r="D1123" s="24" t="str">
        <f>VLOOKUP(Ruimtestaat[[#This Row],[Code]],Locaties[#All],5,FALSE)</f>
        <v>7414 AR</v>
      </c>
      <c r="E1123" s="24" t="str">
        <f>VLOOKUP(Ruimtestaat[[#This Row],[Code]],Locaties[#All],6,FALSE)</f>
        <v>Deventer</v>
      </c>
      <c r="F1123" s="54"/>
      <c r="G1123" s="24" t="s">
        <v>512</v>
      </c>
      <c r="H1123" s="24" t="s">
        <v>944</v>
      </c>
      <c r="I1123" s="4" t="s">
        <v>1427</v>
      </c>
      <c r="J1123" s="24">
        <v>16</v>
      </c>
      <c r="K1123" s="54" t="str">
        <f>VLOOKUP(J1123,Ruimtegroepen[],2,FALSE)</f>
        <v>Leslokalen theorie</v>
      </c>
      <c r="L1123" s="24" t="s">
        <v>305</v>
      </c>
      <c r="M1123" s="24" t="s">
        <v>400</v>
      </c>
      <c r="N1123" s="83">
        <v>56.99</v>
      </c>
      <c r="O1123" s="83"/>
      <c r="P1123" s="93" t="str">
        <f>LEFT(VLOOKUP(Ruimtestaat[[#This Row],[Ruimte code]],Ruimtegroepen[#All],4,1),2)</f>
        <v>Le</v>
      </c>
      <c r="Q1123" s="93"/>
      <c r="R1123" s="84">
        <v>40</v>
      </c>
      <c r="S1123" s="84" t="s">
        <v>318</v>
      </c>
      <c r="T1123" s="85">
        <f>IF(R1123&gt;0,IF(RIGHT(Ruimtestaat[[#This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3" s="85">
        <f>IF(T1123&gt;0,VLOOKUP($J1123,Ruimtegroepen[],3,FALSE)*VLOOKUP($L1123,Vloersoorten[],3,FALSE)*VLOOKUP($S1123,Frequenties[],3,FALSE)*VLOOKUP($A1123,Locaties[],3,FALSE),0)</f>
        <v>0</v>
      </c>
      <c r="V1123" s="86">
        <f>Ruimtestaat[[#This Row],[Uitvoeringen werkdagen]]*Ruimtestaat[[#This Row],[Oppervlak (netto)]]</f>
        <v>11398</v>
      </c>
      <c r="W1123" s="87">
        <f>IF(U1123&gt;0,Ruimtestaat[[#This Row],[Prest. (m2 /jaar) werkdagen]]/Ruimtestaat[[#This Row],[Norm (m2/uur) werkdagen]],0)</f>
        <v>0</v>
      </c>
      <c r="X1123" s="88">
        <f>Ruimtestaat[[#This Row],[uren / jaar werkdagen]]*Tariefsopbouw!$E$35</f>
        <v>0</v>
      </c>
      <c r="Y1123" s="85"/>
      <c r="Z1123" s="89">
        <f>IF(Ruimtestaat[[#This Row],[Frequentie weekend]]&gt;0,VALUE(LEFT(Y1123,1))*R1123,0)</f>
        <v>0</v>
      </c>
      <c r="AA1123" s="85">
        <f>IF($Z1123&gt;0,VLOOKUP($J1123,Ruimtegroepen[],3,FALSE)*VLOOKUP($L1123,Vloersoorten[],3,FALSE)*VLOOKUP($Y1123,Frequenties[],3,FALSE)*VLOOKUP(#REF!,Locaties[],3,FALSE),0)</f>
        <v>0</v>
      </c>
      <c r="AB1123" s="87">
        <f>Ruimtestaat[[#This Row],[Uitvoeringen weekend]]*Ruimtestaat[[#This Row],[Oppervlak (netto)]]</f>
        <v>0</v>
      </c>
      <c r="AC1123" s="90">
        <f>IF(AB1123&gt;0,Ruimtestaat[[#This Row],[Prest. (m2 /jaar) weekend]]/Ruimtestaat[[#This Row],[Norm (m2/uur) weekend]],0)</f>
        <v>0</v>
      </c>
      <c r="AD1123" s="91">
        <f>Ruimtestaat[[#This Row],[uren / jaar weekend]]*Tariefsopbouw!$D$40</f>
        <v>0</v>
      </c>
      <c r="AE1123" s="60">
        <f>Ruimtestaat[[#This Row],[Prest. (m2 /jaar) weekend]]+Ruimtestaat[[#This Row],[Prest. (m2 /jaar) werkdagen]]</f>
        <v>11398</v>
      </c>
      <c r="AF1123" s="60">
        <f>Ruimtestaat[[#This Row],[uren / jaar weekend]]+Ruimtestaat[[#This Row],[uren / jaar werkdagen]]</f>
        <v>0</v>
      </c>
      <c r="AG1123" s="61">
        <f>Ruimtestaat[[#This Row],[kosten / jaar weekend]]+Ruimtestaat[[#This Row],[kosten / jaar werkdagen]]</f>
        <v>0</v>
      </c>
      <c r="AH1123" s="92"/>
      <c r="HL1123" s="59"/>
    </row>
    <row r="1124" spans="1:220">
      <c r="A1124" s="24">
        <v>7</v>
      </c>
      <c r="B1124" s="24" t="str">
        <f>VLOOKUP(Ruimtestaat[[#This Row],[Code]],Locaties[#All],2,FALSE)</f>
        <v>Het Vlier</v>
      </c>
      <c r="C1124" s="24" t="str">
        <f>VLOOKUP(Ruimtestaat[[#This Row],[Code]],Locaties[#All],4,FALSE)</f>
        <v>Het Vlier 1</v>
      </c>
      <c r="D1124" s="24" t="str">
        <f>VLOOKUP(Ruimtestaat[[#This Row],[Code]],Locaties[#All],5,FALSE)</f>
        <v>7414 AR</v>
      </c>
      <c r="E1124" s="24" t="str">
        <f>VLOOKUP(Ruimtestaat[[#This Row],[Code]],Locaties[#All],6,FALSE)</f>
        <v>Deventer</v>
      </c>
      <c r="F1124" s="54"/>
      <c r="G1124" s="24" t="s">
        <v>512</v>
      </c>
      <c r="H1124" s="24" t="s">
        <v>945</v>
      </c>
      <c r="I1124" s="4" t="s">
        <v>1427</v>
      </c>
      <c r="J1124" s="24">
        <v>16</v>
      </c>
      <c r="K1124" s="54" t="str">
        <f>VLOOKUP(J1124,Ruimtegroepen[],2,FALSE)</f>
        <v>Leslokalen theorie</v>
      </c>
      <c r="L1124" s="24" t="s">
        <v>305</v>
      </c>
      <c r="M1124" s="24" t="s">
        <v>400</v>
      </c>
      <c r="N1124" s="83">
        <v>58.41</v>
      </c>
      <c r="O1124" s="83"/>
      <c r="P1124" s="93" t="str">
        <f>LEFT(VLOOKUP(Ruimtestaat[[#This Row],[Ruimte code]],Ruimtegroepen[#All],4,1),2)</f>
        <v>Le</v>
      </c>
      <c r="Q1124" s="93"/>
      <c r="R1124" s="84">
        <v>40</v>
      </c>
      <c r="S1124" s="84" t="s">
        <v>318</v>
      </c>
      <c r="T1124" s="85">
        <f>IF(R1124&gt;0,IF(RIGHT(Ruimtestaat[[#This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4" s="85">
        <f>IF(T1124&gt;0,VLOOKUP($J1124,Ruimtegroepen[],3,FALSE)*VLOOKUP($L1124,Vloersoorten[],3,FALSE)*VLOOKUP($S1124,Frequenties[],3,FALSE)*VLOOKUP($A1124,Locaties[],3,FALSE),0)</f>
        <v>0</v>
      </c>
      <c r="V1124" s="86">
        <f>Ruimtestaat[[#This Row],[Uitvoeringen werkdagen]]*Ruimtestaat[[#This Row],[Oppervlak (netto)]]</f>
        <v>11682</v>
      </c>
      <c r="W1124" s="87">
        <f>IF(U1124&gt;0,Ruimtestaat[[#This Row],[Prest. (m2 /jaar) werkdagen]]/Ruimtestaat[[#This Row],[Norm (m2/uur) werkdagen]],0)</f>
        <v>0</v>
      </c>
      <c r="X1124" s="88">
        <f>Ruimtestaat[[#This Row],[uren / jaar werkdagen]]*Tariefsopbouw!$E$35</f>
        <v>0</v>
      </c>
      <c r="Y1124" s="85"/>
      <c r="Z1124" s="89">
        <f>IF(Ruimtestaat[[#This Row],[Frequentie weekend]]&gt;0,VALUE(LEFT(Y1124,1))*R1124,0)</f>
        <v>0</v>
      </c>
      <c r="AA1124" s="85">
        <f>IF($Z1124&gt;0,VLOOKUP($J1124,Ruimtegroepen[],3,FALSE)*VLOOKUP($L1124,Vloersoorten[],3,FALSE)*VLOOKUP($Y1124,Frequenties[],3,FALSE)*VLOOKUP(#REF!,Locaties[],3,FALSE),0)</f>
        <v>0</v>
      </c>
      <c r="AB1124" s="87">
        <f>Ruimtestaat[[#This Row],[Uitvoeringen weekend]]*Ruimtestaat[[#This Row],[Oppervlak (netto)]]</f>
        <v>0</v>
      </c>
      <c r="AC1124" s="90">
        <f>IF(AB1124&gt;0,Ruimtestaat[[#This Row],[Prest. (m2 /jaar) weekend]]/Ruimtestaat[[#This Row],[Norm (m2/uur) weekend]],0)</f>
        <v>0</v>
      </c>
      <c r="AD1124" s="91">
        <f>Ruimtestaat[[#This Row],[uren / jaar weekend]]*Tariefsopbouw!$D$40</f>
        <v>0</v>
      </c>
      <c r="AE1124" s="60">
        <f>Ruimtestaat[[#This Row],[Prest. (m2 /jaar) weekend]]+Ruimtestaat[[#This Row],[Prest. (m2 /jaar) werkdagen]]</f>
        <v>11682</v>
      </c>
      <c r="AF1124" s="60">
        <f>Ruimtestaat[[#This Row],[uren / jaar weekend]]+Ruimtestaat[[#This Row],[uren / jaar werkdagen]]</f>
        <v>0</v>
      </c>
      <c r="AG1124" s="61">
        <f>Ruimtestaat[[#This Row],[kosten / jaar weekend]]+Ruimtestaat[[#This Row],[kosten / jaar werkdagen]]</f>
        <v>0</v>
      </c>
      <c r="AH1124" s="92"/>
      <c r="HL1124" s="59"/>
    </row>
    <row r="1125" spans="1:220">
      <c r="A1125" s="24">
        <v>7</v>
      </c>
      <c r="B1125" s="24" t="str">
        <f>VLOOKUP(Ruimtestaat[[#This Row],[Code]],Locaties[#All],2,FALSE)</f>
        <v>Het Vlier</v>
      </c>
      <c r="C1125" s="24" t="str">
        <f>VLOOKUP(Ruimtestaat[[#This Row],[Code]],Locaties[#All],4,FALSE)</f>
        <v>Het Vlier 1</v>
      </c>
      <c r="D1125" s="24" t="str">
        <f>VLOOKUP(Ruimtestaat[[#This Row],[Code]],Locaties[#All],5,FALSE)</f>
        <v>7414 AR</v>
      </c>
      <c r="E1125" s="24" t="str">
        <f>VLOOKUP(Ruimtestaat[[#This Row],[Code]],Locaties[#All],6,FALSE)</f>
        <v>Deventer</v>
      </c>
      <c r="F1125" s="54"/>
      <c r="G1125" s="24" t="s">
        <v>512</v>
      </c>
      <c r="H1125" s="24" t="s">
        <v>1522</v>
      </c>
      <c r="I1125" s="4" t="s">
        <v>1427</v>
      </c>
      <c r="J1125" s="24">
        <v>16</v>
      </c>
      <c r="K1125" s="54" t="str">
        <f>VLOOKUP(J1125,Ruimtegroepen[],2,FALSE)</f>
        <v>Leslokalen theorie</v>
      </c>
      <c r="L1125" s="24" t="s">
        <v>305</v>
      </c>
      <c r="M1125" s="24" t="s">
        <v>400</v>
      </c>
      <c r="N1125" s="83">
        <v>59.16</v>
      </c>
      <c r="O1125" s="83"/>
      <c r="P1125" s="93" t="str">
        <f>LEFT(VLOOKUP(Ruimtestaat[[#This Row],[Ruimte code]],Ruimtegroepen[#All],4,1),2)</f>
        <v>Le</v>
      </c>
      <c r="Q1125" s="93"/>
      <c r="R1125" s="84">
        <v>40</v>
      </c>
      <c r="S1125" s="84" t="s">
        <v>318</v>
      </c>
      <c r="T1125" s="85">
        <f>IF(R1125&gt;0,IF(RIGHT(Ruimtestaat[[#This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5" s="85">
        <f>IF(T1125&gt;0,VLOOKUP($J1125,Ruimtegroepen[],3,FALSE)*VLOOKUP($L1125,Vloersoorten[],3,FALSE)*VLOOKUP($S1125,Frequenties[],3,FALSE)*VLOOKUP($A1125,Locaties[],3,FALSE),0)</f>
        <v>0</v>
      </c>
      <c r="V1125" s="86">
        <f>Ruimtestaat[[#This Row],[Uitvoeringen werkdagen]]*Ruimtestaat[[#This Row],[Oppervlak (netto)]]</f>
        <v>11832</v>
      </c>
      <c r="W1125" s="87">
        <f>IF(U1125&gt;0,Ruimtestaat[[#This Row],[Prest. (m2 /jaar) werkdagen]]/Ruimtestaat[[#This Row],[Norm (m2/uur) werkdagen]],0)</f>
        <v>0</v>
      </c>
      <c r="X1125" s="88">
        <f>Ruimtestaat[[#This Row],[uren / jaar werkdagen]]*Tariefsopbouw!$E$35</f>
        <v>0</v>
      </c>
      <c r="Y1125" s="85"/>
      <c r="Z1125" s="89">
        <f>IF(Ruimtestaat[[#This Row],[Frequentie weekend]]&gt;0,VALUE(LEFT(Y1125,1))*R1125,0)</f>
        <v>0</v>
      </c>
      <c r="AA1125" s="85">
        <f>IF($Z1125&gt;0,VLOOKUP($J1125,Ruimtegroepen[],3,FALSE)*VLOOKUP($L1125,Vloersoorten[],3,FALSE)*VLOOKUP($Y1125,Frequenties[],3,FALSE)*VLOOKUP(#REF!,Locaties[],3,FALSE),0)</f>
        <v>0</v>
      </c>
      <c r="AB1125" s="87">
        <f>Ruimtestaat[[#This Row],[Uitvoeringen weekend]]*Ruimtestaat[[#This Row],[Oppervlak (netto)]]</f>
        <v>0</v>
      </c>
      <c r="AC1125" s="90">
        <f>IF(AB1125&gt;0,Ruimtestaat[[#This Row],[Prest. (m2 /jaar) weekend]]/Ruimtestaat[[#This Row],[Norm (m2/uur) weekend]],0)</f>
        <v>0</v>
      </c>
      <c r="AD1125" s="91">
        <f>Ruimtestaat[[#This Row],[uren / jaar weekend]]*Tariefsopbouw!$D$40</f>
        <v>0</v>
      </c>
      <c r="AE1125" s="60">
        <f>Ruimtestaat[[#This Row],[Prest. (m2 /jaar) weekend]]+Ruimtestaat[[#This Row],[Prest. (m2 /jaar) werkdagen]]</f>
        <v>11832</v>
      </c>
      <c r="AF1125" s="60">
        <f>Ruimtestaat[[#This Row],[uren / jaar weekend]]+Ruimtestaat[[#This Row],[uren / jaar werkdagen]]</f>
        <v>0</v>
      </c>
      <c r="AG1125" s="61">
        <f>Ruimtestaat[[#This Row],[kosten / jaar weekend]]+Ruimtestaat[[#This Row],[kosten / jaar werkdagen]]</f>
        <v>0</v>
      </c>
      <c r="AH1125" s="92"/>
      <c r="HL1125" s="59"/>
    </row>
    <row r="1126" spans="1:220">
      <c r="A1126" s="24">
        <v>7</v>
      </c>
      <c r="B1126" s="24" t="str">
        <f>VLOOKUP(Ruimtestaat[[#This Row],[Code]],Locaties[#All],2,FALSE)</f>
        <v>Het Vlier</v>
      </c>
      <c r="C1126" s="24" t="str">
        <f>VLOOKUP(Ruimtestaat[[#This Row],[Code]],Locaties[#All],4,FALSE)</f>
        <v>Het Vlier 1</v>
      </c>
      <c r="D1126" s="24" t="str">
        <f>VLOOKUP(Ruimtestaat[[#This Row],[Code]],Locaties[#All],5,FALSE)</f>
        <v>7414 AR</v>
      </c>
      <c r="E1126" s="24" t="str">
        <f>VLOOKUP(Ruimtestaat[[#This Row],[Code]],Locaties[#All],6,FALSE)</f>
        <v>Deventer</v>
      </c>
      <c r="F1126" s="54"/>
      <c r="G1126" s="24" t="s">
        <v>512</v>
      </c>
      <c r="H1126" s="24" t="s">
        <v>1523</v>
      </c>
      <c r="I1126" s="4" t="s">
        <v>1524</v>
      </c>
      <c r="J1126" s="24">
        <v>2</v>
      </c>
      <c r="K1126" s="54" t="str">
        <f>VLOOKUP(J1126,Ruimtegroepen[],2,FALSE)</f>
        <v>Kantoren</v>
      </c>
      <c r="L1126" s="24" t="s">
        <v>305</v>
      </c>
      <c r="M1126" s="24" t="s">
        <v>400</v>
      </c>
      <c r="N1126" s="83">
        <v>23.54</v>
      </c>
      <c r="O1126" s="83"/>
      <c r="P1126" s="93" t="str">
        <f>LEFT(VLOOKUP(Ruimtestaat[[#This Row],[Ruimte code]],Ruimtegroepen[#All],4,1),2)</f>
        <v>Bu</v>
      </c>
      <c r="Q1126" s="93"/>
      <c r="R1126" s="84">
        <v>42</v>
      </c>
      <c r="S1126" s="84" t="s">
        <v>322</v>
      </c>
      <c r="T1126" s="85">
        <f>IF(R1126&gt;0,IF(RIGHT(Ruimtestaat[[#This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26" s="85">
        <f>IF(T1126&gt;0,VLOOKUP($J1126,Ruimtegroepen[],3,FALSE)*VLOOKUP($L1126,Vloersoorten[],3,FALSE)*VLOOKUP($S1126,Frequenties[],3,FALSE)*VLOOKUP($A1126,Locaties[],3,FALSE),0)</f>
        <v>0</v>
      </c>
      <c r="V1126" s="86">
        <f>Ruimtestaat[[#This Row],[Uitvoeringen werkdagen]]*Ruimtestaat[[#This Row],[Oppervlak (netto)]]</f>
        <v>2966.04</v>
      </c>
      <c r="W1126" s="87">
        <f>IF(U1126&gt;0,Ruimtestaat[[#This Row],[Prest. (m2 /jaar) werkdagen]]/Ruimtestaat[[#This Row],[Norm (m2/uur) werkdagen]],0)</f>
        <v>0</v>
      </c>
      <c r="X1126" s="88">
        <f>Ruimtestaat[[#This Row],[uren / jaar werkdagen]]*Tariefsopbouw!$E$35</f>
        <v>0</v>
      </c>
      <c r="Y1126" s="85"/>
      <c r="Z1126" s="89">
        <f>IF(Ruimtestaat[[#This Row],[Frequentie weekend]]&gt;0,VALUE(LEFT(Y1126,1))*R1126,0)</f>
        <v>0</v>
      </c>
      <c r="AA1126" s="85">
        <f>IF($Z1126&gt;0,VLOOKUP($J1126,Ruimtegroepen[],3,FALSE)*VLOOKUP($L1126,Vloersoorten[],3,FALSE)*VLOOKUP($Y1126,Frequenties[],3,FALSE)*VLOOKUP(#REF!,Locaties[],3,FALSE),0)</f>
        <v>0</v>
      </c>
      <c r="AB1126" s="87">
        <f>Ruimtestaat[[#This Row],[Uitvoeringen weekend]]*Ruimtestaat[[#This Row],[Oppervlak (netto)]]</f>
        <v>0</v>
      </c>
      <c r="AC1126" s="90">
        <f>IF(AB1126&gt;0,Ruimtestaat[[#This Row],[Prest. (m2 /jaar) weekend]]/Ruimtestaat[[#This Row],[Norm (m2/uur) weekend]],0)</f>
        <v>0</v>
      </c>
      <c r="AD1126" s="91">
        <f>Ruimtestaat[[#This Row],[uren / jaar weekend]]*Tariefsopbouw!$D$40</f>
        <v>0</v>
      </c>
      <c r="AE1126" s="60">
        <f>Ruimtestaat[[#This Row],[Prest. (m2 /jaar) weekend]]+Ruimtestaat[[#This Row],[Prest. (m2 /jaar) werkdagen]]</f>
        <v>2966.04</v>
      </c>
      <c r="AF1126" s="60">
        <f>Ruimtestaat[[#This Row],[uren / jaar weekend]]+Ruimtestaat[[#This Row],[uren / jaar werkdagen]]</f>
        <v>0</v>
      </c>
      <c r="AG1126" s="61">
        <f>Ruimtestaat[[#This Row],[kosten / jaar weekend]]+Ruimtestaat[[#This Row],[kosten / jaar werkdagen]]</f>
        <v>0</v>
      </c>
      <c r="AH1126" s="92"/>
      <c r="HL1126" s="59"/>
    </row>
    <row r="1127" spans="1:220">
      <c r="A1127" s="24">
        <v>7</v>
      </c>
      <c r="B1127" s="24" t="str">
        <f>VLOOKUP(Ruimtestaat[[#This Row],[Code]],Locaties[#All],2,FALSE)</f>
        <v>Het Vlier</v>
      </c>
      <c r="C1127" s="24" t="str">
        <f>VLOOKUP(Ruimtestaat[[#This Row],[Code]],Locaties[#All],4,FALSE)</f>
        <v>Het Vlier 1</v>
      </c>
      <c r="D1127" s="24" t="str">
        <f>VLOOKUP(Ruimtestaat[[#This Row],[Code]],Locaties[#All],5,FALSE)</f>
        <v>7414 AR</v>
      </c>
      <c r="E1127" s="24" t="str">
        <f>VLOOKUP(Ruimtestaat[[#This Row],[Code]],Locaties[#All],6,FALSE)</f>
        <v>Deventer</v>
      </c>
      <c r="F1127" s="54"/>
      <c r="G1127" s="24" t="s">
        <v>512</v>
      </c>
      <c r="H1127" s="24" t="s">
        <v>1525</v>
      </c>
      <c r="I1127" s="4" t="s">
        <v>1524</v>
      </c>
      <c r="J1127" s="24">
        <v>2</v>
      </c>
      <c r="K1127" s="54" t="str">
        <f>VLOOKUP(J1127,Ruimtegroepen[],2,FALSE)</f>
        <v>Kantoren</v>
      </c>
      <c r="L1127" s="24" t="s">
        <v>305</v>
      </c>
      <c r="M1127" s="24" t="s">
        <v>400</v>
      </c>
      <c r="N1127" s="83">
        <v>22.82</v>
      </c>
      <c r="O1127" s="83"/>
      <c r="P1127" s="93" t="str">
        <f>LEFT(VLOOKUP(Ruimtestaat[[#This Row],[Ruimte code]],Ruimtegroepen[#All],4,1),2)</f>
        <v>Bu</v>
      </c>
      <c r="Q1127" s="93"/>
      <c r="R1127" s="84">
        <v>42</v>
      </c>
      <c r="S1127" s="84" t="s">
        <v>322</v>
      </c>
      <c r="T1127" s="85">
        <f>IF(R1127&gt;0,IF(RIGHT(Ruimtestaat[[#This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27" s="85">
        <f>IF(T1127&gt;0,VLOOKUP($J1127,Ruimtegroepen[],3,FALSE)*VLOOKUP($L1127,Vloersoorten[],3,FALSE)*VLOOKUP($S1127,Frequenties[],3,FALSE)*VLOOKUP($A1127,Locaties[],3,FALSE),0)</f>
        <v>0</v>
      </c>
      <c r="V1127" s="86">
        <f>Ruimtestaat[[#This Row],[Uitvoeringen werkdagen]]*Ruimtestaat[[#This Row],[Oppervlak (netto)]]</f>
        <v>2875.32</v>
      </c>
      <c r="W1127" s="87">
        <f>IF(U1127&gt;0,Ruimtestaat[[#This Row],[Prest. (m2 /jaar) werkdagen]]/Ruimtestaat[[#This Row],[Norm (m2/uur) werkdagen]],0)</f>
        <v>0</v>
      </c>
      <c r="X1127" s="88">
        <f>Ruimtestaat[[#This Row],[uren / jaar werkdagen]]*Tariefsopbouw!$E$35</f>
        <v>0</v>
      </c>
      <c r="Y1127" s="85"/>
      <c r="Z1127" s="89">
        <f>IF(Ruimtestaat[[#This Row],[Frequentie weekend]]&gt;0,VALUE(LEFT(Y1127,1))*R1127,0)</f>
        <v>0</v>
      </c>
      <c r="AA1127" s="85">
        <f>IF($Z1127&gt;0,VLOOKUP($J1127,Ruimtegroepen[],3,FALSE)*VLOOKUP($L1127,Vloersoorten[],3,FALSE)*VLOOKUP($Y1127,Frequenties[],3,FALSE)*VLOOKUP(#REF!,Locaties[],3,FALSE),0)</f>
        <v>0</v>
      </c>
      <c r="AB1127" s="87">
        <f>Ruimtestaat[[#This Row],[Uitvoeringen weekend]]*Ruimtestaat[[#This Row],[Oppervlak (netto)]]</f>
        <v>0</v>
      </c>
      <c r="AC1127" s="90">
        <f>IF(AB1127&gt;0,Ruimtestaat[[#This Row],[Prest. (m2 /jaar) weekend]]/Ruimtestaat[[#This Row],[Norm (m2/uur) weekend]],0)</f>
        <v>0</v>
      </c>
      <c r="AD1127" s="91">
        <f>Ruimtestaat[[#This Row],[uren / jaar weekend]]*Tariefsopbouw!$D$40</f>
        <v>0</v>
      </c>
      <c r="AE1127" s="60">
        <f>Ruimtestaat[[#This Row],[Prest. (m2 /jaar) weekend]]+Ruimtestaat[[#This Row],[Prest. (m2 /jaar) werkdagen]]</f>
        <v>2875.32</v>
      </c>
      <c r="AF1127" s="60">
        <f>Ruimtestaat[[#This Row],[uren / jaar weekend]]+Ruimtestaat[[#This Row],[uren / jaar werkdagen]]</f>
        <v>0</v>
      </c>
      <c r="AG1127" s="61">
        <f>Ruimtestaat[[#This Row],[kosten / jaar weekend]]+Ruimtestaat[[#This Row],[kosten / jaar werkdagen]]</f>
        <v>0</v>
      </c>
      <c r="AH1127" s="92"/>
      <c r="HL1127" s="59"/>
    </row>
    <row r="1128" spans="1:220">
      <c r="A1128" s="24">
        <v>7</v>
      </c>
      <c r="B1128" s="24" t="str">
        <f>VLOOKUP(Ruimtestaat[[#This Row],[Code]],Locaties[#All],2,FALSE)</f>
        <v>Het Vlier</v>
      </c>
      <c r="C1128" s="24" t="str">
        <f>VLOOKUP(Ruimtestaat[[#This Row],[Code]],Locaties[#All],4,FALSE)</f>
        <v>Het Vlier 1</v>
      </c>
      <c r="D1128" s="24" t="str">
        <f>VLOOKUP(Ruimtestaat[[#This Row],[Code]],Locaties[#All],5,FALSE)</f>
        <v>7414 AR</v>
      </c>
      <c r="E1128" s="24" t="str">
        <f>VLOOKUP(Ruimtestaat[[#This Row],[Code]],Locaties[#All],6,FALSE)</f>
        <v>Deventer</v>
      </c>
      <c r="F1128" s="54"/>
      <c r="G1128" s="24" t="s">
        <v>512</v>
      </c>
      <c r="H1128" s="24" t="s">
        <v>1526</v>
      </c>
      <c r="I1128" s="4" t="s">
        <v>1527</v>
      </c>
      <c r="J1128" s="24">
        <v>2</v>
      </c>
      <c r="K1128" s="54" t="str">
        <f>VLOOKUP(J1128,Ruimtegroepen[],2,FALSE)</f>
        <v>Kantoren</v>
      </c>
      <c r="L1128" s="24" t="s">
        <v>305</v>
      </c>
      <c r="M1128" s="24" t="s">
        <v>400</v>
      </c>
      <c r="N1128" s="83">
        <v>14.04</v>
      </c>
      <c r="O1128" s="83"/>
      <c r="P1128" s="93" t="str">
        <f>LEFT(VLOOKUP(Ruimtestaat[[#This Row],[Ruimte code]],Ruimtegroepen[#All],4,1),2)</f>
        <v>Bu</v>
      </c>
      <c r="Q1128" s="93"/>
      <c r="R1128" s="84">
        <v>42</v>
      </c>
      <c r="S1128" s="84" t="s">
        <v>322</v>
      </c>
      <c r="T1128" s="85">
        <f>IF(R1128&gt;0,IF(RIGHT(Ruimtestaat[[#This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28" s="85">
        <f>IF(T1128&gt;0,VLOOKUP($J1128,Ruimtegroepen[],3,FALSE)*VLOOKUP($L1128,Vloersoorten[],3,FALSE)*VLOOKUP($S1128,Frequenties[],3,FALSE)*VLOOKUP($A1128,Locaties[],3,FALSE),0)</f>
        <v>0</v>
      </c>
      <c r="V1128" s="86">
        <f>Ruimtestaat[[#This Row],[Uitvoeringen werkdagen]]*Ruimtestaat[[#This Row],[Oppervlak (netto)]]</f>
        <v>1769.04</v>
      </c>
      <c r="W1128" s="87">
        <f>IF(U1128&gt;0,Ruimtestaat[[#This Row],[Prest. (m2 /jaar) werkdagen]]/Ruimtestaat[[#This Row],[Norm (m2/uur) werkdagen]],0)</f>
        <v>0</v>
      </c>
      <c r="X1128" s="88">
        <f>Ruimtestaat[[#This Row],[uren / jaar werkdagen]]*Tariefsopbouw!$E$35</f>
        <v>0</v>
      </c>
      <c r="Y1128" s="85"/>
      <c r="Z1128" s="89">
        <f>IF(Ruimtestaat[[#This Row],[Frequentie weekend]]&gt;0,VALUE(LEFT(Y1128,1))*R1128,0)</f>
        <v>0</v>
      </c>
      <c r="AA1128" s="85">
        <f>IF($Z1128&gt;0,VLOOKUP($J1128,Ruimtegroepen[],3,FALSE)*VLOOKUP($L1128,Vloersoorten[],3,FALSE)*VLOOKUP($Y1128,Frequenties[],3,FALSE)*VLOOKUP(#REF!,Locaties[],3,FALSE),0)</f>
        <v>0</v>
      </c>
      <c r="AB1128" s="87">
        <f>Ruimtestaat[[#This Row],[Uitvoeringen weekend]]*Ruimtestaat[[#This Row],[Oppervlak (netto)]]</f>
        <v>0</v>
      </c>
      <c r="AC1128" s="90">
        <f>IF(AB1128&gt;0,Ruimtestaat[[#This Row],[Prest. (m2 /jaar) weekend]]/Ruimtestaat[[#This Row],[Norm (m2/uur) weekend]],0)</f>
        <v>0</v>
      </c>
      <c r="AD1128" s="91">
        <f>Ruimtestaat[[#This Row],[uren / jaar weekend]]*Tariefsopbouw!$D$40</f>
        <v>0</v>
      </c>
      <c r="AE1128" s="60">
        <f>Ruimtestaat[[#This Row],[Prest. (m2 /jaar) weekend]]+Ruimtestaat[[#This Row],[Prest. (m2 /jaar) werkdagen]]</f>
        <v>1769.04</v>
      </c>
      <c r="AF1128" s="60">
        <f>Ruimtestaat[[#This Row],[uren / jaar weekend]]+Ruimtestaat[[#This Row],[uren / jaar werkdagen]]</f>
        <v>0</v>
      </c>
      <c r="AG1128" s="61">
        <f>Ruimtestaat[[#This Row],[kosten / jaar weekend]]+Ruimtestaat[[#This Row],[kosten / jaar werkdagen]]</f>
        <v>0</v>
      </c>
      <c r="AH1128" s="92"/>
      <c r="HL1128" s="59"/>
    </row>
    <row r="1129" spans="1:220">
      <c r="A1129" s="24">
        <v>7</v>
      </c>
      <c r="B1129" s="24" t="str">
        <f>VLOOKUP(Ruimtestaat[[#This Row],[Code]],Locaties[#All],2,FALSE)</f>
        <v>Het Vlier</v>
      </c>
      <c r="C1129" s="24" t="str">
        <f>VLOOKUP(Ruimtestaat[[#This Row],[Code]],Locaties[#All],4,FALSE)</f>
        <v>Het Vlier 1</v>
      </c>
      <c r="D1129" s="24" t="str">
        <f>VLOOKUP(Ruimtestaat[[#This Row],[Code]],Locaties[#All],5,FALSE)</f>
        <v>7414 AR</v>
      </c>
      <c r="E1129" s="24" t="str">
        <f>VLOOKUP(Ruimtestaat[[#This Row],[Code]],Locaties[#All],6,FALSE)</f>
        <v>Deventer</v>
      </c>
      <c r="F1129" s="54"/>
      <c r="G1129" s="24" t="s">
        <v>512</v>
      </c>
      <c r="H1129" s="24" t="s">
        <v>1528</v>
      </c>
      <c r="I1129" s="4" t="s">
        <v>1449</v>
      </c>
      <c r="J1129" s="24">
        <v>22</v>
      </c>
      <c r="K1129" s="54" t="str">
        <f>VLOOKUP(J1129,Ruimtegroepen[],2,FALSE)</f>
        <v>Niet in onderhoud</v>
      </c>
      <c r="M1129" s="24"/>
      <c r="N1129" s="83"/>
      <c r="O1129" s="83">
        <v>18.28</v>
      </c>
      <c r="P1129" s="93" t="str">
        <f>LEFT(VLOOKUP(Ruimtestaat[[#This Row],[Ruimte code]],Ruimtegroepen[#All],4,1),2)</f>
        <v/>
      </c>
      <c r="Q1129" s="93"/>
      <c r="R1129" s="84"/>
      <c r="S1129" s="84"/>
      <c r="T1129" s="85">
        <f>IF(R1129&gt;0,IF(RIGHT(Ruimtestaat[[#This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29" s="85">
        <f>IF(T1129&gt;0,VLOOKUP($J1129,Ruimtegroepen[],3,FALSE)*VLOOKUP($L1129,Vloersoorten[],3,FALSE)*VLOOKUP($S1129,Frequenties[],3,FALSE)*VLOOKUP($A1129,Locaties[],3,FALSE),0)</f>
        <v>0</v>
      </c>
      <c r="V1129" s="86">
        <f>Ruimtestaat[[#This Row],[Uitvoeringen werkdagen]]*Ruimtestaat[[#This Row],[Oppervlak (netto)]]</f>
        <v>0</v>
      </c>
      <c r="W1129" s="87">
        <f>IF(U1129&gt;0,Ruimtestaat[[#This Row],[Prest. (m2 /jaar) werkdagen]]/Ruimtestaat[[#This Row],[Norm (m2/uur) werkdagen]],0)</f>
        <v>0</v>
      </c>
      <c r="X1129" s="88">
        <f>Ruimtestaat[[#This Row],[uren / jaar werkdagen]]*Tariefsopbouw!$E$35</f>
        <v>0</v>
      </c>
      <c r="Y1129" s="85"/>
      <c r="Z1129" s="89">
        <f>IF(Ruimtestaat[[#This Row],[Frequentie weekend]]&gt;0,VALUE(LEFT(Y1129,1))*R1129,0)</f>
        <v>0</v>
      </c>
      <c r="AA1129" s="85">
        <f>IF($Z1129&gt;0,VLOOKUP($J1129,Ruimtegroepen[],3,FALSE)*VLOOKUP($L1129,Vloersoorten[],3,FALSE)*VLOOKUP($Y1129,Frequenties[],3,FALSE)*VLOOKUP(#REF!,Locaties[],3,FALSE),0)</f>
        <v>0</v>
      </c>
      <c r="AB1129" s="87">
        <f>Ruimtestaat[[#This Row],[Uitvoeringen weekend]]*Ruimtestaat[[#This Row],[Oppervlak (netto)]]</f>
        <v>0</v>
      </c>
      <c r="AC1129" s="90">
        <f>IF(AB1129&gt;0,Ruimtestaat[[#This Row],[Prest. (m2 /jaar) weekend]]/Ruimtestaat[[#This Row],[Norm (m2/uur) weekend]],0)</f>
        <v>0</v>
      </c>
      <c r="AD1129" s="91">
        <f>Ruimtestaat[[#This Row],[uren / jaar weekend]]*Tariefsopbouw!$D$40</f>
        <v>0</v>
      </c>
      <c r="AE1129" s="60">
        <f>Ruimtestaat[[#This Row],[Prest. (m2 /jaar) weekend]]+Ruimtestaat[[#This Row],[Prest. (m2 /jaar) werkdagen]]</f>
        <v>0</v>
      </c>
      <c r="AF1129" s="60">
        <f>Ruimtestaat[[#This Row],[uren / jaar weekend]]+Ruimtestaat[[#This Row],[uren / jaar werkdagen]]</f>
        <v>0</v>
      </c>
      <c r="AG1129" s="61">
        <f>Ruimtestaat[[#This Row],[kosten / jaar weekend]]+Ruimtestaat[[#This Row],[kosten / jaar werkdagen]]</f>
        <v>0</v>
      </c>
      <c r="AH1129" s="92"/>
      <c r="HL1129" s="59"/>
    </row>
    <row r="1130" spans="1:220">
      <c r="A1130" s="24">
        <v>7</v>
      </c>
      <c r="B1130" s="24" t="str">
        <f>VLOOKUP(Ruimtestaat[[#This Row],[Code]],Locaties[#All],2,FALSE)</f>
        <v>Het Vlier</v>
      </c>
      <c r="C1130" s="24" t="str">
        <f>VLOOKUP(Ruimtestaat[[#This Row],[Code]],Locaties[#All],4,FALSE)</f>
        <v>Het Vlier 1</v>
      </c>
      <c r="D1130" s="24" t="str">
        <f>VLOOKUP(Ruimtestaat[[#This Row],[Code]],Locaties[#All],5,FALSE)</f>
        <v>7414 AR</v>
      </c>
      <c r="E1130" s="24" t="str">
        <f>VLOOKUP(Ruimtestaat[[#This Row],[Code]],Locaties[#All],6,FALSE)</f>
        <v>Deventer</v>
      </c>
      <c r="F1130" s="54"/>
      <c r="G1130" s="24" t="s">
        <v>512</v>
      </c>
      <c r="H1130" s="24" t="s">
        <v>1529</v>
      </c>
      <c r="I1130" s="4" t="s">
        <v>1488</v>
      </c>
      <c r="J1130" s="24">
        <v>2</v>
      </c>
      <c r="K1130" s="54" t="str">
        <f>VLOOKUP(J1130,Ruimtegroepen[],2,FALSE)</f>
        <v>Kantoren</v>
      </c>
      <c r="L1130" s="24" t="s">
        <v>305</v>
      </c>
      <c r="M1130" s="24" t="s">
        <v>400</v>
      </c>
      <c r="N1130" s="83">
        <v>24.21</v>
      </c>
      <c r="O1130" s="83"/>
      <c r="P1130" s="93" t="str">
        <f>LEFT(VLOOKUP(Ruimtestaat[[#This Row],[Ruimte code]],Ruimtegroepen[#All],4,1),2)</f>
        <v>Bu</v>
      </c>
      <c r="Q1130" s="93"/>
      <c r="R1130" s="84">
        <v>42</v>
      </c>
      <c r="S1130" s="84" t="s">
        <v>322</v>
      </c>
      <c r="T1130" s="85">
        <f>IF(R1130&gt;0,IF(RIGHT(Ruimtestaat[[#This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30" s="85">
        <f>IF(T1130&gt;0,VLOOKUP($J1130,Ruimtegroepen[],3,FALSE)*VLOOKUP($L1130,Vloersoorten[],3,FALSE)*VLOOKUP($S1130,Frequenties[],3,FALSE)*VLOOKUP($A1130,Locaties[],3,FALSE),0)</f>
        <v>0</v>
      </c>
      <c r="V1130" s="86">
        <f>Ruimtestaat[[#This Row],[Uitvoeringen werkdagen]]*Ruimtestaat[[#This Row],[Oppervlak (netto)]]</f>
        <v>3050.46</v>
      </c>
      <c r="W1130" s="87">
        <f>IF(U1130&gt;0,Ruimtestaat[[#This Row],[Prest. (m2 /jaar) werkdagen]]/Ruimtestaat[[#This Row],[Norm (m2/uur) werkdagen]],0)</f>
        <v>0</v>
      </c>
      <c r="X1130" s="88">
        <f>Ruimtestaat[[#This Row],[uren / jaar werkdagen]]*Tariefsopbouw!$E$35</f>
        <v>0</v>
      </c>
      <c r="Y1130" s="85"/>
      <c r="Z1130" s="89">
        <f>IF(Ruimtestaat[[#This Row],[Frequentie weekend]]&gt;0,VALUE(LEFT(Y1130,1))*R1130,0)</f>
        <v>0</v>
      </c>
      <c r="AA1130" s="85">
        <f>IF($Z1130&gt;0,VLOOKUP($J1130,Ruimtegroepen[],3,FALSE)*VLOOKUP($L1130,Vloersoorten[],3,FALSE)*VLOOKUP($Y1130,Frequenties[],3,FALSE)*VLOOKUP(#REF!,Locaties[],3,FALSE),0)</f>
        <v>0</v>
      </c>
      <c r="AB1130" s="87">
        <f>Ruimtestaat[[#This Row],[Uitvoeringen weekend]]*Ruimtestaat[[#This Row],[Oppervlak (netto)]]</f>
        <v>0</v>
      </c>
      <c r="AC1130" s="90">
        <f>IF(AB1130&gt;0,Ruimtestaat[[#This Row],[Prest. (m2 /jaar) weekend]]/Ruimtestaat[[#This Row],[Norm (m2/uur) weekend]],0)</f>
        <v>0</v>
      </c>
      <c r="AD1130" s="91">
        <f>Ruimtestaat[[#This Row],[uren / jaar weekend]]*Tariefsopbouw!$D$40</f>
        <v>0</v>
      </c>
      <c r="AE1130" s="60">
        <f>Ruimtestaat[[#This Row],[Prest. (m2 /jaar) weekend]]+Ruimtestaat[[#This Row],[Prest. (m2 /jaar) werkdagen]]</f>
        <v>3050.46</v>
      </c>
      <c r="AF1130" s="60">
        <f>Ruimtestaat[[#This Row],[uren / jaar weekend]]+Ruimtestaat[[#This Row],[uren / jaar werkdagen]]</f>
        <v>0</v>
      </c>
      <c r="AG1130" s="61">
        <f>Ruimtestaat[[#This Row],[kosten / jaar weekend]]+Ruimtestaat[[#This Row],[kosten / jaar werkdagen]]</f>
        <v>0</v>
      </c>
      <c r="AH1130" s="92"/>
      <c r="HL1130" s="59"/>
    </row>
    <row r="1131" spans="1:220">
      <c r="A1131" s="24">
        <v>7</v>
      </c>
      <c r="B1131" s="24" t="str">
        <f>VLOOKUP(Ruimtestaat[[#This Row],[Code]],Locaties[#All],2,FALSE)</f>
        <v>Het Vlier</v>
      </c>
      <c r="C1131" s="24" t="str">
        <f>VLOOKUP(Ruimtestaat[[#This Row],[Code]],Locaties[#All],4,FALSE)</f>
        <v>Het Vlier 1</v>
      </c>
      <c r="D1131" s="24" t="str">
        <f>VLOOKUP(Ruimtestaat[[#This Row],[Code]],Locaties[#All],5,FALSE)</f>
        <v>7414 AR</v>
      </c>
      <c r="E1131" s="24" t="str">
        <f>VLOOKUP(Ruimtestaat[[#This Row],[Code]],Locaties[#All],6,FALSE)</f>
        <v>Deventer</v>
      </c>
      <c r="F1131" s="54"/>
      <c r="G1131" s="24" t="s">
        <v>512</v>
      </c>
      <c r="H1131" s="24" t="s">
        <v>1530</v>
      </c>
      <c r="I1131" s="4" t="s">
        <v>1531</v>
      </c>
      <c r="J1131" s="24">
        <v>8</v>
      </c>
      <c r="K1131" s="54" t="str">
        <f>VLOOKUP(J1131,Ruimtegroepen[],2,FALSE)</f>
        <v>Mediatheek / OLC</v>
      </c>
      <c r="L1131" s="24" t="s">
        <v>305</v>
      </c>
      <c r="M1131" s="24" t="s">
        <v>400</v>
      </c>
      <c r="N1131" s="83">
        <v>222.98</v>
      </c>
      <c r="O1131" s="83"/>
      <c r="P1131" s="93" t="str">
        <f>LEFT(VLOOKUP(Ruimtestaat[[#This Row],[Ruimte code]],Ruimtegroepen[#All],4,1),2)</f>
        <v>Le</v>
      </c>
      <c r="Q1131" s="93"/>
      <c r="R1131" s="84">
        <v>40</v>
      </c>
      <c r="S1131" s="84" t="s">
        <v>318</v>
      </c>
      <c r="T1131" s="85">
        <f>IF(R1131&gt;0,IF(RIGHT(Ruimtestaat[[#This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31" s="85">
        <f>IF(T1131&gt;0,VLOOKUP($J1131,Ruimtegroepen[],3,FALSE)*VLOOKUP($L1131,Vloersoorten[],3,FALSE)*VLOOKUP($S1131,Frequenties[],3,FALSE)*VLOOKUP($A1131,Locaties[],3,FALSE),0)</f>
        <v>0</v>
      </c>
      <c r="V1131" s="86">
        <f>Ruimtestaat[[#This Row],[Uitvoeringen werkdagen]]*Ruimtestaat[[#This Row],[Oppervlak (netto)]]</f>
        <v>44596</v>
      </c>
      <c r="W1131" s="87">
        <f>IF(U1131&gt;0,Ruimtestaat[[#This Row],[Prest. (m2 /jaar) werkdagen]]/Ruimtestaat[[#This Row],[Norm (m2/uur) werkdagen]],0)</f>
        <v>0</v>
      </c>
      <c r="X1131" s="88">
        <f>Ruimtestaat[[#This Row],[uren / jaar werkdagen]]*Tariefsopbouw!$E$35</f>
        <v>0</v>
      </c>
      <c r="Y1131" s="85"/>
      <c r="Z1131" s="89">
        <f>IF(Ruimtestaat[[#This Row],[Frequentie weekend]]&gt;0,VALUE(LEFT(Y1131,1))*R1131,0)</f>
        <v>0</v>
      </c>
      <c r="AA1131" s="85">
        <f>IF($Z1131&gt;0,VLOOKUP($J1131,Ruimtegroepen[],3,FALSE)*VLOOKUP($L1131,Vloersoorten[],3,FALSE)*VLOOKUP($Y1131,Frequenties[],3,FALSE)*VLOOKUP(#REF!,Locaties[],3,FALSE),0)</f>
        <v>0</v>
      </c>
      <c r="AB1131" s="87">
        <f>Ruimtestaat[[#This Row],[Uitvoeringen weekend]]*Ruimtestaat[[#This Row],[Oppervlak (netto)]]</f>
        <v>0</v>
      </c>
      <c r="AC1131" s="90">
        <f>IF(AB1131&gt;0,Ruimtestaat[[#This Row],[Prest. (m2 /jaar) weekend]]/Ruimtestaat[[#This Row],[Norm (m2/uur) weekend]],0)</f>
        <v>0</v>
      </c>
      <c r="AD1131" s="91">
        <f>Ruimtestaat[[#This Row],[uren / jaar weekend]]*Tariefsopbouw!$D$40</f>
        <v>0</v>
      </c>
      <c r="AE1131" s="60">
        <f>Ruimtestaat[[#This Row],[Prest. (m2 /jaar) weekend]]+Ruimtestaat[[#This Row],[Prest. (m2 /jaar) werkdagen]]</f>
        <v>44596</v>
      </c>
      <c r="AF1131" s="60">
        <f>Ruimtestaat[[#This Row],[uren / jaar weekend]]+Ruimtestaat[[#This Row],[uren / jaar werkdagen]]</f>
        <v>0</v>
      </c>
      <c r="AG1131" s="61">
        <f>Ruimtestaat[[#This Row],[kosten / jaar weekend]]+Ruimtestaat[[#This Row],[kosten / jaar werkdagen]]</f>
        <v>0</v>
      </c>
      <c r="AH1131" s="92"/>
      <c r="HL1131" s="59"/>
    </row>
    <row r="1132" spans="1:220">
      <c r="A1132" s="24">
        <v>7</v>
      </c>
      <c r="B1132" s="24" t="str">
        <f>VLOOKUP(Ruimtestaat[[#This Row],[Code]],Locaties[#All],2,FALSE)</f>
        <v>Het Vlier</v>
      </c>
      <c r="C1132" s="24" t="str">
        <f>VLOOKUP(Ruimtestaat[[#This Row],[Code]],Locaties[#All],4,FALSE)</f>
        <v>Het Vlier 1</v>
      </c>
      <c r="D1132" s="24" t="str">
        <f>VLOOKUP(Ruimtestaat[[#This Row],[Code]],Locaties[#All],5,FALSE)</f>
        <v>7414 AR</v>
      </c>
      <c r="E1132" s="24" t="str">
        <f>VLOOKUP(Ruimtestaat[[#This Row],[Code]],Locaties[#All],6,FALSE)</f>
        <v>Deventer</v>
      </c>
      <c r="F1132" s="54"/>
      <c r="G1132" s="24" t="s">
        <v>512</v>
      </c>
      <c r="H1132" s="24" t="s">
        <v>1532</v>
      </c>
      <c r="I1132" s="4" t="s">
        <v>1491</v>
      </c>
      <c r="J1132" s="24">
        <v>5</v>
      </c>
      <c r="K1132" s="54" t="str">
        <f>VLOOKUP(J1132,Ruimtegroepen[],2,FALSE)</f>
        <v>Sanitair</v>
      </c>
      <c r="L1132" s="24" t="s">
        <v>305</v>
      </c>
      <c r="M1132" s="24" t="s">
        <v>400</v>
      </c>
      <c r="N1132" s="83">
        <v>14.99</v>
      </c>
      <c r="O1132" s="83"/>
      <c r="P1132" s="93" t="str">
        <f>LEFT(VLOOKUP(Ruimtestaat[[#This Row],[Ruimte code]],Ruimtegroepen[#All],4,1),2)</f>
        <v>Sa</v>
      </c>
      <c r="Q1132" s="93"/>
      <c r="R1132" s="84">
        <v>42</v>
      </c>
      <c r="S1132" s="84" t="s">
        <v>316</v>
      </c>
      <c r="T1132" s="85">
        <f>IF(R1132&gt;0,IF(RIGHT(Ruimtestaat[[#This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32" s="85">
        <f>IF(T1132&gt;0,VLOOKUP($J1132,Ruimtegroepen[],3,FALSE)*VLOOKUP($L1132,Vloersoorten[],3,FALSE)*VLOOKUP($S1132,Frequenties[],3,FALSE)*VLOOKUP($A1132,Locaties[],3,FALSE),0)</f>
        <v>0</v>
      </c>
      <c r="V1132" s="86">
        <f>Ruimtestaat[[#This Row],[Uitvoeringen werkdagen]]*Ruimtestaat[[#This Row],[Oppervlak (netto)]]</f>
        <v>6295.8</v>
      </c>
      <c r="W1132" s="87">
        <f>IF(U1132&gt;0,Ruimtestaat[[#This Row],[Prest. (m2 /jaar) werkdagen]]/Ruimtestaat[[#This Row],[Norm (m2/uur) werkdagen]],0)</f>
        <v>0</v>
      </c>
      <c r="X1132" s="88">
        <f>Ruimtestaat[[#This Row],[uren / jaar werkdagen]]*Tariefsopbouw!$E$35</f>
        <v>0</v>
      </c>
      <c r="Y1132" s="85"/>
      <c r="Z1132" s="89">
        <f>IF(Ruimtestaat[[#This Row],[Frequentie weekend]]&gt;0,VALUE(LEFT(Y1132,1))*R1132,0)</f>
        <v>0</v>
      </c>
      <c r="AA1132" s="85">
        <f>IF($Z1132&gt;0,VLOOKUP($J1132,Ruimtegroepen[],3,FALSE)*VLOOKUP($L1132,Vloersoorten[],3,FALSE)*VLOOKUP($Y1132,Frequenties[],3,FALSE)*VLOOKUP(#REF!,Locaties[],3,FALSE),0)</f>
        <v>0</v>
      </c>
      <c r="AB1132" s="87">
        <f>Ruimtestaat[[#This Row],[Uitvoeringen weekend]]*Ruimtestaat[[#This Row],[Oppervlak (netto)]]</f>
        <v>0</v>
      </c>
      <c r="AC1132" s="90">
        <f>IF(AB1132&gt;0,Ruimtestaat[[#This Row],[Prest. (m2 /jaar) weekend]]/Ruimtestaat[[#This Row],[Norm (m2/uur) weekend]],0)</f>
        <v>0</v>
      </c>
      <c r="AD1132" s="91">
        <f>Ruimtestaat[[#This Row],[uren / jaar weekend]]*Tariefsopbouw!$D$40</f>
        <v>0</v>
      </c>
      <c r="AE1132" s="60">
        <f>Ruimtestaat[[#This Row],[Prest. (m2 /jaar) weekend]]+Ruimtestaat[[#This Row],[Prest. (m2 /jaar) werkdagen]]</f>
        <v>6295.8</v>
      </c>
      <c r="AF1132" s="60">
        <f>Ruimtestaat[[#This Row],[uren / jaar weekend]]+Ruimtestaat[[#This Row],[uren / jaar werkdagen]]</f>
        <v>0</v>
      </c>
      <c r="AG1132" s="61">
        <f>Ruimtestaat[[#This Row],[kosten / jaar weekend]]+Ruimtestaat[[#This Row],[kosten / jaar werkdagen]]</f>
        <v>0</v>
      </c>
      <c r="AH1132" s="92"/>
      <c r="HL1132" s="59"/>
    </row>
    <row r="1133" spans="1:220">
      <c r="A1133" s="24">
        <v>7</v>
      </c>
      <c r="B1133" s="24" t="str">
        <f>VLOOKUP(Ruimtestaat[[#This Row],[Code]],Locaties[#All],2,FALSE)</f>
        <v>Het Vlier</v>
      </c>
      <c r="C1133" s="24" t="str">
        <f>VLOOKUP(Ruimtestaat[[#This Row],[Code]],Locaties[#All],4,FALSE)</f>
        <v>Het Vlier 1</v>
      </c>
      <c r="D1133" s="24" t="str">
        <f>VLOOKUP(Ruimtestaat[[#This Row],[Code]],Locaties[#All],5,FALSE)</f>
        <v>7414 AR</v>
      </c>
      <c r="E1133" s="24" t="str">
        <f>VLOOKUP(Ruimtestaat[[#This Row],[Code]],Locaties[#All],6,FALSE)</f>
        <v>Deventer</v>
      </c>
      <c r="F1133" s="54"/>
      <c r="G1133" s="24" t="s">
        <v>512</v>
      </c>
      <c r="H1133" s="24" t="s">
        <v>1533</v>
      </c>
      <c r="I1133" s="4" t="s">
        <v>535</v>
      </c>
      <c r="J1133" s="24">
        <v>22</v>
      </c>
      <c r="K1133" s="54" t="str">
        <f>VLOOKUP(J1133,Ruimtegroepen[],2,FALSE)</f>
        <v>Niet in onderhoud</v>
      </c>
      <c r="M1133" s="24"/>
      <c r="N1133" s="83"/>
      <c r="O1133" s="83">
        <v>3.79</v>
      </c>
      <c r="P1133" s="93" t="str">
        <f>LEFT(VLOOKUP(Ruimtestaat[[#This Row],[Ruimte code]],Ruimtegroepen[#All],4,1),2)</f>
        <v/>
      </c>
      <c r="Q1133" s="93"/>
      <c r="R1133" s="84"/>
      <c r="S1133" s="84"/>
      <c r="T1133" s="85">
        <f>IF(R1133&gt;0,IF(RIGHT(Ruimtestaat[[#This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33" s="85">
        <f>IF(T1133&gt;0,VLOOKUP($J1133,Ruimtegroepen[],3,FALSE)*VLOOKUP($L1133,Vloersoorten[],3,FALSE)*VLOOKUP($S1133,Frequenties[],3,FALSE)*VLOOKUP($A1133,Locaties[],3,FALSE),0)</f>
        <v>0</v>
      </c>
      <c r="V1133" s="86">
        <f>Ruimtestaat[[#This Row],[Uitvoeringen werkdagen]]*Ruimtestaat[[#This Row],[Oppervlak (netto)]]</f>
        <v>0</v>
      </c>
      <c r="W1133" s="87">
        <f>IF(U1133&gt;0,Ruimtestaat[[#This Row],[Prest. (m2 /jaar) werkdagen]]/Ruimtestaat[[#This Row],[Norm (m2/uur) werkdagen]],0)</f>
        <v>0</v>
      </c>
      <c r="X1133" s="88">
        <f>Ruimtestaat[[#This Row],[uren / jaar werkdagen]]*Tariefsopbouw!$E$35</f>
        <v>0</v>
      </c>
      <c r="Y1133" s="85"/>
      <c r="Z1133" s="89">
        <f>IF(Ruimtestaat[[#This Row],[Frequentie weekend]]&gt;0,VALUE(LEFT(Y1133,1))*R1133,0)</f>
        <v>0</v>
      </c>
      <c r="AA1133" s="85">
        <f>IF($Z1133&gt;0,VLOOKUP($J1133,Ruimtegroepen[],3,FALSE)*VLOOKUP($L1133,Vloersoorten[],3,FALSE)*VLOOKUP($Y1133,Frequenties[],3,FALSE)*VLOOKUP(#REF!,Locaties[],3,FALSE),0)</f>
        <v>0</v>
      </c>
      <c r="AB1133" s="87">
        <f>Ruimtestaat[[#This Row],[Uitvoeringen weekend]]*Ruimtestaat[[#This Row],[Oppervlak (netto)]]</f>
        <v>0</v>
      </c>
      <c r="AC1133" s="90">
        <f>IF(AB1133&gt;0,Ruimtestaat[[#This Row],[Prest. (m2 /jaar) weekend]]/Ruimtestaat[[#This Row],[Norm (m2/uur) weekend]],0)</f>
        <v>0</v>
      </c>
      <c r="AD1133" s="91">
        <f>Ruimtestaat[[#This Row],[uren / jaar weekend]]*Tariefsopbouw!$D$40</f>
        <v>0</v>
      </c>
      <c r="AE1133" s="60">
        <f>Ruimtestaat[[#This Row],[Prest. (m2 /jaar) weekend]]+Ruimtestaat[[#This Row],[Prest. (m2 /jaar) werkdagen]]</f>
        <v>0</v>
      </c>
      <c r="AF1133" s="60">
        <f>Ruimtestaat[[#This Row],[uren / jaar weekend]]+Ruimtestaat[[#This Row],[uren / jaar werkdagen]]</f>
        <v>0</v>
      </c>
      <c r="AG1133" s="61">
        <f>Ruimtestaat[[#This Row],[kosten / jaar weekend]]+Ruimtestaat[[#This Row],[kosten / jaar werkdagen]]</f>
        <v>0</v>
      </c>
      <c r="AH1133" s="92"/>
      <c r="HL1133" s="59"/>
    </row>
    <row r="1134" spans="1:220">
      <c r="A1134" s="24">
        <v>7</v>
      </c>
      <c r="B1134" s="24" t="str">
        <f>VLOOKUP(Ruimtestaat[[#This Row],[Code]],Locaties[#All],2,FALSE)</f>
        <v>Het Vlier</v>
      </c>
      <c r="C1134" s="24" t="str">
        <f>VLOOKUP(Ruimtestaat[[#This Row],[Code]],Locaties[#All],4,FALSE)</f>
        <v>Het Vlier 1</v>
      </c>
      <c r="D1134" s="24" t="str">
        <f>VLOOKUP(Ruimtestaat[[#This Row],[Code]],Locaties[#All],5,FALSE)</f>
        <v>7414 AR</v>
      </c>
      <c r="E1134" s="24" t="str">
        <f>VLOOKUP(Ruimtestaat[[#This Row],[Code]],Locaties[#All],6,FALSE)</f>
        <v>Deventer</v>
      </c>
      <c r="F1134" s="54"/>
      <c r="G1134" s="24" t="s">
        <v>512</v>
      </c>
      <c r="H1134" s="24" t="s">
        <v>1534</v>
      </c>
      <c r="I1134" s="4" t="s">
        <v>1535</v>
      </c>
      <c r="J1134" s="24">
        <v>5</v>
      </c>
      <c r="K1134" s="54" t="str">
        <f>VLOOKUP(J1134,Ruimtegroepen[],2,FALSE)</f>
        <v>Sanitair</v>
      </c>
      <c r="L1134" s="24" t="s">
        <v>305</v>
      </c>
      <c r="M1134" s="24" t="s">
        <v>400</v>
      </c>
      <c r="N1134" s="83">
        <v>13.63</v>
      </c>
      <c r="O1134" s="83"/>
      <c r="P1134" s="93" t="str">
        <f>LEFT(VLOOKUP(Ruimtestaat[[#This Row],[Ruimte code]],Ruimtegroepen[#All],4,1),2)</f>
        <v>Sa</v>
      </c>
      <c r="Q1134" s="93"/>
      <c r="R1134" s="84">
        <v>42</v>
      </c>
      <c r="S1134" s="84" t="s">
        <v>316</v>
      </c>
      <c r="T1134" s="85">
        <f>IF(R1134&gt;0,IF(RIGHT(Ruimtestaat[[#This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34" s="85">
        <f>IF(T1134&gt;0,VLOOKUP($J1134,Ruimtegroepen[],3,FALSE)*VLOOKUP($L1134,Vloersoorten[],3,FALSE)*VLOOKUP($S1134,Frequenties[],3,FALSE)*VLOOKUP($A1134,Locaties[],3,FALSE),0)</f>
        <v>0</v>
      </c>
      <c r="V1134" s="86">
        <f>Ruimtestaat[[#This Row],[Uitvoeringen werkdagen]]*Ruimtestaat[[#This Row],[Oppervlak (netto)]]</f>
        <v>5724.6</v>
      </c>
      <c r="W1134" s="87">
        <f>IF(U1134&gt;0,Ruimtestaat[[#This Row],[Prest. (m2 /jaar) werkdagen]]/Ruimtestaat[[#This Row],[Norm (m2/uur) werkdagen]],0)</f>
        <v>0</v>
      </c>
      <c r="X1134" s="88">
        <f>Ruimtestaat[[#This Row],[uren / jaar werkdagen]]*Tariefsopbouw!$E$35</f>
        <v>0</v>
      </c>
      <c r="Y1134" s="85"/>
      <c r="Z1134" s="89">
        <f>IF(Ruimtestaat[[#This Row],[Frequentie weekend]]&gt;0,VALUE(LEFT(Y1134,1))*R1134,0)</f>
        <v>0</v>
      </c>
      <c r="AA1134" s="85">
        <f>IF($Z1134&gt;0,VLOOKUP($J1134,Ruimtegroepen[],3,FALSE)*VLOOKUP($L1134,Vloersoorten[],3,FALSE)*VLOOKUP($Y1134,Frequenties[],3,FALSE)*VLOOKUP(#REF!,Locaties[],3,FALSE),0)</f>
        <v>0</v>
      </c>
      <c r="AB1134" s="87">
        <f>Ruimtestaat[[#This Row],[Uitvoeringen weekend]]*Ruimtestaat[[#This Row],[Oppervlak (netto)]]</f>
        <v>0</v>
      </c>
      <c r="AC1134" s="90">
        <f>IF(AB1134&gt;0,Ruimtestaat[[#This Row],[Prest. (m2 /jaar) weekend]]/Ruimtestaat[[#This Row],[Norm (m2/uur) weekend]],0)</f>
        <v>0</v>
      </c>
      <c r="AD1134" s="91">
        <f>Ruimtestaat[[#This Row],[uren / jaar weekend]]*Tariefsopbouw!$D$40</f>
        <v>0</v>
      </c>
      <c r="AE1134" s="60">
        <f>Ruimtestaat[[#This Row],[Prest. (m2 /jaar) weekend]]+Ruimtestaat[[#This Row],[Prest. (m2 /jaar) werkdagen]]</f>
        <v>5724.6</v>
      </c>
      <c r="AF1134" s="60">
        <f>Ruimtestaat[[#This Row],[uren / jaar weekend]]+Ruimtestaat[[#This Row],[uren / jaar werkdagen]]</f>
        <v>0</v>
      </c>
      <c r="AG1134" s="61">
        <f>Ruimtestaat[[#This Row],[kosten / jaar weekend]]+Ruimtestaat[[#This Row],[kosten / jaar werkdagen]]</f>
        <v>0</v>
      </c>
      <c r="AH1134" s="92"/>
      <c r="HL1134" s="59"/>
    </row>
    <row r="1135" spans="1:220">
      <c r="A1135" s="24">
        <v>7</v>
      </c>
      <c r="B1135" s="24" t="str">
        <f>VLOOKUP(Ruimtestaat[[#This Row],[Code]],Locaties[#All],2,FALSE)</f>
        <v>Het Vlier</v>
      </c>
      <c r="C1135" s="24" t="str">
        <f>VLOOKUP(Ruimtestaat[[#This Row],[Code]],Locaties[#All],4,FALSE)</f>
        <v>Het Vlier 1</v>
      </c>
      <c r="D1135" s="24" t="str">
        <f>VLOOKUP(Ruimtestaat[[#This Row],[Code]],Locaties[#All],5,FALSE)</f>
        <v>7414 AR</v>
      </c>
      <c r="E1135" s="24" t="str">
        <f>VLOOKUP(Ruimtestaat[[#This Row],[Code]],Locaties[#All],6,FALSE)</f>
        <v>Deventer</v>
      </c>
      <c r="F1135" s="54"/>
      <c r="G1135" s="24" t="s">
        <v>512</v>
      </c>
      <c r="H1135" s="24" t="s">
        <v>1536</v>
      </c>
      <c r="I1135" s="4" t="s">
        <v>1537</v>
      </c>
      <c r="J1135" s="24">
        <v>5</v>
      </c>
      <c r="K1135" s="54" t="str">
        <f>VLOOKUP(J1135,Ruimtegroepen[],2,FALSE)</f>
        <v>Sanitair</v>
      </c>
      <c r="L1135" s="24" t="s">
        <v>305</v>
      </c>
      <c r="M1135" s="24" t="s">
        <v>400</v>
      </c>
      <c r="N1135" s="83">
        <v>2.31</v>
      </c>
      <c r="O1135" s="83"/>
      <c r="P1135" s="93" t="str">
        <f>LEFT(VLOOKUP(Ruimtestaat[[#This Row],[Ruimte code]],Ruimtegroepen[#All],4,1),2)</f>
        <v>Sa</v>
      </c>
      <c r="Q1135" s="93"/>
      <c r="R1135" s="84">
        <v>42</v>
      </c>
      <c r="S1135" s="84" t="s">
        <v>316</v>
      </c>
      <c r="T1135" s="85">
        <f>IF(R1135&gt;0,IF(RIGHT(Ruimtestaat[[#This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35" s="85">
        <f>IF(T1135&gt;0,VLOOKUP($J1135,Ruimtegroepen[],3,FALSE)*VLOOKUP($L1135,Vloersoorten[],3,FALSE)*VLOOKUP($S1135,Frequenties[],3,FALSE)*VLOOKUP($A1135,Locaties[],3,FALSE),0)</f>
        <v>0</v>
      </c>
      <c r="V1135" s="86">
        <f>Ruimtestaat[[#This Row],[Uitvoeringen werkdagen]]*Ruimtestaat[[#This Row],[Oppervlak (netto)]]</f>
        <v>970.2</v>
      </c>
      <c r="W1135" s="87">
        <f>IF(U1135&gt;0,Ruimtestaat[[#This Row],[Prest. (m2 /jaar) werkdagen]]/Ruimtestaat[[#This Row],[Norm (m2/uur) werkdagen]],0)</f>
        <v>0</v>
      </c>
      <c r="X1135" s="88">
        <f>Ruimtestaat[[#This Row],[uren / jaar werkdagen]]*Tariefsopbouw!$E$35</f>
        <v>0</v>
      </c>
      <c r="Y1135" s="85"/>
      <c r="Z1135" s="89">
        <f>IF(Ruimtestaat[[#This Row],[Frequentie weekend]]&gt;0,VALUE(LEFT(Y1135,1))*R1135,0)</f>
        <v>0</v>
      </c>
      <c r="AA1135" s="85">
        <f>IF($Z1135&gt;0,VLOOKUP($J1135,Ruimtegroepen[],3,FALSE)*VLOOKUP($L1135,Vloersoorten[],3,FALSE)*VLOOKUP($Y1135,Frequenties[],3,FALSE)*VLOOKUP(#REF!,Locaties[],3,FALSE),0)</f>
        <v>0</v>
      </c>
      <c r="AB1135" s="87">
        <f>Ruimtestaat[[#This Row],[Uitvoeringen weekend]]*Ruimtestaat[[#This Row],[Oppervlak (netto)]]</f>
        <v>0</v>
      </c>
      <c r="AC1135" s="90">
        <f>IF(AB1135&gt;0,Ruimtestaat[[#This Row],[Prest. (m2 /jaar) weekend]]/Ruimtestaat[[#This Row],[Norm (m2/uur) weekend]],0)</f>
        <v>0</v>
      </c>
      <c r="AD1135" s="91">
        <f>Ruimtestaat[[#This Row],[uren / jaar weekend]]*Tariefsopbouw!$D$40</f>
        <v>0</v>
      </c>
      <c r="AE1135" s="60">
        <f>Ruimtestaat[[#This Row],[Prest. (m2 /jaar) weekend]]+Ruimtestaat[[#This Row],[Prest. (m2 /jaar) werkdagen]]</f>
        <v>970.2</v>
      </c>
      <c r="AF1135" s="60">
        <f>Ruimtestaat[[#This Row],[uren / jaar weekend]]+Ruimtestaat[[#This Row],[uren / jaar werkdagen]]</f>
        <v>0</v>
      </c>
      <c r="AG1135" s="61">
        <f>Ruimtestaat[[#This Row],[kosten / jaar weekend]]+Ruimtestaat[[#This Row],[kosten / jaar werkdagen]]</f>
        <v>0</v>
      </c>
      <c r="AH1135" s="92"/>
      <c r="HL1135" s="59"/>
    </row>
    <row r="1136" spans="1:220">
      <c r="A1136" s="24">
        <v>7</v>
      </c>
      <c r="B1136" s="24" t="str">
        <f>VLOOKUP(Ruimtestaat[[#This Row],[Code]],Locaties[#All],2,FALSE)</f>
        <v>Het Vlier</v>
      </c>
      <c r="C1136" s="24" t="str">
        <f>VLOOKUP(Ruimtestaat[[#This Row],[Code]],Locaties[#All],4,FALSE)</f>
        <v>Het Vlier 1</v>
      </c>
      <c r="D1136" s="24" t="str">
        <f>VLOOKUP(Ruimtestaat[[#This Row],[Code]],Locaties[#All],5,FALSE)</f>
        <v>7414 AR</v>
      </c>
      <c r="E1136" s="24" t="str">
        <f>VLOOKUP(Ruimtestaat[[#This Row],[Code]],Locaties[#All],6,FALSE)</f>
        <v>Deventer</v>
      </c>
      <c r="F1136" s="54"/>
      <c r="G1136" s="24" t="s">
        <v>512</v>
      </c>
      <c r="H1136" s="24" t="s">
        <v>1538</v>
      </c>
      <c r="I1136" s="4" t="s">
        <v>1537</v>
      </c>
      <c r="J1136" s="24">
        <v>5</v>
      </c>
      <c r="K1136" s="54" t="str">
        <f>VLOOKUP(J1136,Ruimtegroepen[],2,FALSE)</f>
        <v>Sanitair</v>
      </c>
      <c r="L1136" s="24" t="s">
        <v>305</v>
      </c>
      <c r="M1136" s="24" t="s">
        <v>400</v>
      </c>
      <c r="N1136" s="83">
        <v>2.31</v>
      </c>
      <c r="O1136" s="83"/>
      <c r="P1136" s="93" t="str">
        <f>LEFT(VLOOKUP(Ruimtestaat[[#This Row],[Ruimte code]],Ruimtegroepen[#All],4,1),2)</f>
        <v>Sa</v>
      </c>
      <c r="Q1136" s="93"/>
      <c r="R1136" s="84">
        <v>42</v>
      </c>
      <c r="S1136" s="84" t="s">
        <v>316</v>
      </c>
      <c r="T1136" s="85">
        <f>IF(R1136&gt;0,IF(RIGHT(Ruimtestaat[[#This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36" s="85">
        <f>IF(T1136&gt;0,VLOOKUP($J1136,Ruimtegroepen[],3,FALSE)*VLOOKUP($L1136,Vloersoorten[],3,FALSE)*VLOOKUP($S1136,Frequenties[],3,FALSE)*VLOOKUP($A1136,Locaties[],3,FALSE),0)</f>
        <v>0</v>
      </c>
      <c r="V1136" s="86">
        <f>Ruimtestaat[[#This Row],[Uitvoeringen werkdagen]]*Ruimtestaat[[#This Row],[Oppervlak (netto)]]</f>
        <v>970.2</v>
      </c>
      <c r="W1136" s="87">
        <f>IF(U1136&gt;0,Ruimtestaat[[#This Row],[Prest. (m2 /jaar) werkdagen]]/Ruimtestaat[[#This Row],[Norm (m2/uur) werkdagen]],0)</f>
        <v>0</v>
      </c>
      <c r="X1136" s="88">
        <f>Ruimtestaat[[#This Row],[uren / jaar werkdagen]]*Tariefsopbouw!$E$35</f>
        <v>0</v>
      </c>
      <c r="Y1136" s="85"/>
      <c r="Z1136" s="89">
        <f>IF(Ruimtestaat[[#This Row],[Frequentie weekend]]&gt;0,VALUE(LEFT(Y1136,1))*R1136,0)</f>
        <v>0</v>
      </c>
      <c r="AA1136" s="85">
        <f>IF($Z1136&gt;0,VLOOKUP($J1136,Ruimtegroepen[],3,FALSE)*VLOOKUP($L1136,Vloersoorten[],3,FALSE)*VLOOKUP($Y1136,Frequenties[],3,FALSE)*VLOOKUP(#REF!,Locaties[],3,FALSE),0)</f>
        <v>0</v>
      </c>
      <c r="AB1136" s="87">
        <f>Ruimtestaat[[#This Row],[Uitvoeringen weekend]]*Ruimtestaat[[#This Row],[Oppervlak (netto)]]</f>
        <v>0</v>
      </c>
      <c r="AC1136" s="90">
        <f>IF(AB1136&gt;0,Ruimtestaat[[#This Row],[Prest. (m2 /jaar) weekend]]/Ruimtestaat[[#This Row],[Norm (m2/uur) weekend]],0)</f>
        <v>0</v>
      </c>
      <c r="AD1136" s="91">
        <f>Ruimtestaat[[#This Row],[uren / jaar weekend]]*Tariefsopbouw!$D$40</f>
        <v>0</v>
      </c>
      <c r="AE1136" s="60">
        <f>Ruimtestaat[[#This Row],[Prest. (m2 /jaar) weekend]]+Ruimtestaat[[#This Row],[Prest. (m2 /jaar) werkdagen]]</f>
        <v>970.2</v>
      </c>
      <c r="AF1136" s="60">
        <f>Ruimtestaat[[#This Row],[uren / jaar weekend]]+Ruimtestaat[[#This Row],[uren / jaar werkdagen]]</f>
        <v>0</v>
      </c>
      <c r="AG1136" s="61">
        <f>Ruimtestaat[[#This Row],[kosten / jaar weekend]]+Ruimtestaat[[#This Row],[kosten / jaar werkdagen]]</f>
        <v>0</v>
      </c>
      <c r="AH1136" s="92"/>
      <c r="HL1136" s="59"/>
    </row>
    <row r="1137" spans="1:220">
      <c r="A1137" s="24">
        <v>7</v>
      </c>
      <c r="B1137" s="24" t="str">
        <f>VLOOKUP(Ruimtestaat[[#This Row],[Code]],Locaties[#All],2,FALSE)</f>
        <v>Het Vlier</v>
      </c>
      <c r="C1137" s="24" t="str">
        <f>VLOOKUP(Ruimtestaat[[#This Row],[Code]],Locaties[#All],4,FALSE)</f>
        <v>Het Vlier 1</v>
      </c>
      <c r="D1137" s="24" t="str">
        <f>VLOOKUP(Ruimtestaat[[#This Row],[Code]],Locaties[#All],5,FALSE)</f>
        <v>7414 AR</v>
      </c>
      <c r="E1137" s="24" t="str">
        <f>VLOOKUP(Ruimtestaat[[#This Row],[Code]],Locaties[#All],6,FALSE)</f>
        <v>Deventer</v>
      </c>
      <c r="F1137" s="54"/>
      <c r="G1137" s="24" t="s">
        <v>512</v>
      </c>
      <c r="H1137" s="24" t="s">
        <v>1539</v>
      </c>
      <c r="I1137" s="4" t="s">
        <v>1469</v>
      </c>
      <c r="J1137" s="24">
        <v>22</v>
      </c>
      <c r="K1137" s="54" t="str">
        <f>VLOOKUP(J1137,Ruimtegroepen[],2,FALSE)</f>
        <v>Niet in onderhoud</v>
      </c>
      <c r="M1137" s="24"/>
      <c r="N1137" s="83"/>
      <c r="O1137" s="83">
        <v>3.63</v>
      </c>
      <c r="P1137" s="93" t="str">
        <f>LEFT(VLOOKUP(Ruimtestaat[[#This Row],[Ruimte code]],Ruimtegroepen[#All],4,1),2)</f>
        <v/>
      </c>
      <c r="Q1137" s="93"/>
      <c r="R1137" s="84"/>
      <c r="S1137" s="84"/>
      <c r="T1137" s="85">
        <f>IF(R1137&gt;0,IF(RIGHT(Ruimtestaat[[#This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37" s="85">
        <f>IF(T1137&gt;0,VLOOKUP($J1137,Ruimtegroepen[],3,FALSE)*VLOOKUP($L1137,Vloersoorten[],3,FALSE)*VLOOKUP($S1137,Frequenties[],3,FALSE)*VLOOKUP($A1137,Locaties[],3,FALSE),0)</f>
        <v>0</v>
      </c>
      <c r="V1137" s="86">
        <f>Ruimtestaat[[#This Row],[Uitvoeringen werkdagen]]*Ruimtestaat[[#This Row],[Oppervlak (netto)]]</f>
        <v>0</v>
      </c>
      <c r="W1137" s="87">
        <f>IF(U1137&gt;0,Ruimtestaat[[#This Row],[Prest. (m2 /jaar) werkdagen]]/Ruimtestaat[[#This Row],[Norm (m2/uur) werkdagen]],0)</f>
        <v>0</v>
      </c>
      <c r="X1137" s="88">
        <f>Ruimtestaat[[#This Row],[uren / jaar werkdagen]]*Tariefsopbouw!$E$35</f>
        <v>0</v>
      </c>
      <c r="Y1137" s="85"/>
      <c r="Z1137" s="89">
        <f>IF(Ruimtestaat[[#This Row],[Frequentie weekend]]&gt;0,VALUE(LEFT(Y1137,1))*R1137,0)</f>
        <v>0</v>
      </c>
      <c r="AA1137" s="85">
        <f>IF($Z1137&gt;0,VLOOKUP($J1137,Ruimtegroepen[],3,FALSE)*VLOOKUP($L1137,Vloersoorten[],3,FALSE)*VLOOKUP($Y1137,Frequenties[],3,FALSE)*VLOOKUP(#REF!,Locaties[],3,FALSE),0)</f>
        <v>0</v>
      </c>
      <c r="AB1137" s="87">
        <f>Ruimtestaat[[#This Row],[Uitvoeringen weekend]]*Ruimtestaat[[#This Row],[Oppervlak (netto)]]</f>
        <v>0</v>
      </c>
      <c r="AC1137" s="90">
        <f>IF(AB1137&gt;0,Ruimtestaat[[#This Row],[Prest. (m2 /jaar) weekend]]/Ruimtestaat[[#This Row],[Norm (m2/uur) weekend]],0)</f>
        <v>0</v>
      </c>
      <c r="AD1137" s="91">
        <f>Ruimtestaat[[#This Row],[uren / jaar weekend]]*Tariefsopbouw!$D$40</f>
        <v>0</v>
      </c>
      <c r="AE1137" s="60">
        <f>Ruimtestaat[[#This Row],[Prest. (m2 /jaar) weekend]]+Ruimtestaat[[#This Row],[Prest. (m2 /jaar) werkdagen]]</f>
        <v>0</v>
      </c>
      <c r="AF1137" s="60">
        <f>Ruimtestaat[[#This Row],[uren / jaar weekend]]+Ruimtestaat[[#This Row],[uren / jaar werkdagen]]</f>
        <v>0</v>
      </c>
      <c r="AG1137" s="61">
        <f>Ruimtestaat[[#This Row],[kosten / jaar weekend]]+Ruimtestaat[[#This Row],[kosten / jaar werkdagen]]</f>
        <v>0</v>
      </c>
      <c r="AH1137" s="92"/>
      <c r="HL1137" s="59"/>
    </row>
    <row r="1138" spans="1:220">
      <c r="A1138" s="24">
        <v>7</v>
      </c>
      <c r="B1138" s="24" t="str">
        <f>VLOOKUP(Ruimtestaat[[#This Row],[Code]],Locaties[#All],2,FALSE)</f>
        <v>Het Vlier</v>
      </c>
      <c r="C1138" s="24" t="str">
        <f>VLOOKUP(Ruimtestaat[[#This Row],[Code]],Locaties[#All],4,FALSE)</f>
        <v>Het Vlier 1</v>
      </c>
      <c r="D1138" s="24" t="str">
        <f>VLOOKUP(Ruimtestaat[[#This Row],[Code]],Locaties[#All],5,FALSE)</f>
        <v>7414 AR</v>
      </c>
      <c r="E1138" s="24" t="str">
        <f>VLOOKUP(Ruimtestaat[[#This Row],[Code]],Locaties[#All],6,FALSE)</f>
        <v>Deventer</v>
      </c>
      <c r="F1138" s="54"/>
      <c r="G1138" s="24" t="s">
        <v>512</v>
      </c>
      <c r="H1138" s="24" t="s">
        <v>1540</v>
      </c>
      <c r="I1138" s="4" t="s">
        <v>535</v>
      </c>
      <c r="J1138" s="24">
        <v>22</v>
      </c>
      <c r="K1138" s="54" t="str">
        <f>VLOOKUP(J1138,Ruimtegroepen[],2,FALSE)</f>
        <v>Niet in onderhoud</v>
      </c>
      <c r="M1138" s="24"/>
      <c r="N1138" s="83"/>
      <c r="O1138" s="83">
        <v>1.0900000000000001</v>
      </c>
      <c r="P1138" s="93" t="str">
        <f>LEFT(VLOOKUP(Ruimtestaat[[#This Row],[Ruimte code]],Ruimtegroepen[#All],4,1),2)</f>
        <v/>
      </c>
      <c r="Q1138" s="93"/>
      <c r="R1138" s="84"/>
      <c r="S1138" s="84"/>
      <c r="T1138" s="85">
        <f>IF(R1138&gt;0,IF(RIGHT(Ruimtestaat[[#This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38" s="85">
        <f>IF(T1138&gt;0,VLOOKUP($J1138,Ruimtegroepen[],3,FALSE)*VLOOKUP($L1138,Vloersoorten[],3,FALSE)*VLOOKUP($S1138,Frequenties[],3,FALSE)*VLOOKUP($A1138,Locaties[],3,FALSE),0)</f>
        <v>0</v>
      </c>
      <c r="V1138" s="86">
        <f>Ruimtestaat[[#This Row],[Uitvoeringen werkdagen]]*Ruimtestaat[[#This Row],[Oppervlak (netto)]]</f>
        <v>0</v>
      </c>
      <c r="W1138" s="87">
        <f>IF(U1138&gt;0,Ruimtestaat[[#This Row],[Prest. (m2 /jaar) werkdagen]]/Ruimtestaat[[#This Row],[Norm (m2/uur) werkdagen]],0)</f>
        <v>0</v>
      </c>
      <c r="X1138" s="88">
        <f>Ruimtestaat[[#This Row],[uren / jaar werkdagen]]*Tariefsopbouw!$E$35</f>
        <v>0</v>
      </c>
      <c r="Y1138" s="85"/>
      <c r="Z1138" s="89">
        <f>IF(Ruimtestaat[[#This Row],[Frequentie weekend]]&gt;0,VALUE(LEFT(Y1138,1))*R1138,0)</f>
        <v>0</v>
      </c>
      <c r="AA1138" s="85">
        <f>IF($Z1138&gt;0,VLOOKUP($J1138,Ruimtegroepen[],3,FALSE)*VLOOKUP($L1138,Vloersoorten[],3,FALSE)*VLOOKUP($Y1138,Frequenties[],3,FALSE)*VLOOKUP(#REF!,Locaties[],3,FALSE),0)</f>
        <v>0</v>
      </c>
      <c r="AB1138" s="87">
        <f>Ruimtestaat[[#This Row],[Uitvoeringen weekend]]*Ruimtestaat[[#This Row],[Oppervlak (netto)]]</f>
        <v>0</v>
      </c>
      <c r="AC1138" s="90">
        <f>IF(AB1138&gt;0,Ruimtestaat[[#This Row],[Prest. (m2 /jaar) weekend]]/Ruimtestaat[[#This Row],[Norm (m2/uur) weekend]],0)</f>
        <v>0</v>
      </c>
      <c r="AD1138" s="91">
        <f>Ruimtestaat[[#This Row],[uren / jaar weekend]]*Tariefsopbouw!$D$40</f>
        <v>0</v>
      </c>
      <c r="AE1138" s="60">
        <f>Ruimtestaat[[#This Row],[Prest. (m2 /jaar) weekend]]+Ruimtestaat[[#This Row],[Prest. (m2 /jaar) werkdagen]]</f>
        <v>0</v>
      </c>
      <c r="AF1138" s="60">
        <f>Ruimtestaat[[#This Row],[uren / jaar weekend]]+Ruimtestaat[[#This Row],[uren / jaar werkdagen]]</f>
        <v>0</v>
      </c>
      <c r="AG1138" s="61">
        <f>Ruimtestaat[[#This Row],[kosten / jaar weekend]]+Ruimtestaat[[#This Row],[kosten / jaar werkdagen]]</f>
        <v>0</v>
      </c>
      <c r="AH1138" s="92"/>
      <c r="HL1138" s="59"/>
    </row>
    <row r="1139" spans="1:220">
      <c r="A1139" s="24">
        <v>7</v>
      </c>
      <c r="B1139" s="24" t="str">
        <f>VLOOKUP(Ruimtestaat[[#This Row],[Code]],Locaties[#All],2,FALSE)</f>
        <v>Het Vlier</v>
      </c>
      <c r="C1139" s="24" t="str">
        <f>VLOOKUP(Ruimtestaat[[#This Row],[Code]],Locaties[#All],4,FALSE)</f>
        <v>Het Vlier 1</v>
      </c>
      <c r="D1139" s="24" t="str">
        <f>VLOOKUP(Ruimtestaat[[#This Row],[Code]],Locaties[#All],5,FALSE)</f>
        <v>7414 AR</v>
      </c>
      <c r="E1139" s="24" t="str">
        <f>VLOOKUP(Ruimtestaat[[#This Row],[Code]],Locaties[#All],6,FALSE)</f>
        <v>Deventer</v>
      </c>
      <c r="F1139" s="54"/>
      <c r="G1139" s="24" t="s">
        <v>512</v>
      </c>
      <c r="H1139" s="24" t="s">
        <v>1541</v>
      </c>
      <c r="I1139" s="4" t="s">
        <v>535</v>
      </c>
      <c r="J1139" s="24">
        <v>22</v>
      </c>
      <c r="K1139" s="54" t="str">
        <f>VLOOKUP(J1139,Ruimtegroepen[],2,FALSE)</f>
        <v>Niet in onderhoud</v>
      </c>
      <c r="M1139" s="24"/>
      <c r="N1139" s="83"/>
      <c r="O1139" s="83">
        <v>1.0900000000000001</v>
      </c>
      <c r="P1139" s="93" t="str">
        <f>LEFT(VLOOKUP(Ruimtestaat[[#This Row],[Ruimte code]],Ruimtegroepen[#All],4,1),2)</f>
        <v/>
      </c>
      <c r="Q1139" s="93"/>
      <c r="R1139" s="84"/>
      <c r="S1139" s="84"/>
      <c r="T1139" s="85">
        <f>IF(R1139&gt;0,IF(RIGHT(Ruimtestaat[[#This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39" s="85">
        <f>IF(T1139&gt;0,VLOOKUP($J1139,Ruimtegroepen[],3,FALSE)*VLOOKUP($L1139,Vloersoorten[],3,FALSE)*VLOOKUP($S1139,Frequenties[],3,FALSE)*VLOOKUP($A1139,Locaties[],3,FALSE),0)</f>
        <v>0</v>
      </c>
      <c r="V1139" s="86">
        <f>Ruimtestaat[[#This Row],[Uitvoeringen werkdagen]]*Ruimtestaat[[#This Row],[Oppervlak (netto)]]</f>
        <v>0</v>
      </c>
      <c r="W1139" s="87">
        <f>IF(U1139&gt;0,Ruimtestaat[[#This Row],[Prest. (m2 /jaar) werkdagen]]/Ruimtestaat[[#This Row],[Norm (m2/uur) werkdagen]],0)</f>
        <v>0</v>
      </c>
      <c r="X1139" s="88">
        <f>Ruimtestaat[[#This Row],[uren / jaar werkdagen]]*Tariefsopbouw!$E$35</f>
        <v>0</v>
      </c>
      <c r="Y1139" s="85"/>
      <c r="Z1139" s="89">
        <f>IF(Ruimtestaat[[#This Row],[Frequentie weekend]]&gt;0,VALUE(LEFT(Y1139,1))*R1139,0)</f>
        <v>0</v>
      </c>
      <c r="AA1139" s="85">
        <f>IF($Z1139&gt;0,VLOOKUP($J1139,Ruimtegroepen[],3,FALSE)*VLOOKUP($L1139,Vloersoorten[],3,FALSE)*VLOOKUP($Y1139,Frequenties[],3,FALSE)*VLOOKUP(#REF!,Locaties[],3,FALSE),0)</f>
        <v>0</v>
      </c>
      <c r="AB1139" s="87">
        <f>Ruimtestaat[[#This Row],[Uitvoeringen weekend]]*Ruimtestaat[[#This Row],[Oppervlak (netto)]]</f>
        <v>0</v>
      </c>
      <c r="AC1139" s="90">
        <f>IF(AB1139&gt;0,Ruimtestaat[[#This Row],[Prest. (m2 /jaar) weekend]]/Ruimtestaat[[#This Row],[Norm (m2/uur) weekend]],0)</f>
        <v>0</v>
      </c>
      <c r="AD1139" s="91">
        <f>Ruimtestaat[[#This Row],[uren / jaar weekend]]*Tariefsopbouw!$D$40</f>
        <v>0</v>
      </c>
      <c r="AE1139" s="60">
        <f>Ruimtestaat[[#This Row],[Prest. (m2 /jaar) weekend]]+Ruimtestaat[[#This Row],[Prest. (m2 /jaar) werkdagen]]</f>
        <v>0</v>
      </c>
      <c r="AF1139" s="60">
        <f>Ruimtestaat[[#This Row],[uren / jaar weekend]]+Ruimtestaat[[#This Row],[uren / jaar werkdagen]]</f>
        <v>0</v>
      </c>
      <c r="AG1139" s="61">
        <f>Ruimtestaat[[#This Row],[kosten / jaar weekend]]+Ruimtestaat[[#This Row],[kosten / jaar werkdagen]]</f>
        <v>0</v>
      </c>
      <c r="AH1139" s="92"/>
      <c r="HL1139" s="59"/>
    </row>
    <row r="1140" spans="1:220">
      <c r="A1140" s="24">
        <v>7</v>
      </c>
      <c r="B1140" s="24" t="str">
        <f>VLOOKUP(Ruimtestaat[[#This Row],[Code]],Locaties[#All],2,FALSE)</f>
        <v>Het Vlier</v>
      </c>
      <c r="C1140" s="24" t="str">
        <f>VLOOKUP(Ruimtestaat[[#This Row],[Code]],Locaties[#All],4,FALSE)</f>
        <v>Het Vlier 1</v>
      </c>
      <c r="D1140" s="24" t="str">
        <f>VLOOKUP(Ruimtestaat[[#This Row],[Code]],Locaties[#All],5,FALSE)</f>
        <v>7414 AR</v>
      </c>
      <c r="E1140" s="24" t="str">
        <f>VLOOKUP(Ruimtestaat[[#This Row],[Code]],Locaties[#All],6,FALSE)</f>
        <v>Deventer</v>
      </c>
      <c r="F1140" s="54"/>
      <c r="G1140" s="24" t="s">
        <v>512</v>
      </c>
      <c r="H1140" s="24" t="s">
        <v>1542</v>
      </c>
      <c r="I1140" s="4" t="s">
        <v>1543</v>
      </c>
      <c r="J1140" s="24">
        <v>2</v>
      </c>
      <c r="K1140" s="54" t="str">
        <f>VLOOKUP(J1140,Ruimtegroepen[],2,FALSE)</f>
        <v>Kantoren</v>
      </c>
      <c r="L1140" s="24" t="s">
        <v>305</v>
      </c>
      <c r="M1140" s="24" t="s">
        <v>400</v>
      </c>
      <c r="N1140" s="83">
        <v>41.81</v>
      </c>
      <c r="O1140" s="83"/>
      <c r="P1140" s="93" t="str">
        <f>LEFT(VLOOKUP(Ruimtestaat[[#This Row],[Ruimte code]],Ruimtegroepen[#All],4,1),2)</f>
        <v>Bu</v>
      </c>
      <c r="Q1140" s="93"/>
      <c r="R1140" s="84">
        <v>42</v>
      </c>
      <c r="S1140" s="84" t="s">
        <v>322</v>
      </c>
      <c r="T1140" s="85">
        <f>IF(R1140&gt;0,IF(RIGHT(Ruimtestaat[[#This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40" s="85">
        <f>IF(T1140&gt;0,VLOOKUP($J1140,Ruimtegroepen[],3,FALSE)*VLOOKUP($L1140,Vloersoorten[],3,FALSE)*VLOOKUP($S1140,Frequenties[],3,FALSE)*VLOOKUP($A1140,Locaties[],3,FALSE),0)</f>
        <v>0</v>
      </c>
      <c r="V1140" s="86">
        <f>Ruimtestaat[[#This Row],[Uitvoeringen werkdagen]]*Ruimtestaat[[#This Row],[Oppervlak (netto)]]</f>
        <v>5268.06</v>
      </c>
      <c r="W1140" s="87">
        <f>IF(U1140&gt;0,Ruimtestaat[[#This Row],[Prest. (m2 /jaar) werkdagen]]/Ruimtestaat[[#This Row],[Norm (m2/uur) werkdagen]],0)</f>
        <v>0</v>
      </c>
      <c r="X1140" s="88">
        <f>Ruimtestaat[[#This Row],[uren / jaar werkdagen]]*Tariefsopbouw!$E$35</f>
        <v>0</v>
      </c>
      <c r="Y1140" s="85"/>
      <c r="Z1140" s="89">
        <f>IF(Ruimtestaat[[#This Row],[Frequentie weekend]]&gt;0,VALUE(LEFT(Y1140,1))*R1140,0)</f>
        <v>0</v>
      </c>
      <c r="AA1140" s="85">
        <f>IF($Z1140&gt;0,VLOOKUP($J1140,Ruimtegroepen[],3,FALSE)*VLOOKUP($L1140,Vloersoorten[],3,FALSE)*VLOOKUP($Y1140,Frequenties[],3,FALSE)*VLOOKUP(#REF!,Locaties[],3,FALSE),0)</f>
        <v>0</v>
      </c>
      <c r="AB1140" s="87">
        <f>Ruimtestaat[[#This Row],[Uitvoeringen weekend]]*Ruimtestaat[[#This Row],[Oppervlak (netto)]]</f>
        <v>0</v>
      </c>
      <c r="AC1140" s="90">
        <f>IF(AB1140&gt;0,Ruimtestaat[[#This Row],[Prest. (m2 /jaar) weekend]]/Ruimtestaat[[#This Row],[Norm (m2/uur) weekend]],0)</f>
        <v>0</v>
      </c>
      <c r="AD1140" s="91">
        <f>Ruimtestaat[[#This Row],[uren / jaar weekend]]*Tariefsopbouw!$D$40</f>
        <v>0</v>
      </c>
      <c r="AE1140" s="60">
        <f>Ruimtestaat[[#This Row],[Prest. (m2 /jaar) weekend]]+Ruimtestaat[[#This Row],[Prest. (m2 /jaar) werkdagen]]</f>
        <v>5268.06</v>
      </c>
      <c r="AF1140" s="60">
        <f>Ruimtestaat[[#This Row],[uren / jaar weekend]]+Ruimtestaat[[#This Row],[uren / jaar werkdagen]]</f>
        <v>0</v>
      </c>
      <c r="AG1140" s="61">
        <f>Ruimtestaat[[#This Row],[kosten / jaar weekend]]+Ruimtestaat[[#This Row],[kosten / jaar werkdagen]]</f>
        <v>0</v>
      </c>
      <c r="AH1140" s="92"/>
      <c r="HL1140" s="59"/>
    </row>
    <row r="1141" spans="1:220">
      <c r="A1141" s="24">
        <v>7</v>
      </c>
      <c r="B1141" s="24" t="str">
        <f>VLOOKUP(Ruimtestaat[[#This Row],[Code]],Locaties[#All],2,FALSE)</f>
        <v>Het Vlier</v>
      </c>
      <c r="C1141" s="24" t="str">
        <f>VLOOKUP(Ruimtestaat[[#This Row],[Code]],Locaties[#All],4,FALSE)</f>
        <v>Het Vlier 1</v>
      </c>
      <c r="D1141" s="24" t="str">
        <f>VLOOKUP(Ruimtestaat[[#This Row],[Code]],Locaties[#All],5,FALSE)</f>
        <v>7414 AR</v>
      </c>
      <c r="E1141" s="24" t="str">
        <f>VLOOKUP(Ruimtestaat[[#This Row],[Code]],Locaties[#All],6,FALSE)</f>
        <v>Deventer</v>
      </c>
      <c r="F1141" s="54"/>
      <c r="G1141" s="24" t="s">
        <v>512</v>
      </c>
      <c r="H1141" s="24" t="s">
        <v>1544</v>
      </c>
      <c r="I1141" s="4" t="s">
        <v>1545</v>
      </c>
      <c r="J1141" s="24">
        <v>21</v>
      </c>
      <c r="K1141" s="54" t="str">
        <f>VLOOKUP(J1141,Ruimtegroepen[],2,FALSE)</f>
        <v>Personeelskamer</v>
      </c>
      <c r="L1141" s="24" t="s">
        <v>305</v>
      </c>
      <c r="M1141" s="24" t="s">
        <v>400</v>
      </c>
      <c r="N1141" s="83">
        <v>168.71</v>
      </c>
      <c r="O1141" s="83"/>
      <c r="P1141" s="93" t="str">
        <f>LEFT(VLOOKUP(Ruimtestaat[[#This Row],[Ruimte code]],Ruimtegroepen[#All],4,1),2)</f>
        <v>Ve</v>
      </c>
      <c r="Q1141" s="93"/>
      <c r="R1141" s="84">
        <v>40</v>
      </c>
      <c r="S1141" s="84" t="s">
        <v>318</v>
      </c>
      <c r="T1141" s="85">
        <f>IF(R1141&gt;0,IF(RIGHT(Ruimtestaat[[#This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41" s="85">
        <f>IF(T1141&gt;0,VLOOKUP($J1141,Ruimtegroepen[],3,FALSE)*VLOOKUP($L1141,Vloersoorten[],3,FALSE)*VLOOKUP($S1141,Frequenties[],3,FALSE)*VLOOKUP($A1141,Locaties[],3,FALSE),0)</f>
        <v>0</v>
      </c>
      <c r="V1141" s="86">
        <f>Ruimtestaat[[#This Row],[Uitvoeringen werkdagen]]*Ruimtestaat[[#This Row],[Oppervlak (netto)]]</f>
        <v>33742</v>
      </c>
      <c r="W1141" s="87">
        <f>IF(U1141&gt;0,Ruimtestaat[[#This Row],[Prest. (m2 /jaar) werkdagen]]/Ruimtestaat[[#This Row],[Norm (m2/uur) werkdagen]],0)</f>
        <v>0</v>
      </c>
      <c r="X1141" s="88">
        <f>Ruimtestaat[[#This Row],[uren / jaar werkdagen]]*Tariefsopbouw!$E$35</f>
        <v>0</v>
      </c>
      <c r="Y1141" s="85"/>
      <c r="Z1141" s="89">
        <f>IF(Ruimtestaat[[#This Row],[Frequentie weekend]]&gt;0,VALUE(LEFT(Y1141,1))*R1141,0)</f>
        <v>0</v>
      </c>
      <c r="AA1141" s="85">
        <f>IF($Z1141&gt;0,VLOOKUP($J1141,Ruimtegroepen[],3,FALSE)*VLOOKUP($L1141,Vloersoorten[],3,FALSE)*VLOOKUP($Y1141,Frequenties[],3,FALSE)*VLOOKUP(#REF!,Locaties[],3,FALSE),0)</f>
        <v>0</v>
      </c>
      <c r="AB1141" s="87">
        <f>Ruimtestaat[[#This Row],[Uitvoeringen weekend]]*Ruimtestaat[[#This Row],[Oppervlak (netto)]]</f>
        <v>0</v>
      </c>
      <c r="AC1141" s="90">
        <f>IF(AB1141&gt;0,Ruimtestaat[[#This Row],[Prest. (m2 /jaar) weekend]]/Ruimtestaat[[#This Row],[Norm (m2/uur) weekend]],0)</f>
        <v>0</v>
      </c>
      <c r="AD1141" s="91">
        <f>Ruimtestaat[[#This Row],[uren / jaar weekend]]*Tariefsopbouw!$D$40</f>
        <v>0</v>
      </c>
      <c r="AE1141" s="60">
        <f>Ruimtestaat[[#This Row],[Prest. (m2 /jaar) weekend]]+Ruimtestaat[[#This Row],[Prest. (m2 /jaar) werkdagen]]</f>
        <v>33742</v>
      </c>
      <c r="AF1141" s="60">
        <f>Ruimtestaat[[#This Row],[uren / jaar weekend]]+Ruimtestaat[[#This Row],[uren / jaar werkdagen]]</f>
        <v>0</v>
      </c>
      <c r="AG1141" s="61">
        <f>Ruimtestaat[[#This Row],[kosten / jaar weekend]]+Ruimtestaat[[#This Row],[kosten / jaar werkdagen]]</f>
        <v>0</v>
      </c>
      <c r="AH1141" s="92"/>
      <c r="HL1141" s="59"/>
    </row>
    <row r="1142" spans="1:220">
      <c r="A1142" s="24">
        <v>7</v>
      </c>
      <c r="B1142" s="24" t="str">
        <f>VLOOKUP(Ruimtestaat[[#This Row],[Code]],Locaties[#All],2,FALSE)</f>
        <v>Het Vlier</v>
      </c>
      <c r="C1142" s="24" t="str">
        <f>VLOOKUP(Ruimtestaat[[#This Row],[Code]],Locaties[#All],4,FALSE)</f>
        <v>Het Vlier 1</v>
      </c>
      <c r="D1142" s="24" t="str">
        <f>VLOOKUP(Ruimtestaat[[#This Row],[Code]],Locaties[#All],5,FALSE)</f>
        <v>7414 AR</v>
      </c>
      <c r="E1142" s="24" t="str">
        <f>VLOOKUP(Ruimtestaat[[#This Row],[Code]],Locaties[#All],6,FALSE)</f>
        <v>Deventer</v>
      </c>
      <c r="F1142" s="54"/>
      <c r="G1142" s="24" t="s">
        <v>512</v>
      </c>
      <c r="H1142" s="24" t="s">
        <v>1546</v>
      </c>
      <c r="I1142" s="4" t="s">
        <v>1488</v>
      </c>
      <c r="J1142" s="24">
        <v>2</v>
      </c>
      <c r="K1142" s="54" t="str">
        <f>VLOOKUP(J1142,Ruimtegroepen[],2,FALSE)</f>
        <v>Kantoren</v>
      </c>
      <c r="L1142" s="24" t="s">
        <v>305</v>
      </c>
      <c r="M1142" s="24" t="s">
        <v>400</v>
      </c>
      <c r="N1142" s="83">
        <v>29.32</v>
      </c>
      <c r="O1142" s="83"/>
      <c r="P1142" s="93" t="str">
        <f>LEFT(VLOOKUP(Ruimtestaat[[#This Row],[Ruimte code]],Ruimtegroepen[#All],4,1),2)</f>
        <v>Bu</v>
      </c>
      <c r="Q1142" s="93"/>
      <c r="R1142" s="84">
        <v>42</v>
      </c>
      <c r="S1142" s="84" t="s">
        <v>322</v>
      </c>
      <c r="T1142" s="85">
        <f>IF(R1142&gt;0,IF(RIGHT(Ruimtestaat[[#This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42" s="85">
        <f>IF(T1142&gt;0,VLOOKUP($J1142,Ruimtegroepen[],3,FALSE)*VLOOKUP($L1142,Vloersoorten[],3,FALSE)*VLOOKUP($S1142,Frequenties[],3,FALSE)*VLOOKUP($A1142,Locaties[],3,FALSE),0)</f>
        <v>0</v>
      </c>
      <c r="V1142" s="86">
        <f>Ruimtestaat[[#This Row],[Uitvoeringen werkdagen]]*Ruimtestaat[[#This Row],[Oppervlak (netto)]]</f>
        <v>3694.32</v>
      </c>
      <c r="W1142" s="87">
        <f>IF(U1142&gt;0,Ruimtestaat[[#This Row],[Prest. (m2 /jaar) werkdagen]]/Ruimtestaat[[#This Row],[Norm (m2/uur) werkdagen]],0)</f>
        <v>0</v>
      </c>
      <c r="X1142" s="88">
        <f>Ruimtestaat[[#This Row],[uren / jaar werkdagen]]*Tariefsopbouw!$E$35</f>
        <v>0</v>
      </c>
      <c r="Y1142" s="85"/>
      <c r="Z1142" s="89">
        <f>IF(Ruimtestaat[[#This Row],[Frequentie weekend]]&gt;0,VALUE(LEFT(Y1142,1))*R1142,0)</f>
        <v>0</v>
      </c>
      <c r="AA1142" s="85">
        <f>IF($Z1142&gt;0,VLOOKUP($J1142,Ruimtegroepen[],3,FALSE)*VLOOKUP($L1142,Vloersoorten[],3,FALSE)*VLOOKUP($Y1142,Frequenties[],3,FALSE)*VLOOKUP(#REF!,Locaties[],3,FALSE),0)</f>
        <v>0</v>
      </c>
      <c r="AB1142" s="87">
        <f>Ruimtestaat[[#This Row],[Uitvoeringen weekend]]*Ruimtestaat[[#This Row],[Oppervlak (netto)]]</f>
        <v>0</v>
      </c>
      <c r="AC1142" s="90">
        <f>IF(AB1142&gt;0,Ruimtestaat[[#This Row],[Prest. (m2 /jaar) weekend]]/Ruimtestaat[[#This Row],[Norm (m2/uur) weekend]],0)</f>
        <v>0</v>
      </c>
      <c r="AD1142" s="91">
        <f>Ruimtestaat[[#This Row],[uren / jaar weekend]]*Tariefsopbouw!$D$40</f>
        <v>0</v>
      </c>
      <c r="AE1142" s="60">
        <f>Ruimtestaat[[#This Row],[Prest. (m2 /jaar) weekend]]+Ruimtestaat[[#This Row],[Prest. (m2 /jaar) werkdagen]]</f>
        <v>3694.32</v>
      </c>
      <c r="AF1142" s="60">
        <f>Ruimtestaat[[#This Row],[uren / jaar weekend]]+Ruimtestaat[[#This Row],[uren / jaar werkdagen]]</f>
        <v>0</v>
      </c>
      <c r="AG1142" s="61">
        <f>Ruimtestaat[[#This Row],[kosten / jaar weekend]]+Ruimtestaat[[#This Row],[kosten / jaar werkdagen]]</f>
        <v>0</v>
      </c>
      <c r="AH1142" s="92"/>
      <c r="HL1142" s="59"/>
    </row>
    <row r="1143" spans="1:220">
      <c r="A1143" s="24">
        <v>7</v>
      </c>
      <c r="B1143" s="24" t="str">
        <f>VLOOKUP(Ruimtestaat[[#This Row],[Code]],Locaties[#All],2,FALSE)</f>
        <v>Het Vlier</v>
      </c>
      <c r="C1143" s="24" t="str">
        <f>VLOOKUP(Ruimtestaat[[#This Row],[Code]],Locaties[#All],4,FALSE)</f>
        <v>Het Vlier 1</v>
      </c>
      <c r="D1143" s="24" t="str">
        <f>VLOOKUP(Ruimtestaat[[#This Row],[Code]],Locaties[#All],5,FALSE)</f>
        <v>7414 AR</v>
      </c>
      <c r="E1143" s="24" t="str">
        <f>VLOOKUP(Ruimtestaat[[#This Row],[Code]],Locaties[#All],6,FALSE)</f>
        <v>Deventer</v>
      </c>
      <c r="F1143" s="54"/>
      <c r="G1143" s="24" t="s">
        <v>512</v>
      </c>
      <c r="H1143" s="24" t="s">
        <v>1547</v>
      </c>
      <c r="I1143" s="4" t="s">
        <v>1208</v>
      </c>
      <c r="J1143" s="24">
        <v>22</v>
      </c>
      <c r="K1143" s="54" t="str">
        <f>VLOOKUP(J1143,Ruimtegroepen[],2,FALSE)</f>
        <v>Niet in onderhoud</v>
      </c>
      <c r="L1143" s="24" t="s">
        <v>305</v>
      </c>
      <c r="M1143" s="24" t="s">
        <v>400</v>
      </c>
      <c r="N1143" s="83"/>
      <c r="O1143" s="83">
        <v>18.59</v>
      </c>
      <c r="P1143" s="93" t="str">
        <f>LEFT(VLOOKUP(Ruimtestaat[[#This Row],[Ruimte code]],Ruimtegroepen[#All],4,1),2)</f>
        <v/>
      </c>
      <c r="Q1143" s="93"/>
      <c r="R1143" s="84"/>
      <c r="S1143" s="84"/>
      <c r="T1143" s="85">
        <f>IF(R1143&gt;0,IF(RIGHT(Ruimtestaat[[#This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3" s="85">
        <f>IF(T1143&gt;0,VLOOKUP($J1143,Ruimtegroepen[],3,FALSE)*VLOOKUP($L1143,Vloersoorten[],3,FALSE)*VLOOKUP($S1143,Frequenties[],3,FALSE)*VLOOKUP($A1143,Locaties[],3,FALSE),0)</f>
        <v>0</v>
      </c>
      <c r="V1143" s="86">
        <f>Ruimtestaat[[#This Row],[Uitvoeringen werkdagen]]*Ruimtestaat[[#This Row],[Oppervlak (netto)]]</f>
        <v>0</v>
      </c>
      <c r="W1143" s="87">
        <f>IF(U1143&gt;0,Ruimtestaat[[#This Row],[Prest. (m2 /jaar) werkdagen]]/Ruimtestaat[[#This Row],[Norm (m2/uur) werkdagen]],0)</f>
        <v>0</v>
      </c>
      <c r="X1143" s="88">
        <f>Ruimtestaat[[#This Row],[uren / jaar werkdagen]]*Tariefsopbouw!$E$35</f>
        <v>0</v>
      </c>
      <c r="Y1143" s="85"/>
      <c r="Z1143" s="89">
        <f>IF(Ruimtestaat[[#This Row],[Frequentie weekend]]&gt;0,VALUE(LEFT(Y1143,1))*R1143,0)</f>
        <v>0</v>
      </c>
      <c r="AA1143" s="85">
        <f>IF($Z1143&gt;0,VLOOKUP($J1143,Ruimtegroepen[],3,FALSE)*VLOOKUP($L1143,Vloersoorten[],3,FALSE)*VLOOKUP($Y1143,Frequenties[],3,FALSE)*VLOOKUP(#REF!,Locaties[],3,FALSE),0)</f>
        <v>0</v>
      </c>
      <c r="AB1143" s="87">
        <f>Ruimtestaat[[#This Row],[Uitvoeringen weekend]]*Ruimtestaat[[#This Row],[Oppervlak (netto)]]</f>
        <v>0</v>
      </c>
      <c r="AC1143" s="90">
        <f>IF(AB1143&gt;0,Ruimtestaat[[#This Row],[Prest. (m2 /jaar) weekend]]/Ruimtestaat[[#This Row],[Norm (m2/uur) weekend]],0)</f>
        <v>0</v>
      </c>
      <c r="AD1143" s="91">
        <f>Ruimtestaat[[#This Row],[uren / jaar weekend]]*Tariefsopbouw!$D$40</f>
        <v>0</v>
      </c>
      <c r="AE1143" s="60">
        <f>Ruimtestaat[[#This Row],[Prest. (m2 /jaar) weekend]]+Ruimtestaat[[#This Row],[Prest. (m2 /jaar) werkdagen]]</f>
        <v>0</v>
      </c>
      <c r="AF1143" s="60">
        <f>Ruimtestaat[[#This Row],[uren / jaar weekend]]+Ruimtestaat[[#This Row],[uren / jaar werkdagen]]</f>
        <v>0</v>
      </c>
      <c r="AG1143" s="61">
        <f>Ruimtestaat[[#This Row],[kosten / jaar weekend]]+Ruimtestaat[[#This Row],[kosten / jaar werkdagen]]</f>
        <v>0</v>
      </c>
      <c r="AH1143" s="92"/>
      <c r="HL1143" s="59"/>
    </row>
    <row r="1144" spans="1:220">
      <c r="A1144" s="24">
        <v>7</v>
      </c>
      <c r="B1144" s="24" t="str">
        <f>VLOOKUP(Ruimtestaat[[#This Row],[Code]],Locaties[#All],2,FALSE)</f>
        <v>Het Vlier</v>
      </c>
      <c r="C1144" s="24" t="str">
        <f>VLOOKUP(Ruimtestaat[[#This Row],[Code]],Locaties[#All],4,FALSE)</f>
        <v>Het Vlier 1</v>
      </c>
      <c r="D1144" s="24" t="str">
        <f>VLOOKUP(Ruimtestaat[[#This Row],[Code]],Locaties[#All],5,FALSE)</f>
        <v>7414 AR</v>
      </c>
      <c r="E1144" s="24" t="str">
        <f>VLOOKUP(Ruimtestaat[[#This Row],[Code]],Locaties[#All],6,FALSE)</f>
        <v>Deventer</v>
      </c>
      <c r="F1144" s="54"/>
      <c r="G1144" s="24" t="s">
        <v>512</v>
      </c>
      <c r="H1144" s="24" t="s">
        <v>1548</v>
      </c>
      <c r="I1144" s="4" t="s">
        <v>1435</v>
      </c>
      <c r="J1144" s="24">
        <v>22</v>
      </c>
      <c r="K1144" s="54" t="str">
        <f>VLOOKUP(J1144,Ruimtegroepen[],2,FALSE)</f>
        <v>Niet in onderhoud</v>
      </c>
      <c r="M1144" s="24"/>
      <c r="N1144" s="83"/>
      <c r="O1144" s="83">
        <v>7.62</v>
      </c>
      <c r="P1144" s="93" t="str">
        <f>LEFT(VLOOKUP(Ruimtestaat[[#This Row],[Ruimte code]],Ruimtegroepen[#All],4,1),2)</f>
        <v/>
      </c>
      <c r="Q1144" s="93"/>
      <c r="R1144" s="84"/>
      <c r="S1144" s="84"/>
      <c r="T1144" s="85">
        <f>IF(R1144&gt;0,IF(RIGHT(Ruimtestaat[[#This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4" s="85">
        <f>IF(T1144&gt;0,VLOOKUP($J1144,Ruimtegroepen[],3,FALSE)*VLOOKUP($L1144,Vloersoorten[],3,FALSE)*VLOOKUP($S1144,Frequenties[],3,FALSE)*VLOOKUP($A1144,Locaties[],3,FALSE),0)</f>
        <v>0</v>
      </c>
      <c r="V1144" s="86">
        <f>Ruimtestaat[[#This Row],[Uitvoeringen werkdagen]]*Ruimtestaat[[#This Row],[Oppervlak (netto)]]</f>
        <v>0</v>
      </c>
      <c r="W1144" s="87">
        <f>IF(U1144&gt;0,Ruimtestaat[[#This Row],[Prest. (m2 /jaar) werkdagen]]/Ruimtestaat[[#This Row],[Norm (m2/uur) werkdagen]],0)</f>
        <v>0</v>
      </c>
      <c r="X1144" s="88">
        <f>Ruimtestaat[[#This Row],[uren / jaar werkdagen]]*Tariefsopbouw!$E$35</f>
        <v>0</v>
      </c>
      <c r="Y1144" s="85"/>
      <c r="Z1144" s="89">
        <f>IF(Ruimtestaat[[#This Row],[Frequentie weekend]]&gt;0,VALUE(LEFT(Y1144,1))*R1144,0)</f>
        <v>0</v>
      </c>
      <c r="AA1144" s="85">
        <f>IF($Z1144&gt;0,VLOOKUP($J1144,Ruimtegroepen[],3,FALSE)*VLOOKUP($L1144,Vloersoorten[],3,FALSE)*VLOOKUP($Y1144,Frequenties[],3,FALSE)*VLOOKUP(#REF!,Locaties[],3,FALSE),0)</f>
        <v>0</v>
      </c>
      <c r="AB1144" s="87">
        <f>Ruimtestaat[[#This Row],[Uitvoeringen weekend]]*Ruimtestaat[[#This Row],[Oppervlak (netto)]]</f>
        <v>0</v>
      </c>
      <c r="AC1144" s="90">
        <f>IF(AB1144&gt;0,Ruimtestaat[[#This Row],[Prest. (m2 /jaar) weekend]]/Ruimtestaat[[#This Row],[Norm (m2/uur) weekend]],0)</f>
        <v>0</v>
      </c>
      <c r="AD1144" s="91">
        <f>Ruimtestaat[[#This Row],[uren / jaar weekend]]*Tariefsopbouw!$D$40</f>
        <v>0</v>
      </c>
      <c r="AE1144" s="60">
        <f>Ruimtestaat[[#This Row],[Prest. (m2 /jaar) weekend]]+Ruimtestaat[[#This Row],[Prest. (m2 /jaar) werkdagen]]</f>
        <v>0</v>
      </c>
      <c r="AF1144" s="60">
        <f>Ruimtestaat[[#This Row],[uren / jaar weekend]]+Ruimtestaat[[#This Row],[uren / jaar werkdagen]]</f>
        <v>0</v>
      </c>
      <c r="AG1144" s="61">
        <f>Ruimtestaat[[#This Row],[kosten / jaar weekend]]+Ruimtestaat[[#This Row],[kosten / jaar werkdagen]]</f>
        <v>0</v>
      </c>
      <c r="AH1144" s="92"/>
      <c r="HL1144" s="59"/>
    </row>
    <row r="1145" spans="1:220">
      <c r="A1145" s="24">
        <v>7</v>
      </c>
      <c r="B1145" s="24" t="str">
        <f>VLOOKUP(Ruimtestaat[[#This Row],[Code]],Locaties[#All],2,FALSE)</f>
        <v>Het Vlier</v>
      </c>
      <c r="C1145" s="24" t="str">
        <f>VLOOKUP(Ruimtestaat[[#This Row],[Code]],Locaties[#All],4,FALSE)</f>
        <v>Het Vlier 1</v>
      </c>
      <c r="D1145" s="24" t="str">
        <f>VLOOKUP(Ruimtestaat[[#This Row],[Code]],Locaties[#All],5,FALSE)</f>
        <v>7414 AR</v>
      </c>
      <c r="E1145" s="24" t="str">
        <f>VLOOKUP(Ruimtestaat[[#This Row],[Code]],Locaties[#All],6,FALSE)</f>
        <v>Deventer</v>
      </c>
      <c r="F1145" s="54"/>
      <c r="G1145" s="24" t="s">
        <v>512</v>
      </c>
      <c r="H1145" s="24" t="s">
        <v>1549</v>
      </c>
      <c r="I1145" s="4" t="s">
        <v>1550</v>
      </c>
      <c r="J1145" s="24">
        <v>12</v>
      </c>
      <c r="K1145" s="54" t="str">
        <f>VLOOKUP(J1145,Ruimtegroepen[],2,FALSE)</f>
        <v>Kantine</v>
      </c>
      <c r="L1145" s="24" t="s">
        <v>305</v>
      </c>
      <c r="M1145" s="24" t="s">
        <v>400</v>
      </c>
      <c r="N1145" s="83">
        <v>813.98</v>
      </c>
      <c r="O1145" s="83"/>
      <c r="P1145" s="93" t="str">
        <f>LEFT(VLOOKUP(Ruimtestaat[[#This Row],[Ruimte code]],Ruimtegroepen[#All],4,1),2)</f>
        <v>Ve</v>
      </c>
      <c r="Q1145" s="93"/>
      <c r="R1145" s="84">
        <v>40</v>
      </c>
      <c r="S1145" s="84" t="s">
        <v>318</v>
      </c>
      <c r="T1145" s="85">
        <f>IF(R1145&gt;0,IF(RIGHT(Ruimtestaat[[#This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45" s="85">
        <f>IF(T1145&gt;0,VLOOKUP($J1145,Ruimtegroepen[],3,FALSE)*VLOOKUP($L1145,Vloersoorten[],3,FALSE)*VLOOKUP($S1145,Frequenties[],3,FALSE)*VLOOKUP($A1145,Locaties[],3,FALSE),0)</f>
        <v>0</v>
      </c>
      <c r="V1145" s="86">
        <f>Ruimtestaat[[#This Row],[Uitvoeringen werkdagen]]*Ruimtestaat[[#This Row],[Oppervlak (netto)]]</f>
        <v>162796</v>
      </c>
      <c r="W1145" s="87">
        <f>IF(U1145&gt;0,Ruimtestaat[[#This Row],[Prest. (m2 /jaar) werkdagen]]/Ruimtestaat[[#This Row],[Norm (m2/uur) werkdagen]],0)</f>
        <v>0</v>
      </c>
      <c r="X1145" s="88">
        <f>Ruimtestaat[[#This Row],[uren / jaar werkdagen]]*Tariefsopbouw!$E$35</f>
        <v>0</v>
      </c>
      <c r="Y1145" s="85"/>
      <c r="Z1145" s="89">
        <f>IF(Ruimtestaat[[#This Row],[Frequentie weekend]]&gt;0,VALUE(LEFT(Y1145,1))*R1145,0)</f>
        <v>0</v>
      </c>
      <c r="AA1145" s="85">
        <f>IF($Z1145&gt;0,VLOOKUP($J1145,Ruimtegroepen[],3,FALSE)*VLOOKUP($L1145,Vloersoorten[],3,FALSE)*VLOOKUP($Y1145,Frequenties[],3,FALSE)*VLOOKUP(#REF!,Locaties[],3,FALSE),0)</f>
        <v>0</v>
      </c>
      <c r="AB1145" s="87">
        <f>Ruimtestaat[[#This Row],[Uitvoeringen weekend]]*Ruimtestaat[[#This Row],[Oppervlak (netto)]]</f>
        <v>0</v>
      </c>
      <c r="AC1145" s="90">
        <f>IF(AB1145&gt;0,Ruimtestaat[[#This Row],[Prest. (m2 /jaar) weekend]]/Ruimtestaat[[#This Row],[Norm (m2/uur) weekend]],0)</f>
        <v>0</v>
      </c>
      <c r="AD1145" s="91">
        <f>Ruimtestaat[[#This Row],[uren / jaar weekend]]*Tariefsopbouw!$D$40</f>
        <v>0</v>
      </c>
      <c r="AE1145" s="60">
        <f>Ruimtestaat[[#This Row],[Prest. (m2 /jaar) weekend]]+Ruimtestaat[[#This Row],[Prest. (m2 /jaar) werkdagen]]</f>
        <v>162796</v>
      </c>
      <c r="AF1145" s="60">
        <f>Ruimtestaat[[#This Row],[uren / jaar weekend]]+Ruimtestaat[[#This Row],[uren / jaar werkdagen]]</f>
        <v>0</v>
      </c>
      <c r="AG1145" s="61">
        <f>Ruimtestaat[[#This Row],[kosten / jaar weekend]]+Ruimtestaat[[#This Row],[kosten / jaar werkdagen]]</f>
        <v>0</v>
      </c>
      <c r="AH1145" s="92"/>
      <c r="HL1145" s="59"/>
    </row>
    <row r="1146" spans="1:220">
      <c r="A1146" s="24">
        <v>7</v>
      </c>
      <c r="B1146" s="24" t="str">
        <f>VLOOKUP(Ruimtestaat[[#This Row],[Code]],Locaties[#All],2,FALSE)</f>
        <v>Het Vlier</v>
      </c>
      <c r="C1146" s="24" t="str">
        <f>VLOOKUP(Ruimtestaat[[#This Row],[Code]],Locaties[#All],4,FALSE)</f>
        <v>Het Vlier 1</v>
      </c>
      <c r="D1146" s="24" t="str">
        <f>VLOOKUP(Ruimtestaat[[#This Row],[Code]],Locaties[#All],5,FALSE)</f>
        <v>7414 AR</v>
      </c>
      <c r="E1146" s="24" t="str">
        <f>VLOOKUP(Ruimtestaat[[#This Row],[Code]],Locaties[#All],6,FALSE)</f>
        <v>Deventer</v>
      </c>
      <c r="F1146" s="54"/>
      <c r="G1146" s="24" t="s">
        <v>512</v>
      </c>
      <c r="H1146" s="24" t="s">
        <v>1551</v>
      </c>
      <c r="I1146" s="4" t="s">
        <v>535</v>
      </c>
      <c r="J1146" s="24">
        <v>22</v>
      </c>
      <c r="K1146" s="54" t="str">
        <f>VLOOKUP(J1146,Ruimtegroepen[],2,FALSE)</f>
        <v>Niet in onderhoud</v>
      </c>
      <c r="M1146" s="24"/>
      <c r="N1146" s="83"/>
      <c r="O1146" s="83">
        <v>3.17</v>
      </c>
      <c r="P1146" s="93" t="str">
        <f>LEFT(VLOOKUP(Ruimtestaat[[#This Row],[Ruimte code]],Ruimtegroepen[#All],4,1),2)</f>
        <v/>
      </c>
      <c r="Q1146" s="93"/>
      <c r="R1146" s="84"/>
      <c r="S1146" s="84"/>
      <c r="T1146" s="85">
        <f>IF(R1146&gt;0,IF(RIGHT(Ruimtestaat[[#This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6" s="85">
        <f>IF(T1146&gt;0,VLOOKUP($J1146,Ruimtegroepen[],3,FALSE)*VLOOKUP($L1146,Vloersoorten[],3,FALSE)*VLOOKUP($S1146,Frequenties[],3,FALSE)*VLOOKUP($A1146,Locaties[],3,FALSE),0)</f>
        <v>0</v>
      </c>
      <c r="V1146" s="86">
        <f>Ruimtestaat[[#This Row],[Uitvoeringen werkdagen]]*Ruimtestaat[[#This Row],[Oppervlak (netto)]]</f>
        <v>0</v>
      </c>
      <c r="W1146" s="87">
        <f>IF(U1146&gt;0,Ruimtestaat[[#This Row],[Prest. (m2 /jaar) werkdagen]]/Ruimtestaat[[#This Row],[Norm (m2/uur) werkdagen]],0)</f>
        <v>0</v>
      </c>
      <c r="X1146" s="88">
        <f>Ruimtestaat[[#This Row],[uren / jaar werkdagen]]*Tariefsopbouw!$E$35</f>
        <v>0</v>
      </c>
      <c r="Y1146" s="85"/>
      <c r="Z1146" s="89">
        <f>IF(Ruimtestaat[[#This Row],[Frequentie weekend]]&gt;0,VALUE(LEFT(Y1146,1))*R1146,0)</f>
        <v>0</v>
      </c>
      <c r="AA1146" s="85">
        <f>IF($Z1146&gt;0,VLOOKUP($J1146,Ruimtegroepen[],3,FALSE)*VLOOKUP($L1146,Vloersoorten[],3,FALSE)*VLOOKUP($Y1146,Frequenties[],3,FALSE)*VLOOKUP(#REF!,Locaties[],3,FALSE),0)</f>
        <v>0</v>
      </c>
      <c r="AB1146" s="87">
        <f>Ruimtestaat[[#This Row],[Uitvoeringen weekend]]*Ruimtestaat[[#This Row],[Oppervlak (netto)]]</f>
        <v>0</v>
      </c>
      <c r="AC1146" s="90">
        <f>IF(AB1146&gt;0,Ruimtestaat[[#This Row],[Prest. (m2 /jaar) weekend]]/Ruimtestaat[[#This Row],[Norm (m2/uur) weekend]],0)</f>
        <v>0</v>
      </c>
      <c r="AD1146" s="91">
        <f>Ruimtestaat[[#This Row],[uren / jaar weekend]]*Tariefsopbouw!$D$40</f>
        <v>0</v>
      </c>
      <c r="AE1146" s="60">
        <f>Ruimtestaat[[#This Row],[Prest. (m2 /jaar) weekend]]+Ruimtestaat[[#This Row],[Prest. (m2 /jaar) werkdagen]]</f>
        <v>0</v>
      </c>
      <c r="AF1146" s="60">
        <f>Ruimtestaat[[#This Row],[uren / jaar weekend]]+Ruimtestaat[[#This Row],[uren / jaar werkdagen]]</f>
        <v>0</v>
      </c>
      <c r="AG1146" s="61">
        <f>Ruimtestaat[[#This Row],[kosten / jaar weekend]]+Ruimtestaat[[#This Row],[kosten / jaar werkdagen]]</f>
        <v>0</v>
      </c>
      <c r="AH1146" s="92"/>
      <c r="HL1146" s="59"/>
    </row>
    <row r="1147" spans="1:220">
      <c r="A1147" s="24">
        <v>7</v>
      </c>
      <c r="B1147" s="24" t="str">
        <f>VLOOKUP(Ruimtestaat[[#This Row],[Code]],Locaties[#All],2,FALSE)</f>
        <v>Het Vlier</v>
      </c>
      <c r="C1147" s="24" t="str">
        <f>VLOOKUP(Ruimtestaat[[#This Row],[Code]],Locaties[#All],4,FALSE)</f>
        <v>Het Vlier 1</v>
      </c>
      <c r="D1147" s="24" t="str">
        <f>VLOOKUP(Ruimtestaat[[#This Row],[Code]],Locaties[#All],5,FALSE)</f>
        <v>7414 AR</v>
      </c>
      <c r="E1147" s="24" t="str">
        <f>VLOOKUP(Ruimtestaat[[#This Row],[Code]],Locaties[#All],6,FALSE)</f>
        <v>Deventer</v>
      </c>
      <c r="F1147" s="54"/>
      <c r="G1147" s="24" t="s">
        <v>512</v>
      </c>
      <c r="H1147" s="24" t="s">
        <v>1552</v>
      </c>
      <c r="I1147" s="4" t="s">
        <v>1488</v>
      </c>
      <c r="J1147" s="24">
        <v>2</v>
      </c>
      <c r="K1147" s="54" t="str">
        <f>VLOOKUP(J1147,Ruimtegroepen[],2,FALSE)</f>
        <v>Kantoren</v>
      </c>
      <c r="L1147" s="24" t="s">
        <v>305</v>
      </c>
      <c r="M1147" s="24" t="s">
        <v>400</v>
      </c>
      <c r="N1147" s="83">
        <v>22.3</v>
      </c>
      <c r="O1147" s="83"/>
      <c r="P1147" s="93" t="str">
        <f>LEFT(VLOOKUP(Ruimtestaat[[#This Row],[Ruimte code]],Ruimtegroepen[#All],4,1),2)</f>
        <v>Bu</v>
      </c>
      <c r="Q1147" s="93"/>
      <c r="R1147" s="84">
        <v>42</v>
      </c>
      <c r="S1147" s="84" t="s">
        <v>322</v>
      </c>
      <c r="T1147" s="85">
        <f>IF(R1147&gt;0,IF(RIGHT(Ruimtestaat[[#This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47" s="85">
        <f>IF(T1147&gt;0,VLOOKUP($J1147,Ruimtegroepen[],3,FALSE)*VLOOKUP($L1147,Vloersoorten[],3,FALSE)*VLOOKUP($S1147,Frequenties[],3,FALSE)*VLOOKUP($A1147,Locaties[],3,FALSE),0)</f>
        <v>0</v>
      </c>
      <c r="V1147" s="86">
        <f>Ruimtestaat[[#This Row],[Uitvoeringen werkdagen]]*Ruimtestaat[[#This Row],[Oppervlak (netto)]]</f>
        <v>2809.8</v>
      </c>
      <c r="W1147" s="87">
        <f>IF(U1147&gt;0,Ruimtestaat[[#This Row],[Prest. (m2 /jaar) werkdagen]]/Ruimtestaat[[#This Row],[Norm (m2/uur) werkdagen]],0)</f>
        <v>0</v>
      </c>
      <c r="X1147" s="88">
        <f>Ruimtestaat[[#This Row],[uren / jaar werkdagen]]*Tariefsopbouw!$E$35</f>
        <v>0</v>
      </c>
      <c r="Y1147" s="85"/>
      <c r="Z1147" s="89">
        <f>IF(Ruimtestaat[[#This Row],[Frequentie weekend]]&gt;0,VALUE(LEFT(Y1147,1))*R1147,0)</f>
        <v>0</v>
      </c>
      <c r="AA1147" s="85">
        <f>IF($Z1147&gt;0,VLOOKUP($J1147,Ruimtegroepen[],3,FALSE)*VLOOKUP($L1147,Vloersoorten[],3,FALSE)*VLOOKUP($Y1147,Frequenties[],3,FALSE)*VLOOKUP(#REF!,Locaties[],3,FALSE),0)</f>
        <v>0</v>
      </c>
      <c r="AB1147" s="87">
        <f>Ruimtestaat[[#This Row],[Uitvoeringen weekend]]*Ruimtestaat[[#This Row],[Oppervlak (netto)]]</f>
        <v>0</v>
      </c>
      <c r="AC1147" s="90">
        <f>IF(AB1147&gt;0,Ruimtestaat[[#This Row],[Prest. (m2 /jaar) weekend]]/Ruimtestaat[[#This Row],[Norm (m2/uur) weekend]],0)</f>
        <v>0</v>
      </c>
      <c r="AD1147" s="91">
        <f>Ruimtestaat[[#This Row],[uren / jaar weekend]]*Tariefsopbouw!$D$40</f>
        <v>0</v>
      </c>
      <c r="AE1147" s="60">
        <f>Ruimtestaat[[#This Row],[Prest. (m2 /jaar) weekend]]+Ruimtestaat[[#This Row],[Prest. (m2 /jaar) werkdagen]]</f>
        <v>2809.8</v>
      </c>
      <c r="AF1147" s="60">
        <f>Ruimtestaat[[#This Row],[uren / jaar weekend]]+Ruimtestaat[[#This Row],[uren / jaar werkdagen]]</f>
        <v>0</v>
      </c>
      <c r="AG1147" s="61">
        <f>Ruimtestaat[[#This Row],[kosten / jaar weekend]]+Ruimtestaat[[#This Row],[kosten / jaar werkdagen]]</f>
        <v>0</v>
      </c>
      <c r="AH1147" s="92"/>
      <c r="HL1147" s="59"/>
    </row>
    <row r="1148" spans="1:220">
      <c r="A1148" s="24">
        <v>7</v>
      </c>
      <c r="B1148" s="24" t="str">
        <f>VLOOKUP(Ruimtestaat[[#This Row],[Code]],Locaties[#All],2,FALSE)</f>
        <v>Het Vlier</v>
      </c>
      <c r="C1148" s="24" t="str">
        <f>VLOOKUP(Ruimtestaat[[#This Row],[Code]],Locaties[#All],4,FALSE)</f>
        <v>Het Vlier 1</v>
      </c>
      <c r="D1148" s="24" t="str">
        <f>VLOOKUP(Ruimtestaat[[#This Row],[Code]],Locaties[#All],5,FALSE)</f>
        <v>7414 AR</v>
      </c>
      <c r="E1148" s="24" t="str">
        <f>VLOOKUP(Ruimtestaat[[#This Row],[Code]],Locaties[#All],6,FALSE)</f>
        <v>Deventer</v>
      </c>
      <c r="F1148" s="54"/>
      <c r="G1148" s="24" t="s">
        <v>512</v>
      </c>
      <c r="H1148" s="24" t="s">
        <v>1553</v>
      </c>
      <c r="I1148" s="4" t="s">
        <v>1554</v>
      </c>
      <c r="J1148" s="24">
        <v>6</v>
      </c>
      <c r="K1148" s="54" t="str">
        <f>VLOOKUP(J1148,Ruimtegroepen[],2,FALSE)</f>
        <v>Gangen/hallen</v>
      </c>
      <c r="L1148" s="24" t="s">
        <v>305</v>
      </c>
      <c r="M1148" s="24" t="s">
        <v>1555</v>
      </c>
      <c r="N1148" s="83">
        <v>28.88</v>
      </c>
      <c r="O1148" s="83"/>
      <c r="P1148" s="93" t="str">
        <f>LEFT(VLOOKUP(Ruimtestaat[[#This Row],[Ruimte code]],Ruimtegroepen[#All],4,1),2)</f>
        <v>Ve</v>
      </c>
      <c r="Q1148" s="93"/>
      <c r="R1148" s="84">
        <v>40</v>
      </c>
      <c r="S1148" s="84" t="s">
        <v>318</v>
      </c>
      <c r="T1148" s="85">
        <f>IF(R1148&gt;0,IF(RIGHT(Ruimtestaat[[#This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48" s="85">
        <f>IF(T1148&gt;0,VLOOKUP($J1148,Ruimtegroepen[],3,FALSE)*VLOOKUP($L1148,Vloersoorten[],3,FALSE)*VLOOKUP($S1148,Frequenties[],3,FALSE)*VLOOKUP($A1148,Locaties[],3,FALSE),0)</f>
        <v>0</v>
      </c>
      <c r="V1148" s="86">
        <f>Ruimtestaat[[#This Row],[Uitvoeringen werkdagen]]*Ruimtestaat[[#This Row],[Oppervlak (netto)]]</f>
        <v>5776</v>
      </c>
      <c r="W1148" s="87">
        <f>IF(U1148&gt;0,Ruimtestaat[[#This Row],[Prest. (m2 /jaar) werkdagen]]/Ruimtestaat[[#This Row],[Norm (m2/uur) werkdagen]],0)</f>
        <v>0</v>
      </c>
      <c r="X1148" s="88">
        <f>Ruimtestaat[[#This Row],[uren / jaar werkdagen]]*Tariefsopbouw!$E$35</f>
        <v>0</v>
      </c>
      <c r="Y1148" s="85"/>
      <c r="Z1148" s="89">
        <f>IF(Ruimtestaat[[#This Row],[Frequentie weekend]]&gt;0,VALUE(LEFT(Y1148,1))*R1148,0)</f>
        <v>0</v>
      </c>
      <c r="AA1148" s="85">
        <f>IF($Z1148&gt;0,VLOOKUP($J1148,Ruimtegroepen[],3,FALSE)*VLOOKUP($L1148,Vloersoorten[],3,FALSE)*VLOOKUP($Y1148,Frequenties[],3,FALSE)*VLOOKUP(#REF!,Locaties[],3,FALSE),0)</f>
        <v>0</v>
      </c>
      <c r="AB1148" s="87">
        <f>Ruimtestaat[[#This Row],[Uitvoeringen weekend]]*Ruimtestaat[[#This Row],[Oppervlak (netto)]]</f>
        <v>0</v>
      </c>
      <c r="AC1148" s="90">
        <f>IF(AB1148&gt;0,Ruimtestaat[[#This Row],[Prest. (m2 /jaar) weekend]]/Ruimtestaat[[#This Row],[Norm (m2/uur) weekend]],0)</f>
        <v>0</v>
      </c>
      <c r="AD1148" s="91">
        <f>Ruimtestaat[[#This Row],[uren / jaar weekend]]*Tariefsopbouw!$D$40</f>
        <v>0</v>
      </c>
      <c r="AE1148" s="60">
        <f>Ruimtestaat[[#This Row],[Prest. (m2 /jaar) weekend]]+Ruimtestaat[[#This Row],[Prest. (m2 /jaar) werkdagen]]</f>
        <v>5776</v>
      </c>
      <c r="AF1148" s="60">
        <f>Ruimtestaat[[#This Row],[uren / jaar weekend]]+Ruimtestaat[[#This Row],[uren / jaar werkdagen]]</f>
        <v>0</v>
      </c>
      <c r="AG1148" s="61">
        <f>Ruimtestaat[[#This Row],[kosten / jaar weekend]]+Ruimtestaat[[#This Row],[kosten / jaar werkdagen]]</f>
        <v>0</v>
      </c>
      <c r="AH1148" s="92"/>
      <c r="HL1148" s="59"/>
    </row>
    <row r="1149" spans="1:220">
      <c r="A1149" s="24">
        <v>7</v>
      </c>
      <c r="B1149" s="24" t="str">
        <f>VLOOKUP(Ruimtestaat[[#This Row],[Code]],Locaties[#All],2,FALSE)</f>
        <v>Het Vlier</v>
      </c>
      <c r="C1149" s="24" t="str">
        <f>VLOOKUP(Ruimtestaat[[#This Row],[Code]],Locaties[#All],4,FALSE)</f>
        <v>Het Vlier 1</v>
      </c>
      <c r="D1149" s="24" t="str">
        <f>VLOOKUP(Ruimtestaat[[#This Row],[Code]],Locaties[#All],5,FALSE)</f>
        <v>7414 AR</v>
      </c>
      <c r="E1149" s="24" t="str">
        <f>VLOOKUP(Ruimtestaat[[#This Row],[Code]],Locaties[#All],6,FALSE)</f>
        <v>Deventer</v>
      </c>
      <c r="F1149" s="54"/>
      <c r="G1149" s="24" t="s">
        <v>512</v>
      </c>
      <c r="H1149" s="24" t="s">
        <v>1556</v>
      </c>
      <c r="I1149" s="4" t="s">
        <v>1435</v>
      </c>
      <c r="J1149" s="24">
        <v>22</v>
      </c>
      <c r="K1149" s="54" t="str">
        <f>VLOOKUP(J1149,Ruimtegroepen[],2,FALSE)</f>
        <v>Niet in onderhoud</v>
      </c>
      <c r="M1149" s="24"/>
      <c r="N1149" s="83"/>
      <c r="O1149" s="83">
        <v>55.18</v>
      </c>
      <c r="P1149" s="93" t="str">
        <f>LEFT(VLOOKUP(Ruimtestaat[[#This Row],[Ruimte code]],Ruimtegroepen[#All],4,1),2)</f>
        <v/>
      </c>
      <c r="Q1149" s="93"/>
      <c r="R1149" s="84"/>
      <c r="S1149" s="84"/>
      <c r="T1149" s="85">
        <f>IF(R1149&gt;0,IF(RIGHT(Ruimtestaat[[#This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9" s="85">
        <f>IF(T1149&gt;0,VLOOKUP($J1149,Ruimtegroepen[],3,FALSE)*VLOOKUP($L1149,Vloersoorten[],3,FALSE)*VLOOKUP($S1149,Frequenties[],3,FALSE)*VLOOKUP($A1149,Locaties[],3,FALSE),0)</f>
        <v>0</v>
      </c>
      <c r="V1149" s="86">
        <f>Ruimtestaat[[#This Row],[Uitvoeringen werkdagen]]*Ruimtestaat[[#This Row],[Oppervlak (netto)]]</f>
        <v>0</v>
      </c>
      <c r="W1149" s="87">
        <f>IF(U1149&gt;0,Ruimtestaat[[#This Row],[Prest. (m2 /jaar) werkdagen]]/Ruimtestaat[[#This Row],[Norm (m2/uur) werkdagen]],0)</f>
        <v>0</v>
      </c>
      <c r="X1149" s="88">
        <f>Ruimtestaat[[#This Row],[uren / jaar werkdagen]]*Tariefsopbouw!$E$35</f>
        <v>0</v>
      </c>
      <c r="Y1149" s="85"/>
      <c r="Z1149" s="89">
        <f>IF(Ruimtestaat[[#This Row],[Frequentie weekend]]&gt;0,VALUE(LEFT(Y1149,1))*R1149,0)</f>
        <v>0</v>
      </c>
      <c r="AA1149" s="85">
        <f>IF($Z1149&gt;0,VLOOKUP($J1149,Ruimtegroepen[],3,FALSE)*VLOOKUP($L1149,Vloersoorten[],3,FALSE)*VLOOKUP($Y1149,Frequenties[],3,FALSE)*VLOOKUP(#REF!,Locaties[],3,FALSE),0)</f>
        <v>0</v>
      </c>
      <c r="AB1149" s="87">
        <f>Ruimtestaat[[#This Row],[Uitvoeringen weekend]]*Ruimtestaat[[#This Row],[Oppervlak (netto)]]</f>
        <v>0</v>
      </c>
      <c r="AC1149" s="90">
        <f>IF(AB1149&gt;0,Ruimtestaat[[#This Row],[Prest. (m2 /jaar) weekend]]/Ruimtestaat[[#This Row],[Norm (m2/uur) weekend]],0)</f>
        <v>0</v>
      </c>
      <c r="AD1149" s="91">
        <f>Ruimtestaat[[#This Row],[uren / jaar weekend]]*Tariefsopbouw!$D$40</f>
        <v>0</v>
      </c>
      <c r="AE1149" s="60">
        <f>Ruimtestaat[[#This Row],[Prest. (m2 /jaar) weekend]]+Ruimtestaat[[#This Row],[Prest. (m2 /jaar) werkdagen]]</f>
        <v>0</v>
      </c>
      <c r="AF1149" s="60">
        <f>Ruimtestaat[[#This Row],[uren / jaar weekend]]+Ruimtestaat[[#This Row],[uren / jaar werkdagen]]</f>
        <v>0</v>
      </c>
      <c r="AG1149" s="61">
        <f>Ruimtestaat[[#This Row],[kosten / jaar weekend]]+Ruimtestaat[[#This Row],[kosten / jaar werkdagen]]</f>
        <v>0</v>
      </c>
      <c r="AH1149" s="92"/>
      <c r="HL1149" s="59"/>
    </row>
    <row r="1150" spans="1:220">
      <c r="A1150" s="24">
        <v>7</v>
      </c>
      <c r="B1150" s="24" t="str">
        <f>VLOOKUP(Ruimtestaat[[#This Row],[Code]],Locaties[#All],2,FALSE)</f>
        <v>Het Vlier</v>
      </c>
      <c r="C1150" s="24" t="str">
        <f>VLOOKUP(Ruimtestaat[[#This Row],[Code]],Locaties[#All],4,FALSE)</f>
        <v>Het Vlier 1</v>
      </c>
      <c r="D1150" s="24" t="str">
        <f>VLOOKUP(Ruimtestaat[[#This Row],[Code]],Locaties[#All],5,FALSE)</f>
        <v>7414 AR</v>
      </c>
      <c r="E1150" s="24" t="str">
        <f>VLOOKUP(Ruimtestaat[[#This Row],[Code]],Locaties[#All],6,FALSE)</f>
        <v>Deventer</v>
      </c>
      <c r="F1150" s="54"/>
      <c r="G1150" s="24" t="s">
        <v>512</v>
      </c>
      <c r="H1150" s="24" t="s">
        <v>1557</v>
      </c>
      <c r="I1150" s="4" t="s">
        <v>1491</v>
      </c>
      <c r="J1150" s="24">
        <v>5</v>
      </c>
      <c r="K1150" s="54" t="str">
        <f>VLOOKUP(J1150,Ruimtegroepen[],2,FALSE)</f>
        <v>Sanitair</v>
      </c>
      <c r="L1150" s="24" t="s">
        <v>305</v>
      </c>
      <c r="M1150" s="24" t="s">
        <v>400</v>
      </c>
      <c r="N1150" s="83">
        <v>13.64</v>
      </c>
      <c r="O1150" s="83"/>
      <c r="P1150" s="93" t="str">
        <f>LEFT(VLOOKUP(Ruimtestaat[[#This Row],[Ruimte code]],Ruimtegroepen[#All],4,1),2)</f>
        <v>Sa</v>
      </c>
      <c r="Q1150" s="93"/>
      <c r="R1150" s="84">
        <v>42</v>
      </c>
      <c r="S1150" s="84" t="s">
        <v>316</v>
      </c>
      <c r="T1150" s="85">
        <f>IF(R1150&gt;0,IF(RIGHT(Ruimtestaat[[#This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50" s="85">
        <f>IF(T1150&gt;0,VLOOKUP($J1150,Ruimtegroepen[],3,FALSE)*VLOOKUP($L1150,Vloersoorten[],3,FALSE)*VLOOKUP($S1150,Frequenties[],3,FALSE)*VLOOKUP($A1150,Locaties[],3,FALSE),0)</f>
        <v>0</v>
      </c>
      <c r="V1150" s="86">
        <f>Ruimtestaat[[#This Row],[Uitvoeringen werkdagen]]*Ruimtestaat[[#This Row],[Oppervlak (netto)]]</f>
        <v>5728.8</v>
      </c>
      <c r="W1150" s="87">
        <f>IF(U1150&gt;0,Ruimtestaat[[#This Row],[Prest. (m2 /jaar) werkdagen]]/Ruimtestaat[[#This Row],[Norm (m2/uur) werkdagen]],0)</f>
        <v>0</v>
      </c>
      <c r="X1150" s="88">
        <f>Ruimtestaat[[#This Row],[uren / jaar werkdagen]]*Tariefsopbouw!$E$35</f>
        <v>0</v>
      </c>
      <c r="Y1150" s="85"/>
      <c r="Z1150" s="89">
        <f>IF(Ruimtestaat[[#This Row],[Frequentie weekend]]&gt;0,VALUE(LEFT(Y1150,1))*R1150,0)</f>
        <v>0</v>
      </c>
      <c r="AA1150" s="85">
        <f>IF($Z1150&gt;0,VLOOKUP($J1150,Ruimtegroepen[],3,FALSE)*VLOOKUP($L1150,Vloersoorten[],3,FALSE)*VLOOKUP($Y1150,Frequenties[],3,FALSE)*VLOOKUP(#REF!,Locaties[],3,FALSE),0)</f>
        <v>0</v>
      </c>
      <c r="AB1150" s="87">
        <f>Ruimtestaat[[#This Row],[Uitvoeringen weekend]]*Ruimtestaat[[#This Row],[Oppervlak (netto)]]</f>
        <v>0</v>
      </c>
      <c r="AC1150" s="90">
        <f>IF(AB1150&gt;0,Ruimtestaat[[#This Row],[Prest. (m2 /jaar) weekend]]/Ruimtestaat[[#This Row],[Norm (m2/uur) weekend]],0)</f>
        <v>0</v>
      </c>
      <c r="AD1150" s="91">
        <f>Ruimtestaat[[#This Row],[uren / jaar weekend]]*Tariefsopbouw!$D$40</f>
        <v>0</v>
      </c>
      <c r="AE1150" s="60">
        <f>Ruimtestaat[[#This Row],[Prest. (m2 /jaar) weekend]]+Ruimtestaat[[#This Row],[Prest. (m2 /jaar) werkdagen]]</f>
        <v>5728.8</v>
      </c>
      <c r="AF1150" s="60">
        <f>Ruimtestaat[[#This Row],[uren / jaar weekend]]+Ruimtestaat[[#This Row],[uren / jaar werkdagen]]</f>
        <v>0</v>
      </c>
      <c r="AG1150" s="61">
        <f>Ruimtestaat[[#This Row],[kosten / jaar weekend]]+Ruimtestaat[[#This Row],[kosten / jaar werkdagen]]</f>
        <v>0</v>
      </c>
      <c r="AH1150" s="92"/>
      <c r="HL1150" s="59"/>
    </row>
    <row r="1151" spans="1:220">
      <c r="A1151" s="24">
        <v>7</v>
      </c>
      <c r="B1151" s="24" t="str">
        <f>VLOOKUP(Ruimtestaat[[#This Row],[Code]],Locaties[#All],2,FALSE)</f>
        <v>Het Vlier</v>
      </c>
      <c r="C1151" s="24" t="str">
        <f>VLOOKUP(Ruimtestaat[[#This Row],[Code]],Locaties[#All],4,FALSE)</f>
        <v>Het Vlier 1</v>
      </c>
      <c r="D1151" s="24" t="str">
        <f>VLOOKUP(Ruimtestaat[[#This Row],[Code]],Locaties[#All],5,FALSE)</f>
        <v>7414 AR</v>
      </c>
      <c r="E1151" s="24" t="str">
        <f>VLOOKUP(Ruimtestaat[[#This Row],[Code]],Locaties[#All],6,FALSE)</f>
        <v>Deventer</v>
      </c>
      <c r="F1151" s="54"/>
      <c r="G1151" s="24" t="s">
        <v>512</v>
      </c>
      <c r="H1151" s="24" t="s">
        <v>1558</v>
      </c>
      <c r="I1151" s="4" t="s">
        <v>535</v>
      </c>
      <c r="J1151" s="24">
        <v>22</v>
      </c>
      <c r="K1151" s="54" t="str">
        <f>VLOOKUP(J1151,Ruimtegroepen[],2,FALSE)</f>
        <v>Niet in onderhoud</v>
      </c>
      <c r="M1151" s="24"/>
      <c r="N1151" s="83"/>
      <c r="O1151" s="83">
        <v>3.79</v>
      </c>
      <c r="P1151" s="93" t="str">
        <f>LEFT(VLOOKUP(Ruimtestaat[[#This Row],[Ruimte code]],Ruimtegroepen[#All],4,1),2)</f>
        <v/>
      </c>
      <c r="Q1151" s="93"/>
      <c r="R1151" s="84"/>
      <c r="S1151" s="84"/>
      <c r="T1151" s="85">
        <f>IF(R1151&gt;0,IF(RIGHT(Ruimtestaat[[#This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51" s="85">
        <f>IF(T1151&gt;0,VLOOKUP($J1151,Ruimtegroepen[],3,FALSE)*VLOOKUP($L1151,Vloersoorten[],3,FALSE)*VLOOKUP($S1151,Frequenties[],3,FALSE)*VLOOKUP($A1151,Locaties[],3,FALSE),0)</f>
        <v>0</v>
      </c>
      <c r="V1151" s="86">
        <f>Ruimtestaat[[#This Row],[Uitvoeringen werkdagen]]*Ruimtestaat[[#This Row],[Oppervlak (netto)]]</f>
        <v>0</v>
      </c>
      <c r="W1151" s="87">
        <f>IF(U1151&gt;0,Ruimtestaat[[#This Row],[Prest. (m2 /jaar) werkdagen]]/Ruimtestaat[[#This Row],[Norm (m2/uur) werkdagen]],0)</f>
        <v>0</v>
      </c>
      <c r="X1151" s="88">
        <f>Ruimtestaat[[#This Row],[uren / jaar werkdagen]]*Tariefsopbouw!$E$35</f>
        <v>0</v>
      </c>
      <c r="Y1151" s="85"/>
      <c r="Z1151" s="89">
        <f>IF(Ruimtestaat[[#This Row],[Frequentie weekend]]&gt;0,VALUE(LEFT(Y1151,1))*R1151,0)</f>
        <v>0</v>
      </c>
      <c r="AA1151" s="85">
        <f>IF($Z1151&gt;0,VLOOKUP($J1151,Ruimtegroepen[],3,FALSE)*VLOOKUP($L1151,Vloersoorten[],3,FALSE)*VLOOKUP($Y1151,Frequenties[],3,FALSE)*VLOOKUP(#REF!,Locaties[],3,FALSE),0)</f>
        <v>0</v>
      </c>
      <c r="AB1151" s="87">
        <f>Ruimtestaat[[#This Row],[Uitvoeringen weekend]]*Ruimtestaat[[#This Row],[Oppervlak (netto)]]</f>
        <v>0</v>
      </c>
      <c r="AC1151" s="90">
        <f>IF(AB1151&gt;0,Ruimtestaat[[#This Row],[Prest. (m2 /jaar) weekend]]/Ruimtestaat[[#This Row],[Norm (m2/uur) weekend]],0)</f>
        <v>0</v>
      </c>
      <c r="AD1151" s="91">
        <f>Ruimtestaat[[#This Row],[uren / jaar weekend]]*Tariefsopbouw!$D$40</f>
        <v>0</v>
      </c>
      <c r="AE1151" s="60">
        <f>Ruimtestaat[[#This Row],[Prest. (m2 /jaar) weekend]]+Ruimtestaat[[#This Row],[Prest. (m2 /jaar) werkdagen]]</f>
        <v>0</v>
      </c>
      <c r="AF1151" s="60">
        <f>Ruimtestaat[[#This Row],[uren / jaar weekend]]+Ruimtestaat[[#This Row],[uren / jaar werkdagen]]</f>
        <v>0</v>
      </c>
      <c r="AG1151" s="61">
        <f>Ruimtestaat[[#This Row],[kosten / jaar weekend]]+Ruimtestaat[[#This Row],[kosten / jaar werkdagen]]</f>
        <v>0</v>
      </c>
      <c r="AH1151" s="92"/>
      <c r="HL1151" s="59"/>
    </row>
    <row r="1152" spans="1:220">
      <c r="A1152" s="24">
        <v>7</v>
      </c>
      <c r="B1152" s="24" t="str">
        <f>VLOOKUP(Ruimtestaat[[#This Row],[Code]],Locaties[#All],2,FALSE)</f>
        <v>Het Vlier</v>
      </c>
      <c r="C1152" s="24" t="str">
        <f>VLOOKUP(Ruimtestaat[[#This Row],[Code]],Locaties[#All],4,FALSE)</f>
        <v>Het Vlier 1</v>
      </c>
      <c r="D1152" s="24" t="str">
        <f>VLOOKUP(Ruimtestaat[[#This Row],[Code]],Locaties[#All],5,FALSE)</f>
        <v>7414 AR</v>
      </c>
      <c r="E1152" s="24" t="str">
        <f>VLOOKUP(Ruimtestaat[[#This Row],[Code]],Locaties[#All],6,FALSE)</f>
        <v>Deventer</v>
      </c>
      <c r="F1152" s="54"/>
      <c r="G1152" s="24" t="s">
        <v>512</v>
      </c>
      <c r="H1152" s="24" t="s">
        <v>1559</v>
      </c>
      <c r="I1152" s="4" t="s">
        <v>1493</v>
      </c>
      <c r="J1152" s="24">
        <v>5</v>
      </c>
      <c r="K1152" s="54" t="str">
        <f>VLOOKUP(J1152,Ruimtegroepen[],2,FALSE)</f>
        <v>Sanitair</v>
      </c>
      <c r="L1152" s="24" t="s">
        <v>305</v>
      </c>
      <c r="M1152" s="24" t="s">
        <v>400</v>
      </c>
      <c r="N1152" s="83">
        <v>14.95</v>
      </c>
      <c r="O1152" s="83"/>
      <c r="P1152" s="93" t="str">
        <f>LEFT(VLOOKUP(Ruimtestaat[[#This Row],[Ruimte code]],Ruimtegroepen[#All],4,1),2)</f>
        <v>Sa</v>
      </c>
      <c r="Q1152" s="93"/>
      <c r="R1152" s="84">
        <v>42</v>
      </c>
      <c r="S1152" s="84" t="s">
        <v>316</v>
      </c>
      <c r="T1152" s="85">
        <f>IF(R1152&gt;0,IF(RIGHT(Ruimtestaat[[#This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52" s="85">
        <f>IF(T1152&gt;0,VLOOKUP($J1152,Ruimtegroepen[],3,FALSE)*VLOOKUP($L1152,Vloersoorten[],3,FALSE)*VLOOKUP($S1152,Frequenties[],3,FALSE)*VLOOKUP($A1152,Locaties[],3,FALSE),0)</f>
        <v>0</v>
      </c>
      <c r="V1152" s="86">
        <f>Ruimtestaat[[#This Row],[Uitvoeringen werkdagen]]*Ruimtestaat[[#This Row],[Oppervlak (netto)]]</f>
        <v>6279</v>
      </c>
      <c r="W1152" s="87">
        <f>IF(U1152&gt;0,Ruimtestaat[[#This Row],[Prest. (m2 /jaar) werkdagen]]/Ruimtestaat[[#This Row],[Norm (m2/uur) werkdagen]],0)</f>
        <v>0</v>
      </c>
      <c r="X1152" s="88">
        <f>Ruimtestaat[[#This Row],[uren / jaar werkdagen]]*Tariefsopbouw!$E$35</f>
        <v>0</v>
      </c>
      <c r="Y1152" s="85"/>
      <c r="Z1152" s="89">
        <f>IF(Ruimtestaat[[#This Row],[Frequentie weekend]]&gt;0,VALUE(LEFT(Y1152,1))*R1152,0)</f>
        <v>0</v>
      </c>
      <c r="AA1152" s="85">
        <f>IF($Z1152&gt;0,VLOOKUP($J1152,Ruimtegroepen[],3,FALSE)*VLOOKUP($L1152,Vloersoorten[],3,FALSE)*VLOOKUP($Y1152,Frequenties[],3,FALSE)*VLOOKUP(#REF!,Locaties[],3,FALSE),0)</f>
        <v>0</v>
      </c>
      <c r="AB1152" s="87">
        <f>Ruimtestaat[[#This Row],[Uitvoeringen weekend]]*Ruimtestaat[[#This Row],[Oppervlak (netto)]]</f>
        <v>0</v>
      </c>
      <c r="AC1152" s="90">
        <f>IF(AB1152&gt;0,Ruimtestaat[[#This Row],[Prest. (m2 /jaar) weekend]]/Ruimtestaat[[#This Row],[Norm (m2/uur) weekend]],0)</f>
        <v>0</v>
      </c>
      <c r="AD1152" s="91">
        <f>Ruimtestaat[[#This Row],[uren / jaar weekend]]*Tariefsopbouw!$D$40</f>
        <v>0</v>
      </c>
      <c r="AE1152" s="60">
        <f>Ruimtestaat[[#This Row],[Prest. (m2 /jaar) weekend]]+Ruimtestaat[[#This Row],[Prest. (m2 /jaar) werkdagen]]</f>
        <v>6279</v>
      </c>
      <c r="AF1152" s="60">
        <f>Ruimtestaat[[#This Row],[uren / jaar weekend]]+Ruimtestaat[[#This Row],[uren / jaar werkdagen]]</f>
        <v>0</v>
      </c>
      <c r="AG1152" s="61">
        <f>Ruimtestaat[[#This Row],[kosten / jaar weekend]]+Ruimtestaat[[#This Row],[kosten / jaar werkdagen]]</f>
        <v>0</v>
      </c>
      <c r="AH1152" s="92"/>
      <c r="HL1152" s="59"/>
    </row>
    <row r="1153" spans="1:220">
      <c r="A1153" s="24">
        <v>7</v>
      </c>
      <c r="B1153" s="24" t="str">
        <f>VLOOKUP(Ruimtestaat[[#This Row],[Code]],Locaties[#All],2,FALSE)</f>
        <v>Het Vlier</v>
      </c>
      <c r="C1153" s="24" t="str">
        <f>VLOOKUP(Ruimtestaat[[#This Row],[Code]],Locaties[#All],4,FALSE)</f>
        <v>Het Vlier 1</v>
      </c>
      <c r="D1153" s="24" t="str">
        <f>VLOOKUP(Ruimtestaat[[#This Row],[Code]],Locaties[#All],5,FALSE)</f>
        <v>7414 AR</v>
      </c>
      <c r="E1153" s="24" t="str">
        <f>VLOOKUP(Ruimtestaat[[#This Row],[Code]],Locaties[#All],6,FALSE)</f>
        <v>Deventer</v>
      </c>
      <c r="F1153" s="54"/>
      <c r="G1153" s="24" t="s">
        <v>512</v>
      </c>
      <c r="H1153" s="24" t="s">
        <v>1560</v>
      </c>
      <c r="I1153" s="4" t="s">
        <v>1435</v>
      </c>
      <c r="J1153" s="24">
        <v>22</v>
      </c>
      <c r="K1153" s="54" t="str">
        <f>VLOOKUP(J1153,Ruimtegroepen[],2,FALSE)</f>
        <v>Niet in onderhoud</v>
      </c>
      <c r="M1153" s="24"/>
      <c r="N1153" s="83"/>
      <c r="O1153" s="83">
        <v>10.98</v>
      </c>
      <c r="P1153" s="93" t="str">
        <f>LEFT(VLOOKUP(Ruimtestaat[[#This Row],[Ruimte code]],Ruimtegroepen[#All],4,1),2)</f>
        <v/>
      </c>
      <c r="Q1153" s="93"/>
      <c r="R1153" s="84"/>
      <c r="S1153" s="84"/>
      <c r="T1153" s="85">
        <f>IF(R1153&gt;0,IF(RIGHT(Ruimtestaat[[#This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53" s="85">
        <f>IF(T1153&gt;0,VLOOKUP($J1153,Ruimtegroepen[],3,FALSE)*VLOOKUP($L1153,Vloersoorten[],3,FALSE)*VLOOKUP($S1153,Frequenties[],3,FALSE)*VLOOKUP($A1153,Locaties[],3,FALSE),0)</f>
        <v>0</v>
      </c>
      <c r="V1153" s="86">
        <f>Ruimtestaat[[#This Row],[Uitvoeringen werkdagen]]*Ruimtestaat[[#This Row],[Oppervlak (netto)]]</f>
        <v>0</v>
      </c>
      <c r="W1153" s="87">
        <f>IF(U1153&gt;0,Ruimtestaat[[#This Row],[Prest. (m2 /jaar) werkdagen]]/Ruimtestaat[[#This Row],[Norm (m2/uur) werkdagen]],0)</f>
        <v>0</v>
      </c>
      <c r="X1153" s="88">
        <f>Ruimtestaat[[#This Row],[uren / jaar werkdagen]]*Tariefsopbouw!$E$35</f>
        <v>0</v>
      </c>
      <c r="Y1153" s="85"/>
      <c r="Z1153" s="89">
        <f>IF(Ruimtestaat[[#This Row],[Frequentie weekend]]&gt;0,VALUE(LEFT(Y1153,1))*R1153,0)</f>
        <v>0</v>
      </c>
      <c r="AA1153" s="85">
        <f>IF($Z1153&gt;0,VLOOKUP($J1153,Ruimtegroepen[],3,FALSE)*VLOOKUP($L1153,Vloersoorten[],3,FALSE)*VLOOKUP($Y1153,Frequenties[],3,FALSE)*VLOOKUP(#REF!,Locaties[],3,FALSE),0)</f>
        <v>0</v>
      </c>
      <c r="AB1153" s="87">
        <f>Ruimtestaat[[#This Row],[Uitvoeringen weekend]]*Ruimtestaat[[#This Row],[Oppervlak (netto)]]</f>
        <v>0</v>
      </c>
      <c r="AC1153" s="90">
        <f>IF(AB1153&gt;0,Ruimtestaat[[#This Row],[Prest. (m2 /jaar) weekend]]/Ruimtestaat[[#This Row],[Norm (m2/uur) weekend]],0)</f>
        <v>0</v>
      </c>
      <c r="AD1153" s="91">
        <f>Ruimtestaat[[#This Row],[uren / jaar weekend]]*Tariefsopbouw!$D$40</f>
        <v>0</v>
      </c>
      <c r="AE1153" s="60">
        <f>Ruimtestaat[[#This Row],[Prest. (m2 /jaar) weekend]]+Ruimtestaat[[#This Row],[Prest. (m2 /jaar) werkdagen]]</f>
        <v>0</v>
      </c>
      <c r="AF1153" s="60">
        <f>Ruimtestaat[[#This Row],[uren / jaar weekend]]+Ruimtestaat[[#This Row],[uren / jaar werkdagen]]</f>
        <v>0</v>
      </c>
      <c r="AG1153" s="61">
        <f>Ruimtestaat[[#This Row],[kosten / jaar weekend]]+Ruimtestaat[[#This Row],[kosten / jaar werkdagen]]</f>
        <v>0</v>
      </c>
      <c r="AH1153" s="92"/>
      <c r="HL1153" s="59"/>
    </row>
    <row r="1154" spans="1:220">
      <c r="A1154" s="24">
        <v>7</v>
      </c>
      <c r="B1154" s="24" t="str">
        <f>VLOOKUP(Ruimtestaat[[#This Row],[Code]],Locaties[#All],2,FALSE)</f>
        <v>Het Vlier</v>
      </c>
      <c r="C1154" s="24" t="str">
        <f>VLOOKUP(Ruimtestaat[[#This Row],[Code]],Locaties[#All],4,FALSE)</f>
        <v>Het Vlier 1</v>
      </c>
      <c r="D1154" s="24" t="str">
        <f>VLOOKUP(Ruimtestaat[[#This Row],[Code]],Locaties[#All],5,FALSE)</f>
        <v>7414 AR</v>
      </c>
      <c r="E1154" s="24" t="str">
        <f>VLOOKUP(Ruimtestaat[[#This Row],[Code]],Locaties[#All],6,FALSE)</f>
        <v>Deventer</v>
      </c>
      <c r="F1154" s="54"/>
      <c r="G1154" s="24" t="s">
        <v>512</v>
      </c>
      <c r="H1154" s="24" t="s">
        <v>1561</v>
      </c>
      <c r="I1154" s="4" t="s">
        <v>1562</v>
      </c>
      <c r="J1154" s="24">
        <v>22</v>
      </c>
      <c r="K1154" s="54" t="str">
        <f>VLOOKUP(J1154,Ruimtegroepen[],2,FALSE)</f>
        <v>Niet in onderhoud</v>
      </c>
      <c r="M1154" s="24"/>
      <c r="N1154" s="83"/>
      <c r="O1154" s="83">
        <v>4.37</v>
      </c>
      <c r="P1154" s="93" t="str">
        <f>LEFT(VLOOKUP(Ruimtestaat[[#This Row],[Ruimte code]],Ruimtegroepen[#All],4,1),2)</f>
        <v/>
      </c>
      <c r="Q1154" s="93"/>
      <c r="R1154" s="84"/>
      <c r="S1154" s="84"/>
      <c r="T1154" s="85">
        <f>IF(R1154&gt;0,IF(RIGHT(Ruimtestaat[[#This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54" s="85">
        <f>IF(T1154&gt;0,VLOOKUP($J1154,Ruimtegroepen[],3,FALSE)*VLOOKUP($L1154,Vloersoorten[],3,FALSE)*VLOOKUP($S1154,Frequenties[],3,FALSE)*VLOOKUP($A1154,Locaties[],3,FALSE),0)</f>
        <v>0</v>
      </c>
      <c r="V1154" s="86">
        <f>Ruimtestaat[[#This Row],[Uitvoeringen werkdagen]]*Ruimtestaat[[#This Row],[Oppervlak (netto)]]</f>
        <v>0</v>
      </c>
      <c r="W1154" s="87">
        <f>IF(U1154&gt;0,Ruimtestaat[[#This Row],[Prest. (m2 /jaar) werkdagen]]/Ruimtestaat[[#This Row],[Norm (m2/uur) werkdagen]],0)</f>
        <v>0</v>
      </c>
      <c r="X1154" s="88">
        <f>Ruimtestaat[[#This Row],[uren / jaar werkdagen]]*Tariefsopbouw!$E$35</f>
        <v>0</v>
      </c>
      <c r="Y1154" s="85"/>
      <c r="Z1154" s="89">
        <f>IF(Ruimtestaat[[#This Row],[Frequentie weekend]]&gt;0,VALUE(LEFT(Y1154,1))*R1154,0)</f>
        <v>0</v>
      </c>
      <c r="AA1154" s="85">
        <f>IF($Z1154&gt;0,VLOOKUP($J1154,Ruimtegroepen[],3,FALSE)*VLOOKUP($L1154,Vloersoorten[],3,FALSE)*VLOOKUP($Y1154,Frequenties[],3,FALSE)*VLOOKUP(#REF!,Locaties[],3,FALSE),0)</f>
        <v>0</v>
      </c>
      <c r="AB1154" s="87">
        <f>Ruimtestaat[[#This Row],[Uitvoeringen weekend]]*Ruimtestaat[[#This Row],[Oppervlak (netto)]]</f>
        <v>0</v>
      </c>
      <c r="AC1154" s="90">
        <f>IF(AB1154&gt;0,Ruimtestaat[[#This Row],[Prest. (m2 /jaar) weekend]]/Ruimtestaat[[#This Row],[Norm (m2/uur) weekend]],0)</f>
        <v>0</v>
      </c>
      <c r="AD1154" s="91">
        <f>Ruimtestaat[[#This Row],[uren / jaar weekend]]*Tariefsopbouw!$D$40</f>
        <v>0</v>
      </c>
      <c r="AE1154" s="60">
        <f>Ruimtestaat[[#This Row],[Prest. (m2 /jaar) weekend]]+Ruimtestaat[[#This Row],[Prest. (m2 /jaar) werkdagen]]</f>
        <v>0</v>
      </c>
      <c r="AF1154" s="60">
        <f>Ruimtestaat[[#This Row],[uren / jaar weekend]]+Ruimtestaat[[#This Row],[uren / jaar werkdagen]]</f>
        <v>0</v>
      </c>
      <c r="AG1154" s="61">
        <f>Ruimtestaat[[#This Row],[kosten / jaar weekend]]+Ruimtestaat[[#This Row],[kosten / jaar werkdagen]]</f>
        <v>0</v>
      </c>
      <c r="AH1154" s="92"/>
      <c r="HL1154" s="59"/>
    </row>
    <row r="1155" spans="1:220">
      <c r="A1155" s="24">
        <v>7</v>
      </c>
      <c r="B1155" s="24" t="str">
        <f>VLOOKUP(Ruimtestaat[[#This Row],[Code]],Locaties[#All],2,FALSE)</f>
        <v>Het Vlier</v>
      </c>
      <c r="C1155" s="24" t="str">
        <f>VLOOKUP(Ruimtestaat[[#This Row],[Code]],Locaties[#All],4,FALSE)</f>
        <v>Het Vlier 1</v>
      </c>
      <c r="D1155" s="24" t="str">
        <f>VLOOKUP(Ruimtestaat[[#This Row],[Code]],Locaties[#All],5,FALSE)</f>
        <v>7414 AR</v>
      </c>
      <c r="E1155" s="24" t="str">
        <f>VLOOKUP(Ruimtestaat[[#This Row],[Code]],Locaties[#All],6,FALSE)</f>
        <v>Deventer</v>
      </c>
      <c r="F1155" s="54"/>
      <c r="G1155" s="24" t="s">
        <v>569</v>
      </c>
      <c r="H1155" s="24" t="s">
        <v>1563</v>
      </c>
      <c r="I1155" s="4" t="s">
        <v>1427</v>
      </c>
      <c r="J1155" s="24">
        <v>16</v>
      </c>
      <c r="K1155" s="54" t="str">
        <f>VLOOKUP(J1155,Ruimtegroepen[],2,FALSE)</f>
        <v>Leslokalen theorie</v>
      </c>
      <c r="L1155" s="24" t="s">
        <v>305</v>
      </c>
      <c r="M1155" s="24" t="s">
        <v>400</v>
      </c>
      <c r="N1155" s="83">
        <v>58.66</v>
      </c>
      <c r="O1155" s="83"/>
      <c r="P1155" s="93" t="str">
        <f>LEFT(VLOOKUP(Ruimtestaat[[#This Row],[Ruimte code]],Ruimtegroepen[#All],4,1),2)</f>
        <v>Le</v>
      </c>
      <c r="Q1155" s="93"/>
      <c r="R1155" s="84">
        <v>40</v>
      </c>
      <c r="S1155" s="84" t="s">
        <v>318</v>
      </c>
      <c r="T1155" s="85">
        <f>IF(R1155&gt;0,IF(RIGHT(Ruimtestaat[[#This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55" s="85">
        <f>IF(T1155&gt;0,VLOOKUP($J1155,Ruimtegroepen[],3,FALSE)*VLOOKUP($L1155,Vloersoorten[],3,FALSE)*VLOOKUP($S1155,Frequenties[],3,FALSE)*VLOOKUP($A1155,Locaties[],3,FALSE),0)</f>
        <v>0</v>
      </c>
      <c r="V1155" s="86">
        <f>Ruimtestaat[[#This Row],[Uitvoeringen werkdagen]]*Ruimtestaat[[#This Row],[Oppervlak (netto)]]</f>
        <v>11732</v>
      </c>
      <c r="W1155" s="87">
        <f>IF(U1155&gt;0,Ruimtestaat[[#This Row],[Prest. (m2 /jaar) werkdagen]]/Ruimtestaat[[#This Row],[Norm (m2/uur) werkdagen]],0)</f>
        <v>0</v>
      </c>
      <c r="X1155" s="88">
        <f>Ruimtestaat[[#This Row],[uren / jaar werkdagen]]*Tariefsopbouw!$E$35</f>
        <v>0</v>
      </c>
      <c r="Y1155" s="85"/>
      <c r="Z1155" s="89">
        <f>IF(Ruimtestaat[[#This Row],[Frequentie weekend]]&gt;0,VALUE(LEFT(Y1155,1))*R1155,0)</f>
        <v>0</v>
      </c>
      <c r="AA1155" s="85">
        <f>IF($Z1155&gt;0,VLOOKUP($J1155,Ruimtegroepen[],3,FALSE)*VLOOKUP($L1155,Vloersoorten[],3,FALSE)*VLOOKUP($Y1155,Frequenties[],3,FALSE)*VLOOKUP(#REF!,Locaties[],3,FALSE),0)</f>
        <v>0</v>
      </c>
      <c r="AB1155" s="87">
        <f>Ruimtestaat[[#This Row],[Uitvoeringen weekend]]*Ruimtestaat[[#This Row],[Oppervlak (netto)]]</f>
        <v>0</v>
      </c>
      <c r="AC1155" s="90">
        <f>IF(AB1155&gt;0,Ruimtestaat[[#This Row],[Prest. (m2 /jaar) weekend]]/Ruimtestaat[[#This Row],[Norm (m2/uur) weekend]],0)</f>
        <v>0</v>
      </c>
      <c r="AD1155" s="91">
        <f>Ruimtestaat[[#This Row],[uren / jaar weekend]]*Tariefsopbouw!$D$40</f>
        <v>0</v>
      </c>
      <c r="AE1155" s="60">
        <f>Ruimtestaat[[#This Row],[Prest. (m2 /jaar) weekend]]+Ruimtestaat[[#This Row],[Prest. (m2 /jaar) werkdagen]]</f>
        <v>11732</v>
      </c>
      <c r="AF1155" s="60">
        <f>Ruimtestaat[[#This Row],[uren / jaar weekend]]+Ruimtestaat[[#This Row],[uren / jaar werkdagen]]</f>
        <v>0</v>
      </c>
      <c r="AG1155" s="61">
        <f>Ruimtestaat[[#This Row],[kosten / jaar weekend]]+Ruimtestaat[[#This Row],[kosten / jaar werkdagen]]</f>
        <v>0</v>
      </c>
      <c r="AH1155" s="92"/>
      <c r="HL1155" s="59"/>
    </row>
    <row r="1156" spans="1:220">
      <c r="A1156" s="24">
        <v>7</v>
      </c>
      <c r="B1156" s="24" t="str">
        <f>VLOOKUP(Ruimtestaat[[#This Row],[Code]],Locaties[#All],2,FALSE)</f>
        <v>Het Vlier</v>
      </c>
      <c r="C1156" s="24" t="str">
        <f>VLOOKUP(Ruimtestaat[[#This Row],[Code]],Locaties[#All],4,FALSE)</f>
        <v>Het Vlier 1</v>
      </c>
      <c r="D1156" s="24" t="str">
        <f>VLOOKUP(Ruimtestaat[[#This Row],[Code]],Locaties[#All],5,FALSE)</f>
        <v>7414 AR</v>
      </c>
      <c r="E1156" s="24" t="str">
        <f>VLOOKUP(Ruimtestaat[[#This Row],[Code]],Locaties[#All],6,FALSE)</f>
        <v>Deventer</v>
      </c>
      <c r="F1156" s="54"/>
      <c r="G1156" s="24" t="s">
        <v>569</v>
      </c>
      <c r="H1156" s="24" t="s">
        <v>1564</v>
      </c>
      <c r="I1156" s="4" t="s">
        <v>1488</v>
      </c>
      <c r="J1156" s="24">
        <v>2</v>
      </c>
      <c r="K1156" s="54" t="str">
        <f>VLOOKUP(J1156,Ruimtegroepen[],2,FALSE)</f>
        <v>Kantoren</v>
      </c>
      <c r="L1156" s="24" t="s">
        <v>305</v>
      </c>
      <c r="M1156" s="24" t="s">
        <v>400</v>
      </c>
      <c r="N1156" s="83">
        <v>45.54</v>
      </c>
      <c r="O1156" s="83"/>
      <c r="P1156" s="93" t="str">
        <f>LEFT(VLOOKUP(Ruimtestaat[[#This Row],[Ruimte code]],Ruimtegroepen[#All],4,1),2)</f>
        <v>Bu</v>
      </c>
      <c r="Q1156" s="93"/>
      <c r="R1156" s="84">
        <v>42</v>
      </c>
      <c r="S1156" s="84" t="s">
        <v>322</v>
      </c>
      <c r="T1156" s="85">
        <f>IF(R1156&gt;0,IF(RIGHT(Ruimtestaat[[#This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56" s="85">
        <f>IF(T1156&gt;0,VLOOKUP($J1156,Ruimtegroepen[],3,FALSE)*VLOOKUP($L1156,Vloersoorten[],3,FALSE)*VLOOKUP($S1156,Frequenties[],3,FALSE)*VLOOKUP($A1156,Locaties[],3,FALSE),0)</f>
        <v>0</v>
      </c>
      <c r="V1156" s="86">
        <f>Ruimtestaat[[#This Row],[Uitvoeringen werkdagen]]*Ruimtestaat[[#This Row],[Oppervlak (netto)]]</f>
        <v>5738.04</v>
      </c>
      <c r="W1156" s="87">
        <f>IF(U1156&gt;0,Ruimtestaat[[#This Row],[Prest. (m2 /jaar) werkdagen]]/Ruimtestaat[[#This Row],[Norm (m2/uur) werkdagen]],0)</f>
        <v>0</v>
      </c>
      <c r="X1156" s="88">
        <f>Ruimtestaat[[#This Row],[uren / jaar werkdagen]]*Tariefsopbouw!$E$35</f>
        <v>0</v>
      </c>
      <c r="Y1156" s="85"/>
      <c r="Z1156" s="89">
        <f>IF(Ruimtestaat[[#This Row],[Frequentie weekend]]&gt;0,VALUE(LEFT(Y1156,1))*R1156,0)</f>
        <v>0</v>
      </c>
      <c r="AA1156" s="85">
        <f>IF($Z1156&gt;0,VLOOKUP($J1156,Ruimtegroepen[],3,FALSE)*VLOOKUP($L1156,Vloersoorten[],3,FALSE)*VLOOKUP($Y1156,Frequenties[],3,FALSE)*VLOOKUP(#REF!,Locaties[],3,FALSE),0)</f>
        <v>0</v>
      </c>
      <c r="AB1156" s="87">
        <f>Ruimtestaat[[#This Row],[Uitvoeringen weekend]]*Ruimtestaat[[#This Row],[Oppervlak (netto)]]</f>
        <v>0</v>
      </c>
      <c r="AC1156" s="90">
        <f>IF(AB1156&gt;0,Ruimtestaat[[#This Row],[Prest. (m2 /jaar) weekend]]/Ruimtestaat[[#This Row],[Norm (m2/uur) weekend]],0)</f>
        <v>0</v>
      </c>
      <c r="AD1156" s="91">
        <f>Ruimtestaat[[#This Row],[uren / jaar weekend]]*Tariefsopbouw!$D$40</f>
        <v>0</v>
      </c>
      <c r="AE1156" s="60">
        <f>Ruimtestaat[[#This Row],[Prest. (m2 /jaar) weekend]]+Ruimtestaat[[#This Row],[Prest. (m2 /jaar) werkdagen]]</f>
        <v>5738.04</v>
      </c>
      <c r="AF1156" s="60">
        <f>Ruimtestaat[[#This Row],[uren / jaar weekend]]+Ruimtestaat[[#This Row],[uren / jaar werkdagen]]</f>
        <v>0</v>
      </c>
      <c r="AG1156" s="61">
        <f>Ruimtestaat[[#This Row],[kosten / jaar weekend]]+Ruimtestaat[[#This Row],[kosten / jaar werkdagen]]</f>
        <v>0</v>
      </c>
      <c r="AH1156" s="92"/>
      <c r="HL1156" s="59"/>
    </row>
    <row r="1157" spans="1:220">
      <c r="A1157" s="24">
        <v>7</v>
      </c>
      <c r="B1157" s="24" t="str">
        <f>VLOOKUP(Ruimtestaat[[#This Row],[Code]],Locaties[#All],2,FALSE)</f>
        <v>Het Vlier</v>
      </c>
      <c r="C1157" s="24" t="str">
        <f>VLOOKUP(Ruimtestaat[[#This Row],[Code]],Locaties[#All],4,FALSE)</f>
        <v>Het Vlier 1</v>
      </c>
      <c r="D1157" s="24" t="str">
        <f>VLOOKUP(Ruimtestaat[[#This Row],[Code]],Locaties[#All],5,FALSE)</f>
        <v>7414 AR</v>
      </c>
      <c r="E1157" s="24" t="str">
        <f>VLOOKUP(Ruimtestaat[[#This Row],[Code]],Locaties[#All],6,FALSE)</f>
        <v>Deventer</v>
      </c>
      <c r="F1157" s="54"/>
      <c r="G1157" s="24" t="s">
        <v>569</v>
      </c>
      <c r="H1157" s="24" t="s">
        <v>1565</v>
      </c>
      <c r="I1157" s="4" t="s">
        <v>1449</v>
      </c>
      <c r="J1157" s="24">
        <v>22</v>
      </c>
      <c r="K1157" s="54" t="str">
        <f>VLOOKUP(J1157,Ruimtegroepen[],2,FALSE)</f>
        <v>Niet in onderhoud</v>
      </c>
      <c r="M1157" s="24"/>
      <c r="N1157" s="83"/>
      <c r="O1157" s="83">
        <v>20.05</v>
      </c>
      <c r="P1157" s="93" t="str">
        <f>LEFT(VLOOKUP(Ruimtestaat[[#This Row],[Ruimte code]],Ruimtegroepen[#All],4,1),2)</f>
        <v/>
      </c>
      <c r="Q1157" s="93"/>
      <c r="R1157" s="84"/>
      <c r="S1157" s="84"/>
      <c r="T1157" s="85">
        <f>IF(R1157&gt;0,IF(RIGHT(Ruimtestaat[[#This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57" s="85">
        <f>IF(T1157&gt;0,VLOOKUP($J1157,Ruimtegroepen[],3,FALSE)*VLOOKUP($L1157,Vloersoorten[],3,FALSE)*VLOOKUP($S1157,Frequenties[],3,FALSE)*VLOOKUP($A1157,Locaties[],3,FALSE),0)</f>
        <v>0</v>
      </c>
      <c r="V1157" s="86">
        <f>Ruimtestaat[[#This Row],[Uitvoeringen werkdagen]]*Ruimtestaat[[#This Row],[Oppervlak (netto)]]</f>
        <v>0</v>
      </c>
      <c r="W1157" s="87">
        <f>IF(U1157&gt;0,Ruimtestaat[[#This Row],[Prest. (m2 /jaar) werkdagen]]/Ruimtestaat[[#This Row],[Norm (m2/uur) werkdagen]],0)</f>
        <v>0</v>
      </c>
      <c r="X1157" s="88">
        <f>Ruimtestaat[[#This Row],[uren / jaar werkdagen]]*Tariefsopbouw!$E$35</f>
        <v>0</v>
      </c>
      <c r="Y1157" s="85"/>
      <c r="Z1157" s="89">
        <f>IF(Ruimtestaat[[#This Row],[Frequentie weekend]]&gt;0,VALUE(LEFT(Y1157,1))*R1157,0)</f>
        <v>0</v>
      </c>
      <c r="AA1157" s="85">
        <f>IF($Z1157&gt;0,VLOOKUP($J1157,Ruimtegroepen[],3,FALSE)*VLOOKUP($L1157,Vloersoorten[],3,FALSE)*VLOOKUP($Y1157,Frequenties[],3,FALSE)*VLOOKUP(#REF!,Locaties[],3,FALSE),0)</f>
        <v>0</v>
      </c>
      <c r="AB1157" s="87">
        <f>Ruimtestaat[[#This Row],[Uitvoeringen weekend]]*Ruimtestaat[[#This Row],[Oppervlak (netto)]]</f>
        <v>0</v>
      </c>
      <c r="AC1157" s="90">
        <f>IF(AB1157&gt;0,Ruimtestaat[[#This Row],[Prest. (m2 /jaar) weekend]]/Ruimtestaat[[#This Row],[Norm (m2/uur) weekend]],0)</f>
        <v>0</v>
      </c>
      <c r="AD1157" s="91">
        <f>Ruimtestaat[[#This Row],[uren / jaar weekend]]*Tariefsopbouw!$D$40</f>
        <v>0</v>
      </c>
      <c r="AE1157" s="60">
        <f>Ruimtestaat[[#This Row],[Prest. (m2 /jaar) weekend]]+Ruimtestaat[[#This Row],[Prest. (m2 /jaar) werkdagen]]</f>
        <v>0</v>
      </c>
      <c r="AF1157" s="60">
        <f>Ruimtestaat[[#This Row],[uren / jaar weekend]]+Ruimtestaat[[#This Row],[uren / jaar werkdagen]]</f>
        <v>0</v>
      </c>
      <c r="AG1157" s="61">
        <f>Ruimtestaat[[#This Row],[kosten / jaar weekend]]+Ruimtestaat[[#This Row],[kosten / jaar werkdagen]]</f>
        <v>0</v>
      </c>
      <c r="AH1157" s="92"/>
      <c r="HL1157" s="59"/>
    </row>
    <row r="1158" spans="1:220">
      <c r="A1158" s="24">
        <v>7</v>
      </c>
      <c r="B1158" s="24" t="str">
        <f>VLOOKUP(Ruimtestaat[[#This Row],[Code]],Locaties[#All],2,FALSE)</f>
        <v>Het Vlier</v>
      </c>
      <c r="C1158" s="24" t="str">
        <f>VLOOKUP(Ruimtestaat[[#This Row],[Code]],Locaties[#All],4,FALSE)</f>
        <v>Het Vlier 1</v>
      </c>
      <c r="D1158" s="24" t="str">
        <f>VLOOKUP(Ruimtestaat[[#This Row],[Code]],Locaties[#All],5,FALSE)</f>
        <v>7414 AR</v>
      </c>
      <c r="E1158" s="24" t="str">
        <f>VLOOKUP(Ruimtestaat[[#This Row],[Code]],Locaties[#All],6,FALSE)</f>
        <v>Deventer</v>
      </c>
      <c r="F1158" s="54"/>
      <c r="G1158" s="24" t="s">
        <v>569</v>
      </c>
      <c r="H1158" s="24" t="s">
        <v>1566</v>
      </c>
      <c r="I1158" s="4" t="s">
        <v>1427</v>
      </c>
      <c r="J1158" s="24">
        <v>16</v>
      </c>
      <c r="K1158" s="54" t="str">
        <f>VLOOKUP(J1158,Ruimtegroepen[],2,FALSE)</f>
        <v>Leslokalen theorie</v>
      </c>
      <c r="L1158" s="24" t="s">
        <v>305</v>
      </c>
      <c r="M1158" s="24" t="s">
        <v>400</v>
      </c>
      <c r="N1158" s="83">
        <v>58.25</v>
      </c>
      <c r="O1158" s="83"/>
      <c r="P1158" s="93" t="str">
        <f>LEFT(VLOOKUP(Ruimtestaat[[#This Row],[Ruimte code]],Ruimtegroepen[#All],4,1),2)</f>
        <v>Le</v>
      </c>
      <c r="Q1158" s="93"/>
      <c r="R1158" s="84">
        <v>40</v>
      </c>
      <c r="S1158" s="84" t="s">
        <v>318</v>
      </c>
      <c r="T1158" s="85">
        <f>IF(R1158&gt;0,IF(RIGHT(Ruimtestaat[[#This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58" s="85">
        <f>IF(T1158&gt;0,VLOOKUP($J1158,Ruimtegroepen[],3,FALSE)*VLOOKUP($L1158,Vloersoorten[],3,FALSE)*VLOOKUP($S1158,Frequenties[],3,FALSE)*VLOOKUP($A1158,Locaties[],3,FALSE),0)</f>
        <v>0</v>
      </c>
      <c r="V1158" s="86">
        <f>Ruimtestaat[[#This Row],[Uitvoeringen werkdagen]]*Ruimtestaat[[#This Row],[Oppervlak (netto)]]</f>
        <v>11650</v>
      </c>
      <c r="W1158" s="87">
        <f>IF(U1158&gt;0,Ruimtestaat[[#This Row],[Prest. (m2 /jaar) werkdagen]]/Ruimtestaat[[#This Row],[Norm (m2/uur) werkdagen]],0)</f>
        <v>0</v>
      </c>
      <c r="X1158" s="88">
        <f>Ruimtestaat[[#This Row],[uren / jaar werkdagen]]*Tariefsopbouw!$E$35</f>
        <v>0</v>
      </c>
      <c r="Y1158" s="85"/>
      <c r="Z1158" s="89">
        <f>IF(Ruimtestaat[[#This Row],[Frequentie weekend]]&gt;0,VALUE(LEFT(Y1158,1))*R1158,0)</f>
        <v>0</v>
      </c>
      <c r="AA1158" s="85">
        <f>IF($Z1158&gt;0,VLOOKUP($J1158,Ruimtegroepen[],3,FALSE)*VLOOKUP($L1158,Vloersoorten[],3,FALSE)*VLOOKUP($Y1158,Frequenties[],3,FALSE)*VLOOKUP(#REF!,Locaties[],3,FALSE),0)</f>
        <v>0</v>
      </c>
      <c r="AB1158" s="87">
        <f>Ruimtestaat[[#This Row],[Uitvoeringen weekend]]*Ruimtestaat[[#This Row],[Oppervlak (netto)]]</f>
        <v>0</v>
      </c>
      <c r="AC1158" s="90">
        <f>IF(AB1158&gt;0,Ruimtestaat[[#This Row],[Prest. (m2 /jaar) weekend]]/Ruimtestaat[[#This Row],[Norm (m2/uur) weekend]],0)</f>
        <v>0</v>
      </c>
      <c r="AD1158" s="91">
        <f>Ruimtestaat[[#This Row],[uren / jaar weekend]]*Tariefsopbouw!$D$40</f>
        <v>0</v>
      </c>
      <c r="AE1158" s="60">
        <f>Ruimtestaat[[#This Row],[Prest. (m2 /jaar) weekend]]+Ruimtestaat[[#This Row],[Prest. (m2 /jaar) werkdagen]]</f>
        <v>11650</v>
      </c>
      <c r="AF1158" s="60">
        <f>Ruimtestaat[[#This Row],[uren / jaar weekend]]+Ruimtestaat[[#This Row],[uren / jaar werkdagen]]</f>
        <v>0</v>
      </c>
      <c r="AG1158" s="61">
        <f>Ruimtestaat[[#This Row],[kosten / jaar weekend]]+Ruimtestaat[[#This Row],[kosten / jaar werkdagen]]</f>
        <v>0</v>
      </c>
      <c r="AH1158" s="92"/>
      <c r="HL1158" s="59"/>
    </row>
    <row r="1159" spans="1:220">
      <c r="A1159" s="24">
        <v>7</v>
      </c>
      <c r="B1159" s="24" t="str">
        <f>VLOOKUP(Ruimtestaat[[#This Row],[Code]],Locaties[#All],2,FALSE)</f>
        <v>Het Vlier</v>
      </c>
      <c r="C1159" s="24" t="str">
        <f>VLOOKUP(Ruimtestaat[[#This Row],[Code]],Locaties[#All],4,FALSE)</f>
        <v>Het Vlier 1</v>
      </c>
      <c r="D1159" s="24" t="str">
        <f>VLOOKUP(Ruimtestaat[[#This Row],[Code]],Locaties[#All],5,FALSE)</f>
        <v>7414 AR</v>
      </c>
      <c r="E1159" s="24" t="str">
        <f>VLOOKUP(Ruimtestaat[[#This Row],[Code]],Locaties[#All],6,FALSE)</f>
        <v>Deventer</v>
      </c>
      <c r="F1159" s="54"/>
      <c r="G1159" s="24" t="s">
        <v>569</v>
      </c>
      <c r="H1159" s="24" t="s">
        <v>1567</v>
      </c>
      <c r="I1159" s="4" t="s">
        <v>1427</v>
      </c>
      <c r="J1159" s="24">
        <v>16</v>
      </c>
      <c r="K1159" s="54" t="str">
        <f>VLOOKUP(J1159,Ruimtegroepen[],2,FALSE)</f>
        <v>Leslokalen theorie</v>
      </c>
      <c r="L1159" s="24" t="s">
        <v>305</v>
      </c>
      <c r="M1159" s="24" t="s">
        <v>400</v>
      </c>
      <c r="N1159" s="83">
        <v>57.1</v>
      </c>
      <c r="O1159" s="83"/>
      <c r="P1159" s="93" t="str">
        <f>LEFT(VLOOKUP(Ruimtestaat[[#This Row],[Ruimte code]],Ruimtegroepen[#All],4,1),2)</f>
        <v>Le</v>
      </c>
      <c r="Q1159" s="93"/>
      <c r="R1159" s="84">
        <v>40</v>
      </c>
      <c r="S1159" s="84" t="s">
        <v>318</v>
      </c>
      <c r="T1159" s="85">
        <f>IF(R1159&gt;0,IF(RIGHT(Ruimtestaat[[#This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59" s="85">
        <f>IF(T1159&gt;0,VLOOKUP($J1159,Ruimtegroepen[],3,FALSE)*VLOOKUP($L1159,Vloersoorten[],3,FALSE)*VLOOKUP($S1159,Frequenties[],3,FALSE)*VLOOKUP($A1159,Locaties[],3,FALSE),0)</f>
        <v>0</v>
      </c>
      <c r="V1159" s="86">
        <f>Ruimtestaat[[#This Row],[Uitvoeringen werkdagen]]*Ruimtestaat[[#This Row],[Oppervlak (netto)]]</f>
        <v>11420</v>
      </c>
      <c r="W1159" s="87">
        <f>IF(U1159&gt;0,Ruimtestaat[[#This Row],[Prest. (m2 /jaar) werkdagen]]/Ruimtestaat[[#This Row],[Norm (m2/uur) werkdagen]],0)</f>
        <v>0</v>
      </c>
      <c r="X1159" s="88">
        <f>Ruimtestaat[[#This Row],[uren / jaar werkdagen]]*Tariefsopbouw!$E$35</f>
        <v>0</v>
      </c>
      <c r="Y1159" s="85"/>
      <c r="Z1159" s="89">
        <f>IF(Ruimtestaat[[#This Row],[Frequentie weekend]]&gt;0,VALUE(LEFT(Y1159,1))*R1159,0)</f>
        <v>0</v>
      </c>
      <c r="AA1159" s="85">
        <f>IF($Z1159&gt;0,VLOOKUP($J1159,Ruimtegroepen[],3,FALSE)*VLOOKUP($L1159,Vloersoorten[],3,FALSE)*VLOOKUP($Y1159,Frequenties[],3,FALSE)*VLOOKUP(#REF!,Locaties[],3,FALSE),0)</f>
        <v>0</v>
      </c>
      <c r="AB1159" s="87">
        <f>Ruimtestaat[[#This Row],[Uitvoeringen weekend]]*Ruimtestaat[[#This Row],[Oppervlak (netto)]]</f>
        <v>0</v>
      </c>
      <c r="AC1159" s="90">
        <f>IF(AB1159&gt;0,Ruimtestaat[[#This Row],[Prest. (m2 /jaar) weekend]]/Ruimtestaat[[#This Row],[Norm (m2/uur) weekend]],0)</f>
        <v>0</v>
      </c>
      <c r="AD1159" s="91">
        <f>Ruimtestaat[[#This Row],[uren / jaar weekend]]*Tariefsopbouw!$D$40</f>
        <v>0</v>
      </c>
      <c r="AE1159" s="60">
        <f>Ruimtestaat[[#This Row],[Prest. (m2 /jaar) weekend]]+Ruimtestaat[[#This Row],[Prest. (m2 /jaar) werkdagen]]</f>
        <v>11420</v>
      </c>
      <c r="AF1159" s="60">
        <f>Ruimtestaat[[#This Row],[uren / jaar weekend]]+Ruimtestaat[[#This Row],[uren / jaar werkdagen]]</f>
        <v>0</v>
      </c>
      <c r="AG1159" s="61">
        <f>Ruimtestaat[[#This Row],[kosten / jaar weekend]]+Ruimtestaat[[#This Row],[kosten / jaar werkdagen]]</f>
        <v>0</v>
      </c>
      <c r="AH1159" s="92"/>
      <c r="HL1159" s="59"/>
    </row>
    <row r="1160" spans="1:220">
      <c r="A1160" s="24">
        <v>7</v>
      </c>
      <c r="B1160" s="24" t="str">
        <f>VLOOKUP(Ruimtestaat[[#This Row],[Code]],Locaties[#All],2,FALSE)</f>
        <v>Het Vlier</v>
      </c>
      <c r="C1160" s="24" t="str">
        <f>VLOOKUP(Ruimtestaat[[#This Row],[Code]],Locaties[#All],4,FALSE)</f>
        <v>Het Vlier 1</v>
      </c>
      <c r="D1160" s="24" t="str">
        <f>VLOOKUP(Ruimtestaat[[#This Row],[Code]],Locaties[#All],5,FALSE)</f>
        <v>7414 AR</v>
      </c>
      <c r="E1160" s="24" t="str">
        <f>VLOOKUP(Ruimtestaat[[#This Row],[Code]],Locaties[#All],6,FALSE)</f>
        <v>Deventer</v>
      </c>
      <c r="F1160" s="54"/>
      <c r="G1160" s="24" t="s">
        <v>569</v>
      </c>
      <c r="H1160" s="24" t="s">
        <v>1568</v>
      </c>
      <c r="I1160" s="4" t="s">
        <v>1427</v>
      </c>
      <c r="J1160" s="24">
        <v>16</v>
      </c>
      <c r="K1160" s="54" t="str">
        <f>VLOOKUP(J1160,Ruimtegroepen[],2,FALSE)</f>
        <v>Leslokalen theorie</v>
      </c>
      <c r="L1160" s="24" t="s">
        <v>305</v>
      </c>
      <c r="M1160" s="24" t="s">
        <v>400</v>
      </c>
      <c r="N1160" s="83">
        <v>58.39</v>
      </c>
      <c r="O1160" s="83"/>
      <c r="P1160" s="93" t="str">
        <f>LEFT(VLOOKUP(Ruimtestaat[[#This Row],[Ruimte code]],Ruimtegroepen[#All],4,1),2)</f>
        <v>Le</v>
      </c>
      <c r="Q1160" s="93"/>
      <c r="R1160" s="84">
        <v>40</v>
      </c>
      <c r="S1160" s="84" t="s">
        <v>318</v>
      </c>
      <c r="T1160" s="85">
        <f>IF(R1160&gt;0,IF(RIGHT(Ruimtestaat[[#This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0" s="85">
        <f>IF(T1160&gt;0,VLOOKUP($J1160,Ruimtegroepen[],3,FALSE)*VLOOKUP($L1160,Vloersoorten[],3,FALSE)*VLOOKUP($S1160,Frequenties[],3,FALSE)*VLOOKUP($A1160,Locaties[],3,FALSE),0)</f>
        <v>0</v>
      </c>
      <c r="V1160" s="86">
        <f>Ruimtestaat[[#This Row],[Uitvoeringen werkdagen]]*Ruimtestaat[[#This Row],[Oppervlak (netto)]]</f>
        <v>11678</v>
      </c>
      <c r="W1160" s="87">
        <f>IF(U1160&gt;0,Ruimtestaat[[#This Row],[Prest. (m2 /jaar) werkdagen]]/Ruimtestaat[[#This Row],[Norm (m2/uur) werkdagen]],0)</f>
        <v>0</v>
      </c>
      <c r="X1160" s="88">
        <f>Ruimtestaat[[#This Row],[uren / jaar werkdagen]]*Tariefsopbouw!$E$35</f>
        <v>0</v>
      </c>
      <c r="Y1160" s="85"/>
      <c r="Z1160" s="89">
        <f>IF(Ruimtestaat[[#This Row],[Frequentie weekend]]&gt;0,VALUE(LEFT(Y1160,1))*R1160,0)</f>
        <v>0</v>
      </c>
      <c r="AA1160" s="85">
        <f>IF($Z1160&gt;0,VLOOKUP($J1160,Ruimtegroepen[],3,FALSE)*VLOOKUP($L1160,Vloersoorten[],3,FALSE)*VLOOKUP($Y1160,Frequenties[],3,FALSE)*VLOOKUP(#REF!,Locaties[],3,FALSE),0)</f>
        <v>0</v>
      </c>
      <c r="AB1160" s="87">
        <f>Ruimtestaat[[#This Row],[Uitvoeringen weekend]]*Ruimtestaat[[#This Row],[Oppervlak (netto)]]</f>
        <v>0</v>
      </c>
      <c r="AC1160" s="90">
        <f>IF(AB1160&gt;0,Ruimtestaat[[#This Row],[Prest. (m2 /jaar) weekend]]/Ruimtestaat[[#This Row],[Norm (m2/uur) weekend]],0)</f>
        <v>0</v>
      </c>
      <c r="AD1160" s="91">
        <f>Ruimtestaat[[#This Row],[uren / jaar weekend]]*Tariefsopbouw!$D$40</f>
        <v>0</v>
      </c>
      <c r="AE1160" s="60">
        <f>Ruimtestaat[[#This Row],[Prest. (m2 /jaar) weekend]]+Ruimtestaat[[#This Row],[Prest. (m2 /jaar) werkdagen]]</f>
        <v>11678</v>
      </c>
      <c r="AF1160" s="60">
        <f>Ruimtestaat[[#This Row],[uren / jaar weekend]]+Ruimtestaat[[#This Row],[uren / jaar werkdagen]]</f>
        <v>0</v>
      </c>
      <c r="AG1160" s="61">
        <f>Ruimtestaat[[#This Row],[kosten / jaar weekend]]+Ruimtestaat[[#This Row],[kosten / jaar werkdagen]]</f>
        <v>0</v>
      </c>
      <c r="AH1160" s="92"/>
      <c r="HL1160" s="59"/>
    </row>
    <row r="1161" spans="1:220">
      <c r="A1161" s="24">
        <v>7</v>
      </c>
      <c r="B1161" s="24" t="str">
        <f>VLOOKUP(Ruimtestaat[[#This Row],[Code]],Locaties[#All],2,FALSE)</f>
        <v>Het Vlier</v>
      </c>
      <c r="C1161" s="24" t="str">
        <f>VLOOKUP(Ruimtestaat[[#This Row],[Code]],Locaties[#All],4,FALSE)</f>
        <v>Het Vlier 1</v>
      </c>
      <c r="D1161" s="24" t="str">
        <f>VLOOKUP(Ruimtestaat[[#This Row],[Code]],Locaties[#All],5,FALSE)</f>
        <v>7414 AR</v>
      </c>
      <c r="E1161" s="24" t="str">
        <f>VLOOKUP(Ruimtestaat[[#This Row],[Code]],Locaties[#All],6,FALSE)</f>
        <v>Deventer</v>
      </c>
      <c r="F1161" s="54"/>
      <c r="G1161" s="24" t="s">
        <v>569</v>
      </c>
      <c r="H1161" s="24" t="s">
        <v>1569</v>
      </c>
      <c r="I1161" s="4" t="s">
        <v>1427</v>
      </c>
      <c r="J1161" s="24">
        <v>16</v>
      </c>
      <c r="K1161" s="54" t="str">
        <f>VLOOKUP(J1161,Ruimtegroepen[],2,FALSE)</f>
        <v>Leslokalen theorie</v>
      </c>
      <c r="L1161" s="24" t="s">
        <v>305</v>
      </c>
      <c r="M1161" s="24" t="s">
        <v>400</v>
      </c>
      <c r="N1161" s="83">
        <v>58.55</v>
      </c>
      <c r="O1161" s="83"/>
      <c r="P1161" s="93" t="str">
        <f>LEFT(VLOOKUP(Ruimtestaat[[#This Row],[Ruimte code]],Ruimtegroepen[#All],4,1),2)</f>
        <v>Le</v>
      </c>
      <c r="Q1161" s="93"/>
      <c r="R1161" s="84">
        <v>40</v>
      </c>
      <c r="S1161" s="84" t="s">
        <v>318</v>
      </c>
      <c r="T1161" s="85">
        <f>IF(R1161&gt;0,IF(RIGHT(Ruimtestaat[[#This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1" s="85">
        <f>IF(T1161&gt;0,VLOOKUP($J1161,Ruimtegroepen[],3,FALSE)*VLOOKUP($L1161,Vloersoorten[],3,FALSE)*VLOOKUP($S1161,Frequenties[],3,FALSE)*VLOOKUP($A1161,Locaties[],3,FALSE),0)</f>
        <v>0</v>
      </c>
      <c r="V1161" s="86">
        <f>Ruimtestaat[[#This Row],[Uitvoeringen werkdagen]]*Ruimtestaat[[#This Row],[Oppervlak (netto)]]</f>
        <v>11710</v>
      </c>
      <c r="W1161" s="87">
        <f>IF(U1161&gt;0,Ruimtestaat[[#This Row],[Prest. (m2 /jaar) werkdagen]]/Ruimtestaat[[#This Row],[Norm (m2/uur) werkdagen]],0)</f>
        <v>0</v>
      </c>
      <c r="X1161" s="88">
        <f>Ruimtestaat[[#This Row],[uren / jaar werkdagen]]*Tariefsopbouw!$E$35</f>
        <v>0</v>
      </c>
      <c r="Y1161" s="85"/>
      <c r="Z1161" s="89">
        <f>IF(Ruimtestaat[[#This Row],[Frequentie weekend]]&gt;0,VALUE(LEFT(Y1161,1))*R1161,0)</f>
        <v>0</v>
      </c>
      <c r="AA1161" s="85">
        <f>IF($Z1161&gt;0,VLOOKUP($J1161,Ruimtegroepen[],3,FALSE)*VLOOKUP($L1161,Vloersoorten[],3,FALSE)*VLOOKUP($Y1161,Frequenties[],3,FALSE)*VLOOKUP(#REF!,Locaties[],3,FALSE),0)</f>
        <v>0</v>
      </c>
      <c r="AB1161" s="87">
        <f>Ruimtestaat[[#This Row],[Uitvoeringen weekend]]*Ruimtestaat[[#This Row],[Oppervlak (netto)]]</f>
        <v>0</v>
      </c>
      <c r="AC1161" s="90">
        <f>IF(AB1161&gt;0,Ruimtestaat[[#This Row],[Prest. (m2 /jaar) weekend]]/Ruimtestaat[[#This Row],[Norm (m2/uur) weekend]],0)</f>
        <v>0</v>
      </c>
      <c r="AD1161" s="91">
        <f>Ruimtestaat[[#This Row],[uren / jaar weekend]]*Tariefsopbouw!$D$40</f>
        <v>0</v>
      </c>
      <c r="AE1161" s="60">
        <f>Ruimtestaat[[#This Row],[Prest. (m2 /jaar) weekend]]+Ruimtestaat[[#This Row],[Prest. (m2 /jaar) werkdagen]]</f>
        <v>11710</v>
      </c>
      <c r="AF1161" s="60">
        <f>Ruimtestaat[[#This Row],[uren / jaar weekend]]+Ruimtestaat[[#This Row],[uren / jaar werkdagen]]</f>
        <v>0</v>
      </c>
      <c r="AG1161" s="61">
        <f>Ruimtestaat[[#This Row],[kosten / jaar weekend]]+Ruimtestaat[[#This Row],[kosten / jaar werkdagen]]</f>
        <v>0</v>
      </c>
      <c r="AH1161" s="92"/>
      <c r="HL1161" s="59"/>
    </row>
    <row r="1162" spans="1:220">
      <c r="A1162" s="24">
        <v>7</v>
      </c>
      <c r="B1162" s="24" t="str">
        <f>VLOOKUP(Ruimtestaat[[#This Row],[Code]],Locaties[#All],2,FALSE)</f>
        <v>Het Vlier</v>
      </c>
      <c r="C1162" s="24" t="str">
        <f>VLOOKUP(Ruimtestaat[[#This Row],[Code]],Locaties[#All],4,FALSE)</f>
        <v>Het Vlier 1</v>
      </c>
      <c r="D1162" s="24" t="str">
        <f>VLOOKUP(Ruimtestaat[[#This Row],[Code]],Locaties[#All],5,FALSE)</f>
        <v>7414 AR</v>
      </c>
      <c r="E1162" s="24" t="str">
        <f>VLOOKUP(Ruimtestaat[[#This Row],[Code]],Locaties[#All],6,FALSE)</f>
        <v>Deventer</v>
      </c>
      <c r="F1162" s="54"/>
      <c r="G1162" s="24" t="s">
        <v>569</v>
      </c>
      <c r="H1162" s="24" t="s">
        <v>1570</v>
      </c>
      <c r="I1162" s="4" t="s">
        <v>1427</v>
      </c>
      <c r="J1162" s="24">
        <v>16</v>
      </c>
      <c r="K1162" s="54" t="str">
        <f>VLOOKUP(J1162,Ruimtegroepen[],2,FALSE)</f>
        <v>Leslokalen theorie</v>
      </c>
      <c r="L1162" s="24" t="s">
        <v>305</v>
      </c>
      <c r="M1162" s="24" t="s">
        <v>400</v>
      </c>
      <c r="N1162" s="83">
        <v>56.32</v>
      </c>
      <c r="O1162" s="83"/>
      <c r="P1162" s="93" t="str">
        <f>LEFT(VLOOKUP(Ruimtestaat[[#This Row],[Ruimte code]],Ruimtegroepen[#All],4,1),2)</f>
        <v>Le</v>
      </c>
      <c r="Q1162" s="93"/>
      <c r="R1162" s="84">
        <v>40</v>
      </c>
      <c r="S1162" s="84" t="s">
        <v>318</v>
      </c>
      <c r="T1162" s="85">
        <f>IF(R1162&gt;0,IF(RIGHT(Ruimtestaat[[#This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2" s="85">
        <f>IF(T1162&gt;0,VLOOKUP($J1162,Ruimtegroepen[],3,FALSE)*VLOOKUP($L1162,Vloersoorten[],3,FALSE)*VLOOKUP($S1162,Frequenties[],3,FALSE)*VLOOKUP($A1162,Locaties[],3,FALSE),0)</f>
        <v>0</v>
      </c>
      <c r="V1162" s="86">
        <f>Ruimtestaat[[#This Row],[Uitvoeringen werkdagen]]*Ruimtestaat[[#This Row],[Oppervlak (netto)]]</f>
        <v>11264</v>
      </c>
      <c r="W1162" s="87">
        <f>IF(U1162&gt;0,Ruimtestaat[[#This Row],[Prest. (m2 /jaar) werkdagen]]/Ruimtestaat[[#This Row],[Norm (m2/uur) werkdagen]],0)</f>
        <v>0</v>
      </c>
      <c r="X1162" s="88">
        <f>Ruimtestaat[[#This Row],[uren / jaar werkdagen]]*Tariefsopbouw!$E$35</f>
        <v>0</v>
      </c>
      <c r="Y1162" s="85"/>
      <c r="Z1162" s="89">
        <f>IF(Ruimtestaat[[#This Row],[Frequentie weekend]]&gt;0,VALUE(LEFT(Y1162,1))*R1162,0)</f>
        <v>0</v>
      </c>
      <c r="AA1162" s="85">
        <f>IF($Z1162&gt;0,VLOOKUP($J1162,Ruimtegroepen[],3,FALSE)*VLOOKUP($L1162,Vloersoorten[],3,FALSE)*VLOOKUP($Y1162,Frequenties[],3,FALSE)*VLOOKUP(#REF!,Locaties[],3,FALSE),0)</f>
        <v>0</v>
      </c>
      <c r="AB1162" s="87">
        <f>Ruimtestaat[[#This Row],[Uitvoeringen weekend]]*Ruimtestaat[[#This Row],[Oppervlak (netto)]]</f>
        <v>0</v>
      </c>
      <c r="AC1162" s="90">
        <f>IF(AB1162&gt;0,Ruimtestaat[[#This Row],[Prest. (m2 /jaar) weekend]]/Ruimtestaat[[#This Row],[Norm (m2/uur) weekend]],0)</f>
        <v>0</v>
      </c>
      <c r="AD1162" s="91">
        <f>Ruimtestaat[[#This Row],[uren / jaar weekend]]*Tariefsopbouw!$D$40</f>
        <v>0</v>
      </c>
      <c r="AE1162" s="60">
        <f>Ruimtestaat[[#This Row],[Prest. (m2 /jaar) weekend]]+Ruimtestaat[[#This Row],[Prest. (m2 /jaar) werkdagen]]</f>
        <v>11264</v>
      </c>
      <c r="AF1162" s="60">
        <f>Ruimtestaat[[#This Row],[uren / jaar weekend]]+Ruimtestaat[[#This Row],[uren / jaar werkdagen]]</f>
        <v>0</v>
      </c>
      <c r="AG1162" s="61">
        <f>Ruimtestaat[[#This Row],[kosten / jaar weekend]]+Ruimtestaat[[#This Row],[kosten / jaar werkdagen]]</f>
        <v>0</v>
      </c>
      <c r="AH1162" s="92"/>
      <c r="HL1162" s="59"/>
    </row>
    <row r="1163" spans="1:220">
      <c r="A1163" s="24">
        <v>7</v>
      </c>
      <c r="B1163" s="24" t="str">
        <f>VLOOKUP(Ruimtestaat[[#This Row],[Code]],Locaties[#All],2,FALSE)</f>
        <v>Het Vlier</v>
      </c>
      <c r="C1163" s="24" t="str">
        <f>VLOOKUP(Ruimtestaat[[#This Row],[Code]],Locaties[#All],4,FALSE)</f>
        <v>Het Vlier 1</v>
      </c>
      <c r="D1163" s="24" t="str">
        <f>VLOOKUP(Ruimtestaat[[#This Row],[Code]],Locaties[#All],5,FALSE)</f>
        <v>7414 AR</v>
      </c>
      <c r="E1163" s="24" t="str">
        <f>VLOOKUP(Ruimtestaat[[#This Row],[Code]],Locaties[#All],6,FALSE)</f>
        <v>Deventer</v>
      </c>
      <c r="F1163" s="54"/>
      <c r="G1163" s="24" t="s">
        <v>569</v>
      </c>
      <c r="H1163" s="24" t="s">
        <v>1571</v>
      </c>
      <c r="I1163" s="4" t="s">
        <v>1427</v>
      </c>
      <c r="J1163" s="24">
        <v>16</v>
      </c>
      <c r="K1163" s="54" t="str">
        <f>VLOOKUP(J1163,Ruimtegroepen[],2,FALSE)</f>
        <v>Leslokalen theorie</v>
      </c>
      <c r="L1163" s="24" t="s">
        <v>305</v>
      </c>
      <c r="M1163" s="24" t="s">
        <v>400</v>
      </c>
      <c r="N1163" s="83">
        <v>58.7</v>
      </c>
      <c r="O1163" s="83"/>
      <c r="P1163" s="93" t="str">
        <f>LEFT(VLOOKUP(Ruimtestaat[[#This Row],[Ruimte code]],Ruimtegroepen[#All],4,1),2)</f>
        <v>Le</v>
      </c>
      <c r="Q1163" s="93"/>
      <c r="R1163" s="84">
        <v>40</v>
      </c>
      <c r="S1163" s="84" t="s">
        <v>318</v>
      </c>
      <c r="T1163" s="85">
        <f>IF(R1163&gt;0,IF(RIGHT(Ruimtestaat[[#This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3" s="85">
        <f>IF(T1163&gt;0,VLOOKUP($J1163,Ruimtegroepen[],3,FALSE)*VLOOKUP($L1163,Vloersoorten[],3,FALSE)*VLOOKUP($S1163,Frequenties[],3,FALSE)*VLOOKUP($A1163,Locaties[],3,FALSE),0)</f>
        <v>0</v>
      </c>
      <c r="V1163" s="86">
        <f>Ruimtestaat[[#This Row],[Uitvoeringen werkdagen]]*Ruimtestaat[[#This Row],[Oppervlak (netto)]]</f>
        <v>11740</v>
      </c>
      <c r="W1163" s="87">
        <f>IF(U1163&gt;0,Ruimtestaat[[#This Row],[Prest. (m2 /jaar) werkdagen]]/Ruimtestaat[[#This Row],[Norm (m2/uur) werkdagen]],0)</f>
        <v>0</v>
      </c>
      <c r="X1163" s="88">
        <f>Ruimtestaat[[#This Row],[uren / jaar werkdagen]]*Tariefsopbouw!$E$35</f>
        <v>0</v>
      </c>
      <c r="Y1163" s="85"/>
      <c r="Z1163" s="89">
        <f>IF(Ruimtestaat[[#This Row],[Frequentie weekend]]&gt;0,VALUE(LEFT(Y1163,1))*R1163,0)</f>
        <v>0</v>
      </c>
      <c r="AA1163" s="85">
        <f>IF($Z1163&gt;0,VLOOKUP($J1163,Ruimtegroepen[],3,FALSE)*VLOOKUP($L1163,Vloersoorten[],3,FALSE)*VLOOKUP($Y1163,Frequenties[],3,FALSE)*VLOOKUP(#REF!,Locaties[],3,FALSE),0)</f>
        <v>0</v>
      </c>
      <c r="AB1163" s="87">
        <f>Ruimtestaat[[#This Row],[Uitvoeringen weekend]]*Ruimtestaat[[#This Row],[Oppervlak (netto)]]</f>
        <v>0</v>
      </c>
      <c r="AC1163" s="90">
        <f>IF(AB1163&gt;0,Ruimtestaat[[#This Row],[Prest. (m2 /jaar) weekend]]/Ruimtestaat[[#This Row],[Norm (m2/uur) weekend]],0)</f>
        <v>0</v>
      </c>
      <c r="AD1163" s="91">
        <f>Ruimtestaat[[#This Row],[uren / jaar weekend]]*Tariefsopbouw!$D$40</f>
        <v>0</v>
      </c>
      <c r="AE1163" s="60">
        <f>Ruimtestaat[[#This Row],[Prest. (m2 /jaar) weekend]]+Ruimtestaat[[#This Row],[Prest. (m2 /jaar) werkdagen]]</f>
        <v>11740</v>
      </c>
      <c r="AF1163" s="60">
        <f>Ruimtestaat[[#This Row],[uren / jaar weekend]]+Ruimtestaat[[#This Row],[uren / jaar werkdagen]]</f>
        <v>0</v>
      </c>
      <c r="AG1163" s="61">
        <f>Ruimtestaat[[#This Row],[kosten / jaar weekend]]+Ruimtestaat[[#This Row],[kosten / jaar werkdagen]]</f>
        <v>0</v>
      </c>
      <c r="AH1163" s="92"/>
      <c r="HL1163" s="59"/>
    </row>
    <row r="1164" spans="1:220">
      <c r="A1164" s="24">
        <v>7</v>
      </c>
      <c r="B1164" s="24" t="str">
        <f>VLOOKUP(Ruimtestaat[[#This Row],[Code]],Locaties[#All],2,FALSE)</f>
        <v>Het Vlier</v>
      </c>
      <c r="C1164" s="24" t="str">
        <f>VLOOKUP(Ruimtestaat[[#This Row],[Code]],Locaties[#All],4,FALSE)</f>
        <v>Het Vlier 1</v>
      </c>
      <c r="D1164" s="24" t="str">
        <f>VLOOKUP(Ruimtestaat[[#This Row],[Code]],Locaties[#All],5,FALSE)</f>
        <v>7414 AR</v>
      </c>
      <c r="E1164" s="24" t="str">
        <f>VLOOKUP(Ruimtestaat[[#This Row],[Code]],Locaties[#All],6,FALSE)</f>
        <v>Deventer</v>
      </c>
      <c r="F1164" s="54"/>
      <c r="G1164" s="24" t="s">
        <v>569</v>
      </c>
      <c r="H1164" s="24" t="s">
        <v>1572</v>
      </c>
      <c r="I1164" s="4" t="s">
        <v>1427</v>
      </c>
      <c r="J1164" s="24">
        <v>16</v>
      </c>
      <c r="K1164" s="54" t="str">
        <f>VLOOKUP(J1164,Ruimtegroepen[],2,FALSE)</f>
        <v>Leslokalen theorie</v>
      </c>
      <c r="L1164" s="24" t="s">
        <v>305</v>
      </c>
      <c r="M1164" s="24" t="s">
        <v>400</v>
      </c>
      <c r="N1164" s="83">
        <v>58.56</v>
      </c>
      <c r="O1164" s="83"/>
      <c r="P1164" s="93" t="str">
        <f>LEFT(VLOOKUP(Ruimtestaat[[#This Row],[Ruimte code]],Ruimtegroepen[#All],4,1),2)</f>
        <v>Le</v>
      </c>
      <c r="Q1164" s="93"/>
      <c r="R1164" s="84">
        <v>40</v>
      </c>
      <c r="S1164" s="84" t="s">
        <v>318</v>
      </c>
      <c r="T1164" s="85">
        <f>IF(R1164&gt;0,IF(RIGHT(Ruimtestaat[[#This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4" s="85">
        <f>IF(T1164&gt;0,VLOOKUP($J1164,Ruimtegroepen[],3,FALSE)*VLOOKUP($L1164,Vloersoorten[],3,FALSE)*VLOOKUP($S1164,Frequenties[],3,FALSE)*VLOOKUP($A1164,Locaties[],3,FALSE),0)</f>
        <v>0</v>
      </c>
      <c r="V1164" s="86">
        <f>Ruimtestaat[[#This Row],[Uitvoeringen werkdagen]]*Ruimtestaat[[#This Row],[Oppervlak (netto)]]</f>
        <v>11712</v>
      </c>
      <c r="W1164" s="87">
        <f>IF(U1164&gt;0,Ruimtestaat[[#This Row],[Prest. (m2 /jaar) werkdagen]]/Ruimtestaat[[#This Row],[Norm (m2/uur) werkdagen]],0)</f>
        <v>0</v>
      </c>
      <c r="X1164" s="88">
        <f>Ruimtestaat[[#This Row],[uren / jaar werkdagen]]*Tariefsopbouw!$E$35</f>
        <v>0</v>
      </c>
      <c r="Y1164" s="85"/>
      <c r="Z1164" s="89">
        <f>IF(Ruimtestaat[[#This Row],[Frequentie weekend]]&gt;0,VALUE(LEFT(Y1164,1))*R1164,0)</f>
        <v>0</v>
      </c>
      <c r="AA1164" s="85">
        <f>IF($Z1164&gt;0,VLOOKUP($J1164,Ruimtegroepen[],3,FALSE)*VLOOKUP($L1164,Vloersoorten[],3,FALSE)*VLOOKUP($Y1164,Frequenties[],3,FALSE)*VLOOKUP(#REF!,Locaties[],3,FALSE),0)</f>
        <v>0</v>
      </c>
      <c r="AB1164" s="87">
        <f>Ruimtestaat[[#This Row],[Uitvoeringen weekend]]*Ruimtestaat[[#This Row],[Oppervlak (netto)]]</f>
        <v>0</v>
      </c>
      <c r="AC1164" s="90">
        <f>IF(AB1164&gt;0,Ruimtestaat[[#This Row],[Prest. (m2 /jaar) weekend]]/Ruimtestaat[[#This Row],[Norm (m2/uur) weekend]],0)</f>
        <v>0</v>
      </c>
      <c r="AD1164" s="91">
        <f>Ruimtestaat[[#This Row],[uren / jaar weekend]]*Tariefsopbouw!$D$40</f>
        <v>0</v>
      </c>
      <c r="AE1164" s="60">
        <f>Ruimtestaat[[#This Row],[Prest. (m2 /jaar) weekend]]+Ruimtestaat[[#This Row],[Prest. (m2 /jaar) werkdagen]]</f>
        <v>11712</v>
      </c>
      <c r="AF1164" s="60">
        <f>Ruimtestaat[[#This Row],[uren / jaar weekend]]+Ruimtestaat[[#This Row],[uren / jaar werkdagen]]</f>
        <v>0</v>
      </c>
      <c r="AG1164" s="61">
        <f>Ruimtestaat[[#This Row],[kosten / jaar weekend]]+Ruimtestaat[[#This Row],[kosten / jaar werkdagen]]</f>
        <v>0</v>
      </c>
      <c r="AH1164" s="92"/>
      <c r="HL1164" s="59"/>
    </row>
    <row r="1165" spans="1:220">
      <c r="A1165" s="24">
        <v>7</v>
      </c>
      <c r="B1165" s="24" t="str">
        <f>VLOOKUP(Ruimtestaat[[#This Row],[Code]],Locaties[#All],2,FALSE)</f>
        <v>Het Vlier</v>
      </c>
      <c r="C1165" s="24" t="str">
        <f>VLOOKUP(Ruimtestaat[[#This Row],[Code]],Locaties[#All],4,FALSE)</f>
        <v>Het Vlier 1</v>
      </c>
      <c r="D1165" s="24" t="str">
        <f>VLOOKUP(Ruimtestaat[[#This Row],[Code]],Locaties[#All],5,FALSE)</f>
        <v>7414 AR</v>
      </c>
      <c r="E1165" s="24" t="str">
        <f>VLOOKUP(Ruimtestaat[[#This Row],[Code]],Locaties[#All],6,FALSE)</f>
        <v>Deventer</v>
      </c>
      <c r="F1165" s="54"/>
      <c r="G1165" s="24" t="s">
        <v>569</v>
      </c>
      <c r="H1165" s="24" t="s">
        <v>1573</v>
      </c>
      <c r="I1165" s="4" t="s">
        <v>1427</v>
      </c>
      <c r="J1165" s="24">
        <v>16</v>
      </c>
      <c r="K1165" s="54" t="str">
        <f>VLOOKUP(J1165,Ruimtegroepen[],2,FALSE)</f>
        <v>Leslokalen theorie</v>
      </c>
      <c r="L1165" s="24" t="s">
        <v>305</v>
      </c>
      <c r="M1165" s="24" t="s">
        <v>400</v>
      </c>
      <c r="N1165" s="83">
        <v>91.04</v>
      </c>
      <c r="O1165" s="83"/>
      <c r="P1165" s="93" t="str">
        <f>LEFT(VLOOKUP(Ruimtestaat[[#This Row],[Ruimte code]],Ruimtegroepen[#All],4,1),2)</f>
        <v>Le</v>
      </c>
      <c r="Q1165" s="93"/>
      <c r="R1165" s="84">
        <v>40</v>
      </c>
      <c r="S1165" s="84" t="s">
        <v>318</v>
      </c>
      <c r="T1165" s="85">
        <f>IF(R1165&gt;0,IF(RIGHT(Ruimtestaat[[#This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5" s="85">
        <f>IF(T1165&gt;0,VLOOKUP($J1165,Ruimtegroepen[],3,FALSE)*VLOOKUP($L1165,Vloersoorten[],3,FALSE)*VLOOKUP($S1165,Frequenties[],3,FALSE)*VLOOKUP($A1165,Locaties[],3,FALSE),0)</f>
        <v>0</v>
      </c>
      <c r="V1165" s="86">
        <f>Ruimtestaat[[#This Row],[Uitvoeringen werkdagen]]*Ruimtestaat[[#This Row],[Oppervlak (netto)]]</f>
        <v>18208</v>
      </c>
      <c r="W1165" s="87">
        <f>IF(U1165&gt;0,Ruimtestaat[[#This Row],[Prest. (m2 /jaar) werkdagen]]/Ruimtestaat[[#This Row],[Norm (m2/uur) werkdagen]],0)</f>
        <v>0</v>
      </c>
      <c r="X1165" s="88">
        <f>Ruimtestaat[[#This Row],[uren / jaar werkdagen]]*Tariefsopbouw!$E$35</f>
        <v>0</v>
      </c>
      <c r="Y1165" s="85"/>
      <c r="Z1165" s="89">
        <f>IF(Ruimtestaat[[#This Row],[Frequentie weekend]]&gt;0,VALUE(LEFT(Y1165,1))*R1165,0)</f>
        <v>0</v>
      </c>
      <c r="AA1165" s="85">
        <f>IF($Z1165&gt;0,VLOOKUP($J1165,Ruimtegroepen[],3,FALSE)*VLOOKUP($L1165,Vloersoorten[],3,FALSE)*VLOOKUP($Y1165,Frequenties[],3,FALSE)*VLOOKUP(#REF!,Locaties[],3,FALSE),0)</f>
        <v>0</v>
      </c>
      <c r="AB1165" s="87">
        <f>Ruimtestaat[[#This Row],[Uitvoeringen weekend]]*Ruimtestaat[[#This Row],[Oppervlak (netto)]]</f>
        <v>0</v>
      </c>
      <c r="AC1165" s="90">
        <f>IF(AB1165&gt;0,Ruimtestaat[[#This Row],[Prest. (m2 /jaar) weekend]]/Ruimtestaat[[#This Row],[Norm (m2/uur) weekend]],0)</f>
        <v>0</v>
      </c>
      <c r="AD1165" s="91">
        <f>Ruimtestaat[[#This Row],[uren / jaar weekend]]*Tariefsopbouw!$D$40</f>
        <v>0</v>
      </c>
      <c r="AE1165" s="60">
        <f>Ruimtestaat[[#This Row],[Prest. (m2 /jaar) weekend]]+Ruimtestaat[[#This Row],[Prest. (m2 /jaar) werkdagen]]</f>
        <v>18208</v>
      </c>
      <c r="AF1165" s="60">
        <f>Ruimtestaat[[#This Row],[uren / jaar weekend]]+Ruimtestaat[[#This Row],[uren / jaar werkdagen]]</f>
        <v>0</v>
      </c>
      <c r="AG1165" s="61">
        <f>Ruimtestaat[[#This Row],[kosten / jaar weekend]]+Ruimtestaat[[#This Row],[kosten / jaar werkdagen]]</f>
        <v>0</v>
      </c>
      <c r="AH1165" s="92"/>
      <c r="HL1165" s="59"/>
    </row>
    <row r="1166" spans="1:220">
      <c r="A1166" s="24">
        <v>7</v>
      </c>
      <c r="B1166" s="24" t="str">
        <f>VLOOKUP(Ruimtestaat[[#This Row],[Code]],Locaties[#All],2,FALSE)</f>
        <v>Het Vlier</v>
      </c>
      <c r="C1166" s="24" t="str">
        <f>VLOOKUP(Ruimtestaat[[#This Row],[Code]],Locaties[#All],4,FALSE)</f>
        <v>Het Vlier 1</v>
      </c>
      <c r="D1166" s="24" t="str">
        <f>VLOOKUP(Ruimtestaat[[#This Row],[Code]],Locaties[#All],5,FALSE)</f>
        <v>7414 AR</v>
      </c>
      <c r="E1166" s="24" t="str">
        <f>VLOOKUP(Ruimtestaat[[#This Row],[Code]],Locaties[#All],6,FALSE)</f>
        <v>Deventer</v>
      </c>
      <c r="F1166" s="54"/>
      <c r="G1166" s="24" t="s">
        <v>569</v>
      </c>
      <c r="H1166" s="24" t="s">
        <v>1574</v>
      </c>
      <c r="I1166" s="4" t="s">
        <v>1427</v>
      </c>
      <c r="J1166" s="24">
        <v>16</v>
      </c>
      <c r="K1166" s="54" t="str">
        <f>VLOOKUP(J1166,Ruimtegroepen[],2,FALSE)</f>
        <v>Leslokalen theorie</v>
      </c>
      <c r="L1166" s="24" t="s">
        <v>305</v>
      </c>
      <c r="M1166" s="24" t="s">
        <v>400</v>
      </c>
      <c r="N1166" s="83">
        <v>58.37</v>
      </c>
      <c r="O1166" s="83"/>
      <c r="P1166" s="93" t="str">
        <f>LEFT(VLOOKUP(Ruimtestaat[[#This Row],[Ruimte code]],Ruimtegroepen[#All],4,1),2)</f>
        <v>Le</v>
      </c>
      <c r="Q1166" s="93"/>
      <c r="R1166" s="84">
        <v>40</v>
      </c>
      <c r="S1166" s="84" t="s">
        <v>318</v>
      </c>
      <c r="T1166" s="85">
        <f>IF(R1166&gt;0,IF(RIGHT(Ruimtestaat[[#This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6" s="85">
        <f>IF(T1166&gt;0,VLOOKUP($J1166,Ruimtegroepen[],3,FALSE)*VLOOKUP($L1166,Vloersoorten[],3,FALSE)*VLOOKUP($S1166,Frequenties[],3,FALSE)*VLOOKUP($A1166,Locaties[],3,FALSE),0)</f>
        <v>0</v>
      </c>
      <c r="V1166" s="86">
        <f>Ruimtestaat[[#This Row],[Uitvoeringen werkdagen]]*Ruimtestaat[[#This Row],[Oppervlak (netto)]]</f>
        <v>11674</v>
      </c>
      <c r="W1166" s="87">
        <f>IF(U1166&gt;0,Ruimtestaat[[#This Row],[Prest. (m2 /jaar) werkdagen]]/Ruimtestaat[[#This Row],[Norm (m2/uur) werkdagen]],0)</f>
        <v>0</v>
      </c>
      <c r="X1166" s="88">
        <f>Ruimtestaat[[#This Row],[uren / jaar werkdagen]]*Tariefsopbouw!$E$35</f>
        <v>0</v>
      </c>
      <c r="Y1166" s="85"/>
      <c r="Z1166" s="89">
        <f>IF(Ruimtestaat[[#This Row],[Frequentie weekend]]&gt;0,VALUE(LEFT(Y1166,1))*R1166,0)</f>
        <v>0</v>
      </c>
      <c r="AA1166" s="85">
        <f>IF($Z1166&gt;0,VLOOKUP($J1166,Ruimtegroepen[],3,FALSE)*VLOOKUP($L1166,Vloersoorten[],3,FALSE)*VLOOKUP($Y1166,Frequenties[],3,FALSE)*VLOOKUP(#REF!,Locaties[],3,FALSE),0)</f>
        <v>0</v>
      </c>
      <c r="AB1166" s="87">
        <f>Ruimtestaat[[#This Row],[Uitvoeringen weekend]]*Ruimtestaat[[#This Row],[Oppervlak (netto)]]</f>
        <v>0</v>
      </c>
      <c r="AC1166" s="90">
        <f>IF(AB1166&gt;0,Ruimtestaat[[#This Row],[Prest. (m2 /jaar) weekend]]/Ruimtestaat[[#This Row],[Norm (m2/uur) weekend]],0)</f>
        <v>0</v>
      </c>
      <c r="AD1166" s="91">
        <f>Ruimtestaat[[#This Row],[uren / jaar weekend]]*Tariefsopbouw!$D$40</f>
        <v>0</v>
      </c>
      <c r="AE1166" s="60">
        <f>Ruimtestaat[[#This Row],[Prest. (m2 /jaar) weekend]]+Ruimtestaat[[#This Row],[Prest. (m2 /jaar) werkdagen]]</f>
        <v>11674</v>
      </c>
      <c r="AF1166" s="60">
        <f>Ruimtestaat[[#This Row],[uren / jaar weekend]]+Ruimtestaat[[#This Row],[uren / jaar werkdagen]]</f>
        <v>0</v>
      </c>
      <c r="AG1166" s="61">
        <f>Ruimtestaat[[#This Row],[kosten / jaar weekend]]+Ruimtestaat[[#This Row],[kosten / jaar werkdagen]]</f>
        <v>0</v>
      </c>
      <c r="AH1166" s="92"/>
      <c r="HL1166" s="59"/>
    </row>
    <row r="1167" spans="1:220">
      <c r="A1167" s="24">
        <v>7</v>
      </c>
      <c r="B1167" s="24" t="str">
        <f>VLOOKUP(Ruimtestaat[[#This Row],[Code]],Locaties[#All],2,FALSE)</f>
        <v>Het Vlier</v>
      </c>
      <c r="C1167" s="24" t="str">
        <f>VLOOKUP(Ruimtestaat[[#This Row],[Code]],Locaties[#All],4,FALSE)</f>
        <v>Het Vlier 1</v>
      </c>
      <c r="D1167" s="24" t="str">
        <f>VLOOKUP(Ruimtestaat[[#This Row],[Code]],Locaties[#All],5,FALSE)</f>
        <v>7414 AR</v>
      </c>
      <c r="E1167" s="24" t="str">
        <f>VLOOKUP(Ruimtestaat[[#This Row],[Code]],Locaties[#All],6,FALSE)</f>
        <v>Deventer</v>
      </c>
      <c r="F1167" s="54"/>
      <c r="G1167" s="24" t="s">
        <v>569</v>
      </c>
      <c r="H1167" s="24" t="s">
        <v>1575</v>
      </c>
      <c r="I1167" s="4" t="s">
        <v>1488</v>
      </c>
      <c r="J1167" s="24">
        <v>2</v>
      </c>
      <c r="K1167" s="54" t="str">
        <f>VLOOKUP(J1167,Ruimtegroepen[],2,FALSE)</f>
        <v>Kantoren</v>
      </c>
      <c r="L1167" s="24" t="s">
        <v>305</v>
      </c>
      <c r="M1167" s="24" t="s">
        <v>400</v>
      </c>
      <c r="N1167" s="83">
        <v>32.36</v>
      </c>
      <c r="O1167" s="83"/>
      <c r="P1167" s="93" t="str">
        <f>LEFT(VLOOKUP(Ruimtestaat[[#This Row],[Ruimte code]],Ruimtegroepen[#All],4,1),2)</f>
        <v>Bu</v>
      </c>
      <c r="Q1167" s="93"/>
      <c r="R1167" s="84">
        <v>42</v>
      </c>
      <c r="S1167" s="84" t="s">
        <v>322</v>
      </c>
      <c r="T1167" s="85">
        <f>IF(R1167&gt;0,IF(RIGHT(Ruimtestaat[[#This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67" s="85">
        <f>IF(T1167&gt;0,VLOOKUP($J1167,Ruimtegroepen[],3,FALSE)*VLOOKUP($L1167,Vloersoorten[],3,FALSE)*VLOOKUP($S1167,Frequenties[],3,FALSE)*VLOOKUP($A1167,Locaties[],3,FALSE),0)</f>
        <v>0</v>
      </c>
      <c r="V1167" s="86">
        <f>Ruimtestaat[[#This Row],[Uitvoeringen werkdagen]]*Ruimtestaat[[#This Row],[Oppervlak (netto)]]</f>
        <v>4077.36</v>
      </c>
      <c r="W1167" s="87">
        <f>IF(U1167&gt;0,Ruimtestaat[[#This Row],[Prest. (m2 /jaar) werkdagen]]/Ruimtestaat[[#This Row],[Norm (m2/uur) werkdagen]],0)</f>
        <v>0</v>
      </c>
      <c r="X1167" s="88">
        <f>Ruimtestaat[[#This Row],[uren / jaar werkdagen]]*Tariefsopbouw!$E$35</f>
        <v>0</v>
      </c>
      <c r="Y1167" s="85"/>
      <c r="Z1167" s="89">
        <f>IF(Ruimtestaat[[#This Row],[Frequentie weekend]]&gt;0,VALUE(LEFT(Y1167,1))*R1167,0)</f>
        <v>0</v>
      </c>
      <c r="AA1167" s="85">
        <f>IF($Z1167&gt;0,VLOOKUP($J1167,Ruimtegroepen[],3,FALSE)*VLOOKUP($L1167,Vloersoorten[],3,FALSE)*VLOOKUP($Y1167,Frequenties[],3,FALSE)*VLOOKUP(#REF!,Locaties[],3,FALSE),0)</f>
        <v>0</v>
      </c>
      <c r="AB1167" s="87">
        <f>Ruimtestaat[[#This Row],[Uitvoeringen weekend]]*Ruimtestaat[[#This Row],[Oppervlak (netto)]]</f>
        <v>0</v>
      </c>
      <c r="AC1167" s="90">
        <f>IF(AB1167&gt;0,Ruimtestaat[[#This Row],[Prest. (m2 /jaar) weekend]]/Ruimtestaat[[#This Row],[Norm (m2/uur) weekend]],0)</f>
        <v>0</v>
      </c>
      <c r="AD1167" s="91">
        <f>Ruimtestaat[[#This Row],[uren / jaar weekend]]*Tariefsopbouw!$D$40</f>
        <v>0</v>
      </c>
      <c r="AE1167" s="60">
        <f>Ruimtestaat[[#This Row],[Prest. (m2 /jaar) weekend]]+Ruimtestaat[[#This Row],[Prest. (m2 /jaar) werkdagen]]</f>
        <v>4077.36</v>
      </c>
      <c r="AF1167" s="60">
        <f>Ruimtestaat[[#This Row],[uren / jaar weekend]]+Ruimtestaat[[#This Row],[uren / jaar werkdagen]]</f>
        <v>0</v>
      </c>
      <c r="AG1167" s="61">
        <f>Ruimtestaat[[#This Row],[kosten / jaar weekend]]+Ruimtestaat[[#This Row],[kosten / jaar werkdagen]]</f>
        <v>0</v>
      </c>
      <c r="AH1167" s="92"/>
      <c r="HL1167" s="59"/>
    </row>
    <row r="1168" spans="1:220">
      <c r="A1168" s="24">
        <v>7</v>
      </c>
      <c r="B1168" s="24" t="str">
        <f>VLOOKUP(Ruimtestaat[[#This Row],[Code]],Locaties[#All],2,FALSE)</f>
        <v>Het Vlier</v>
      </c>
      <c r="C1168" s="24" t="str">
        <f>VLOOKUP(Ruimtestaat[[#This Row],[Code]],Locaties[#All],4,FALSE)</f>
        <v>Het Vlier 1</v>
      </c>
      <c r="D1168" s="24" t="str">
        <f>VLOOKUP(Ruimtestaat[[#This Row],[Code]],Locaties[#All],5,FALSE)</f>
        <v>7414 AR</v>
      </c>
      <c r="E1168" s="24" t="str">
        <f>VLOOKUP(Ruimtestaat[[#This Row],[Code]],Locaties[#All],6,FALSE)</f>
        <v>Deventer</v>
      </c>
      <c r="F1168" s="54"/>
      <c r="G1168" s="24" t="s">
        <v>569</v>
      </c>
      <c r="H1168" s="24" t="s">
        <v>1576</v>
      </c>
      <c r="I1168" s="4" t="s">
        <v>1488</v>
      </c>
      <c r="J1168" s="24">
        <v>2</v>
      </c>
      <c r="K1168" s="54" t="str">
        <f>VLOOKUP(J1168,Ruimtegroepen[],2,FALSE)</f>
        <v>Kantoren</v>
      </c>
      <c r="L1168" s="24" t="s">
        <v>305</v>
      </c>
      <c r="M1168" s="24" t="s">
        <v>400</v>
      </c>
      <c r="N1168" s="83">
        <v>33.22</v>
      </c>
      <c r="O1168" s="83"/>
      <c r="P1168" s="93" t="str">
        <f>LEFT(VLOOKUP(Ruimtestaat[[#This Row],[Ruimte code]],Ruimtegroepen[#All],4,1),2)</f>
        <v>Bu</v>
      </c>
      <c r="Q1168" s="93"/>
      <c r="R1168" s="84">
        <v>42</v>
      </c>
      <c r="S1168" s="84" t="s">
        <v>322</v>
      </c>
      <c r="T1168" s="85">
        <f>IF(R1168&gt;0,IF(RIGHT(Ruimtestaat[[#This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68" s="85">
        <f>IF(T1168&gt;0,VLOOKUP($J1168,Ruimtegroepen[],3,FALSE)*VLOOKUP($L1168,Vloersoorten[],3,FALSE)*VLOOKUP($S1168,Frequenties[],3,FALSE)*VLOOKUP($A1168,Locaties[],3,FALSE),0)</f>
        <v>0</v>
      </c>
      <c r="V1168" s="86">
        <f>Ruimtestaat[[#This Row],[Uitvoeringen werkdagen]]*Ruimtestaat[[#This Row],[Oppervlak (netto)]]</f>
        <v>4185.72</v>
      </c>
      <c r="W1168" s="87">
        <f>IF(U1168&gt;0,Ruimtestaat[[#This Row],[Prest. (m2 /jaar) werkdagen]]/Ruimtestaat[[#This Row],[Norm (m2/uur) werkdagen]],0)</f>
        <v>0</v>
      </c>
      <c r="X1168" s="88">
        <f>Ruimtestaat[[#This Row],[uren / jaar werkdagen]]*Tariefsopbouw!$E$35</f>
        <v>0</v>
      </c>
      <c r="Y1168" s="85"/>
      <c r="Z1168" s="89">
        <f>IF(Ruimtestaat[[#This Row],[Frequentie weekend]]&gt;0,VALUE(LEFT(Y1168,1))*R1168,0)</f>
        <v>0</v>
      </c>
      <c r="AA1168" s="85">
        <f>IF($Z1168&gt;0,VLOOKUP($J1168,Ruimtegroepen[],3,FALSE)*VLOOKUP($L1168,Vloersoorten[],3,FALSE)*VLOOKUP($Y1168,Frequenties[],3,FALSE)*VLOOKUP(#REF!,Locaties[],3,FALSE),0)</f>
        <v>0</v>
      </c>
      <c r="AB1168" s="87">
        <f>Ruimtestaat[[#This Row],[Uitvoeringen weekend]]*Ruimtestaat[[#This Row],[Oppervlak (netto)]]</f>
        <v>0</v>
      </c>
      <c r="AC1168" s="90">
        <f>IF(AB1168&gt;0,Ruimtestaat[[#This Row],[Prest. (m2 /jaar) weekend]]/Ruimtestaat[[#This Row],[Norm (m2/uur) weekend]],0)</f>
        <v>0</v>
      </c>
      <c r="AD1168" s="91">
        <f>Ruimtestaat[[#This Row],[uren / jaar weekend]]*Tariefsopbouw!$D$40</f>
        <v>0</v>
      </c>
      <c r="AE1168" s="60">
        <f>Ruimtestaat[[#This Row],[Prest. (m2 /jaar) weekend]]+Ruimtestaat[[#This Row],[Prest. (m2 /jaar) werkdagen]]</f>
        <v>4185.72</v>
      </c>
      <c r="AF1168" s="60">
        <f>Ruimtestaat[[#This Row],[uren / jaar weekend]]+Ruimtestaat[[#This Row],[uren / jaar werkdagen]]</f>
        <v>0</v>
      </c>
      <c r="AG1168" s="61">
        <f>Ruimtestaat[[#This Row],[kosten / jaar weekend]]+Ruimtestaat[[#This Row],[kosten / jaar werkdagen]]</f>
        <v>0</v>
      </c>
      <c r="AH1168" s="92"/>
      <c r="HL1168" s="59"/>
    </row>
    <row r="1169" spans="1:220">
      <c r="A1169" s="24">
        <v>7</v>
      </c>
      <c r="B1169" s="24" t="str">
        <f>VLOOKUP(Ruimtestaat[[#This Row],[Code]],Locaties[#All],2,FALSE)</f>
        <v>Het Vlier</v>
      </c>
      <c r="C1169" s="24" t="str">
        <f>VLOOKUP(Ruimtestaat[[#This Row],[Code]],Locaties[#All],4,FALSE)</f>
        <v>Het Vlier 1</v>
      </c>
      <c r="D1169" s="24" t="str">
        <f>VLOOKUP(Ruimtestaat[[#This Row],[Code]],Locaties[#All],5,FALSE)</f>
        <v>7414 AR</v>
      </c>
      <c r="E1169" s="24" t="str">
        <f>VLOOKUP(Ruimtestaat[[#This Row],[Code]],Locaties[#All],6,FALSE)</f>
        <v>Deventer</v>
      </c>
      <c r="F1169" s="54"/>
      <c r="G1169" s="24" t="s">
        <v>569</v>
      </c>
      <c r="H1169" s="24" t="s">
        <v>1577</v>
      </c>
      <c r="I1169" s="4" t="s">
        <v>1427</v>
      </c>
      <c r="J1169" s="24">
        <v>16</v>
      </c>
      <c r="K1169" s="54" t="str">
        <f>VLOOKUP(J1169,Ruimtegroepen[],2,FALSE)</f>
        <v>Leslokalen theorie</v>
      </c>
      <c r="L1169" s="24" t="s">
        <v>305</v>
      </c>
      <c r="M1169" s="24" t="s">
        <v>400</v>
      </c>
      <c r="N1169" s="83">
        <v>58.05</v>
      </c>
      <c r="O1169" s="83"/>
      <c r="P1169" s="93" t="str">
        <f>LEFT(VLOOKUP(Ruimtestaat[[#This Row],[Ruimte code]],Ruimtegroepen[#All],4,1),2)</f>
        <v>Le</v>
      </c>
      <c r="Q1169" s="93"/>
      <c r="R1169" s="84">
        <v>40</v>
      </c>
      <c r="S1169" s="84" t="s">
        <v>318</v>
      </c>
      <c r="T1169" s="85">
        <f>IF(R1169&gt;0,IF(RIGHT(Ruimtestaat[[#This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9" s="85">
        <f>IF(T1169&gt;0,VLOOKUP($J1169,Ruimtegroepen[],3,FALSE)*VLOOKUP($L1169,Vloersoorten[],3,FALSE)*VLOOKUP($S1169,Frequenties[],3,FALSE)*VLOOKUP($A1169,Locaties[],3,FALSE),0)</f>
        <v>0</v>
      </c>
      <c r="V1169" s="86">
        <f>Ruimtestaat[[#This Row],[Uitvoeringen werkdagen]]*Ruimtestaat[[#This Row],[Oppervlak (netto)]]</f>
        <v>11610</v>
      </c>
      <c r="W1169" s="87">
        <f>IF(U1169&gt;0,Ruimtestaat[[#This Row],[Prest. (m2 /jaar) werkdagen]]/Ruimtestaat[[#This Row],[Norm (m2/uur) werkdagen]],0)</f>
        <v>0</v>
      </c>
      <c r="X1169" s="88">
        <f>Ruimtestaat[[#This Row],[uren / jaar werkdagen]]*Tariefsopbouw!$E$35</f>
        <v>0</v>
      </c>
      <c r="Y1169" s="85"/>
      <c r="Z1169" s="89">
        <f>IF(Ruimtestaat[[#This Row],[Frequentie weekend]]&gt;0,VALUE(LEFT(Y1169,1))*R1169,0)</f>
        <v>0</v>
      </c>
      <c r="AA1169" s="85">
        <f>IF($Z1169&gt;0,VLOOKUP($J1169,Ruimtegroepen[],3,FALSE)*VLOOKUP($L1169,Vloersoorten[],3,FALSE)*VLOOKUP($Y1169,Frequenties[],3,FALSE)*VLOOKUP(#REF!,Locaties[],3,FALSE),0)</f>
        <v>0</v>
      </c>
      <c r="AB1169" s="87">
        <f>Ruimtestaat[[#This Row],[Uitvoeringen weekend]]*Ruimtestaat[[#This Row],[Oppervlak (netto)]]</f>
        <v>0</v>
      </c>
      <c r="AC1169" s="90">
        <f>IF(AB1169&gt;0,Ruimtestaat[[#This Row],[Prest. (m2 /jaar) weekend]]/Ruimtestaat[[#This Row],[Norm (m2/uur) weekend]],0)</f>
        <v>0</v>
      </c>
      <c r="AD1169" s="91">
        <f>Ruimtestaat[[#This Row],[uren / jaar weekend]]*Tariefsopbouw!$D$40</f>
        <v>0</v>
      </c>
      <c r="AE1169" s="60">
        <f>Ruimtestaat[[#This Row],[Prest. (m2 /jaar) weekend]]+Ruimtestaat[[#This Row],[Prest. (m2 /jaar) werkdagen]]</f>
        <v>11610</v>
      </c>
      <c r="AF1169" s="60">
        <f>Ruimtestaat[[#This Row],[uren / jaar weekend]]+Ruimtestaat[[#This Row],[uren / jaar werkdagen]]</f>
        <v>0</v>
      </c>
      <c r="AG1169" s="61">
        <f>Ruimtestaat[[#This Row],[kosten / jaar weekend]]+Ruimtestaat[[#This Row],[kosten / jaar werkdagen]]</f>
        <v>0</v>
      </c>
      <c r="AH1169" s="92"/>
      <c r="HL1169" s="59"/>
    </row>
    <row r="1170" spans="1:220">
      <c r="A1170" s="24">
        <v>7</v>
      </c>
      <c r="B1170" s="24" t="str">
        <f>VLOOKUP(Ruimtestaat[[#This Row],[Code]],Locaties[#All],2,FALSE)</f>
        <v>Het Vlier</v>
      </c>
      <c r="C1170" s="24" t="str">
        <f>VLOOKUP(Ruimtestaat[[#This Row],[Code]],Locaties[#All],4,FALSE)</f>
        <v>Het Vlier 1</v>
      </c>
      <c r="D1170" s="24" t="str">
        <f>VLOOKUP(Ruimtestaat[[#This Row],[Code]],Locaties[#All],5,FALSE)</f>
        <v>7414 AR</v>
      </c>
      <c r="E1170" s="24" t="str">
        <f>VLOOKUP(Ruimtestaat[[#This Row],[Code]],Locaties[#All],6,FALSE)</f>
        <v>Deventer</v>
      </c>
      <c r="F1170" s="54"/>
      <c r="G1170" s="24" t="s">
        <v>569</v>
      </c>
      <c r="H1170" s="24" t="s">
        <v>1578</v>
      </c>
      <c r="I1170" s="4" t="s">
        <v>1427</v>
      </c>
      <c r="J1170" s="24">
        <v>16</v>
      </c>
      <c r="K1170" s="54" t="str">
        <f>VLOOKUP(J1170,Ruimtegroepen[],2,FALSE)</f>
        <v>Leslokalen theorie</v>
      </c>
      <c r="L1170" s="24" t="s">
        <v>305</v>
      </c>
      <c r="M1170" s="24" t="s">
        <v>400</v>
      </c>
      <c r="N1170" s="83">
        <v>56.99</v>
      </c>
      <c r="O1170" s="83"/>
      <c r="P1170" s="93" t="str">
        <f>LEFT(VLOOKUP(Ruimtestaat[[#This Row],[Ruimte code]],Ruimtegroepen[#All],4,1),2)</f>
        <v>Le</v>
      </c>
      <c r="Q1170" s="93"/>
      <c r="R1170" s="84">
        <v>40</v>
      </c>
      <c r="S1170" s="84" t="s">
        <v>318</v>
      </c>
      <c r="T1170" s="85">
        <f>IF(R1170&gt;0,IF(RIGHT(Ruimtestaat[[#This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0" s="85">
        <f>IF(T1170&gt;0,VLOOKUP($J1170,Ruimtegroepen[],3,FALSE)*VLOOKUP($L1170,Vloersoorten[],3,FALSE)*VLOOKUP($S1170,Frequenties[],3,FALSE)*VLOOKUP($A1170,Locaties[],3,FALSE),0)</f>
        <v>0</v>
      </c>
      <c r="V1170" s="86">
        <f>Ruimtestaat[[#This Row],[Uitvoeringen werkdagen]]*Ruimtestaat[[#This Row],[Oppervlak (netto)]]</f>
        <v>11398</v>
      </c>
      <c r="W1170" s="87">
        <f>IF(U1170&gt;0,Ruimtestaat[[#This Row],[Prest. (m2 /jaar) werkdagen]]/Ruimtestaat[[#This Row],[Norm (m2/uur) werkdagen]],0)</f>
        <v>0</v>
      </c>
      <c r="X1170" s="88">
        <f>Ruimtestaat[[#This Row],[uren / jaar werkdagen]]*Tariefsopbouw!$E$35</f>
        <v>0</v>
      </c>
      <c r="Y1170" s="85"/>
      <c r="Z1170" s="89">
        <f>IF(Ruimtestaat[[#This Row],[Frequentie weekend]]&gt;0,VALUE(LEFT(Y1170,1))*R1170,0)</f>
        <v>0</v>
      </c>
      <c r="AA1170" s="85">
        <f>IF($Z1170&gt;0,VLOOKUP($J1170,Ruimtegroepen[],3,FALSE)*VLOOKUP($L1170,Vloersoorten[],3,FALSE)*VLOOKUP($Y1170,Frequenties[],3,FALSE)*VLOOKUP(#REF!,Locaties[],3,FALSE),0)</f>
        <v>0</v>
      </c>
      <c r="AB1170" s="87">
        <f>Ruimtestaat[[#This Row],[Uitvoeringen weekend]]*Ruimtestaat[[#This Row],[Oppervlak (netto)]]</f>
        <v>0</v>
      </c>
      <c r="AC1170" s="90">
        <f>IF(AB1170&gt;0,Ruimtestaat[[#This Row],[Prest. (m2 /jaar) weekend]]/Ruimtestaat[[#This Row],[Norm (m2/uur) weekend]],0)</f>
        <v>0</v>
      </c>
      <c r="AD1170" s="91">
        <f>Ruimtestaat[[#This Row],[uren / jaar weekend]]*Tariefsopbouw!$D$40</f>
        <v>0</v>
      </c>
      <c r="AE1170" s="60">
        <f>Ruimtestaat[[#This Row],[Prest. (m2 /jaar) weekend]]+Ruimtestaat[[#This Row],[Prest. (m2 /jaar) werkdagen]]</f>
        <v>11398</v>
      </c>
      <c r="AF1170" s="60">
        <f>Ruimtestaat[[#This Row],[uren / jaar weekend]]+Ruimtestaat[[#This Row],[uren / jaar werkdagen]]</f>
        <v>0</v>
      </c>
      <c r="AG1170" s="61">
        <f>Ruimtestaat[[#This Row],[kosten / jaar weekend]]+Ruimtestaat[[#This Row],[kosten / jaar werkdagen]]</f>
        <v>0</v>
      </c>
      <c r="AH1170" s="92"/>
      <c r="HL1170" s="59"/>
    </row>
    <row r="1171" spans="1:220">
      <c r="A1171" s="24">
        <v>7</v>
      </c>
      <c r="B1171" s="24" t="str">
        <f>VLOOKUP(Ruimtestaat[[#This Row],[Code]],Locaties[#All],2,FALSE)</f>
        <v>Het Vlier</v>
      </c>
      <c r="C1171" s="24" t="str">
        <f>VLOOKUP(Ruimtestaat[[#This Row],[Code]],Locaties[#All],4,FALSE)</f>
        <v>Het Vlier 1</v>
      </c>
      <c r="D1171" s="24" t="str">
        <f>VLOOKUP(Ruimtestaat[[#This Row],[Code]],Locaties[#All],5,FALSE)</f>
        <v>7414 AR</v>
      </c>
      <c r="E1171" s="24" t="str">
        <f>VLOOKUP(Ruimtestaat[[#This Row],[Code]],Locaties[#All],6,FALSE)</f>
        <v>Deventer</v>
      </c>
      <c r="F1171" s="54"/>
      <c r="G1171" s="24" t="s">
        <v>569</v>
      </c>
      <c r="H1171" s="24" t="s">
        <v>1579</v>
      </c>
      <c r="I1171" s="4" t="s">
        <v>1427</v>
      </c>
      <c r="J1171" s="24">
        <v>16</v>
      </c>
      <c r="K1171" s="54" t="str">
        <f>VLOOKUP(J1171,Ruimtegroepen[],2,FALSE)</f>
        <v>Leslokalen theorie</v>
      </c>
      <c r="L1171" s="24" t="s">
        <v>305</v>
      </c>
      <c r="M1171" s="24" t="s">
        <v>400</v>
      </c>
      <c r="N1171" s="83">
        <v>58.44</v>
      </c>
      <c r="O1171" s="83"/>
      <c r="P1171" s="93" t="str">
        <f>LEFT(VLOOKUP(Ruimtestaat[[#This Row],[Ruimte code]],Ruimtegroepen[#All],4,1),2)</f>
        <v>Le</v>
      </c>
      <c r="Q1171" s="93"/>
      <c r="R1171" s="84">
        <v>40</v>
      </c>
      <c r="S1171" s="84" t="s">
        <v>318</v>
      </c>
      <c r="T1171" s="85">
        <f>IF(R1171&gt;0,IF(RIGHT(Ruimtestaat[[#This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1" s="85">
        <f>IF(T1171&gt;0,VLOOKUP($J1171,Ruimtegroepen[],3,FALSE)*VLOOKUP($L1171,Vloersoorten[],3,FALSE)*VLOOKUP($S1171,Frequenties[],3,FALSE)*VLOOKUP($A1171,Locaties[],3,FALSE),0)</f>
        <v>0</v>
      </c>
      <c r="V1171" s="86">
        <f>Ruimtestaat[[#This Row],[Uitvoeringen werkdagen]]*Ruimtestaat[[#This Row],[Oppervlak (netto)]]</f>
        <v>11688</v>
      </c>
      <c r="W1171" s="87">
        <f>IF(U1171&gt;0,Ruimtestaat[[#This Row],[Prest. (m2 /jaar) werkdagen]]/Ruimtestaat[[#This Row],[Norm (m2/uur) werkdagen]],0)</f>
        <v>0</v>
      </c>
      <c r="X1171" s="88">
        <f>Ruimtestaat[[#This Row],[uren / jaar werkdagen]]*Tariefsopbouw!$E$35</f>
        <v>0</v>
      </c>
      <c r="Y1171" s="85"/>
      <c r="Z1171" s="89">
        <f>IF(Ruimtestaat[[#This Row],[Frequentie weekend]]&gt;0,VALUE(LEFT(Y1171,1))*R1171,0)</f>
        <v>0</v>
      </c>
      <c r="AA1171" s="85">
        <f>IF($Z1171&gt;0,VLOOKUP($J1171,Ruimtegroepen[],3,FALSE)*VLOOKUP($L1171,Vloersoorten[],3,FALSE)*VLOOKUP($Y1171,Frequenties[],3,FALSE)*VLOOKUP(#REF!,Locaties[],3,FALSE),0)</f>
        <v>0</v>
      </c>
      <c r="AB1171" s="87">
        <f>Ruimtestaat[[#This Row],[Uitvoeringen weekend]]*Ruimtestaat[[#This Row],[Oppervlak (netto)]]</f>
        <v>0</v>
      </c>
      <c r="AC1171" s="90">
        <f>IF(AB1171&gt;0,Ruimtestaat[[#This Row],[Prest. (m2 /jaar) weekend]]/Ruimtestaat[[#This Row],[Norm (m2/uur) weekend]],0)</f>
        <v>0</v>
      </c>
      <c r="AD1171" s="91">
        <f>Ruimtestaat[[#This Row],[uren / jaar weekend]]*Tariefsopbouw!$D$40</f>
        <v>0</v>
      </c>
      <c r="AE1171" s="60">
        <f>Ruimtestaat[[#This Row],[Prest. (m2 /jaar) weekend]]+Ruimtestaat[[#This Row],[Prest. (m2 /jaar) werkdagen]]</f>
        <v>11688</v>
      </c>
      <c r="AF1171" s="60">
        <f>Ruimtestaat[[#This Row],[uren / jaar weekend]]+Ruimtestaat[[#This Row],[uren / jaar werkdagen]]</f>
        <v>0</v>
      </c>
      <c r="AG1171" s="61">
        <f>Ruimtestaat[[#This Row],[kosten / jaar weekend]]+Ruimtestaat[[#This Row],[kosten / jaar werkdagen]]</f>
        <v>0</v>
      </c>
      <c r="AH1171" s="92"/>
      <c r="HL1171" s="59"/>
    </row>
    <row r="1172" spans="1:220">
      <c r="A1172" s="24">
        <v>7</v>
      </c>
      <c r="B1172" s="24" t="str">
        <f>VLOOKUP(Ruimtestaat[[#This Row],[Code]],Locaties[#All],2,FALSE)</f>
        <v>Het Vlier</v>
      </c>
      <c r="C1172" s="24" t="str">
        <f>VLOOKUP(Ruimtestaat[[#This Row],[Code]],Locaties[#All],4,FALSE)</f>
        <v>Het Vlier 1</v>
      </c>
      <c r="D1172" s="24" t="str">
        <f>VLOOKUP(Ruimtestaat[[#This Row],[Code]],Locaties[#All],5,FALSE)</f>
        <v>7414 AR</v>
      </c>
      <c r="E1172" s="24" t="str">
        <f>VLOOKUP(Ruimtestaat[[#This Row],[Code]],Locaties[#All],6,FALSE)</f>
        <v>Deventer</v>
      </c>
      <c r="F1172" s="54"/>
      <c r="G1172" s="24" t="s">
        <v>569</v>
      </c>
      <c r="H1172" s="24" t="s">
        <v>1580</v>
      </c>
      <c r="I1172" s="4" t="s">
        <v>1427</v>
      </c>
      <c r="J1172" s="24">
        <v>16</v>
      </c>
      <c r="K1172" s="54" t="str">
        <f>VLOOKUP(J1172,Ruimtegroepen[],2,FALSE)</f>
        <v>Leslokalen theorie</v>
      </c>
      <c r="L1172" s="24" t="s">
        <v>305</v>
      </c>
      <c r="M1172" s="24" t="s">
        <v>400</v>
      </c>
      <c r="N1172" s="83">
        <v>58.23</v>
      </c>
      <c r="O1172" s="83"/>
      <c r="P1172" s="93" t="str">
        <f>LEFT(VLOOKUP(Ruimtestaat[[#This Row],[Ruimte code]],Ruimtegroepen[#All],4,1),2)</f>
        <v>Le</v>
      </c>
      <c r="Q1172" s="93"/>
      <c r="R1172" s="84">
        <v>40</v>
      </c>
      <c r="S1172" s="84" t="s">
        <v>318</v>
      </c>
      <c r="T1172" s="85">
        <f>IF(R1172&gt;0,IF(RIGHT(Ruimtestaat[[#This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2" s="85">
        <f>IF(T1172&gt;0,VLOOKUP($J1172,Ruimtegroepen[],3,FALSE)*VLOOKUP($L1172,Vloersoorten[],3,FALSE)*VLOOKUP($S1172,Frequenties[],3,FALSE)*VLOOKUP($A1172,Locaties[],3,FALSE),0)</f>
        <v>0</v>
      </c>
      <c r="V1172" s="86">
        <f>Ruimtestaat[[#This Row],[Uitvoeringen werkdagen]]*Ruimtestaat[[#This Row],[Oppervlak (netto)]]</f>
        <v>11646</v>
      </c>
      <c r="W1172" s="87">
        <f>IF(U1172&gt;0,Ruimtestaat[[#This Row],[Prest. (m2 /jaar) werkdagen]]/Ruimtestaat[[#This Row],[Norm (m2/uur) werkdagen]],0)</f>
        <v>0</v>
      </c>
      <c r="X1172" s="88">
        <f>Ruimtestaat[[#This Row],[uren / jaar werkdagen]]*Tariefsopbouw!$E$35</f>
        <v>0</v>
      </c>
      <c r="Y1172" s="85"/>
      <c r="Z1172" s="89">
        <f>IF(Ruimtestaat[[#This Row],[Frequentie weekend]]&gt;0,VALUE(LEFT(Y1172,1))*R1172,0)</f>
        <v>0</v>
      </c>
      <c r="AA1172" s="85">
        <f>IF($Z1172&gt;0,VLOOKUP($J1172,Ruimtegroepen[],3,FALSE)*VLOOKUP($L1172,Vloersoorten[],3,FALSE)*VLOOKUP($Y1172,Frequenties[],3,FALSE)*VLOOKUP(#REF!,Locaties[],3,FALSE),0)</f>
        <v>0</v>
      </c>
      <c r="AB1172" s="87">
        <f>Ruimtestaat[[#This Row],[Uitvoeringen weekend]]*Ruimtestaat[[#This Row],[Oppervlak (netto)]]</f>
        <v>0</v>
      </c>
      <c r="AC1172" s="90">
        <f>IF(AB1172&gt;0,Ruimtestaat[[#This Row],[Prest. (m2 /jaar) weekend]]/Ruimtestaat[[#This Row],[Norm (m2/uur) weekend]],0)</f>
        <v>0</v>
      </c>
      <c r="AD1172" s="91">
        <f>Ruimtestaat[[#This Row],[uren / jaar weekend]]*Tariefsopbouw!$D$40</f>
        <v>0</v>
      </c>
      <c r="AE1172" s="60">
        <f>Ruimtestaat[[#This Row],[Prest. (m2 /jaar) weekend]]+Ruimtestaat[[#This Row],[Prest. (m2 /jaar) werkdagen]]</f>
        <v>11646</v>
      </c>
      <c r="AF1172" s="60">
        <f>Ruimtestaat[[#This Row],[uren / jaar weekend]]+Ruimtestaat[[#This Row],[uren / jaar werkdagen]]</f>
        <v>0</v>
      </c>
      <c r="AG1172" s="61">
        <f>Ruimtestaat[[#This Row],[kosten / jaar weekend]]+Ruimtestaat[[#This Row],[kosten / jaar werkdagen]]</f>
        <v>0</v>
      </c>
      <c r="AH1172" s="92"/>
      <c r="HL1172" s="59"/>
    </row>
    <row r="1173" spans="1:220">
      <c r="A1173" s="24">
        <v>7</v>
      </c>
      <c r="B1173" s="24" t="str">
        <f>VLOOKUP(Ruimtestaat[[#This Row],[Code]],Locaties[#All],2,FALSE)</f>
        <v>Het Vlier</v>
      </c>
      <c r="C1173" s="24" t="str">
        <f>VLOOKUP(Ruimtestaat[[#This Row],[Code]],Locaties[#All],4,FALSE)</f>
        <v>Het Vlier 1</v>
      </c>
      <c r="D1173" s="24" t="str">
        <f>VLOOKUP(Ruimtestaat[[#This Row],[Code]],Locaties[#All],5,FALSE)</f>
        <v>7414 AR</v>
      </c>
      <c r="E1173" s="24" t="str">
        <f>VLOOKUP(Ruimtestaat[[#This Row],[Code]],Locaties[#All],6,FALSE)</f>
        <v>Deventer</v>
      </c>
      <c r="F1173" s="54"/>
      <c r="G1173" s="24" t="s">
        <v>569</v>
      </c>
      <c r="H1173" s="24" t="s">
        <v>1581</v>
      </c>
      <c r="I1173" s="4" t="s">
        <v>1427</v>
      </c>
      <c r="J1173" s="24">
        <v>16</v>
      </c>
      <c r="K1173" s="54" t="str">
        <f>VLOOKUP(J1173,Ruimtegroepen[],2,FALSE)</f>
        <v>Leslokalen theorie</v>
      </c>
      <c r="L1173" s="24" t="s">
        <v>305</v>
      </c>
      <c r="M1173" s="24" t="s">
        <v>400</v>
      </c>
      <c r="N1173" s="83">
        <v>57.1</v>
      </c>
      <c r="O1173" s="83"/>
      <c r="P1173" s="93" t="str">
        <f>LEFT(VLOOKUP(Ruimtestaat[[#This Row],[Ruimte code]],Ruimtegroepen[#All],4,1),2)</f>
        <v>Le</v>
      </c>
      <c r="Q1173" s="93"/>
      <c r="R1173" s="84">
        <v>40</v>
      </c>
      <c r="S1173" s="84" t="s">
        <v>318</v>
      </c>
      <c r="T1173" s="85">
        <f>IF(R1173&gt;0,IF(RIGHT(Ruimtestaat[[#This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3" s="85">
        <f>IF(T1173&gt;0,VLOOKUP($J1173,Ruimtegroepen[],3,FALSE)*VLOOKUP($L1173,Vloersoorten[],3,FALSE)*VLOOKUP($S1173,Frequenties[],3,FALSE)*VLOOKUP($A1173,Locaties[],3,FALSE),0)</f>
        <v>0</v>
      </c>
      <c r="V1173" s="86">
        <f>Ruimtestaat[[#This Row],[Uitvoeringen werkdagen]]*Ruimtestaat[[#This Row],[Oppervlak (netto)]]</f>
        <v>11420</v>
      </c>
      <c r="W1173" s="87">
        <f>IF(U1173&gt;0,Ruimtestaat[[#This Row],[Prest. (m2 /jaar) werkdagen]]/Ruimtestaat[[#This Row],[Norm (m2/uur) werkdagen]],0)</f>
        <v>0</v>
      </c>
      <c r="X1173" s="88">
        <f>Ruimtestaat[[#This Row],[uren / jaar werkdagen]]*Tariefsopbouw!$E$35</f>
        <v>0</v>
      </c>
      <c r="Y1173" s="85"/>
      <c r="Z1173" s="89">
        <f>IF(Ruimtestaat[[#This Row],[Frequentie weekend]]&gt;0,VALUE(LEFT(Y1173,1))*R1173,0)</f>
        <v>0</v>
      </c>
      <c r="AA1173" s="85">
        <f>IF($Z1173&gt;0,VLOOKUP($J1173,Ruimtegroepen[],3,FALSE)*VLOOKUP($L1173,Vloersoorten[],3,FALSE)*VLOOKUP($Y1173,Frequenties[],3,FALSE)*VLOOKUP(#REF!,Locaties[],3,FALSE),0)</f>
        <v>0</v>
      </c>
      <c r="AB1173" s="87">
        <f>Ruimtestaat[[#This Row],[Uitvoeringen weekend]]*Ruimtestaat[[#This Row],[Oppervlak (netto)]]</f>
        <v>0</v>
      </c>
      <c r="AC1173" s="90">
        <f>IF(AB1173&gt;0,Ruimtestaat[[#This Row],[Prest. (m2 /jaar) weekend]]/Ruimtestaat[[#This Row],[Norm (m2/uur) weekend]],0)</f>
        <v>0</v>
      </c>
      <c r="AD1173" s="91">
        <f>Ruimtestaat[[#This Row],[uren / jaar weekend]]*Tariefsopbouw!$D$40</f>
        <v>0</v>
      </c>
      <c r="AE1173" s="60">
        <f>Ruimtestaat[[#This Row],[Prest. (m2 /jaar) weekend]]+Ruimtestaat[[#This Row],[Prest. (m2 /jaar) werkdagen]]</f>
        <v>11420</v>
      </c>
      <c r="AF1173" s="60">
        <f>Ruimtestaat[[#This Row],[uren / jaar weekend]]+Ruimtestaat[[#This Row],[uren / jaar werkdagen]]</f>
        <v>0</v>
      </c>
      <c r="AG1173" s="61">
        <f>Ruimtestaat[[#This Row],[kosten / jaar weekend]]+Ruimtestaat[[#This Row],[kosten / jaar werkdagen]]</f>
        <v>0</v>
      </c>
      <c r="AH1173" s="92"/>
      <c r="HL1173" s="59"/>
    </row>
    <row r="1174" spans="1:220">
      <c r="A1174" s="24">
        <v>7</v>
      </c>
      <c r="B1174" s="24" t="str">
        <f>VLOOKUP(Ruimtestaat[[#This Row],[Code]],Locaties[#All],2,FALSE)</f>
        <v>Het Vlier</v>
      </c>
      <c r="C1174" s="24" t="str">
        <f>VLOOKUP(Ruimtestaat[[#This Row],[Code]],Locaties[#All],4,FALSE)</f>
        <v>Het Vlier 1</v>
      </c>
      <c r="D1174" s="24" t="str">
        <f>VLOOKUP(Ruimtestaat[[#This Row],[Code]],Locaties[#All],5,FALSE)</f>
        <v>7414 AR</v>
      </c>
      <c r="E1174" s="24" t="str">
        <f>VLOOKUP(Ruimtestaat[[#This Row],[Code]],Locaties[#All],6,FALSE)</f>
        <v>Deventer</v>
      </c>
      <c r="F1174" s="54"/>
      <c r="G1174" s="24" t="s">
        <v>569</v>
      </c>
      <c r="H1174" s="24" t="s">
        <v>1582</v>
      </c>
      <c r="I1174" s="4" t="s">
        <v>1427</v>
      </c>
      <c r="J1174" s="24">
        <v>16</v>
      </c>
      <c r="K1174" s="54" t="str">
        <f>VLOOKUP(J1174,Ruimtegroepen[],2,FALSE)</f>
        <v>Leslokalen theorie</v>
      </c>
      <c r="L1174" s="24" t="s">
        <v>305</v>
      </c>
      <c r="M1174" s="24" t="s">
        <v>400</v>
      </c>
      <c r="N1174" s="83">
        <v>58.25</v>
      </c>
      <c r="O1174" s="83"/>
      <c r="P1174" s="93" t="str">
        <f>LEFT(VLOOKUP(Ruimtestaat[[#This Row],[Ruimte code]],Ruimtegroepen[#All],4,1),2)</f>
        <v>Le</v>
      </c>
      <c r="Q1174" s="93"/>
      <c r="R1174" s="84">
        <v>40</v>
      </c>
      <c r="S1174" s="84" t="s">
        <v>318</v>
      </c>
      <c r="T1174" s="85">
        <f>IF(R1174&gt;0,IF(RIGHT(Ruimtestaat[[#This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4" s="85">
        <f>IF(T1174&gt;0,VLOOKUP($J1174,Ruimtegroepen[],3,FALSE)*VLOOKUP($L1174,Vloersoorten[],3,FALSE)*VLOOKUP($S1174,Frequenties[],3,FALSE)*VLOOKUP($A1174,Locaties[],3,FALSE),0)</f>
        <v>0</v>
      </c>
      <c r="V1174" s="86">
        <f>Ruimtestaat[[#This Row],[Uitvoeringen werkdagen]]*Ruimtestaat[[#This Row],[Oppervlak (netto)]]</f>
        <v>11650</v>
      </c>
      <c r="W1174" s="87">
        <f>IF(U1174&gt;0,Ruimtestaat[[#This Row],[Prest. (m2 /jaar) werkdagen]]/Ruimtestaat[[#This Row],[Norm (m2/uur) werkdagen]],0)</f>
        <v>0</v>
      </c>
      <c r="X1174" s="88">
        <f>Ruimtestaat[[#This Row],[uren / jaar werkdagen]]*Tariefsopbouw!$E$35</f>
        <v>0</v>
      </c>
      <c r="Y1174" s="85"/>
      <c r="Z1174" s="89">
        <f>IF(Ruimtestaat[[#This Row],[Frequentie weekend]]&gt;0,VALUE(LEFT(Y1174,1))*R1174,0)</f>
        <v>0</v>
      </c>
      <c r="AA1174" s="85">
        <f>IF($Z1174&gt;0,VLOOKUP($J1174,Ruimtegroepen[],3,FALSE)*VLOOKUP($L1174,Vloersoorten[],3,FALSE)*VLOOKUP($Y1174,Frequenties[],3,FALSE)*VLOOKUP(#REF!,Locaties[],3,FALSE),0)</f>
        <v>0</v>
      </c>
      <c r="AB1174" s="87">
        <f>Ruimtestaat[[#This Row],[Uitvoeringen weekend]]*Ruimtestaat[[#This Row],[Oppervlak (netto)]]</f>
        <v>0</v>
      </c>
      <c r="AC1174" s="90">
        <f>IF(AB1174&gt;0,Ruimtestaat[[#This Row],[Prest. (m2 /jaar) weekend]]/Ruimtestaat[[#This Row],[Norm (m2/uur) weekend]],0)</f>
        <v>0</v>
      </c>
      <c r="AD1174" s="91">
        <f>Ruimtestaat[[#This Row],[uren / jaar weekend]]*Tariefsopbouw!$D$40</f>
        <v>0</v>
      </c>
      <c r="AE1174" s="60">
        <f>Ruimtestaat[[#This Row],[Prest. (m2 /jaar) weekend]]+Ruimtestaat[[#This Row],[Prest. (m2 /jaar) werkdagen]]</f>
        <v>11650</v>
      </c>
      <c r="AF1174" s="60">
        <f>Ruimtestaat[[#This Row],[uren / jaar weekend]]+Ruimtestaat[[#This Row],[uren / jaar werkdagen]]</f>
        <v>0</v>
      </c>
      <c r="AG1174" s="61">
        <f>Ruimtestaat[[#This Row],[kosten / jaar weekend]]+Ruimtestaat[[#This Row],[kosten / jaar werkdagen]]</f>
        <v>0</v>
      </c>
      <c r="AH1174" s="92"/>
      <c r="HL1174" s="59"/>
    </row>
    <row r="1175" spans="1:220">
      <c r="A1175" s="24">
        <v>7</v>
      </c>
      <c r="B1175" s="24" t="str">
        <f>VLOOKUP(Ruimtestaat[[#This Row],[Code]],Locaties[#All],2,FALSE)</f>
        <v>Het Vlier</v>
      </c>
      <c r="C1175" s="24" t="str">
        <f>VLOOKUP(Ruimtestaat[[#This Row],[Code]],Locaties[#All],4,FALSE)</f>
        <v>Het Vlier 1</v>
      </c>
      <c r="D1175" s="24" t="str">
        <f>VLOOKUP(Ruimtestaat[[#This Row],[Code]],Locaties[#All],5,FALSE)</f>
        <v>7414 AR</v>
      </c>
      <c r="E1175" s="24" t="str">
        <f>VLOOKUP(Ruimtestaat[[#This Row],[Code]],Locaties[#All],6,FALSE)</f>
        <v>Deventer</v>
      </c>
      <c r="F1175" s="54"/>
      <c r="G1175" s="24" t="s">
        <v>569</v>
      </c>
      <c r="H1175" s="24" t="s">
        <v>1583</v>
      </c>
      <c r="I1175" s="4" t="s">
        <v>1524</v>
      </c>
      <c r="J1175" s="24">
        <v>2</v>
      </c>
      <c r="K1175" s="54" t="str">
        <f>VLOOKUP(J1175,Ruimtegroepen[],2,FALSE)</f>
        <v>Kantoren</v>
      </c>
      <c r="L1175" s="24" t="s">
        <v>305</v>
      </c>
      <c r="M1175" s="24" t="s">
        <v>400</v>
      </c>
      <c r="N1175" s="83">
        <v>23.54</v>
      </c>
      <c r="O1175" s="83"/>
      <c r="P1175" s="93" t="str">
        <f>LEFT(VLOOKUP(Ruimtestaat[[#This Row],[Ruimte code]],Ruimtegroepen[#All],4,1),2)</f>
        <v>Bu</v>
      </c>
      <c r="Q1175" s="93"/>
      <c r="R1175" s="84">
        <v>42</v>
      </c>
      <c r="S1175" s="84" t="s">
        <v>322</v>
      </c>
      <c r="T1175" s="85">
        <f>IF(R1175&gt;0,IF(RIGHT(Ruimtestaat[[#This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75" s="85">
        <f>IF(T1175&gt;0,VLOOKUP($J1175,Ruimtegroepen[],3,FALSE)*VLOOKUP($L1175,Vloersoorten[],3,FALSE)*VLOOKUP($S1175,Frequenties[],3,FALSE)*VLOOKUP($A1175,Locaties[],3,FALSE),0)</f>
        <v>0</v>
      </c>
      <c r="V1175" s="86">
        <f>Ruimtestaat[[#This Row],[Uitvoeringen werkdagen]]*Ruimtestaat[[#This Row],[Oppervlak (netto)]]</f>
        <v>2966.04</v>
      </c>
      <c r="W1175" s="87">
        <f>IF(U1175&gt;0,Ruimtestaat[[#This Row],[Prest. (m2 /jaar) werkdagen]]/Ruimtestaat[[#This Row],[Norm (m2/uur) werkdagen]],0)</f>
        <v>0</v>
      </c>
      <c r="X1175" s="88">
        <f>Ruimtestaat[[#This Row],[uren / jaar werkdagen]]*Tariefsopbouw!$E$35</f>
        <v>0</v>
      </c>
      <c r="Y1175" s="85"/>
      <c r="Z1175" s="89">
        <f>IF(Ruimtestaat[[#This Row],[Frequentie weekend]]&gt;0,VALUE(LEFT(Y1175,1))*R1175,0)</f>
        <v>0</v>
      </c>
      <c r="AA1175" s="85">
        <f>IF($Z1175&gt;0,VLOOKUP($J1175,Ruimtegroepen[],3,FALSE)*VLOOKUP($L1175,Vloersoorten[],3,FALSE)*VLOOKUP($Y1175,Frequenties[],3,FALSE)*VLOOKUP(#REF!,Locaties[],3,FALSE),0)</f>
        <v>0</v>
      </c>
      <c r="AB1175" s="87">
        <f>Ruimtestaat[[#This Row],[Uitvoeringen weekend]]*Ruimtestaat[[#This Row],[Oppervlak (netto)]]</f>
        <v>0</v>
      </c>
      <c r="AC1175" s="90">
        <f>IF(AB1175&gt;0,Ruimtestaat[[#This Row],[Prest. (m2 /jaar) weekend]]/Ruimtestaat[[#This Row],[Norm (m2/uur) weekend]],0)</f>
        <v>0</v>
      </c>
      <c r="AD1175" s="91">
        <f>Ruimtestaat[[#This Row],[uren / jaar weekend]]*Tariefsopbouw!$D$40</f>
        <v>0</v>
      </c>
      <c r="AE1175" s="60">
        <f>Ruimtestaat[[#This Row],[Prest. (m2 /jaar) weekend]]+Ruimtestaat[[#This Row],[Prest. (m2 /jaar) werkdagen]]</f>
        <v>2966.04</v>
      </c>
      <c r="AF1175" s="60">
        <f>Ruimtestaat[[#This Row],[uren / jaar weekend]]+Ruimtestaat[[#This Row],[uren / jaar werkdagen]]</f>
        <v>0</v>
      </c>
      <c r="AG1175" s="61">
        <f>Ruimtestaat[[#This Row],[kosten / jaar weekend]]+Ruimtestaat[[#This Row],[kosten / jaar werkdagen]]</f>
        <v>0</v>
      </c>
      <c r="AH1175" s="92"/>
      <c r="HL1175" s="59"/>
    </row>
    <row r="1176" spans="1:220">
      <c r="A1176" s="24">
        <v>7</v>
      </c>
      <c r="B1176" s="24" t="str">
        <f>VLOOKUP(Ruimtestaat[[#This Row],[Code]],Locaties[#All],2,FALSE)</f>
        <v>Het Vlier</v>
      </c>
      <c r="C1176" s="24" t="str">
        <f>VLOOKUP(Ruimtestaat[[#This Row],[Code]],Locaties[#All],4,FALSE)</f>
        <v>Het Vlier 1</v>
      </c>
      <c r="D1176" s="24" t="str">
        <f>VLOOKUP(Ruimtestaat[[#This Row],[Code]],Locaties[#All],5,FALSE)</f>
        <v>7414 AR</v>
      </c>
      <c r="E1176" s="24" t="str">
        <f>VLOOKUP(Ruimtestaat[[#This Row],[Code]],Locaties[#All],6,FALSE)</f>
        <v>Deventer</v>
      </c>
      <c r="F1176" s="54"/>
      <c r="G1176" s="24" t="s">
        <v>569</v>
      </c>
      <c r="H1176" s="24" t="s">
        <v>1584</v>
      </c>
      <c r="I1176" s="4" t="s">
        <v>1524</v>
      </c>
      <c r="J1176" s="24">
        <v>2</v>
      </c>
      <c r="K1176" s="54" t="str">
        <f>VLOOKUP(J1176,Ruimtegroepen[],2,FALSE)</f>
        <v>Kantoren</v>
      </c>
      <c r="L1176" s="24" t="s">
        <v>305</v>
      </c>
      <c r="M1176" s="24" t="s">
        <v>400</v>
      </c>
      <c r="N1176" s="83">
        <v>22.82</v>
      </c>
      <c r="O1176" s="83"/>
      <c r="P1176" s="93" t="str">
        <f>LEFT(VLOOKUP(Ruimtestaat[[#This Row],[Ruimte code]],Ruimtegroepen[#All],4,1),2)</f>
        <v>Bu</v>
      </c>
      <c r="Q1176" s="93"/>
      <c r="R1176" s="84">
        <v>42</v>
      </c>
      <c r="S1176" s="84" t="s">
        <v>322</v>
      </c>
      <c r="T1176" s="85">
        <f>IF(R1176&gt;0,IF(RIGHT(Ruimtestaat[[#This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76" s="85">
        <f>IF(T1176&gt;0,VLOOKUP($J1176,Ruimtegroepen[],3,FALSE)*VLOOKUP($L1176,Vloersoorten[],3,FALSE)*VLOOKUP($S1176,Frequenties[],3,FALSE)*VLOOKUP($A1176,Locaties[],3,FALSE),0)</f>
        <v>0</v>
      </c>
      <c r="V1176" s="86">
        <f>Ruimtestaat[[#This Row],[Uitvoeringen werkdagen]]*Ruimtestaat[[#This Row],[Oppervlak (netto)]]</f>
        <v>2875.32</v>
      </c>
      <c r="W1176" s="87">
        <f>IF(U1176&gt;0,Ruimtestaat[[#This Row],[Prest. (m2 /jaar) werkdagen]]/Ruimtestaat[[#This Row],[Norm (m2/uur) werkdagen]],0)</f>
        <v>0</v>
      </c>
      <c r="X1176" s="88">
        <f>Ruimtestaat[[#This Row],[uren / jaar werkdagen]]*Tariefsopbouw!$E$35</f>
        <v>0</v>
      </c>
      <c r="Y1176" s="85"/>
      <c r="Z1176" s="89">
        <f>IF(Ruimtestaat[[#This Row],[Frequentie weekend]]&gt;0,VALUE(LEFT(Y1176,1))*R1176,0)</f>
        <v>0</v>
      </c>
      <c r="AA1176" s="85">
        <f>IF($Z1176&gt;0,VLOOKUP($J1176,Ruimtegroepen[],3,FALSE)*VLOOKUP($L1176,Vloersoorten[],3,FALSE)*VLOOKUP($Y1176,Frequenties[],3,FALSE)*VLOOKUP(#REF!,Locaties[],3,FALSE),0)</f>
        <v>0</v>
      </c>
      <c r="AB1176" s="87">
        <f>Ruimtestaat[[#This Row],[Uitvoeringen weekend]]*Ruimtestaat[[#This Row],[Oppervlak (netto)]]</f>
        <v>0</v>
      </c>
      <c r="AC1176" s="90">
        <f>IF(AB1176&gt;0,Ruimtestaat[[#This Row],[Prest. (m2 /jaar) weekend]]/Ruimtestaat[[#This Row],[Norm (m2/uur) weekend]],0)</f>
        <v>0</v>
      </c>
      <c r="AD1176" s="91">
        <f>Ruimtestaat[[#This Row],[uren / jaar weekend]]*Tariefsopbouw!$D$40</f>
        <v>0</v>
      </c>
      <c r="AE1176" s="60">
        <f>Ruimtestaat[[#This Row],[Prest. (m2 /jaar) weekend]]+Ruimtestaat[[#This Row],[Prest. (m2 /jaar) werkdagen]]</f>
        <v>2875.32</v>
      </c>
      <c r="AF1176" s="60">
        <f>Ruimtestaat[[#This Row],[uren / jaar weekend]]+Ruimtestaat[[#This Row],[uren / jaar werkdagen]]</f>
        <v>0</v>
      </c>
      <c r="AG1176" s="61">
        <f>Ruimtestaat[[#This Row],[kosten / jaar weekend]]+Ruimtestaat[[#This Row],[kosten / jaar werkdagen]]</f>
        <v>0</v>
      </c>
      <c r="AH1176" s="92"/>
      <c r="HL1176" s="59"/>
    </row>
    <row r="1177" spans="1:220">
      <c r="A1177" s="24">
        <v>7</v>
      </c>
      <c r="B1177" s="24" t="str">
        <f>VLOOKUP(Ruimtestaat[[#This Row],[Code]],Locaties[#All],2,FALSE)</f>
        <v>Het Vlier</v>
      </c>
      <c r="C1177" s="24" t="str">
        <f>VLOOKUP(Ruimtestaat[[#This Row],[Code]],Locaties[#All],4,FALSE)</f>
        <v>Het Vlier 1</v>
      </c>
      <c r="D1177" s="24" t="str">
        <f>VLOOKUP(Ruimtestaat[[#This Row],[Code]],Locaties[#All],5,FALSE)</f>
        <v>7414 AR</v>
      </c>
      <c r="E1177" s="24" t="str">
        <f>VLOOKUP(Ruimtestaat[[#This Row],[Code]],Locaties[#All],6,FALSE)</f>
        <v>Deventer</v>
      </c>
      <c r="F1177" s="54"/>
      <c r="G1177" s="24" t="s">
        <v>569</v>
      </c>
      <c r="H1177" s="24" t="s">
        <v>1585</v>
      </c>
      <c r="I1177" s="4" t="s">
        <v>1449</v>
      </c>
      <c r="J1177" s="24">
        <v>22</v>
      </c>
      <c r="K1177" s="54" t="str">
        <f>VLOOKUP(J1177,Ruimtegroepen[],2,FALSE)</f>
        <v>Niet in onderhoud</v>
      </c>
      <c r="M1177" s="24"/>
      <c r="N1177" s="83"/>
      <c r="O1177" s="83">
        <v>13.18</v>
      </c>
      <c r="P1177" s="93" t="str">
        <f>LEFT(VLOOKUP(Ruimtestaat[[#This Row],[Ruimte code]],Ruimtegroepen[#All],4,1),2)</f>
        <v/>
      </c>
      <c r="Q1177" s="93"/>
      <c r="R1177" s="84"/>
      <c r="S1177" s="84"/>
      <c r="T1177" s="85">
        <f>IF(R1177&gt;0,IF(RIGHT(Ruimtestaat[[#This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77" s="85">
        <f>IF(T1177&gt;0,VLOOKUP($J1177,Ruimtegroepen[],3,FALSE)*VLOOKUP($L1177,Vloersoorten[],3,FALSE)*VLOOKUP($S1177,Frequenties[],3,FALSE)*VLOOKUP($A1177,Locaties[],3,FALSE),0)</f>
        <v>0</v>
      </c>
      <c r="V1177" s="86">
        <f>Ruimtestaat[[#This Row],[Uitvoeringen werkdagen]]*Ruimtestaat[[#This Row],[Oppervlak (netto)]]</f>
        <v>0</v>
      </c>
      <c r="W1177" s="87">
        <f>IF(U1177&gt;0,Ruimtestaat[[#This Row],[Prest. (m2 /jaar) werkdagen]]/Ruimtestaat[[#This Row],[Norm (m2/uur) werkdagen]],0)</f>
        <v>0</v>
      </c>
      <c r="X1177" s="88">
        <f>Ruimtestaat[[#This Row],[uren / jaar werkdagen]]*Tariefsopbouw!$E$35</f>
        <v>0</v>
      </c>
      <c r="Y1177" s="85"/>
      <c r="Z1177" s="89">
        <f>IF(Ruimtestaat[[#This Row],[Frequentie weekend]]&gt;0,VALUE(LEFT(Y1177,1))*R1177,0)</f>
        <v>0</v>
      </c>
      <c r="AA1177" s="85">
        <f>IF($Z1177&gt;0,VLOOKUP($J1177,Ruimtegroepen[],3,FALSE)*VLOOKUP($L1177,Vloersoorten[],3,FALSE)*VLOOKUP($Y1177,Frequenties[],3,FALSE)*VLOOKUP(#REF!,Locaties[],3,FALSE),0)</f>
        <v>0</v>
      </c>
      <c r="AB1177" s="87">
        <f>Ruimtestaat[[#This Row],[Uitvoeringen weekend]]*Ruimtestaat[[#This Row],[Oppervlak (netto)]]</f>
        <v>0</v>
      </c>
      <c r="AC1177" s="90">
        <f>IF(AB1177&gt;0,Ruimtestaat[[#This Row],[Prest. (m2 /jaar) weekend]]/Ruimtestaat[[#This Row],[Norm (m2/uur) weekend]],0)</f>
        <v>0</v>
      </c>
      <c r="AD1177" s="91">
        <f>Ruimtestaat[[#This Row],[uren / jaar weekend]]*Tariefsopbouw!$D$40</f>
        <v>0</v>
      </c>
      <c r="AE1177" s="60">
        <f>Ruimtestaat[[#This Row],[Prest. (m2 /jaar) weekend]]+Ruimtestaat[[#This Row],[Prest. (m2 /jaar) werkdagen]]</f>
        <v>0</v>
      </c>
      <c r="AF1177" s="60">
        <f>Ruimtestaat[[#This Row],[uren / jaar weekend]]+Ruimtestaat[[#This Row],[uren / jaar werkdagen]]</f>
        <v>0</v>
      </c>
      <c r="AG1177" s="61">
        <f>Ruimtestaat[[#This Row],[kosten / jaar weekend]]+Ruimtestaat[[#This Row],[kosten / jaar werkdagen]]</f>
        <v>0</v>
      </c>
      <c r="AH1177" s="92"/>
      <c r="HL1177" s="59"/>
    </row>
    <row r="1178" spans="1:220">
      <c r="A1178" s="24">
        <v>7</v>
      </c>
      <c r="B1178" s="24" t="str">
        <f>VLOOKUP(Ruimtestaat[[#This Row],[Code]],Locaties[#All],2,FALSE)</f>
        <v>Het Vlier</v>
      </c>
      <c r="C1178" s="24" t="str">
        <f>VLOOKUP(Ruimtestaat[[#This Row],[Code]],Locaties[#All],4,FALSE)</f>
        <v>Het Vlier 1</v>
      </c>
      <c r="D1178" s="24" t="str">
        <f>VLOOKUP(Ruimtestaat[[#This Row],[Code]],Locaties[#All],5,FALSE)</f>
        <v>7414 AR</v>
      </c>
      <c r="E1178" s="24" t="str">
        <f>VLOOKUP(Ruimtestaat[[#This Row],[Code]],Locaties[#All],6,FALSE)</f>
        <v>Deventer</v>
      </c>
      <c r="F1178" s="54"/>
      <c r="G1178" s="24" t="s">
        <v>569</v>
      </c>
      <c r="H1178" s="24" t="s">
        <v>1586</v>
      </c>
      <c r="I1178" s="4" t="s">
        <v>1469</v>
      </c>
      <c r="J1178" s="24">
        <v>22</v>
      </c>
      <c r="K1178" s="54" t="str">
        <f>VLOOKUP(J1178,Ruimtegroepen[],2,FALSE)</f>
        <v>Niet in onderhoud</v>
      </c>
      <c r="M1178" s="24"/>
      <c r="N1178" s="83"/>
      <c r="O1178" s="83">
        <v>3.63</v>
      </c>
      <c r="P1178" s="93" t="str">
        <f>LEFT(VLOOKUP(Ruimtestaat[[#This Row],[Ruimte code]],Ruimtegroepen[#All],4,1),2)</f>
        <v/>
      </c>
      <c r="Q1178" s="93"/>
      <c r="R1178" s="84"/>
      <c r="S1178" s="84"/>
      <c r="T1178" s="85">
        <f>IF(R1178&gt;0,IF(RIGHT(Ruimtestaat[[#This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78" s="85">
        <f>IF(T1178&gt;0,VLOOKUP($J1178,Ruimtegroepen[],3,FALSE)*VLOOKUP($L1178,Vloersoorten[],3,FALSE)*VLOOKUP($S1178,Frequenties[],3,FALSE)*VLOOKUP($A1178,Locaties[],3,FALSE),0)</f>
        <v>0</v>
      </c>
      <c r="V1178" s="86">
        <f>Ruimtestaat[[#This Row],[Uitvoeringen werkdagen]]*Ruimtestaat[[#This Row],[Oppervlak (netto)]]</f>
        <v>0</v>
      </c>
      <c r="W1178" s="87">
        <f>IF(U1178&gt;0,Ruimtestaat[[#This Row],[Prest. (m2 /jaar) werkdagen]]/Ruimtestaat[[#This Row],[Norm (m2/uur) werkdagen]],0)</f>
        <v>0</v>
      </c>
      <c r="X1178" s="88">
        <f>Ruimtestaat[[#This Row],[uren / jaar werkdagen]]*Tariefsopbouw!$E$35</f>
        <v>0</v>
      </c>
      <c r="Y1178" s="85"/>
      <c r="Z1178" s="89">
        <f>IF(Ruimtestaat[[#This Row],[Frequentie weekend]]&gt;0,VALUE(LEFT(Y1178,1))*R1178,0)</f>
        <v>0</v>
      </c>
      <c r="AA1178" s="85">
        <f>IF($Z1178&gt;0,VLOOKUP($J1178,Ruimtegroepen[],3,FALSE)*VLOOKUP($L1178,Vloersoorten[],3,FALSE)*VLOOKUP($Y1178,Frequenties[],3,FALSE)*VLOOKUP(#REF!,Locaties[],3,FALSE),0)</f>
        <v>0</v>
      </c>
      <c r="AB1178" s="87">
        <f>Ruimtestaat[[#This Row],[Uitvoeringen weekend]]*Ruimtestaat[[#This Row],[Oppervlak (netto)]]</f>
        <v>0</v>
      </c>
      <c r="AC1178" s="90">
        <f>IF(AB1178&gt;0,Ruimtestaat[[#This Row],[Prest. (m2 /jaar) weekend]]/Ruimtestaat[[#This Row],[Norm (m2/uur) weekend]],0)</f>
        <v>0</v>
      </c>
      <c r="AD1178" s="91">
        <f>Ruimtestaat[[#This Row],[uren / jaar weekend]]*Tariefsopbouw!$D$40</f>
        <v>0</v>
      </c>
      <c r="AE1178" s="60">
        <f>Ruimtestaat[[#This Row],[Prest. (m2 /jaar) weekend]]+Ruimtestaat[[#This Row],[Prest. (m2 /jaar) werkdagen]]</f>
        <v>0</v>
      </c>
      <c r="AF1178" s="60">
        <f>Ruimtestaat[[#This Row],[uren / jaar weekend]]+Ruimtestaat[[#This Row],[uren / jaar werkdagen]]</f>
        <v>0</v>
      </c>
      <c r="AG1178" s="61">
        <f>Ruimtestaat[[#This Row],[kosten / jaar weekend]]+Ruimtestaat[[#This Row],[kosten / jaar werkdagen]]</f>
        <v>0</v>
      </c>
      <c r="AH1178" s="92"/>
      <c r="HL1178" s="59"/>
    </row>
    <row r="1179" spans="1:220">
      <c r="A1179" s="24">
        <v>7</v>
      </c>
      <c r="B1179" s="24" t="str">
        <f>VLOOKUP(Ruimtestaat[[#This Row],[Code]],Locaties[#All],2,FALSE)</f>
        <v>Het Vlier</v>
      </c>
      <c r="C1179" s="24" t="str">
        <f>VLOOKUP(Ruimtestaat[[#This Row],[Code]],Locaties[#All],4,FALSE)</f>
        <v>Het Vlier 1</v>
      </c>
      <c r="D1179" s="24" t="str">
        <f>VLOOKUP(Ruimtestaat[[#This Row],[Code]],Locaties[#All],5,FALSE)</f>
        <v>7414 AR</v>
      </c>
      <c r="E1179" s="24" t="str">
        <f>VLOOKUP(Ruimtestaat[[#This Row],[Code]],Locaties[#All],6,FALSE)</f>
        <v>Deventer</v>
      </c>
      <c r="F1179" s="54"/>
      <c r="G1179" s="24" t="s">
        <v>569</v>
      </c>
      <c r="H1179" s="24" t="s">
        <v>1587</v>
      </c>
      <c r="I1179" s="4" t="s">
        <v>1588</v>
      </c>
      <c r="J1179" s="24">
        <v>16</v>
      </c>
      <c r="K1179" s="54" t="str">
        <f>VLOOKUP(J1179,Ruimtegroepen[],2,FALSE)</f>
        <v>Leslokalen theorie</v>
      </c>
      <c r="L1179" s="24" t="s">
        <v>305</v>
      </c>
      <c r="M1179" s="24" t="s">
        <v>400</v>
      </c>
      <c r="N1179" s="83">
        <v>42.67</v>
      </c>
      <c r="O1179" s="83"/>
      <c r="P1179" s="93" t="str">
        <f>LEFT(VLOOKUP(Ruimtestaat[[#This Row],[Ruimte code]],Ruimtegroepen[#All],4,1),2)</f>
        <v>Le</v>
      </c>
      <c r="Q1179" s="93"/>
      <c r="R1179" s="84">
        <v>40</v>
      </c>
      <c r="S1179" s="84" t="s">
        <v>318</v>
      </c>
      <c r="T1179" s="85">
        <f>IF(R1179&gt;0,IF(RIGHT(Ruimtestaat[[#This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9" s="85">
        <f>IF(T1179&gt;0,VLOOKUP($J1179,Ruimtegroepen[],3,FALSE)*VLOOKUP($L1179,Vloersoorten[],3,FALSE)*VLOOKUP($S1179,Frequenties[],3,FALSE)*VLOOKUP($A1179,Locaties[],3,FALSE),0)</f>
        <v>0</v>
      </c>
      <c r="V1179" s="86">
        <f>Ruimtestaat[[#This Row],[Uitvoeringen werkdagen]]*Ruimtestaat[[#This Row],[Oppervlak (netto)]]</f>
        <v>8534</v>
      </c>
      <c r="W1179" s="87">
        <f>IF(U1179&gt;0,Ruimtestaat[[#This Row],[Prest. (m2 /jaar) werkdagen]]/Ruimtestaat[[#This Row],[Norm (m2/uur) werkdagen]],0)</f>
        <v>0</v>
      </c>
      <c r="X1179" s="88">
        <f>Ruimtestaat[[#This Row],[uren / jaar werkdagen]]*Tariefsopbouw!$E$35</f>
        <v>0</v>
      </c>
      <c r="Y1179" s="85"/>
      <c r="Z1179" s="89">
        <f>IF(Ruimtestaat[[#This Row],[Frequentie weekend]]&gt;0,VALUE(LEFT(Y1179,1))*R1179,0)</f>
        <v>0</v>
      </c>
      <c r="AA1179" s="85">
        <f>IF($Z1179&gt;0,VLOOKUP($J1179,Ruimtegroepen[],3,FALSE)*VLOOKUP($L1179,Vloersoorten[],3,FALSE)*VLOOKUP($Y1179,Frequenties[],3,FALSE)*VLOOKUP(#REF!,Locaties[],3,FALSE),0)</f>
        <v>0</v>
      </c>
      <c r="AB1179" s="87">
        <f>Ruimtestaat[[#This Row],[Uitvoeringen weekend]]*Ruimtestaat[[#This Row],[Oppervlak (netto)]]</f>
        <v>0</v>
      </c>
      <c r="AC1179" s="90">
        <f>IF(AB1179&gt;0,Ruimtestaat[[#This Row],[Prest. (m2 /jaar) weekend]]/Ruimtestaat[[#This Row],[Norm (m2/uur) weekend]],0)</f>
        <v>0</v>
      </c>
      <c r="AD1179" s="91">
        <f>Ruimtestaat[[#This Row],[uren / jaar weekend]]*Tariefsopbouw!$D$40</f>
        <v>0</v>
      </c>
      <c r="AE1179" s="60">
        <f>Ruimtestaat[[#This Row],[Prest. (m2 /jaar) weekend]]+Ruimtestaat[[#This Row],[Prest. (m2 /jaar) werkdagen]]</f>
        <v>8534</v>
      </c>
      <c r="AF1179" s="60">
        <f>Ruimtestaat[[#This Row],[uren / jaar weekend]]+Ruimtestaat[[#This Row],[uren / jaar werkdagen]]</f>
        <v>0</v>
      </c>
      <c r="AG1179" s="61">
        <f>Ruimtestaat[[#This Row],[kosten / jaar weekend]]+Ruimtestaat[[#This Row],[kosten / jaar werkdagen]]</f>
        <v>0</v>
      </c>
      <c r="AH1179" s="92"/>
      <c r="HL1179" s="59"/>
    </row>
    <row r="1180" spans="1:220">
      <c r="A1180" s="24">
        <v>7</v>
      </c>
      <c r="B1180" s="24" t="str">
        <f>VLOOKUP(Ruimtestaat[[#This Row],[Code]],Locaties[#All],2,FALSE)</f>
        <v>Het Vlier</v>
      </c>
      <c r="C1180" s="24" t="str">
        <f>VLOOKUP(Ruimtestaat[[#This Row],[Code]],Locaties[#All],4,FALSE)</f>
        <v>Het Vlier 1</v>
      </c>
      <c r="D1180" s="24" t="str">
        <f>VLOOKUP(Ruimtestaat[[#This Row],[Code]],Locaties[#All],5,FALSE)</f>
        <v>7414 AR</v>
      </c>
      <c r="E1180" s="24" t="str">
        <f>VLOOKUP(Ruimtestaat[[#This Row],[Code]],Locaties[#All],6,FALSE)</f>
        <v>Deventer</v>
      </c>
      <c r="F1180" s="54"/>
      <c r="G1180" s="24" t="s">
        <v>569</v>
      </c>
      <c r="H1180" s="24" t="s">
        <v>1589</v>
      </c>
      <c r="I1180" s="4" t="s">
        <v>1588</v>
      </c>
      <c r="J1180" s="24">
        <v>16</v>
      </c>
      <c r="K1180" s="54" t="str">
        <f>VLOOKUP(J1180,Ruimtegroepen[],2,FALSE)</f>
        <v>Leslokalen theorie</v>
      </c>
      <c r="L1180" s="24" t="s">
        <v>305</v>
      </c>
      <c r="M1180" s="24" t="s">
        <v>400</v>
      </c>
      <c r="N1180" s="83">
        <v>41.91</v>
      </c>
      <c r="O1180" s="83"/>
      <c r="P1180" s="93" t="str">
        <f>LEFT(VLOOKUP(Ruimtestaat[[#This Row],[Ruimte code]],Ruimtegroepen[#All],4,1),2)</f>
        <v>Le</v>
      </c>
      <c r="Q1180" s="93"/>
      <c r="R1180" s="84">
        <v>40</v>
      </c>
      <c r="S1180" s="84" t="s">
        <v>318</v>
      </c>
      <c r="T1180" s="85">
        <f>IF(R1180&gt;0,IF(RIGHT(Ruimtestaat[[#This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80" s="85">
        <f>IF(T1180&gt;0,VLOOKUP($J1180,Ruimtegroepen[],3,FALSE)*VLOOKUP($L1180,Vloersoorten[],3,FALSE)*VLOOKUP($S1180,Frequenties[],3,FALSE)*VLOOKUP($A1180,Locaties[],3,FALSE),0)</f>
        <v>0</v>
      </c>
      <c r="V1180" s="86">
        <f>Ruimtestaat[[#This Row],[Uitvoeringen werkdagen]]*Ruimtestaat[[#This Row],[Oppervlak (netto)]]</f>
        <v>8382</v>
      </c>
      <c r="W1180" s="87">
        <f>IF(U1180&gt;0,Ruimtestaat[[#This Row],[Prest. (m2 /jaar) werkdagen]]/Ruimtestaat[[#This Row],[Norm (m2/uur) werkdagen]],0)</f>
        <v>0</v>
      </c>
      <c r="X1180" s="88">
        <f>Ruimtestaat[[#This Row],[uren / jaar werkdagen]]*Tariefsopbouw!$E$35</f>
        <v>0</v>
      </c>
      <c r="Y1180" s="85"/>
      <c r="Z1180" s="89">
        <f>IF(Ruimtestaat[[#This Row],[Frequentie weekend]]&gt;0,VALUE(LEFT(Y1180,1))*R1180,0)</f>
        <v>0</v>
      </c>
      <c r="AA1180" s="85">
        <f>IF($Z1180&gt;0,VLOOKUP($J1180,Ruimtegroepen[],3,FALSE)*VLOOKUP($L1180,Vloersoorten[],3,FALSE)*VLOOKUP($Y1180,Frequenties[],3,FALSE)*VLOOKUP(#REF!,Locaties[],3,FALSE),0)</f>
        <v>0</v>
      </c>
      <c r="AB1180" s="87">
        <f>Ruimtestaat[[#This Row],[Uitvoeringen weekend]]*Ruimtestaat[[#This Row],[Oppervlak (netto)]]</f>
        <v>0</v>
      </c>
      <c r="AC1180" s="90">
        <f>IF(AB1180&gt;0,Ruimtestaat[[#This Row],[Prest. (m2 /jaar) weekend]]/Ruimtestaat[[#This Row],[Norm (m2/uur) weekend]],0)</f>
        <v>0</v>
      </c>
      <c r="AD1180" s="91">
        <f>Ruimtestaat[[#This Row],[uren / jaar weekend]]*Tariefsopbouw!$D$40</f>
        <v>0</v>
      </c>
      <c r="AE1180" s="60">
        <f>Ruimtestaat[[#This Row],[Prest. (m2 /jaar) weekend]]+Ruimtestaat[[#This Row],[Prest. (m2 /jaar) werkdagen]]</f>
        <v>8382</v>
      </c>
      <c r="AF1180" s="60">
        <f>Ruimtestaat[[#This Row],[uren / jaar weekend]]+Ruimtestaat[[#This Row],[uren / jaar werkdagen]]</f>
        <v>0</v>
      </c>
      <c r="AG1180" s="61">
        <f>Ruimtestaat[[#This Row],[kosten / jaar weekend]]+Ruimtestaat[[#This Row],[kosten / jaar werkdagen]]</f>
        <v>0</v>
      </c>
      <c r="AH1180" s="92"/>
      <c r="HL1180" s="59"/>
    </row>
    <row r="1181" spans="1:220">
      <c r="A1181" s="24">
        <v>7</v>
      </c>
      <c r="B1181" s="24" t="str">
        <f>VLOOKUP(Ruimtestaat[[#This Row],[Code]],Locaties[#All],2,FALSE)</f>
        <v>Het Vlier</v>
      </c>
      <c r="C1181" s="24" t="str">
        <f>VLOOKUP(Ruimtestaat[[#This Row],[Code]],Locaties[#All],4,FALSE)</f>
        <v>Het Vlier 1</v>
      </c>
      <c r="D1181" s="24" t="str">
        <f>VLOOKUP(Ruimtestaat[[#This Row],[Code]],Locaties[#All],5,FALSE)</f>
        <v>7414 AR</v>
      </c>
      <c r="E1181" s="24" t="str">
        <f>VLOOKUP(Ruimtestaat[[#This Row],[Code]],Locaties[#All],6,FALSE)</f>
        <v>Deventer</v>
      </c>
      <c r="F1181" s="54"/>
      <c r="G1181" s="24" t="s">
        <v>569</v>
      </c>
      <c r="H1181" s="24" t="s">
        <v>1590</v>
      </c>
      <c r="I1181" s="4" t="s">
        <v>1537</v>
      </c>
      <c r="J1181" s="24">
        <v>5</v>
      </c>
      <c r="K1181" s="54" t="str">
        <f>VLOOKUP(J1181,Ruimtegroepen[],2,FALSE)</f>
        <v>Sanitair</v>
      </c>
      <c r="L1181" s="24" t="s">
        <v>305</v>
      </c>
      <c r="M1181" s="24" t="s">
        <v>400</v>
      </c>
      <c r="N1181" s="83">
        <v>2.31</v>
      </c>
      <c r="O1181" s="83"/>
      <c r="P1181" s="93" t="str">
        <f>LEFT(VLOOKUP(Ruimtestaat[[#This Row],[Ruimte code]],Ruimtegroepen[#All],4,1),2)</f>
        <v>Sa</v>
      </c>
      <c r="Q1181" s="93"/>
      <c r="R1181" s="84">
        <v>42</v>
      </c>
      <c r="S1181" s="84" t="s">
        <v>316</v>
      </c>
      <c r="T1181" s="85">
        <f>IF(R1181&gt;0,IF(RIGHT(Ruimtestaat[[#This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1" s="85">
        <f>IF(T1181&gt;0,VLOOKUP($J1181,Ruimtegroepen[],3,FALSE)*VLOOKUP($L1181,Vloersoorten[],3,FALSE)*VLOOKUP($S1181,Frequenties[],3,FALSE)*VLOOKUP($A1181,Locaties[],3,FALSE),0)</f>
        <v>0</v>
      </c>
      <c r="V1181" s="86">
        <f>Ruimtestaat[[#This Row],[Uitvoeringen werkdagen]]*Ruimtestaat[[#This Row],[Oppervlak (netto)]]</f>
        <v>970.2</v>
      </c>
      <c r="W1181" s="87">
        <f>IF(U1181&gt;0,Ruimtestaat[[#This Row],[Prest. (m2 /jaar) werkdagen]]/Ruimtestaat[[#This Row],[Norm (m2/uur) werkdagen]],0)</f>
        <v>0</v>
      </c>
      <c r="X1181" s="88">
        <f>Ruimtestaat[[#This Row],[uren / jaar werkdagen]]*Tariefsopbouw!$E$35</f>
        <v>0</v>
      </c>
      <c r="Y1181" s="85"/>
      <c r="Z1181" s="89">
        <f>IF(Ruimtestaat[[#This Row],[Frequentie weekend]]&gt;0,VALUE(LEFT(Y1181,1))*R1181,0)</f>
        <v>0</v>
      </c>
      <c r="AA1181" s="85">
        <f>IF($Z1181&gt;0,VLOOKUP($J1181,Ruimtegroepen[],3,FALSE)*VLOOKUP($L1181,Vloersoorten[],3,FALSE)*VLOOKUP($Y1181,Frequenties[],3,FALSE)*VLOOKUP(#REF!,Locaties[],3,FALSE),0)</f>
        <v>0</v>
      </c>
      <c r="AB1181" s="87">
        <f>Ruimtestaat[[#This Row],[Uitvoeringen weekend]]*Ruimtestaat[[#This Row],[Oppervlak (netto)]]</f>
        <v>0</v>
      </c>
      <c r="AC1181" s="90">
        <f>IF(AB1181&gt;0,Ruimtestaat[[#This Row],[Prest. (m2 /jaar) weekend]]/Ruimtestaat[[#This Row],[Norm (m2/uur) weekend]],0)</f>
        <v>0</v>
      </c>
      <c r="AD1181" s="91">
        <f>Ruimtestaat[[#This Row],[uren / jaar weekend]]*Tariefsopbouw!$D$40</f>
        <v>0</v>
      </c>
      <c r="AE1181" s="60">
        <f>Ruimtestaat[[#This Row],[Prest. (m2 /jaar) weekend]]+Ruimtestaat[[#This Row],[Prest. (m2 /jaar) werkdagen]]</f>
        <v>970.2</v>
      </c>
      <c r="AF1181" s="60">
        <f>Ruimtestaat[[#This Row],[uren / jaar weekend]]+Ruimtestaat[[#This Row],[uren / jaar werkdagen]]</f>
        <v>0</v>
      </c>
      <c r="AG1181" s="61">
        <f>Ruimtestaat[[#This Row],[kosten / jaar weekend]]+Ruimtestaat[[#This Row],[kosten / jaar werkdagen]]</f>
        <v>0</v>
      </c>
      <c r="AH1181" s="92"/>
      <c r="HL1181" s="59"/>
    </row>
    <row r="1182" spans="1:220">
      <c r="A1182" s="24">
        <v>7</v>
      </c>
      <c r="B1182" s="24" t="str">
        <f>VLOOKUP(Ruimtestaat[[#This Row],[Code]],Locaties[#All],2,FALSE)</f>
        <v>Het Vlier</v>
      </c>
      <c r="C1182" s="24" t="str">
        <f>VLOOKUP(Ruimtestaat[[#This Row],[Code]],Locaties[#All],4,FALSE)</f>
        <v>Het Vlier 1</v>
      </c>
      <c r="D1182" s="24" t="str">
        <f>VLOOKUP(Ruimtestaat[[#This Row],[Code]],Locaties[#All],5,FALSE)</f>
        <v>7414 AR</v>
      </c>
      <c r="E1182" s="24" t="str">
        <f>VLOOKUP(Ruimtestaat[[#This Row],[Code]],Locaties[#All],6,FALSE)</f>
        <v>Deventer</v>
      </c>
      <c r="F1182" s="54"/>
      <c r="G1182" s="24" t="s">
        <v>569</v>
      </c>
      <c r="H1182" s="24" t="s">
        <v>1591</v>
      </c>
      <c r="I1182" s="4" t="s">
        <v>1537</v>
      </c>
      <c r="J1182" s="24">
        <v>5</v>
      </c>
      <c r="K1182" s="54" t="str">
        <f>VLOOKUP(J1182,Ruimtegroepen[],2,FALSE)</f>
        <v>Sanitair</v>
      </c>
      <c r="L1182" s="24" t="s">
        <v>305</v>
      </c>
      <c r="M1182" s="24" t="s">
        <v>400</v>
      </c>
      <c r="N1182" s="83">
        <v>2.31</v>
      </c>
      <c r="O1182" s="83"/>
      <c r="P1182" s="93" t="str">
        <f>LEFT(VLOOKUP(Ruimtestaat[[#This Row],[Ruimte code]],Ruimtegroepen[#All],4,1),2)</f>
        <v>Sa</v>
      </c>
      <c r="Q1182" s="93"/>
      <c r="R1182" s="84">
        <v>42</v>
      </c>
      <c r="S1182" s="84" t="s">
        <v>316</v>
      </c>
      <c r="T1182" s="85">
        <f>IF(R1182&gt;0,IF(RIGHT(Ruimtestaat[[#This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2" s="85">
        <f>IF(T1182&gt;0,VLOOKUP($J1182,Ruimtegroepen[],3,FALSE)*VLOOKUP($L1182,Vloersoorten[],3,FALSE)*VLOOKUP($S1182,Frequenties[],3,FALSE)*VLOOKUP($A1182,Locaties[],3,FALSE),0)</f>
        <v>0</v>
      </c>
      <c r="V1182" s="86">
        <f>Ruimtestaat[[#This Row],[Uitvoeringen werkdagen]]*Ruimtestaat[[#This Row],[Oppervlak (netto)]]</f>
        <v>970.2</v>
      </c>
      <c r="W1182" s="87">
        <f>IF(U1182&gt;0,Ruimtestaat[[#This Row],[Prest. (m2 /jaar) werkdagen]]/Ruimtestaat[[#This Row],[Norm (m2/uur) werkdagen]],0)</f>
        <v>0</v>
      </c>
      <c r="X1182" s="88">
        <f>Ruimtestaat[[#This Row],[uren / jaar werkdagen]]*Tariefsopbouw!$E$35</f>
        <v>0</v>
      </c>
      <c r="Y1182" s="85"/>
      <c r="Z1182" s="89">
        <f>IF(Ruimtestaat[[#This Row],[Frequentie weekend]]&gt;0,VALUE(LEFT(Y1182,1))*R1182,0)</f>
        <v>0</v>
      </c>
      <c r="AA1182" s="85">
        <f>IF($Z1182&gt;0,VLOOKUP($J1182,Ruimtegroepen[],3,FALSE)*VLOOKUP($L1182,Vloersoorten[],3,FALSE)*VLOOKUP($Y1182,Frequenties[],3,FALSE)*VLOOKUP(#REF!,Locaties[],3,FALSE),0)</f>
        <v>0</v>
      </c>
      <c r="AB1182" s="87">
        <f>Ruimtestaat[[#This Row],[Uitvoeringen weekend]]*Ruimtestaat[[#This Row],[Oppervlak (netto)]]</f>
        <v>0</v>
      </c>
      <c r="AC1182" s="90">
        <f>IF(AB1182&gt;0,Ruimtestaat[[#This Row],[Prest. (m2 /jaar) weekend]]/Ruimtestaat[[#This Row],[Norm (m2/uur) weekend]],0)</f>
        <v>0</v>
      </c>
      <c r="AD1182" s="91">
        <f>Ruimtestaat[[#This Row],[uren / jaar weekend]]*Tariefsopbouw!$D$40</f>
        <v>0</v>
      </c>
      <c r="AE1182" s="60">
        <f>Ruimtestaat[[#This Row],[Prest. (m2 /jaar) weekend]]+Ruimtestaat[[#This Row],[Prest. (m2 /jaar) werkdagen]]</f>
        <v>970.2</v>
      </c>
      <c r="AF1182" s="60">
        <f>Ruimtestaat[[#This Row],[uren / jaar weekend]]+Ruimtestaat[[#This Row],[uren / jaar werkdagen]]</f>
        <v>0</v>
      </c>
      <c r="AG1182" s="61">
        <f>Ruimtestaat[[#This Row],[kosten / jaar weekend]]+Ruimtestaat[[#This Row],[kosten / jaar werkdagen]]</f>
        <v>0</v>
      </c>
      <c r="AH1182" s="92"/>
      <c r="HL1182" s="59"/>
    </row>
    <row r="1183" spans="1:220">
      <c r="A1183" s="24">
        <v>7</v>
      </c>
      <c r="B1183" s="24" t="str">
        <f>VLOOKUP(Ruimtestaat[[#This Row],[Code]],Locaties[#All],2,FALSE)</f>
        <v>Het Vlier</v>
      </c>
      <c r="C1183" s="24" t="str">
        <f>VLOOKUP(Ruimtestaat[[#This Row],[Code]],Locaties[#All],4,FALSE)</f>
        <v>Het Vlier 1</v>
      </c>
      <c r="D1183" s="24" t="str">
        <f>VLOOKUP(Ruimtestaat[[#This Row],[Code]],Locaties[#All],5,FALSE)</f>
        <v>7414 AR</v>
      </c>
      <c r="E1183" s="24" t="str">
        <f>VLOOKUP(Ruimtestaat[[#This Row],[Code]],Locaties[#All],6,FALSE)</f>
        <v>Deventer</v>
      </c>
      <c r="F1183" s="54"/>
      <c r="G1183" s="24" t="s">
        <v>569</v>
      </c>
      <c r="H1183" s="24" t="s">
        <v>1592</v>
      </c>
      <c r="I1183" s="4" t="s">
        <v>1493</v>
      </c>
      <c r="J1183" s="24">
        <v>5</v>
      </c>
      <c r="K1183" s="54" t="str">
        <f>VLOOKUP(J1183,Ruimtegroepen[],2,FALSE)</f>
        <v>Sanitair</v>
      </c>
      <c r="L1183" s="24" t="s">
        <v>305</v>
      </c>
      <c r="M1183" s="24" t="s">
        <v>400</v>
      </c>
      <c r="N1183" s="83">
        <v>13.64</v>
      </c>
      <c r="O1183" s="83"/>
      <c r="P1183" s="93" t="str">
        <f>LEFT(VLOOKUP(Ruimtestaat[[#This Row],[Ruimte code]],Ruimtegroepen[#All],4,1),2)</f>
        <v>Sa</v>
      </c>
      <c r="Q1183" s="93"/>
      <c r="R1183" s="84">
        <v>42</v>
      </c>
      <c r="S1183" s="84" t="s">
        <v>316</v>
      </c>
      <c r="T1183" s="85">
        <f>IF(R1183&gt;0,IF(RIGHT(Ruimtestaat[[#This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3" s="85">
        <f>IF(T1183&gt;0,VLOOKUP($J1183,Ruimtegroepen[],3,FALSE)*VLOOKUP($L1183,Vloersoorten[],3,FALSE)*VLOOKUP($S1183,Frequenties[],3,FALSE)*VLOOKUP($A1183,Locaties[],3,FALSE),0)</f>
        <v>0</v>
      </c>
      <c r="V1183" s="86">
        <f>Ruimtestaat[[#This Row],[Uitvoeringen werkdagen]]*Ruimtestaat[[#This Row],[Oppervlak (netto)]]</f>
        <v>5728.8</v>
      </c>
      <c r="W1183" s="87">
        <f>IF(U1183&gt;0,Ruimtestaat[[#This Row],[Prest. (m2 /jaar) werkdagen]]/Ruimtestaat[[#This Row],[Norm (m2/uur) werkdagen]],0)</f>
        <v>0</v>
      </c>
      <c r="X1183" s="88">
        <f>Ruimtestaat[[#This Row],[uren / jaar werkdagen]]*Tariefsopbouw!$E$35</f>
        <v>0</v>
      </c>
      <c r="Y1183" s="85"/>
      <c r="Z1183" s="89">
        <f>IF(Ruimtestaat[[#This Row],[Frequentie weekend]]&gt;0,VALUE(LEFT(Y1183,1))*R1183,0)</f>
        <v>0</v>
      </c>
      <c r="AA1183" s="85">
        <f>IF($Z1183&gt;0,VLOOKUP($J1183,Ruimtegroepen[],3,FALSE)*VLOOKUP($L1183,Vloersoorten[],3,FALSE)*VLOOKUP($Y1183,Frequenties[],3,FALSE)*VLOOKUP(#REF!,Locaties[],3,FALSE),0)</f>
        <v>0</v>
      </c>
      <c r="AB1183" s="87">
        <f>Ruimtestaat[[#This Row],[Uitvoeringen weekend]]*Ruimtestaat[[#This Row],[Oppervlak (netto)]]</f>
        <v>0</v>
      </c>
      <c r="AC1183" s="90">
        <f>IF(AB1183&gt;0,Ruimtestaat[[#This Row],[Prest. (m2 /jaar) weekend]]/Ruimtestaat[[#This Row],[Norm (m2/uur) weekend]],0)</f>
        <v>0</v>
      </c>
      <c r="AD1183" s="91">
        <f>Ruimtestaat[[#This Row],[uren / jaar weekend]]*Tariefsopbouw!$D$40</f>
        <v>0</v>
      </c>
      <c r="AE1183" s="60">
        <f>Ruimtestaat[[#This Row],[Prest. (m2 /jaar) weekend]]+Ruimtestaat[[#This Row],[Prest. (m2 /jaar) werkdagen]]</f>
        <v>5728.8</v>
      </c>
      <c r="AF1183" s="60">
        <f>Ruimtestaat[[#This Row],[uren / jaar weekend]]+Ruimtestaat[[#This Row],[uren / jaar werkdagen]]</f>
        <v>0</v>
      </c>
      <c r="AG1183" s="61">
        <f>Ruimtestaat[[#This Row],[kosten / jaar weekend]]+Ruimtestaat[[#This Row],[kosten / jaar werkdagen]]</f>
        <v>0</v>
      </c>
      <c r="AH1183" s="92"/>
      <c r="HL1183" s="59"/>
    </row>
    <row r="1184" spans="1:220">
      <c r="A1184" s="24">
        <v>7</v>
      </c>
      <c r="B1184" s="24" t="str">
        <f>VLOOKUP(Ruimtestaat[[#This Row],[Code]],Locaties[#All],2,FALSE)</f>
        <v>Het Vlier</v>
      </c>
      <c r="C1184" s="24" t="str">
        <f>VLOOKUP(Ruimtestaat[[#This Row],[Code]],Locaties[#All],4,FALSE)</f>
        <v>Het Vlier 1</v>
      </c>
      <c r="D1184" s="24" t="str">
        <f>VLOOKUP(Ruimtestaat[[#This Row],[Code]],Locaties[#All],5,FALSE)</f>
        <v>7414 AR</v>
      </c>
      <c r="E1184" s="24" t="str">
        <f>VLOOKUP(Ruimtestaat[[#This Row],[Code]],Locaties[#All],6,FALSE)</f>
        <v>Deventer</v>
      </c>
      <c r="F1184" s="54"/>
      <c r="G1184" s="24" t="s">
        <v>569</v>
      </c>
      <c r="H1184" s="24" t="s">
        <v>1593</v>
      </c>
      <c r="I1184" s="4" t="s">
        <v>1594</v>
      </c>
      <c r="J1184" s="24">
        <v>22</v>
      </c>
      <c r="K1184" s="54" t="str">
        <f>VLOOKUP(J1184,Ruimtegroepen[],2,FALSE)</f>
        <v>Niet in onderhoud</v>
      </c>
      <c r="M1184" s="24"/>
      <c r="N1184" s="83"/>
      <c r="O1184" s="83">
        <v>3.79</v>
      </c>
      <c r="P1184" s="93" t="str">
        <f>LEFT(VLOOKUP(Ruimtestaat[[#This Row],[Ruimte code]],Ruimtegroepen[#All],4,1),2)</f>
        <v/>
      </c>
      <c r="Q1184" s="93"/>
      <c r="R1184" s="84"/>
      <c r="S1184" s="84"/>
      <c r="T1184" s="85">
        <f>IF(R1184&gt;0,IF(RIGHT(Ruimtestaat[[#This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84" s="85">
        <f>IF(T1184&gt;0,VLOOKUP($J1184,Ruimtegroepen[],3,FALSE)*VLOOKUP($L1184,Vloersoorten[],3,FALSE)*VLOOKUP($S1184,Frequenties[],3,FALSE)*VLOOKUP($A1184,Locaties[],3,FALSE),0)</f>
        <v>0</v>
      </c>
      <c r="V1184" s="86">
        <f>Ruimtestaat[[#This Row],[Uitvoeringen werkdagen]]*Ruimtestaat[[#This Row],[Oppervlak (netto)]]</f>
        <v>0</v>
      </c>
      <c r="W1184" s="87">
        <f>IF(U1184&gt;0,Ruimtestaat[[#This Row],[Prest. (m2 /jaar) werkdagen]]/Ruimtestaat[[#This Row],[Norm (m2/uur) werkdagen]],0)</f>
        <v>0</v>
      </c>
      <c r="X1184" s="88">
        <f>Ruimtestaat[[#This Row],[uren / jaar werkdagen]]*Tariefsopbouw!$E$35</f>
        <v>0</v>
      </c>
      <c r="Y1184" s="85"/>
      <c r="Z1184" s="89">
        <f>IF(Ruimtestaat[[#This Row],[Frequentie weekend]]&gt;0,VALUE(LEFT(Y1184,1))*R1184,0)</f>
        <v>0</v>
      </c>
      <c r="AA1184" s="85">
        <f>IF($Z1184&gt;0,VLOOKUP($J1184,Ruimtegroepen[],3,FALSE)*VLOOKUP($L1184,Vloersoorten[],3,FALSE)*VLOOKUP($Y1184,Frequenties[],3,FALSE)*VLOOKUP(#REF!,Locaties[],3,FALSE),0)</f>
        <v>0</v>
      </c>
      <c r="AB1184" s="87">
        <f>Ruimtestaat[[#This Row],[Uitvoeringen weekend]]*Ruimtestaat[[#This Row],[Oppervlak (netto)]]</f>
        <v>0</v>
      </c>
      <c r="AC1184" s="90">
        <f>IF(AB1184&gt;0,Ruimtestaat[[#This Row],[Prest. (m2 /jaar) weekend]]/Ruimtestaat[[#This Row],[Norm (m2/uur) weekend]],0)</f>
        <v>0</v>
      </c>
      <c r="AD1184" s="91">
        <f>Ruimtestaat[[#This Row],[uren / jaar weekend]]*Tariefsopbouw!$D$40</f>
        <v>0</v>
      </c>
      <c r="AE1184" s="60">
        <f>Ruimtestaat[[#This Row],[Prest. (m2 /jaar) weekend]]+Ruimtestaat[[#This Row],[Prest. (m2 /jaar) werkdagen]]</f>
        <v>0</v>
      </c>
      <c r="AF1184" s="60">
        <f>Ruimtestaat[[#This Row],[uren / jaar weekend]]+Ruimtestaat[[#This Row],[uren / jaar werkdagen]]</f>
        <v>0</v>
      </c>
      <c r="AG1184" s="61">
        <f>Ruimtestaat[[#This Row],[kosten / jaar weekend]]+Ruimtestaat[[#This Row],[kosten / jaar werkdagen]]</f>
        <v>0</v>
      </c>
      <c r="AH1184" s="92"/>
      <c r="HL1184" s="59"/>
    </row>
    <row r="1185" spans="1:220">
      <c r="A1185" s="24">
        <v>7</v>
      </c>
      <c r="B1185" s="24" t="str">
        <f>VLOOKUP(Ruimtestaat[[#This Row],[Code]],Locaties[#All],2,FALSE)</f>
        <v>Het Vlier</v>
      </c>
      <c r="C1185" s="24" t="str">
        <f>VLOOKUP(Ruimtestaat[[#This Row],[Code]],Locaties[#All],4,FALSE)</f>
        <v>Het Vlier 1</v>
      </c>
      <c r="D1185" s="24" t="str">
        <f>VLOOKUP(Ruimtestaat[[#This Row],[Code]],Locaties[#All],5,FALSE)</f>
        <v>7414 AR</v>
      </c>
      <c r="E1185" s="24" t="str">
        <f>VLOOKUP(Ruimtestaat[[#This Row],[Code]],Locaties[#All],6,FALSE)</f>
        <v>Deventer</v>
      </c>
      <c r="F1185" s="54"/>
      <c r="G1185" s="24" t="s">
        <v>569</v>
      </c>
      <c r="H1185" s="24" t="s">
        <v>1595</v>
      </c>
      <c r="I1185" s="4" t="s">
        <v>1491</v>
      </c>
      <c r="J1185" s="24">
        <v>5</v>
      </c>
      <c r="K1185" s="54" t="str">
        <f>VLOOKUP(J1185,Ruimtegroepen[],2,FALSE)</f>
        <v>Sanitair</v>
      </c>
      <c r="L1185" s="24" t="s">
        <v>305</v>
      </c>
      <c r="M1185" s="24" t="s">
        <v>400</v>
      </c>
      <c r="N1185" s="83">
        <v>15</v>
      </c>
      <c r="O1185" s="83"/>
      <c r="P1185" s="93" t="str">
        <f>LEFT(VLOOKUP(Ruimtestaat[[#This Row],[Ruimte code]],Ruimtegroepen[#All],4,1),2)</f>
        <v>Sa</v>
      </c>
      <c r="Q1185" s="93"/>
      <c r="R1185" s="84">
        <v>42</v>
      </c>
      <c r="S1185" s="84" t="s">
        <v>316</v>
      </c>
      <c r="T1185" s="85">
        <f>IF(R1185&gt;0,IF(RIGHT(Ruimtestaat[[#This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5" s="85">
        <f>IF(T1185&gt;0,VLOOKUP($J1185,Ruimtegroepen[],3,FALSE)*VLOOKUP($L1185,Vloersoorten[],3,FALSE)*VLOOKUP($S1185,Frequenties[],3,FALSE)*VLOOKUP($A1185,Locaties[],3,FALSE),0)</f>
        <v>0</v>
      </c>
      <c r="V1185" s="86">
        <f>Ruimtestaat[[#This Row],[Uitvoeringen werkdagen]]*Ruimtestaat[[#This Row],[Oppervlak (netto)]]</f>
        <v>6300</v>
      </c>
      <c r="W1185" s="87">
        <f>IF(U1185&gt;0,Ruimtestaat[[#This Row],[Prest. (m2 /jaar) werkdagen]]/Ruimtestaat[[#This Row],[Norm (m2/uur) werkdagen]],0)</f>
        <v>0</v>
      </c>
      <c r="X1185" s="88">
        <f>Ruimtestaat[[#This Row],[uren / jaar werkdagen]]*Tariefsopbouw!$E$35</f>
        <v>0</v>
      </c>
      <c r="Y1185" s="85"/>
      <c r="Z1185" s="89">
        <f>IF(Ruimtestaat[[#This Row],[Frequentie weekend]]&gt;0,VALUE(LEFT(Y1185,1))*R1185,0)</f>
        <v>0</v>
      </c>
      <c r="AA1185" s="85">
        <f>IF($Z1185&gt;0,VLOOKUP($J1185,Ruimtegroepen[],3,FALSE)*VLOOKUP($L1185,Vloersoorten[],3,FALSE)*VLOOKUP($Y1185,Frequenties[],3,FALSE)*VLOOKUP(#REF!,Locaties[],3,FALSE),0)</f>
        <v>0</v>
      </c>
      <c r="AB1185" s="87">
        <f>Ruimtestaat[[#This Row],[Uitvoeringen weekend]]*Ruimtestaat[[#This Row],[Oppervlak (netto)]]</f>
        <v>0</v>
      </c>
      <c r="AC1185" s="90">
        <f>IF(AB1185&gt;0,Ruimtestaat[[#This Row],[Prest. (m2 /jaar) weekend]]/Ruimtestaat[[#This Row],[Norm (m2/uur) weekend]],0)</f>
        <v>0</v>
      </c>
      <c r="AD1185" s="91">
        <f>Ruimtestaat[[#This Row],[uren / jaar weekend]]*Tariefsopbouw!$D$40</f>
        <v>0</v>
      </c>
      <c r="AE1185" s="60">
        <f>Ruimtestaat[[#This Row],[Prest. (m2 /jaar) weekend]]+Ruimtestaat[[#This Row],[Prest. (m2 /jaar) werkdagen]]</f>
        <v>6300</v>
      </c>
      <c r="AF1185" s="60">
        <f>Ruimtestaat[[#This Row],[uren / jaar weekend]]+Ruimtestaat[[#This Row],[uren / jaar werkdagen]]</f>
        <v>0</v>
      </c>
      <c r="AG1185" s="61">
        <f>Ruimtestaat[[#This Row],[kosten / jaar weekend]]+Ruimtestaat[[#This Row],[kosten / jaar werkdagen]]</f>
        <v>0</v>
      </c>
      <c r="AH1185" s="92"/>
      <c r="HL1185" s="59"/>
    </row>
    <row r="1186" spans="1:220">
      <c r="A1186" s="24">
        <v>7</v>
      </c>
      <c r="B1186" s="24" t="str">
        <f>VLOOKUP(Ruimtestaat[[#This Row],[Code]],Locaties[#All],2,FALSE)</f>
        <v>Het Vlier</v>
      </c>
      <c r="C1186" s="24" t="str">
        <f>VLOOKUP(Ruimtestaat[[#This Row],[Code]],Locaties[#All],4,FALSE)</f>
        <v>Het Vlier 1</v>
      </c>
      <c r="D1186" s="24" t="str">
        <f>VLOOKUP(Ruimtestaat[[#This Row],[Code]],Locaties[#All],5,FALSE)</f>
        <v>7414 AR</v>
      </c>
      <c r="E1186" s="24" t="str">
        <f>VLOOKUP(Ruimtestaat[[#This Row],[Code]],Locaties[#All],6,FALSE)</f>
        <v>Deventer</v>
      </c>
      <c r="F1186" s="54"/>
      <c r="G1186" s="24" t="s">
        <v>569</v>
      </c>
      <c r="H1186" s="24" t="s">
        <v>1596</v>
      </c>
      <c r="I1186" s="4" t="s">
        <v>1562</v>
      </c>
      <c r="J1186" s="24">
        <v>22</v>
      </c>
      <c r="K1186" s="54" t="str">
        <f>VLOOKUP(J1186,Ruimtegroepen[],2,FALSE)</f>
        <v>Niet in onderhoud</v>
      </c>
      <c r="M1186" s="24"/>
      <c r="N1186" s="83"/>
      <c r="O1186" s="83">
        <v>4.3899999999999997</v>
      </c>
      <c r="P1186" s="93" t="str">
        <f>LEFT(VLOOKUP(Ruimtestaat[[#This Row],[Ruimte code]],Ruimtegroepen[#All],4,1),2)</f>
        <v/>
      </c>
      <c r="Q1186" s="93"/>
      <c r="R1186" s="84"/>
      <c r="S1186" s="84"/>
      <c r="T1186" s="85">
        <f>IF(R1186&gt;0,IF(RIGHT(Ruimtestaat[[#This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86" s="85">
        <f>IF(T1186&gt;0,VLOOKUP($J1186,Ruimtegroepen[],3,FALSE)*VLOOKUP($L1186,Vloersoorten[],3,FALSE)*VLOOKUP($S1186,Frequenties[],3,FALSE)*VLOOKUP($A1186,Locaties[],3,FALSE),0)</f>
        <v>0</v>
      </c>
      <c r="V1186" s="86">
        <f>Ruimtestaat[[#This Row],[Uitvoeringen werkdagen]]*Ruimtestaat[[#This Row],[Oppervlak (netto)]]</f>
        <v>0</v>
      </c>
      <c r="W1186" s="87">
        <f>IF(U1186&gt;0,Ruimtestaat[[#This Row],[Prest. (m2 /jaar) werkdagen]]/Ruimtestaat[[#This Row],[Norm (m2/uur) werkdagen]],0)</f>
        <v>0</v>
      </c>
      <c r="X1186" s="88">
        <f>Ruimtestaat[[#This Row],[uren / jaar werkdagen]]*Tariefsopbouw!$E$35</f>
        <v>0</v>
      </c>
      <c r="Y1186" s="85"/>
      <c r="Z1186" s="89">
        <f>IF(Ruimtestaat[[#This Row],[Frequentie weekend]]&gt;0,VALUE(LEFT(Y1186,1))*R1186,0)</f>
        <v>0</v>
      </c>
      <c r="AA1186" s="85">
        <f>IF($Z1186&gt;0,VLOOKUP($J1186,Ruimtegroepen[],3,FALSE)*VLOOKUP($L1186,Vloersoorten[],3,FALSE)*VLOOKUP($Y1186,Frequenties[],3,FALSE)*VLOOKUP(#REF!,Locaties[],3,FALSE),0)</f>
        <v>0</v>
      </c>
      <c r="AB1186" s="87">
        <f>Ruimtestaat[[#This Row],[Uitvoeringen weekend]]*Ruimtestaat[[#This Row],[Oppervlak (netto)]]</f>
        <v>0</v>
      </c>
      <c r="AC1186" s="90">
        <f>IF(AB1186&gt;0,Ruimtestaat[[#This Row],[Prest. (m2 /jaar) weekend]]/Ruimtestaat[[#This Row],[Norm (m2/uur) weekend]],0)</f>
        <v>0</v>
      </c>
      <c r="AD1186" s="91">
        <f>Ruimtestaat[[#This Row],[uren / jaar weekend]]*Tariefsopbouw!$D$40</f>
        <v>0</v>
      </c>
      <c r="AE1186" s="60">
        <f>Ruimtestaat[[#This Row],[Prest. (m2 /jaar) weekend]]+Ruimtestaat[[#This Row],[Prest. (m2 /jaar) werkdagen]]</f>
        <v>0</v>
      </c>
      <c r="AF1186" s="60">
        <f>Ruimtestaat[[#This Row],[uren / jaar weekend]]+Ruimtestaat[[#This Row],[uren / jaar werkdagen]]</f>
        <v>0</v>
      </c>
      <c r="AG1186" s="61">
        <f>Ruimtestaat[[#This Row],[kosten / jaar weekend]]+Ruimtestaat[[#This Row],[kosten / jaar werkdagen]]</f>
        <v>0</v>
      </c>
      <c r="AH1186" s="92"/>
      <c r="HL1186" s="59"/>
    </row>
    <row r="1187" spans="1:220">
      <c r="A1187" s="24">
        <v>7</v>
      </c>
      <c r="B1187" s="24" t="str">
        <f>VLOOKUP(Ruimtestaat[[#This Row],[Code]],Locaties[#All],2,FALSE)</f>
        <v>Het Vlier</v>
      </c>
      <c r="C1187" s="24" t="str">
        <f>VLOOKUP(Ruimtestaat[[#This Row],[Code]],Locaties[#All],4,FALSE)</f>
        <v>Het Vlier 1</v>
      </c>
      <c r="D1187" s="24" t="str">
        <f>VLOOKUP(Ruimtestaat[[#This Row],[Code]],Locaties[#All],5,FALSE)</f>
        <v>7414 AR</v>
      </c>
      <c r="E1187" s="24" t="str">
        <f>VLOOKUP(Ruimtestaat[[#This Row],[Code]],Locaties[#All],6,FALSE)</f>
        <v>Deventer</v>
      </c>
      <c r="F1187" s="54"/>
      <c r="G1187" s="24" t="s">
        <v>569</v>
      </c>
      <c r="H1187" s="24" t="s">
        <v>1597</v>
      </c>
      <c r="I1187" s="4" t="s">
        <v>1598</v>
      </c>
      <c r="J1187" s="24">
        <v>22</v>
      </c>
      <c r="K1187" s="54" t="str">
        <f>VLOOKUP(J1187,Ruimtegroepen[],2,FALSE)</f>
        <v>Niet in onderhoud</v>
      </c>
      <c r="L1187" s="24" t="s">
        <v>305</v>
      </c>
      <c r="M1187" s="24" t="s">
        <v>1599</v>
      </c>
      <c r="N1187" s="83"/>
      <c r="O1187" s="83">
        <v>14.72</v>
      </c>
      <c r="P1187" s="93" t="str">
        <f>LEFT(VLOOKUP(Ruimtestaat[[#This Row],[Ruimte code]],Ruimtegroepen[#All],4,1),2)</f>
        <v/>
      </c>
      <c r="Q1187" s="93"/>
      <c r="R1187" s="84"/>
      <c r="S1187" s="84"/>
      <c r="T1187" s="85">
        <f>IF(R1187&gt;0,IF(RIGHT(Ruimtestaat[[#This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87" s="85">
        <f>IF(T1187&gt;0,VLOOKUP($J1187,Ruimtegroepen[],3,FALSE)*VLOOKUP($L1187,Vloersoorten[],3,FALSE)*VLOOKUP($S1187,Frequenties[],3,FALSE)*VLOOKUP($A1187,Locaties[],3,FALSE),0)</f>
        <v>0</v>
      </c>
      <c r="V1187" s="86">
        <f>Ruimtestaat[[#This Row],[Uitvoeringen werkdagen]]*Ruimtestaat[[#This Row],[Oppervlak (netto)]]</f>
        <v>0</v>
      </c>
      <c r="W1187" s="87">
        <f>IF(U1187&gt;0,Ruimtestaat[[#This Row],[Prest. (m2 /jaar) werkdagen]]/Ruimtestaat[[#This Row],[Norm (m2/uur) werkdagen]],0)</f>
        <v>0</v>
      </c>
      <c r="X1187" s="88">
        <f>Ruimtestaat[[#This Row],[uren / jaar werkdagen]]*Tariefsopbouw!$E$35</f>
        <v>0</v>
      </c>
      <c r="Y1187" s="85"/>
      <c r="Z1187" s="89">
        <f>IF(Ruimtestaat[[#This Row],[Frequentie weekend]]&gt;0,VALUE(LEFT(Y1187,1))*R1187,0)</f>
        <v>0</v>
      </c>
      <c r="AA1187" s="85">
        <f>IF($Z1187&gt;0,VLOOKUP($J1187,Ruimtegroepen[],3,FALSE)*VLOOKUP($L1187,Vloersoorten[],3,FALSE)*VLOOKUP($Y1187,Frequenties[],3,FALSE)*VLOOKUP(#REF!,Locaties[],3,FALSE),0)</f>
        <v>0</v>
      </c>
      <c r="AB1187" s="87">
        <f>Ruimtestaat[[#This Row],[Uitvoeringen weekend]]*Ruimtestaat[[#This Row],[Oppervlak (netto)]]</f>
        <v>0</v>
      </c>
      <c r="AC1187" s="90">
        <f>IF(AB1187&gt;0,Ruimtestaat[[#This Row],[Prest. (m2 /jaar) weekend]]/Ruimtestaat[[#This Row],[Norm (m2/uur) weekend]],0)</f>
        <v>0</v>
      </c>
      <c r="AD1187" s="91">
        <f>Ruimtestaat[[#This Row],[uren / jaar weekend]]*Tariefsopbouw!$D$40</f>
        <v>0</v>
      </c>
      <c r="AE1187" s="60">
        <f>Ruimtestaat[[#This Row],[Prest. (m2 /jaar) weekend]]+Ruimtestaat[[#This Row],[Prest. (m2 /jaar) werkdagen]]</f>
        <v>0</v>
      </c>
      <c r="AF1187" s="60">
        <f>Ruimtestaat[[#This Row],[uren / jaar weekend]]+Ruimtestaat[[#This Row],[uren / jaar werkdagen]]</f>
        <v>0</v>
      </c>
      <c r="AG1187" s="61">
        <f>Ruimtestaat[[#This Row],[kosten / jaar weekend]]+Ruimtestaat[[#This Row],[kosten / jaar werkdagen]]</f>
        <v>0</v>
      </c>
      <c r="AH1187" s="92"/>
      <c r="HL1187" s="59"/>
    </row>
    <row r="1188" spans="1:220">
      <c r="A1188" s="24">
        <v>7</v>
      </c>
      <c r="B1188" s="24" t="str">
        <f>VLOOKUP(Ruimtestaat[[#This Row],[Code]],Locaties[#All],2,FALSE)</f>
        <v>Het Vlier</v>
      </c>
      <c r="C1188" s="24" t="str">
        <f>VLOOKUP(Ruimtestaat[[#This Row],[Code]],Locaties[#All],4,FALSE)</f>
        <v>Het Vlier 1</v>
      </c>
      <c r="D1188" s="24" t="str">
        <f>VLOOKUP(Ruimtestaat[[#This Row],[Code]],Locaties[#All],5,FALSE)</f>
        <v>7414 AR</v>
      </c>
      <c r="E1188" s="24" t="str">
        <f>VLOOKUP(Ruimtestaat[[#This Row],[Code]],Locaties[#All],6,FALSE)</f>
        <v>Deventer</v>
      </c>
      <c r="F1188" s="54"/>
      <c r="G1188" s="24" t="s">
        <v>569</v>
      </c>
      <c r="H1188" s="24" t="s">
        <v>1600</v>
      </c>
      <c r="I1188" s="4" t="s">
        <v>1601</v>
      </c>
      <c r="J1188" s="24">
        <v>22</v>
      </c>
      <c r="K1188" s="54" t="str">
        <f>VLOOKUP(J1188,Ruimtegroepen[],2,FALSE)</f>
        <v>Niet in onderhoud</v>
      </c>
      <c r="M1188" s="24"/>
      <c r="N1188" s="83"/>
      <c r="O1188" s="83">
        <v>10.28</v>
      </c>
      <c r="P1188" s="93" t="str">
        <f>LEFT(VLOOKUP(Ruimtestaat[[#This Row],[Ruimte code]],Ruimtegroepen[#All],4,1),2)</f>
        <v/>
      </c>
      <c r="Q1188" s="93"/>
      <c r="R1188" s="84"/>
      <c r="S1188" s="84"/>
      <c r="T1188" s="85">
        <f>IF(R1188&gt;0,IF(RIGHT(Ruimtestaat[[#This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88" s="85">
        <f>IF(T1188&gt;0,VLOOKUP($J1188,Ruimtegroepen[],3,FALSE)*VLOOKUP($L1188,Vloersoorten[],3,FALSE)*VLOOKUP($S1188,Frequenties[],3,FALSE)*VLOOKUP($A1188,Locaties[],3,FALSE),0)</f>
        <v>0</v>
      </c>
      <c r="V1188" s="86">
        <f>Ruimtestaat[[#This Row],[Uitvoeringen werkdagen]]*Ruimtestaat[[#This Row],[Oppervlak (netto)]]</f>
        <v>0</v>
      </c>
      <c r="W1188" s="87">
        <f>IF(U1188&gt;0,Ruimtestaat[[#This Row],[Prest. (m2 /jaar) werkdagen]]/Ruimtestaat[[#This Row],[Norm (m2/uur) werkdagen]],0)</f>
        <v>0</v>
      </c>
      <c r="X1188" s="88">
        <f>Ruimtestaat[[#This Row],[uren / jaar werkdagen]]*Tariefsopbouw!$E$35</f>
        <v>0</v>
      </c>
      <c r="Y1188" s="85"/>
      <c r="Z1188" s="89">
        <f>IF(Ruimtestaat[[#This Row],[Frequentie weekend]]&gt;0,VALUE(LEFT(Y1188,1))*R1188,0)</f>
        <v>0</v>
      </c>
      <c r="AA1188" s="85">
        <f>IF($Z1188&gt;0,VLOOKUP($J1188,Ruimtegroepen[],3,FALSE)*VLOOKUP($L1188,Vloersoorten[],3,FALSE)*VLOOKUP($Y1188,Frequenties[],3,FALSE)*VLOOKUP(#REF!,Locaties[],3,FALSE),0)</f>
        <v>0</v>
      </c>
      <c r="AB1188" s="87">
        <f>Ruimtestaat[[#This Row],[Uitvoeringen weekend]]*Ruimtestaat[[#This Row],[Oppervlak (netto)]]</f>
        <v>0</v>
      </c>
      <c r="AC1188" s="90">
        <f>IF(AB1188&gt;0,Ruimtestaat[[#This Row],[Prest. (m2 /jaar) weekend]]/Ruimtestaat[[#This Row],[Norm (m2/uur) weekend]],0)</f>
        <v>0</v>
      </c>
      <c r="AD1188" s="91">
        <f>Ruimtestaat[[#This Row],[uren / jaar weekend]]*Tariefsopbouw!$D$40</f>
        <v>0</v>
      </c>
      <c r="AE1188" s="60">
        <f>Ruimtestaat[[#This Row],[Prest. (m2 /jaar) weekend]]+Ruimtestaat[[#This Row],[Prest. (m2 /jaar) werkdagen]]</f>
        <v>0</v>
      </c>
      <c r="AF1188" s="60">
        <f>Ruimtestaat[[#This Row],[uren / jaar weekend]]+Ruimtestaat[[#This Row],[uren / jaar werkdagen]]</f>
        <v>0</v>
      </c>
      <c r="AG1188" s="61">
        <f>Ruimtestaat[[#This Row],[kosten / jaar weekend]]+Ruimtestaat[[#This Row],[kosten / jaar werkdagen]]</f>
        <v>0</v>
      </c>
      <c r="AH1188" s="92"/>
      <c r="HL1188" s="59"/>
    </row>
    <row r="1189" spans="1:220">
      <c r="A1189" s="24">
        <v>7</v>
      </c>
      <c r="B1189" s="24" t="str">
        <f>VLOOKUP(Ruimtestaat[[#This Row],[Code]],Locaties[#All],2,FALSE)</f>
        <v>Het Vlier</v>
      </c>
      <c r="C1189" s="24" t="str">
        <f>VLOOKUP(Ruimtestaat[[#This Row],[Code]],Locaties[#All],4,FALSE)</f>
        <v>Het Vlier 1</v>
      </c>
      <c r="D1189" s="24" t="str">
        <f>VLOOKUP(Ruimtestaat[[#This Row],[Code]],Locaties[#All],5,FALSE)</f>
        <v>7414 AR</v>
      </c>
      <c r="E1189" s="24" t="str">
        <f>VLOOKUP(Ruimtestaat[[#This Row],[Code]],Locaties[#All],6,FALSE)</f>
        <v>Deventer</v>
      </c>
      <c r="F1189" s="54"/>
      <c r="G1189" s="24" t="s">
        <v>569</v>
      </c>
      <c r="H1189" s="24" t="s">
        <v>1602</v>
      </c>
      <c r="I1189" s="4" t="s">
        <v>1493</v>
      </c>
      <c r="J1189" s="24">
        <v>5</v>
      </c>
      <c r="K1189" s="54" t="str">
        <f>VLOOKUP(J1189,Ruimtegroepen[],2,FALSE)</f>
        <v>Sanitair</v>
      </c>
      <c r="L1189" s="24" t="s">
        <v>305</v>
      </c>
      <c r="M1189" s="24" t="s">
        <v>400</v>
      </c>
      <c r="N1189" s="83">
        <v>14.99</v>
      </c>
      <c r="O1189" s="83"/>
      <c r="P1189" s="93" t="str">
        <f>LEFT(VLOOKUP(Ruimtestaat[[#This Row],[Ruimte code]],Ruimtegroepen[#All],4,1),2)</f>
        <v>Sa</v>
      </c>
      <c r="Q1189" s="93"/>
      <c r="R1189" s="84">
        <v>42</v>
      </c>
      <c r="S1189" s="84" t="s">
        <v>316</v>
      </c>
      <c r="T1189" s="85">
        <f>IF(R1189&gt;0,IF(RIGHT(Ruimtestaat[[#This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9" s="85">
        <f>IF(T1189&gt;0,VLOOKUP($J1189,Ruimtegroepen[],3,FALSE)*VLOOKUP($L1189,Vloersoorten[],3,FALSE)*VLOOKUP($S1189,Frequenties[],3,FALSE)*VLOOKUP($A1189,Locaties[],3,FALSE),0)</f>
        <v>0</v>
      </c>
      <c r="V1189" s="86">
        <f>Ruimtestaat[[#This Row],[Uitvoeringen werkdagen]]*Ruimtestaat[[#This Row],[Oppervlak (netto)]]</f>
        <v>6295.8</v>
      </c>
      <c r="W1189" s="87">
        <f>IF(U1189&gt;0,Ruimtestaat[[#This Row],[Prest. (m2 /jaar) werkdagen]]/Ruimtestaat[[#This Row],[Norm (m2/uur) werkdagen]],0)</f>
        <v>0</v>
      </c>
      <c r="X1189" s="88">
        <f>Ruimtestaat[[#This Row],[uren / jaar werkdagen]]*Tariefsopbouw!$E$35</f>
        <v>0</v>
      </c>
      <c r="Y1189" s="85"/>
      <c r="Z1189" s="89">
        <f>IF(Ruimtestaat[[#This Row],[Frequentie weekend]]&gt;0,VALUE(LEFT(Y1189,1))*R1189,0)</f>
        <v>0</v>
      </c>
      <c r="AA1189" s="85">
        <f>IF($Z1189&gt;0,VLOOKUP($J1189,Ruimtegroepen[],3,FALSE)*VLOOKUP($L1189,Vloersoorten[],3,FALSE)*VLOOKUP($Y1189,Frequenties[],3,FALSE)*VLOOKUP(#REF!,Locaties[],3,FALSE),0)</f>
        <v>0</v>
      </c>
      <c r="AB1189" s="87">
        <f>Ruimtestaat[[#This Row],[Uitvoeringen weekend]]*Ruimtestaat[[#This Row],[Oppervlak (netto)]]</f>
        <v>0</v>
      </c>
      <c r="AC1189" s="90">
        <f>IF(AB1189&gt;0,Ruimtestaat[[#This Row],[Prest. (m2 /jaar) weekend]]/Ruimtestaat[[#This Row],[Norm (m2/uur) weekend]],0)</f>
        <v>0</v>
      </c>
      <c r="AD1189" s="91">
        <f>Ruimtestaat[[#This Row],[uren / jaar weekend]]*Tariefsopbouw!$D$40</f>
        <v>0</v>
      </c>
      <c r="AE1189" s="60">
        <f>Ruimtestaat[[#This Row],[Prest. (m2 /jaar) weekend]]+Ruimtestaat[[#This Row],[Prest. (m2 /jaar) werkdagen]]</f>
        <v>6295.8</v>
      </c>
      <c r="AF1189" s="60">
        <f>Ruimtestaat[[#This Row],[uren / jaar weekend]]+Ruimtestaat[[#This Row],[uren / jaar werkdagen]]</f>
        <v>0</v>
      </c>
      <c r="AG1189" s="61">
        <f>Ruimtestaat[[#This Row],[kosten / jaar weekend]]+Ruimtestaat[[#This Row],[kosten / jaar werkdagen]]</f>
        <v>0</v>
      </c>
      <c r="AH1189" s="92"/>
      <c r="HL1189" s="59"/>
    </row>
    <row r="1190" spans="1:220">
      <c r="A1190" s="24">
        <v>7</v>
      </c>
      <c r="B1190" s="24" t="str">
        <f>VLOOKUP(Ruimtestaat[[#This Row],[Code]],Locaties[#All],2,FALSE)</f>
        <v>Het Vlier</v>
      </c>
      <c r="C1190" s="24" t="str">
        <f>VLOOKUP(Ruimtestaat[[#This Row],[Code]],Locaties[#All],4,FALSE)</f>
        <v>Het Vlier 1</v>
      </c>
      <c r="D1190" s="24" t="str">
        <f>VLOOKUP(Ruimtestaat[[#This Row],[Code]],Locaties[#All],5,FALSE)</f>
        <v>7414 AR</v>
      </c>
      <c r="E1190" s="24" t="str">
        <f>VLOOKUP(Ruimtestaat[[#This Row],[Code]],Locaties[#All],6,FALSE)</f>
        <v>Deventer</v>
      </c>
      <c r="F1190" s="54"/>
      <c r="G1190" s="24" t="s">
        <v>569</v>
      </c>
      <c r="H1190" s="24" t="s">
        <v>1603</v>
      </c>
      <c r="I1190" s="4" t="s">
        <v>1387</v>
      </c>
      <c r="J1190" s="24">
        <v>22</v>
      </c>
      <c r="K1190" s="54" t="str">
        <f>VLOOKUP(J1190,Ruimtegroepen[],2,FALSE)</f>
        <v>Niet in onderhoud</v>
      </c>
      <c r="M1190" s="24"/>
      <c r="N1190" s="83"/>
      <c r="O1190" s="83">
        <v>1.0900000000000001</v>
      </c>
      <c r="P1190" s="93" t="str">
        <f>LEFT(VLOOKUP(Ruimtestaat[[#This Row],[Ruimte code]],Ruimtegroepen[#All],4,1),2)</f>
        <v/>
      </c>
      <c r="Q1190" s="93"/>
      <c r="R1190" s="84"/>
      <c r="S1190" s="84"/>
      <c r="T1190" s="85">
        <f>IF(R1190&gt;0,IF(RIGHT(Ruimtestaat[[#This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90" s="85">
        <f>IF(T1190&gt;0,VLOOKUP($J1190,Ruimtegroepen[],3,FALSE)*VLOOKUP($L1190,Vloersoorten[],3,FALSE)*VLOOKUP($S1190,Frequenties[],3,FALSE)*VLOOKUP($A1190,Locaties[],3,FALSE),0)</f>
        <v>0</v>
      </c>
      <c r="V1190" s="86">
        <f>Ruimtestaat[[#This Row],[Uitvoeringen werkdagen]]*Ruimtestaat[[#This Row],[Oppervlak (netto)]]</f>
        <v>0</v>
      </c>
      <c r="W1190" s="87">
        <f>IF(U1190&gt;0,Ruimtestaat[[#This Row],[Prest. (m2 /jaar) werkdagen]]/Ruimtestaat[[#This Row],[Norm (m2/uur) werkdagen]],0)</f>
        <v>0</v>
      </c>
      <c r="X1190" s="88">
        <f>Ruimtestaat[[#This Row],[uren / jaar werkdagen]]*Tariefsopbouw!$E$35</f>
        <v>0</v>
      </c>
      <c r="Y1190" s="85"/>
      <c r="Z1190" s="89">
        <f>IF(Ruimtestaat[[#This Row],[Frequentie weekend]]&gt;0,VALUE(LEFT(Y1190,1))*R1190,0)</f>
        <v>0</v>
      </c>
      <c r="AA1190" s="85">
        <f>IF($Z1190&gt;0,VLOOKUP($J1190,Ruimtegroepen[],3,FALSE)*VLOOKUP($L1190,Vloersoorten[],3,FALSE)*VLOOKUP($Y1190,Frequenties[],3,FALSE)*VLOOKUP(#REF!,Locaties[],3,FALSE),0)</f>
        <v>0</v>
      </c>
      <c r="AB1190" s="87">
        <f>Ruimtestaat[[#This Row],[Uitvoeringen weekend]]*Ruimtestaat[[#This Row],[Oppervlak (netto)]]</f>
        <v>0</v>
      </c>
      <c r="AC1190" s="90">
        <f>IF(AB1190&gt;0,Ruimtestaat[[#This Row],[Prest. (m2 /jaar) weekend]]/Ruimtestaat[[#This Row],[Norm (m2/uur) weekend]],0)</f>
        <v>0</v>
      </c>
      <c r="AD1190" s="91">
        <f>Ruimtestaat[[#This Row],[uren / jaar weekend]]*Tariefsopbouw!$D$40</f>
        <v>0</v>
      </c>
      <c r="AE1190" s="60">
        <f>Ruimtestaat[[#This Row],[Prest. (m2 /jaar) weekend]]+Ruimtestaat[[#This Row],[Prest. (m2 /jaar) werkdagen]]</f>
        <v>0</v>
      </c>
      <c r="AF1190" s="60">
        <f>Ruimtestaat[[#This Row],[uren / jaar weekend]]+Ruimtestaat[[#This Row],[uren / jaar werkdagen]]</f>
        <v>0</v>
      </c>
      <c r="AG1190" s="61">
        <f>Ruimtestaat[[#This Row],[kosten / jaar weekend]]+Ruimtestaat[[#This Row],[kosten / jaar werkdagen]]</f>
        <v>0</v>
      </c>
      <c r="AH1190" s="92"/>
      <c r="HL1190" s="59"/>
    </row>
    <row r="1191" spans="1:220">
      <c r="A1191" s="24">
        <v>7</v>
      </c>
      <c r="B1191" s="24" t="str">
        <f>VLOOKUP(Ruimtestaat[[#This Row],[Code]],Locaties[#All],2,FALSE)</f>
        <v>Het Vlier</v>
      </c>
      <c r="C1191" s="24" t="str">
        <f>VLOOKUP(Ruimtestaat[[#This Row],[Code]],Locaties[#All],4,FALSE)</f>
        <v>Het Vlier 1</v>
      </c>
      <c r="D1191" s="24" t="str">
        <f>VLOOKUP(Ruimtestaat[[#This Row],[Code]],Locaties[#All],5,FALSE)</f>
        <v>7414 AR</v>
      </c>
      <c r="E1191" s="24" t="str">
        <f>VLOOKUP(Ruimtestaat[[#This Row],[Code]],Locaties[#All],6,FALSE)</f>
        <v>Deventer</v>
      </c>
      <c r="F1191" s="54"/>
      <c r="G1191" s="24" t="s">
        <v>569</v>
      </c>
      <c r="H1191" s="24" t="s">
        <v>1604</v>
      </c>
      <c r="I1191" s="4" t="s">
        <v>1387</v>
      </c>
      <c r="J1191" s="24">
        <v>22</v>
      </c>
      <c r="K1191" s="54" t="str">
        <f>VLOOKUP(J1191,Ruimtegroepen[],2,FALSE)</f>
        <v>Niet in onderhoud</v>
      </c>
      <c r="M1191" s="24"/>
      <c r="N1191" s="83"/>
      <c r="O1191" s="83">
        <v>1.0900000000000001</v>
      </c>
      <c r="P1191" s="93" t="str">
        <f>LEFT(VLOOKUP(Ruimtestaat[[#This Row],[Ruimte code]],Ruimtegroepen[#All],4,1),2)</f>
        <v/>
      </c>
      <c r="Q1191" s="93"/>
      <c r="R1191" s="84"/>
      <c r="S1191" s="84"/>
      <c r="T1191" s="85">
        <f>IF(R1191&gt;0,IF(RIGHT(Ruimtestaat[[#This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91" s="85">
        <f>IF(T1191&gt;0,VLOOKUP($J1191,Ruimtegroepen[],3,FALSE)*VLOOKUP($L1191,Vloersoorten[],3,FALSE)*VLOOKUP($S1191,Frequenties[],3,FALSE)*VLOOKUP($A1191,Locaties[],3,FALSE),0)</f>
        <v>0</v>
      </c>
      <c r="V1191" s="86">
        <f>Ruimtestaat[[#This Row],[Uitvoeringen werkdagen]]*Ruimtestaat[[#This Row],[Oppervlak (netto)]]</f>
        <v>0</v>
      </c>
      <c r="W1191" s="87">
        <f>IF(U1191&gt;0,Ruimtestaat[[#This Row],[Prest. (m2 /jaar) werkdagen]]/Ruimtestaat[[#This Row],[Norm (m2/uur) werkdagen]],0)</f>
        <v>0</v>
      </c>
      <c r="X1191" s="88">
        <f>Ruimtestaat[[#This Row],[uren / jaar werkdagen]]*Tariefsopbouw!$E$35</f>
        <v>0</v>
      </c>
      <c r="Y1191" s="85"/>
      <c r="Z1191" s="89">
        <f>IF(Ruimtestaat[[#This Row],[Frequentie weekend]]&gt;0,VALUE(LEFT(Y1191,1))*R1191,0)</f>
        <v>0</v>
      </c>
      <c r="AA1191" s="85">
        <f>IF($Z1191&gt;0,VLOOKUP($J1191,Ruimtegroepen[],3,FALSE)*VLOOKUP($L1191,Vloersoorten[],3,FALSE)*VLOOKUP($Y1191,Frequenties[],3,FALSE)*VLOOKUP(#REF!,Locaties[],3,FALSE),0)</f>
        <v>0</v>
      </c>
      <c r="AB1191" s="87">
        <f>Ruimtestaat[[#This Row],[Uitvoeringen weekend]]*Ruimtestaat[[#This Row],[Oppervlak (netto)]]</f>
        <v>0</v>
      </c>
      <c r="AC1191" s="90">
        <f>IF(AB1191&gt;0,Ruimtestaat[[#This Row],[Prest. (m2 /jaar) weekend]]/Ruimtestaat[[#This Row],[Norm (m2/uur) weekend]],0)</f>
        <v>0</v>
      </c>
      <c r="AD1191" s="91">
        <f>Ruimtestaat[[#This Row],[uren / jaar weekend]]*Tariefsopbouw!$D$40</f>
        <v>0</v>
      </c>
      <c r="AE1191" s="60">
        <f>Ruimtestaat[[#This Row],[Prest. (m2 /jaar) weekend]]+Ruimtestaat[[#This Row],[Prest. (m2 /jaar) werkdagen]]</f>
        <v>0</v>
      </c>
      <c r="AF1191" s="60">
        <f>Ruimtestaat[[#This Row],[uren / jaar weekend]]+Ruimtestaat[[#This Row],[uren / jaar werkdagen]]</f>
        <v>0</v>
      </c>
      <c r="AG1191" s="61">
        <f>Ruimtestaat[[#This Row],[kosten / jaar weekend]]+Ruimtestaat[[#This Row],[kosten / jaar werkdagen]]</f>
        <v>0</v>
      </c>
      <c r="AH1191" s="92"/>
      <c r="HL1191" s="59"/>
    </row>
    <row r="1192" spans="1:220">
      <c r="A1192" s="24">
        <v>7</v>
      </c>
      <c r="B1192" s="24" t="str">
        <f>VLOOKUP(Ruimtestaat[[#This Row],[Code]],Locaties[#All],2,FALSE)</f>
        <v>Het Vlier</v>
      </c>
      <c r="C1192" s="24" t="str">
        <f>VLOOKUP(Ruimtestaat[[#This Row],[Code]],Locaties[#All],4,FALSE)</f>
        <v>Het Vlier 1</v>
      </c>
      <c r="D1192" s="24" t="str">
        <f>VLOOKUP(Ruimtestaat[[#This Row],[Code]],Locaties[#All],5,FALSE)</f>
        <v>7414 AR</v>
      </c>
      <c r="E1192" s="24" t="str">
        <f>VLOOKUP(Ruimtestaat[[#This Row],[Code]],Locaties[#All],6,FALSE)</f>
        <v>Deventer</v>
      </c>
      <c r="F1192" s="54"/>
      <c r="G1192" s="24" t="s">
        <v>569</v>
      </c>
      <c r="H1192" s="24" t="s">
        <v>1605</v>
      </c>
      <c r="I1192" s="4" t="s">
        <v>1594</v>
      </c>
      <c r="J1192" s="24">
        <v>22</v>
      </c>
      <c r="K1192" s="54" t="str">
        <f>VLOOKUP(J1192,Ruimtegroepen[],2,FALSE)</f>
        <v>Niet in onderhoud</v>
      </c>
      <c r="M1192" s="24"/>
      <c r="N1192" s="83"/>
      <c r="O1192" s="83">
        <v>3.79</v>
      </c>
      <c r="P1192" s="93" t="str">
        <f>LEFT(VLOOKUP(Ruimtestaat[[#This Row],[Ruimte code]],Ruimtegroepen[#All],4,1),2)</f>
        <v/>
      </c>
      <c r="Q1192" s="93"/>
      <c r="R1192" s="84"/>
      <c r="S1192" s="84"/>
      <c r="T1192" s="85">
        <f>IF(R1192&gt;0,IF(RIGHT(Ruimtestaat[[#This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92" s="85">
        <f>IF(T1192&gt;0,VLOOKUP($J1192,Ruimtegroepen[],3,FALSE)*VLOOKUP($L1192,Vloersoorten[],3,FALSE)*VLOOKUP($S1192,Frequenties[],3,FALSE)*VLOOKUP($A1192,Locaties[],3,FALSE),0)</f>
        <v>0</v>
      </c>
      <c r="V1192" s="86">
        <f>Ruimtestaat[[#This Row],[Uitvoeringen werkdagen]]*Ruimtestaat[[#This Row],[Oppervlak (netto)]]</f>
        <v>0</v>
      </c>
      <c r="W1192" s="87">
        <f>IF(U1192&gt;0,Ruimtestaat[[#This Row],[Prest. (m2 /jaar) werkdagen]]/Ruimtestaat[[#This Row],[Norm (m2/uur) werkdagen]],0)</f>
        <v>0</v>
      </c>
      <c r="X1192" s="88">
        <f>Ruimtestaat[[#This Row],[uren / jaar werkdagen]]*Tariefsopbouw!$E$35</f>
        <v>0</v>
      </c>
      <c r="Y1192" s="85"/>
      <c r="Z1192" s="89">
        <f>IF(Ruimtestaat[[#This Row],[Frequentie weekend]]&gt;0,VALUE(LEFT(Y1192,1))*R1192,0)</f>
        <v>0</v>
      </c>
      <c r="AA1192" s="85">
        <f>IF($Z1192&gt;0,VLOOKUP($J1192,Ruimtegroepen[],3,FALSE)*VLOOKUP($L1192,Vloersoorten[],3,FALSE)*VLOOKUP($Y1192,Frequenties[],3,FALSE)*VLOOKUP(#REF!,Locaties[],3,FALSE),0)</f>
        <v>0</v>
      </c>
      <c r="AB1192" s="87">
        <f>Ruimtestaat[[#This Row],[Uitvoeringen weekend]]*Ruimtestaat[[#This Row],[Oppervlak (netto)]]</f>
        <v>0</v>
      </c>
      <c r="AC1192" s="90">
        <f>IF(AB1192&gt;0,Ruimtestaat[[#This Row],[Prest. (m2 /jaar) weekend]]/Ruimtestaat[[#This Row],[Norm (m2/uur) weekend]],0)</f>
        <v>0</v>
      </c>
      <c r="AD1192" s="91">
        <f>Ruimtestaat[[#This Row],[uren / jaar weekend]]*Tariefsopbouw!$D$40</f>
        <v>0</v>
      </c>
      <c r="AE1192" s="60">
        <f>Ruimtestaat[[#This Row],[Prest. (m2 /jaar) weekend]]+Ruimtestaat[[#This Row],[Prest. (m2 /jaar) werkdagen]]</f>
        <v>0</v>
      </c>
      <c r="AF1192" s="60">
        <f>Ruimtestaat[[#This Row],[uren / jaar weekend]]+Ruimtestaat[[#This Row],[uren / jaar werkdagen]]</f>
        <v>0</v>
      </c>
      <c r="AG1192" s="61">
        <f>Ruimtestaat[[#This Row],[kosten / jaar weekend]]+Ruimtestaat[[#This Row],[kosten / jaar werkdagen]]</f>
        <v>0</v>
      </c>
      <c r="AH1192" s="92"/>
      <c r="HL1192" s="59"/>
    </row>
    <row r="1193" spans="1:220">
      <c r="A1193" s="24">
        <v>7</v>
      </c>
      <c r="B1193" s="24" t="str">
        <f>VLOOKUP(Ruimtestaat[[#This Row],[Code]],Locaties[#All],2,FALSE)</f>
        <v>Het Vlier</v>
      </c>
      <c r="C1193" s="24" t="str">
        <f>VLOOKUP(Ruimtestaat[[#This Row],[Code]],Locaties[#All],4,FALSE)</f>
        <v>Het Vlier 1</v>
      </c>
      <c r="D1193" s="24" t="str">
        <f>VLOOKUP(Ruimtestaat[[#This Row],[Code]],Locaties[#All],5,FALSE)</f>
        <v>7414 AR</v>
      </c>
      <c r="E1193" s="24" t="str">
        <f>VLOOKUP(Ruimtestaat[[#This Row],[Code]],Locaties[#All],6,FALSE)</f>
        <v>Deventer</v>
      </c>
      <c r="F1193" s="54"/>
      <c r="G1193" s="24" t="s">
        <v>569</v>
      </c>
      <c r="H1193" s="24" t="s">
        <v>1606</v>
      </c>
      <c r="I1193" s="4" t="s">
        <v>1491</v>
      </c>
      <c r="J1193" s="24">
        <v>5</v>
      </c>
      <c r="K1193" s="54" t="str">
        <f>VLOOKUP(J1193,Ruimtegroepen[],2,FALSE)</f>
        <v>Sanitair</v>
      </c>
      <c r="L1193" s="24" t="s">
        <v>305</v>
      </c>
      <c r="M1193" s="24" t="s">
        <v>400</v>
      </c>
      <c r="N1193" s="83">
        <v>13.64</v>
      </c>
      <c r="O1193" s="83"/>
      <c r="P1193" s="93" t="str">
        <f>LEFT(VLOOKUP(Ruimtestaat[[#This Row],[Ruimte code]],Ruimtegroepen[#All],4,1),2)</f>
        <v>Sa</v>
      </c>
      <c r="Q1193" s="93"/>
      <c r="R1193" s="84">
        <v>42</v>
      </c>
      <c r="S1193" s="84" t="s">
        <v>316</v>
      </c>
      <c r="T1193" s="85">
        <f>IF(R1193&gt;0,IF(RIGHT(Ruimtestaat[[#This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93" s="85">
        <f>IF(T1193&gt;0,VLOOKUP($J1193,Ruimtegroepen[],3,FALSE)*VLOOKUP($L1193,Vloersoorten[],3,FALSE)*VLOOKUP($S1193,Frequenties[],3,FALSE)*VLOOKUP($A1193,Locaties[],3,FALSE),0)</f>
        <v>0</v>
      </c>
      <c r="V1193" s="86">
        <f>Ruimtestaat[[#This Row],[Uitvoeringen werkdagen]]*Ruimtestaat[[#This Row],[Oppervlak (netto)]]</f>
        <v>5728.8</v>
      </c>
      <c r="W1193" s="87">
        <f>IF(U1193&gt;0,Ruimtestaat[[#This Row],[Prest. (m2 /jaar) werkdagen]]/Ruimtestaat[[#This Row],[Norm (m2/uur) werkdagen]],0)</f>
        <v>0</v>
      </c>
      <c r="X1193" s="88">
        <f>Ruimtestaat[[#This Row],[uren / jaar werkdagen]]*Tariefsopbouw!$E$35</f>
        <v>0</v>
      </c>
      <c r="Y1193" s="85"/>
      <c r="Z1193" s="89">
        <f>IF(Ruimtestaat[[#This Row],[Frequentie weekend]]&gt;0,VALUE(LEFT(Y1193,1))*R1193,0)</f>
        <v>0</v>
      </c>
      <c r="AA1193" s="85">
        <f>IF($Z1193&gt;0,VLOOKUP($J1193,Ruimtegroepen[],3,FALSE)*VLOOKUP($L1193,Vloersoorten[],3,FALSE)*VLOOKUP($Y1193,Frequenties[],3,FALSE)*VLOOKUP(#REF!,Locaties[],3,FALSE),0)</f>
        <v>0</v>
      </c>
      <c r="AB1193" s="87">
        <f>Ruimtestaat[[#This Row],[Uitvoeringen weekend]]*Ruimtestaat[[#This Row],[Oppervlak (netto)]]</f>
        <v>0</v>
      </c>
      <c r="AC1193" s="90">
        <f>IF(AB1193&gt;0,Ruimtestaat[[#This Row],[Prest. (m2 /jaar) weekend]]/Ruimtestaat[[#This Row],[Norm (m2/uur) weekend]],0)</f>
        <v>0</v>
      </c>
      <c r="AD1193" s="91">
        <f>Ruimtestaat[[#This Row],[uren / jaar weekend]]*Tariefsopbouw!$D$40</f>
        <v>0</v>
      </c>
      <c r="AE1193" s="60">
        <f>Ruimtestaat[[#This Row],[Prest. (m2 /jaar) weekend]]+Ruimtestaat[[#This Row],[Prest. (m2 /jaar) werkdagen]]</f>
        <v>5728.8</v>
      </c>
      <c r="AF1193" s="60">
        <f>Ruimtestaat[[#This Row],[uren / jaar weekend]]+Ruimtestaat[[#This Row],[uren / jaar werkdagen]]</f>
        <v>0</v>
      </c>
      <c r="AG1193" s="61">
        <f>Ruimtestaat[[#This Row],[kosten / jaar weekend]]+Ruimtestaat[[#This Row],[kosten / jaar werkdagen]]</f>
        <v>0</v>
      </c>
      <c r="AH1193" s="92"/>
      <c r="HL1193" s="59"/>
    </row>
    <row r="1194" spans="1:220">
      <c r="A1194" s="24">
        <v>7</v>
      </c>
      <c r="B1194" s="24" t="str">
        <f>VLOOKUP(Ruimtestaat[[#This Row],[Code]],Locaties[#All],2,FALSE)</f>
        <v>Het Vlier</v>
      </c>
      <c r="C1194" s="24" t="str">
        <f>VLOOKUP(Ruimtestaat[[#This Row],[Code]],Locaties[#All],4,FALSE)</f>
        <v>Het Vlier 1</v>
      </c>
      <c r="D1194" s="24" t="str">
        <f>VLOOKUP(Ruimtestaat[[#This Row],[Code]],Locaties[#All],5,FALSE)</f>
        <v>7414 AR</v>
      </c>
      <c r="E1194" s="24" t="str">
        <f>VLOOKUP(Ruimtestaat[[#This Row],[Code]],Locaties[#All],6,FALSE)</f>
        <v>Deventer</v>
      </c>
      <c r="F1194" s="54"/>
      <c r="G1194" s="24" t="s">
        <v>569</v>
      </c>
      <c r="H1194" s="24" t="s">
        <v>1607</v>
      </c>
      <c r="I1194" s="4" t="s">
        <v>1427</v>
      </c>
      <c r="J1194" s="24">
        <v>16</v>
      </c>
      <c r="K1194" s="54" t="str">
        <f>VLOOKUP(J1194,Ruimtegroepen[],2,FALSE)</f>
        <v>Leslokalen theorie</v>
      </c>
      <c r="L1194" s="24" t="s">
        <v>305</v>
      </c>
      <c r="M1194" s="24" t="s">
        <v>400</v>
      </c>
      <c r="N1194" s="83">
        <v>28.97</v>
      </c>
      <c r="O1194" s="83"/>
      <c r="P1194" s="93" t="str">
        <f>LEFT(VLOOKUP(Ruimtestaat[[#This Row],[Ruimte code]],Ruimtegroepen[#All],4,1),2)</f>
        <v>Le</v>
      </c>
      <c r="Q1194" s="93"/>
      <c r="R1194" s="84">
        <v>40</v>
      </c>
      <c r="S1194" s="84" t="s">
        <v>318</v>
      </c>
      <c r="T1194" s="85">
        <f>IF(R1194&gt;0,IF(RIGHT(Ruimtestaat[[#This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4" s="85">
        <f>IF(T1194&gt;0,VLOOKUP($J1194,Ruimtegroepen[],3,FALSE)*VLOOKUP($L1194,Vloersoorten[],3,FALSE)*VLOOKUP($S1194,Frequenties[],3,FALSE)*VLOOKUP($A1194,Locaties[],3,FALSE),0)</f>
        <v>0</v>
      </c>
      <c r="V1194" s="86">
        <f>Ruimtestaat[[#This Row],[Uitvoeringen werkdagen]]*Ruimtestaat[[#This Row],[Oppervlak (netto)]]</f>
        <v>5794</v>
      </c>
      <c r="W1194" s="87">
        <f>IF(U1194&gt;0,Ruimtestaat[[#This Row],[Prest. (m2 /jaar) werkdagen]]/Ruimtestaat[[#This Row],[Norm (m2/uur) werkdagen]],0)</f>
        <v>0</v>
      </c>
      <c r="X1194" s="88">
        <f>Ruimtestaat[[#This Row],[uren / jaar werkdagen]]*Tariefsopbouw!$E$35</f>
        <v>0</v>
      </c>
      <c r="Y1194" s="85"/>
      <c r="Z1194" s="89">
        <f>IF(Ruimtestaat[[#This Row],[Frequentie weekend]]&gt;0,VALUE(LEFT(Y1194,1))*R1194,0)</f>
        <v>0</v>
      </c>
      <c r="AA1194" s="85">
        <f>IF($Z1194&gt;0,VLOOKUP($J1194,Ruimtegroepen[],3,FALSE)*VLOOKUP($L1194,Vloersoorten[],3,FALSE)*VLOOKUP($Y1194,Frequenties[],3,FALSE)*VLOOKUP(#REF!,Locaties[],3,FALSE),0)</f>
        <v>0</v>
      </c>
      <c r="AB1194" s="87">
        <f>Ruimtestaat[[#This Row],[Uitvoeringen weekend]]*Ruimtestaat[[#This Row],[Oppervlak (netto)]]</f>
        <v>0</v>
      </c>
      <c r="AC1194" s="90">
        <f>IF(AB1194&gt;0,Ruimtestaat[[#This Row],[Prest. (m2 /jaar) weekend]]/Ruimtestaat[[#This Row],[Norm (m2/uur) weekend]],0)</f>
        <v>0</v>
      </c>
      <c r="AD1194" s="91">
        <f>Ruimtestaat[[#This Row],[uren / jaar weekend]]*Tariefsopbouw!$D$40</f>
        <v>0</v>
      </c>
      <c r="AE1194" s="60">
        <f>Ruimtestaat[[#This Row],[Prest. (m2 /jaar) weekend]]+Ruimtestaat[[#This Row],[Prest. (m2 /jaar) werkdagen]]</f>
        <v>5794</v>
      </c>
      <c r="AF1194" s="60">
        <f>Ruimtestaat[[#This Row],[uren / jaar weekend]]+Ruimtestaat[[#This Row],[uren / jaar werkdagen]]</f>
        <v>0</v>
      </c>
      <c r="AG1194" s="61">
        <f>Ruimtestaat[[#This Row],[kosten / jaar weekend]]+Ruimtestaat[[#This Row],[kosten / jaar werkdagen]]</f>
        <v>0</v>
      </c>
      <c r="AH1194" s="92"/>
      <c r="HL1194" s="59"/>
    </row>
    <row r="1195" spans="1:220">
      <c r="A1195" s="24">
        <v>7</v>
      </c>
      <c r="B1195" s="24" t="str">
        <f>VLOOKUP(Ruimtestaat[[#This Row],[Code]],Locaties[#All],2,FALSE)</f>
        <v>Het Vlier</v>
      </c>
      <c r="C1195" s="24" t="str">
        <f>VLOOKUP(Ruimtestaat[[#This Row],[Code]],Locaties[#All],4,FALSE)</f>
        <v>Het Vlier 1</v>
      </c>
      <c r="D1195" s="24" t="str">
        <f>VLOOKUP(Ruimtestaat[[#This Row],[Code]],Locaties[#All],5,FALSE)</f>
        <v>7414 AR</v>
      </c>
      <c r="E1195" s="24" t="str">
        <f>VLOOKUP(Ruimtestaat[[#This Row],[Code]],Locaties[#All],6,FALSE)</f>
        <v>Deventer</v>
      </c>
      <c r="F1195" s="54"/>
      <c r="G1195" s="24" t="s">
        <v>599</v>
      </c>
      <c r="H1195" s="24" t="s">
        <v>1608</v>
      </c>
      <c r="I1195" s="4" t="s">
        <v>1427</v>
      </c>
      <c r="J1195" s="24">
        <v>16</v>
      </c>
      <c r="K1195" s="54" t="str">
        <f>VLOOKUP(J1195,Ruimtegroepen[],2,FALSE)</f>
        <v>Leslokalen theorie</v>
      </c>
      <c r="L1195" s="24" t="s">
        <v>305</v>
      </c>
      <c r="M1195" s="24" t="s">
        <v>400</v>
      </c>
      <c r="N1195" s="83">
        <v>90.07</v>
      </c>
      <c r="O1195" s="83"/>
      <c r="P1195" s="93" t="str">
        <f>LEFT(VLOOKUP(Ruimtestaat[[#This Row],[Ruimte code]],Ruimtegroepen[#All],4,1),2)</f>
        <v>Le</v>
      </c>
      <c r="Q1195" s="93"/>
      <c r="R1195" s="84">
        <v>40</v>
      </c>
      <c r="S1195" s="84" t="s">
        <v>318</v>
      </c>
      <c r="T1195" s="85">
        <f>IF(R1195&gt;0,IF(RIGHT(Ruimtestaat[[#This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5" s="85">
        <f>IF(T1195&gt;0,VLOOKUP($J1195,Ruimtegroepen[],3,FALSE)*VLOOKUP($L1195,Vloersoorten[],3,FALSE)*VLOOKUP($S1195,Frequenties[],3,FALSE)*VLOOKUP($A1195,Locaties[],3,FALSE),0)</f>
        <v>0</v>
      </c>
      <c r="V1195" s="86">
        <f>Ruimtestaat[[#This Row],[Uitvoeringen werkdagen]]*Ruimtestaat[[#This Row],[Oppervlak (netto)]]</f>
        <v>18014</v>
      </c>
      <c r="W1195" s="87">
        <f>IF(U1195&gt;0,Ruimtestaat[[#This Row],[Prest. (m2 /jaar) werkdagen]]/Ruimtestaat[[#This Row],[Norm (m2/uur) werkdagen]],0)</f>
        <v>0</v>
      </c>
      <c r="X1195" s="88">
        <f>Ruimtestaat[[#This Row],[uren / jaar werkdagen]]*Tariefsopbouw!$E$35</f>
        <v>0</v>
      </c>
      <c r="Y1195" s="85"/>
      <c r="Z1195" s="89">
        <f>IF(Ruimtestaat[[#This Row],[Frequentie weekend]]&gt;0,VALUE(LEFT(Y1195,1))*R1195,0)</f>
        <v>0</v>
      </c>
      <c r="AA1195" s="85">
        <f>IF($Z1195&gt;0,VLOOKUP($J1195,Ruimtegroepen[],3,FALSE)*VLOOKUP($L1195,Vloersoorten[],3,FALSE)*VLOOKUP($Y1195,Frequenties[],3,FALSE)*VLOOKUP(#REF!,Locaties[],3,FALSE),0)</f>
        <v>0</v>
      </c>
      <c r="AB1195" s="87">
        <f>Ruimtestaat[[#This Row],[Uitvoeringen weekend]]*Ruimtestaat[[#This Row],[Oppervlak (netto)]]</f>
        <v>0</v>
      </c>
      <c r="AC1195" s="90">
        <f>IF(AB1195&gt;0,Ruimtestaat[[#This Row],[Prest. (m2 /jaar) weekend]]/Ruimtestaat[[#This Row],[Norm (m2/uur) weekend]],0)</f>
        <v>0</v>
      </c>
      <c r="AD1195" s="91">
        <f>Ruimtestaat[[#This Row],[uren / jaar weekend]]*Tariefsopbouw!$D$40</f>
        <v>0</v>
      </c>
      <c r="AE1195" s="60">
        <f>Ruimtestaat[[#This Row],[Prest. (m2 /jaar) weekend]]+Ruimtestaat[[#This Row],[Prest. (m2 /jaar) werkdagen]]</f>
        <v>18014</v>
      </c>
      <c r="AF1195" s="60">
        <f>Ruimtestaat[[#This Row],[uren / jaar weekend]]+Ruimtestaat[[#This Row],[uren / jaar werkdagen]]</f>
        <v>0</v>
      </c>
      <c r="AG1195" s="61">
        <f>Ruimtestaat[[#This Row],[kosten / jaar weekend]]+Ruimtestaat[[#This Row],[kosten / jaar werkdagen]]</f>
        <v>0</v>
      </c>
      <c r="AH1195" s="92"/>
      <c r="HL1195" s="59"/>
    </row>
    <row r="1196" spans="1:220">
      <c r="A1196" s="24">
        <v>7</v>
      </c>
      <c r="B1196" s="24" t="str">
        <f>VLOOKUP(Ruimtestaat[[#This Row],[Code]],Locaties[#All],2,FALSE)</f>
        <v>Het Vlier</v>
      </c>
      <c r="C1196" s="24" t="str">
        <f>VLOOKUP(Ruimtestaat[[#This Row],[Code]],Locaties[#All],4,FALSE)</f>
        <v>Het Vlier 1</v>
      </c>
      <c r="D1196" s="24" t="str">
        <f>VLOOKUP(Ruimtestaat[[#This Row],[Code]],Locaties[#All],5,FALSE)</f>
        <v>7414 AR</v>
      </c>
      <c r="E1196" s="24" t="str">
        <f>VLOOKUP(Ruimtestaat[[#This Row],[Code]],Locaties[#All],6,FALSE)</f>
        <v>Deventer</v>
      </c>
      <c r="F1196" s="54"/>
      <c r="G1196" s="24" t="s">
        <v>599</v>
      </c>
      <c r="H1196" s="24" t="s">
        <v>1609</v>
      </c>
      <c r="I1196" s="4" t="s">
        <v>1610</v>
      </c>
      <c r="J1196" s="24">
        <v>14</v>
      </c>
      <c r="K1196" s="54" t="str">
        <f>VLOOKUP(J1196,Ruimtegroepen[],2,FALSE)</f>
        <v>Praktijklokalen binas/zorg</v>
      </c>
      <c r="L1196" s="24" t="s">
        <v>305</v>
      </c>
      <c r="M1196" s="24" t="s">
        <v>400</v>
      </c>
      <c r="N1196" s="83">
        <v>67.78</v>
      </c>
      <c r="O1196" s="83"/>
      <c r="P1196" s="93" t="str">
        <f>LEFT(VLOOKUP(Ruimtestaat[[#This Row],[Ruimte code]],Ruimtegroepen[#All],4,1),2)</f>
        <v>Le</v>
      </c>
      <c r="Q1196" s="93"/>
      <c r="R1196" s="84">
        <v>40</v>
      </c>
      <c r="S1196" s="84" t="s">
        <v>318</v>
      </c>
      <c r="T1196" s="85">
        <f>IF(R1196&gt;0,IF(RIGHT(Ruimtestaat[[#This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6" s="85">
        <f>IF(T1196&gt;0,VLOOKUP($J1196,Ruimtegroepen[],3,FALSE)*VLOOKUP($L1196,Vloersoorten[],3,FALSE)*VLOOKUP($S1196,Frequenties[],3,FALSE)*VLOOKUP($A1196,Locaties[],3,FALSE),0)</f>
        <v>0</v>
      </c>
      <c r="V1196" s="86">
        <f>Ruimtestaat[[#This Row],[Uitvoeringen werkdagen]]*Ruimtestaat[[#This Row],[Oppervlak (netto)]]</f>
        <v>13556</v>
      </c>
      <c r="W1196" s="87">
        <f>IF(U1196&gt;0,Ruimtestaat[[#This Row],[Prest. (m2 /jaar) werkdagen]]/Ruimtestaat[[#This Row],[Norm (m2/uur) werkdagen]],0)</f>
        <v>0</v>
      </c>
      <c r="X1196" s="88">
        <f>Ruimtestaat[[#This Row],[uren / jaar werkdagen]]*Tariefsopbouw!$E$35</f>
        <v>0</v>
      </c>
      <c r="Y1196" s="85"/>
      <c r="Z1196" s="89">
        <f>IF(Ruimtestaat[[#This Row],[Frequentie weekend]]&gt;0,VALUE(LEFT(Y1196,1))*R1196,0)</f>
        <v>0</v>
      </c>
      <c r="AA1196" s="85">
        <f>IF($Z1196&gt;0,VLOOKUP($J1196,Ruimtegroepen[],3,FALSE)*VLOOKUP($L1196,Vloersoorten[],3,FALSE)*VLOOKUP($Y1196,Frequenties[],3,FALSE)*VLOOKUP(#REF!,Locaties[],3,FALSE),0)</f>
        <v>0</v>
      </c>
      <c r="AB1196" s="87">
        <f>Ruimtestaat[[#This Row],[Uitvoeringen weekend]]*Ruimtestaat[[#This Row],[Oppervlak (netto)]]</f>
        <v>0</v>
      </c>
      <c r="AC1196" s="90">
        <f>IF(AB1196&gt;0,Ruimtestaat[[#This Row],[Prest. (m2 /jaar) weekend]]/Ruimtestaat[[#This Row],[Norm (m2/uur) weekend]],0)</f>
        <v>0</v>
      </c>
      <c r="AD1196" s="91">
        <f>Ruimtestaat[[#This Row],[uren / jaar weekend]]*Tariefsopbouw!$D$40</f>
        <v>0</v>
      </c>
      <c r="AE1196" s="60">
        <f>Ruimtestaat[[#This Row],[Prest. (m2 /jaar) weekend]]+Ruimtestaat[[#This Row],[Prest. (m2 /jaar) werkdagen]]</f>
        <v>13556</v>
      </c>
      <c r="AF1196" s="60">
        <f>Ruimtestaat[[#This Row],[uren / jaar weekend]]+Ruimtestaat[[#This Row],[uren / jaar werkdagen]]</f>
        <v>0</v>
      </c>
      <c r="AG1196" s="61">
        <f>Ruimtestaat[[#This Row],[kosten / jaar weekend]]+Ruimtestaat[[#This Row],[kosten / jaar werkdagen]]</f>
        <v>0</v>
      </c>
      <c r="AH1196" s="92"/>
      <c r="HL1196" s="59"/>
    </row>
    <row r="1197" spans="1:220">
      <c r="A1197" s="24">
        <v>7</v>
      </c>
      <c r="B1197" s="24" t="str">
        <f>VLOOKUP(Ruimtestaat[[#This Row],[Code]],Locaties[#All],2,FALSE)</f>
        <v>Het Vlier</v>
      </c>
      <c r="C1197" s="24" t="str">
        <f>VLOOKUP(Ruimtestaat[[#This Row],[Code]],Locaties[#All],4,FALSE)</f>
        <v>Het Vlier 1</v>
      </c>
      <c r="D1197" s="24" t="str">
        <f>VLOOKUP(Ruimtestaat[[#This Row],[Code]],Locaties[#All],5,FALSE)</f>
        <v>7414 AR</v>
      </c>
      <c r="E1197" s="24" t="str">
        <f>VLOOKUP(Ruimtestaat[[#This Row],[Code]],Locaties[#All],6,FALSE)</f>
        <v>Deventer</v>
      </c>
      <c r="F1197" s="54"/>
      <c r="G1197" s="24" t="s">
        <v>599</v>
      </c>
      <c r="H1197" s="24" t="s">
        <v>1611</v>
      </c>
      <c r="I1197" s="4" t="s">
        <v>1427</v>
      </c>
      <c r="J1197" s="24">
        <v>16</v>
      </c>
      <c r="K1197" s="54" t="str">
        <f>VLOOKUP(J1197,Ruimtegroepen[],2,FALSE)</f>
        <v>Leslokalen theorie</v>
      </c>
      <c r="L1197" s="24" t="s">
        <v>305</v>
      </c>
      <c r="M1197" s="24" t="s">
        <v>400</v>
      </c>
      <c r="N1197" s="83">
        <v>84.73</v>
      </c>
      <c r="O1197" s="83"/>
      <c r="P1197" s="93" t="str">
        <f>LEFT(VLOOKUP(Ruimtestaat[[#This Row],[Ruimte code]],Ruimtegroepen[#All],4,1),2)</f>
        <v>Le</v>
      </c>
      <c r="Q1197" s="93"/>
      <c r="R1197" s="84">
        <v>40</v>
      </c>
      <c r="S1197" s="84" t="s">
        <v>318</v>
      </c>
      <c r="T1197" s="85">
        <f>IF(R1197&gt;0,IF(RIGHT(Ruimtestaat[[#This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7" s="85">
        <f>IF(T1197&gt;0,VLOOKUP($J1197,Ruimtegroepen[],3,FALSE)*VLOOKUP($L1197,Vloersoorten[],3,FALSE)*VLOOKUP($S1197,Frequenties[],3,FALSE)*VLOOKUP($A1197,Locaties[],3,FALSE),0)</f>
        <v>0</v>
      </c>
      <c r="V1197" s="86">
        <f>Ruimtestaat[[#This Row],[Uitvoeringen werkdagen]]*Ruimtestaat[[#This Row],[Oppervlak (netto)]]</f>
        <v>16946</v>
      </c>
      <c r="W1197" s="87">
        <f>IF(U1197&gt;0,Ruimtestaat[[#This Row],[Prest. (m2 /jaar) werkdagen]]/Ruimtestaat[[#This Row],[Norm (m2/uur) werkdagen]],0)</f>
        <v>0</v>
      </c>
      <c r="X1197" s="88">
        <f>Ruimtestaat[[#This Row],[uren / jaar werkdagen]]*Tariefsopbouw!$E$35</f>
        <v>0</v>
      </c>
      <c r="Y1197" s="85"/>
      <c r="Z1197" s="89">
        <f>IF(Ruimtestaat[[#This Row],[Frequentie weekend]]&gt;0,VALUE(LEFT(Y1197,1))*R1197,0)</f>
        <v>0</v>
      </c>
      <c r="AA1197" s="85">
        <f>IF($Z1197&gt;0,VLOOKUP($J1197,Ruimtegroepen[],3,FALSE)*VLOOKUP($L1197,Vloersoorten[],3,FALSE)*VLOOKUP($Y1197,Frequenties[],3,FALSE)*VLOOKUP(#REF!,Locaties[],3,FALSE),0)</f>
        <v>0</v>
      </c>
      <c r="AB1197" s="87">
        <f>Ruimtestaat[[#This Row],[Uitvoeringen weekend]]*Ruimtestaat[[#This Row],[Oppervlak (netto)]]</f>
        <v>0</v>
      </c>
      <c r="AC1197" s="90">
        <f>IF(AB1197&gt;0,Ruimtestaat[[#This Row],[Prest. (m2 /jaar) weekend]]/Ruimtestaat[[#This Row],[Norm (m2/uur) weekend]],0)</f>
        <v>0</v>
      </c>
      <c r="AD1197" s="91">
        <f>Ruimtestaat[[#This Row],[uren / jaar weekend]]*Tariefsopbouw!$D$40</f>
        <v>0</v>
      </c>
      <c r="AE1197" s="60">
        <f>Ruimtestaat[[#This Row],[Prest. (m2 /jaar) weekend]]+Ruimtestaat[[#This Row],[Prest. (m2 /jaar) werkdagen]]</f>
        <v>16946</v>
      </c>
      <c r="AF1197" s="60">
        <f>Ruimtestaat[[#This Row],[uren / jaar weekend]]+Ruimtestaat[[#This Row],[uren / jaar werkdagen]]</f>
        <v>0</v>
      </c>
      <c r="AG1197" s="61">
        <f>Ruimtestaat[[#This Row],[kosten / jaar weekend]]+Ruimtestaat[[#This Row],[kosten / jaar werkdagen]]</f>
        <v>0</v>
      </c>
      <c r="AH1197" s="92"/>
      <c r="HL1197" s="59"/>
    </row>
    <row r="1198" spans="1:220">
      <c r="A1198" s="24">
        <v>7</v>
      </c>
      <c r="B1198" s="24" t="str">
        <f>VLOOKUP(Ruimtestaat[[#This Row],[Code]],Locaties[#All],2,FALSE)</f>
        <v>Het Vlier</v>
      </c>
      <c r="C1198" s="24" t="str">
        <f>VLOOKUP(Ruimtestaat[[#This Row],[Code]],Locaties[#All],4,FALSE)</f>
        <v>Het Vlier 1</v>
      </c>
      <c r="D1198" s="24" t="str">
        <f>VLOOKUP(Ruimtestaat[[#This Row],[Code]],Locaties[#All],5,FALSE)</f>
        <v>7414 AR</v>
      </c>
      <c r="E1198" s="24" t="str">
        <f>VLOOKUP(Ruimtestaat[[#This Row],[Code]],Locaties[#All],6,FALSE)</f>
        <v>Deventer</v>
      </c>
      <c r="F1198" s="54"/>
      <c r="G1198" s="24" t="s">
        <v>599</v>
      </c>
      <c r="H1198" s="24" t="s">
        <v>1612</v>
      </c>
      <c r="I1198" s="4" t="s">
        <v>1613</v>
      </c>
      <c r="J1198" s="24">
        <v>20</v>
      </c>
      <c r="K1198" s="54" t="str">
        <f>VLOOKUP(J1198,Ruimtegroepen[],2,FALSE)</f>
        <v>Kabinet</v>
      </c>
      <c r="L1198" s="24" t="s">
        <v>305</v>
      </c>
      <c r="M1198" s="24" t="s">
        <v>400</v>
      </c>
      <c r="N1198" s="83">
        <v>29.51</v>
      </c>
      <c r="O1198" s="83"/>
      <c r="P1198" s="93" t="str">
        <f>LEFT(VLOOKUP(Ruimtestaat[[#This Row],[Ruimte code]],Ruimtegroepen[#All],4,1),2)</f>
        <v>Ve</v>
      </c>
      <c r="Q1198" s="93"/>
      <c r="R1198" s="84">
        <v>40</v>
      </c>
      <c r="S1198" s="84" t="s">
        <v>318</v>
      </c>
      <c r="T1198" s="85">
        <f>IF(R1198&gt;0,IF(RIGHT(Ruimtestaat[[#This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8" s="85">
        <f>IF(T1198&gt;0,VLOOKUP($J1198,Ruimtegroepen[],3,FALSE)*VLOOKUP($L1198,Vloersoorten[],3,FALSE)*VLOOKUP($S1198,Frequenties[],3,FALSE)*VLOOKUP($A1198,Locaties[],3,FALSE),0)</f>
        <v>0</v>
      </c>
      <c r="V1198" s="86">
        <f>Ruimtestaat[[#This Row],[Uitvoeringen werkdagen]]*Ruimtestaat[[#This Row],[Oppervlak (netto)]]</f>
        <v>5902</v>
      </c>
      <c r="W1198" s="87">
        <f>IF(U1198&gt;0,Ruimtestaat[[#This Row],[Prest. (m2 /jaar) werkdagen]]/Ruimtestaat[[#This Row],[Norm (m2/uur) werkdagen]],0)</f>
        <v>0</v>
      </c>
      <c r="X1198" s="88">
        <f>Ruimtestaat[[#This Row],[uren / jaar werkdagen]]*Tariefsopbouw!$E$35</f>
        <v>0</v>
      </c>
      <c r="Y1198" s="85"/>
      <c r="Z1198" s="89">
        <f>IF(Ruimtestaat[[#This Row],[Frequentie weekend]]&gt;0,VALUE(LEFT(Y1198,1))*R1198,0)</f>
        <v>0</v>
      </c>
      <c r="AA1198" s="85">
        <f>IF($Z1198&gt;0,VLOOKUP($J1198,Ruimtegroepen[],3,FALSE)*VLOOKUP($L1198,Vloersoorten[],3,FALSE)*VLOOKUP($Y1198,Frequenties[],3,FALSE)*VLOOKUP(#REF!,Locaties[],3,FALSE),0)</f>
        <v>0</v>
      </c>
      <c r="AB1198" s="87">
        <f>Ruimtestaat[[#This Row],[Uitvoeringen weekend]]*Ruimtestaat[[#This Row],[Oppervlak (netto)]]</f>
        <v>0</v>
      </c>
      <c r="AC1198" s="90">
        <f>IF(AB1198&gt;0,Ruimtestaat[[#This Row],[Prest. (m2 /jaar) weekend]]/Ruimtestaat[[#This Row],[Norm (m2/uur) weekend]],0)</f>
        <v>0</v>
      </c>
      <c r="AD1198" s="91">
        <f>Ruimtestaat[[#This Row],[uren / jaar weekend]]*Tariefsopbouw!$D$40</f>
        <v>0</v>
      </c>
      <c r="AE1198" s="60">
        <f>Ruimtestaat[[#This Row],[Prest. (m2 /jaar) weekend]]+Ruimtestaat[[#This Row],[Prest. (m2 /jaar) werkdagen]]</f>
        <v>5902</v>
      </c>
      <c r="AF1198" s="60">
        <f>Ruimtestaat[[#This Row],[uren / jaar weekend]]+Ruimtestaat[[#This Row],[uren / jaar werkdagen]]</f>
        <v>0</v>
      </c>
      <c r="AG1198" s="61">
        <f>Ruimtestaat[[#This Row],[kosten / jaar weekend]]+Ruimtestaat[[#This Row],[kosten / jaar werkdagen]]</f>
        <v>0</v>
      </c>
      <c r="AH1198" s="92"/>
      <c r="HL1198" s="59"/>
    </row>
    <row r="1199" spans="1:220">
      <c r="A1199" s="24">
        <v>7</v>
      </c>
      <c r="B1199" s="24" t="str">
        <f>VLOOKUP(Ruimtestaat[[#This Row],[Code]],Locaties[#All],2,FALSE)</f>
        <v>Het Vlier</v>
      </c>
      <c r="C1199" s="24" t="str">
        <f>VLOOKUP(Ruimtestaat[[#This Row],[Code]],Locaties[#All],4,FALSE)</f>
        <v>Het Vlier 1</v>
      </c>
      <c r="D1199" s="24" t="str">
        <f>VLOOKUP(Ruimtestaat[[#This Row],[Code]],Locaties[#All],5,FALSE)</f>
        <v>7414 AR</v>
      </c>
      <c r="E1199" s="24" t="str">
        <f>VLOOKUP(Ruimtestaat[[#This Row],[Code]],Locaties[#All],6,FALSE)</f>
        <v>Deventer</v>
      </c>
      <c r="F1199" s="54"/>
      <c r="G1199" s="24" t="s">
        <v>599</v>
      </c>
      <c r="H1199" s="24" t="s">
        <v>1614</v>
      </c>
      <c r="I1199" s="4" t="s">
        <v>1427</v>
      </c>
      <c r="J1199" s="24">
        <v>16</v>
      </c>
      <c r="K1199" s="54" t="str">
        <f>VLOOKUP(J1199,Ruimtegroepen[],2,FALSE)</f>
        <v>Leslokalen theorie</v>
      </c>
      <c r="L1199" s="24" t="s">
        <v>305</v>
      </c>
      <c r="M1199" s="24" t="s">
        <v>400</v>
      </c>
      <c r="N1199" s="83">
        <v>101.88</v>
      </c>
      <c r="O1199" s="83"/>
      <c r="P1199" s="93" t="str">
        <f>LEFT(VLOOKUP(Ruimtestaat[[#This Row],[Ruimte code]],Ruimtegroepen[#All],4,1),2)</f>
        <v>Le</v>
      </c>
      <c r="Q1199" s="93"/>
      <c r="R1199" s="84">
        <v>40</v>
      </c>
      <c r="S1199" s="84" t="s">
        <v>318</v>
      </c>
      <c r="T1199" s="85">
        <f>IF(R1199&gt;0,IF(RIGHT(Ruimtestaat[[#This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9" s="85">
        <f>IF(T1199&gt;0,VLOOKUP($J1199,Ruimtegroepen[],3,FALSE)*VLOOKUP($L1199,Vloersoorten[],3,FALSE)*VLOOKUP($S1199,Frequenties[],3,FALSE)*VLOOKUP($A1199,Locaties[],3,FALSE),0)</f>
        <v>0</v>
      </c>
      <c r="V1199" s="86">
        <f>Ruimtestaat[[#This Row],[Uitvoeringen werkdagen]]*Ruimtestaat[[#This Row],[Oppervlak (netto)]]</f>
        <v>20376</v>
      </c>
      <c r="W1199" s="87">
        <f>IF(U1199&gt;0,Ruimtestaat[[#This Row],[Prest. (m2 /jaar) werkdagen]]/Ruimtestaat[[#This Row],[Norm (m2/uur) werkdagen]],0)</f>
        <v>0</v>
      </c>
      <c r="X1199" s="88">
        <f>Ruimtestaat[[#This Row],[uren / jaar werkdagen]]*Tariefsopbouw!$E$35</f>
        <v>0</v>
      </c>
      <c r="Y1199" s="85"/>
      <c r="Z1199" s="89">
        <f>IF(Ruimtestaat[[#This Row],[Frequentie weekend]]&gt;0,VALUE(LEFT(Y1199,1))*R1199,0)</f>
        <v>0</v>
      </c>
      <c r="AA1199" s="85">
        <f>IF($Z1199&gt;0,VLOOKUP($J1199,Ruimtegroepen[],3,FALSE)*VLOOKUP($L1199,Vloersoorten[],3,FALSE)*VLOOKUP($Y1199,Frequenties[],3,FALSE)*VLOOKUP(#REF!,Locaties[],3,FALSE),0)</f>
        <v>0</v>
      </c>
      <c r="AB1199" s="87">
        <f>Ruimtestaat[[#This Row],[Uitvoeringen weekend]]*Ruimtestaat[[#This Row],[Oppervlak (netto)]]</f>
        <v>0</v>
      </c>
      <c r="AC1199" s="90">
        <f>IF(AB1199&gt;0,Ruimtestaat[[#This Row],[Prest. (m2 /jaar) weekend]]/Ruimtestaat[[#This Row],[Norm (m2/uur) weekend]],0)</f>
        <v>0</v>
      </c>
      <c r="AD1199" s="91">
        <f>Ruimtestaat[[#This Row],[uren / jaar weekend]]*Tariefsopbouw!$D$40</f>
        <v>0</v>
      </c>
      <c r="AE1199" s="60">
        <f>Ruimtestaat[[#This Row],[Prest. (m2 /jaar) weekend]]+Ruimtestaat[[#This Row],[Prest. (m2 /jaar) werkdagen]]</f>
        <v>20376</v>
      </c>
      <c r="AF1199" s="60">
        <f>Ruimtestaat[[#This Row],[uren / jaar weekend]]+Ruimtestaat[[#This Row],[uren / jaar werkdagen]]</f>
        <v>0</v>
      </c>
      <c r="AG1199" s="61">
        <f>Ruimtestaat[[#This Row],[kosten / jaar weekend]]+Ruimtestaat[[#This Row],[kosten / jaar werkdagen]]</f>
        <v>0</v>
      </c>
      <c r="AH1199" s="92"/>
      <c r="HL1199" s="59"/>
    </row>
    <row r="1200" spans="1:220">
      <c r="A1200" s="24">
        <v>7</v>
      </c>
      <c r="B1200" s="24" t="str">
        <f>VLOOKUP(Ruimtestaat[[#This Row],[Code]],Locaties[#All],2,FALSE)</f>
        <v>Het Vlier</v>
      </c>
      <c r="C1200" s="24" t="str">
        <f>VLOOKUP(Ruimtestaat[[#This Row],[Code]],Locaties[#All],4,FALSE)</f>
        <v>Het Vlier 1</v>
      </c>
      <c r="D1200" s="24" t="str">
        <f>VLOOKUP(Ruimtestaat[[#This Row],[Code]],Locaties[#All],5,FALSE)</f>
        <v>7414 AR</v>
      </c>
      <c r="E1200" s="24" t="str">
        <f>VLOOKUP(Ruimtestaat[[#This Row],[Code]],Locaties[#All],6,FALSE)</f>
        <v>Deventer</v>
      </c>
      <c r="F1200" s="54"/>
      <c r="G1200" s="24" t="s">
        <v>599</v>
      </c>
      <c r="H1200" s="24" t="s">
        <v>1615</v>
      </c>
      <c r="I1200" s="4" t="s">
        <v>1427</v>
      </c>
      <c r="J1200" s="24">
        <v>16</v>
      </c>
      <c r="K1200" s="54" t="str">
        <f>VLOOKUP(J1200,Ruimtegroepen[],2,FALSE)</f>
        <v>Leslokalen theorie</v>
      </c>
      <c r="L1200" s="24" t="s">
        <v>305</v>
      </c>
      <c r="M1200" s="24" t="s">
        <v>400</v>
      </c>
      <c r="N1200" s="83">
        <v>90.83</v>
      </c>
      <c r="O1200" s="83"/>
      <c r="P1200" s="93" t="str">
        <f>LEFT(VLOOKUP(Ruimtestaat[[#This Row],[Ruimte code]],Ruimtegroepen[#All],4,1),2)</f>
        <v>Le</v>
      </c>
      <c r="Q1200" s="93"/>
      <c r="R1200" s="84">
        <v>40</v>
      </c>
      <c r="S1200" s="84" t="s">
        <v>318</v>
      </c>
      <c r="T1200" s="85">
        <f>IF(R1200&gt;0,IF(RIGHT(Ruimtestaat[[#This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0" s="85">
        <f>IF(T1200&gt;0,VLOOKUP($J1200,Ruimtegroepen[],3,FALSE)*VLOOKUP($L1200,Vloersoorten[],3,FALSE)*VLOOKUP($S1200,Frequenties[],3,FALSE)*VLOOKUP($A1200,Locaties[],3,FALSE),0)</f>
        <v>0</v>
      </c>
      <c r="V1200" s="86">
        <f>Ruimtestaat[[#This Row],[Uitvoeringen werkdagen]]*Ruimtestaat[[#This Row],[Oppervlak (netto)]]</f>
        <v>18166</v>
      </c>
      <c r="W1200" s="87">
        <f>IF(U1200&gt;0,Ruimtestaat[[#This Row],[Prest. (m2 /jaar) werkdagen]]/Ruimtestaat[[#This Row],[Norm (m2/uur) werkdagen]],0)</f>
        <v>0</v>
      </c>
      <c r="X1200" s="88">
        <f>Ruimtestaat[[#This Row],[uren / jaar werkdagen]]*Tariefsopbouw!$E$35</f>
        <v>0</v>
      </c>
      <c r="Y1200" s="85"/>
      <c r="Z1200" s="89">
        <f>IF(Ruimtestaat[[#This Row],[Frequentie weekend]]&gt;0,VALUE(LEFT(Y1200,1))*R1200,0)</f>
        <v>0</v>
      </c>
      <c r="AA1200" s="85">
        <f>IF($Z1200&gt;0,VLOOKUP($J1200,Ruimtegroepen[],3,FALSE)*VLOOKUP($L1200,Vloersoorten[],3,FALSE)*VLOOKUP($Y1200,Frequenties[],3,FALSE)*VLOOKUP(#REF!,Locaties[],3,FALSE),0)</f>
        <v>0</v>
      </c>
      <c r="AB1200" s="87">
        <f>Ruimtestaat[[#This Row],[Uitvoeringen weekend]]*Ruimtestaat[[#This Row],[Oppervlak (netto)]]</f>
        <v>0</v>
      </c>
      <c r="AC1200" s="90">
        <f>IF(AB1200&gt;0,Ruimtestaat[[#This Row],[Prest. (m2 /jaar) weekend]]/Ruimtestaat[[#This Row],[Norm (m2/uur) weekend]],0)</f>
        <v>0</v>
      </c>
      <c r="AD1200" s="91">
        <f>Ruimtestaat[[#This Row],[uren / jaar weekend]]*Tariefsopbouw!$D$40</f>
        <v>0</v>
      </c>
      <c r="AE1200" s="60">
        <f>Ruimtestaat[[#This Row],[Prest. (m2 /jaar) weekend]]+Ruimtestaat[[#This Row],[Prest. (m2 /jaar) werkdagen]]</f>
        <v>18166</v>
      </c>
      <c r="AF1200" s="60">
        <f>Ruimtestaat[[#This Row],[uren / jaar weekend]]+Ruimtestaat[[#This Row],[uren / jaar werkdagen]]</f>
        <v>0</v>
      </c>
      <c r="AG1200" s="61">
        <f>Ruimtestaat[[#This Row],[kosten / jaar weekend]]+Ruimtestaat[[#This Row],[kosten / jaar werkdagen]]</f>
        <v>0</v>
      </c>
      <c r="AH1200" s="92"/>
      <c r="HL1200" s="59"/>
    </row>
    <row r="1201" spans="1:220">
      <c r="A1201" s="24">
        <v>7</v>
      </c>
      <c r="B1201" s="24" t="str">
        <f>VLOOKUP(Ruimtestaat[[#This Row],[Code]],Locaties[#All],2,FALSE)</f>
        <v>Het Vlier</v>
      </c>
      <c r="C1201" s="24" t="str">
        <f>VLOOKUP(Ruimtestaat[[#This Row],[Code]],Locaties[#All],4,FALSE)</f>
        <v>Het Vlier 1</v>
      </c>
      <c r="D1201" s="24" t="str">
        <f>VLOOKUP(Ruimtestaat[[#This Row],[Code]],Locaties[#All],5,FALSE)</f>
        <v>7414 AR</v>
      </c>
      <c r="E1201" s="24" t="str">
        <f>VLOOKUP(Ruimtestaat[[#This Row],[Code]],Locaties[#All],6,FALSE)</f>
        <v>Deventer</v>
      </c>
      <c r="F1201" s="54"/>
      <c r="G1201" s="24" t="s">
        <v>599</v>
      </c>
      <c r="H1201" s="24" t="s">
        <v>1616</v>
      </c>
      <c r="I1201" s="4" t="s">
        <v>1427</v>
      </c>
      <c r="J1201" s="24">
        <v>16</v>
      </c>
      <c r="K1201" s="54" t="str">
        <f>VLOOKUP(J1201,Ruimtegroepen[],2,FALSE)</f>
        <v>Leslokalen theorie</v>
      </c>
      <c r="L1201" s="24" t="s">
        <v>305</v>
      </c>
      <c r="M1201" s="24" t="s">
        <v>400</v>
      </c>
      <c r="N1201" s="83">
        <v>71.45</v>
      </c>
      <c r="O1201" s="83"/>
      <c r="P1201" s="93" t="str">
        <f>LEFT(VLOOKUP(Ruimtestaat[[#This Row],[Ruimte code]],Ruimtegroepen[#All],4,1),2)</f>
        <v>Le</v>
      </c>
      <c r="Q1201" s="93"/>
      <c r="R1201" s="84">
        <v>40</v>
      </c>
      <c r="S1201" s="84" t="s">
        <v>318</v>
      </c>
      <c r="T1201" s="85">
        <f>IF(R1201&gt;0,IF(RIGHT(Ruimtestaat[[#This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1" s="85">
        <f>IF(T1201&gt;0,VLOOKUP($J1201,Ruimtegroepen[],3,FALSE)*VLOOKUP($L1201,Vloersoorten[],3,FALSE)*VLOOKUP($S1201,Frequenties[],3,FALSE)*VLOOKUP($A1201,Locaties[],3,FALSE),0)</f>
        <v>0</v>
      </c>
      <c r="V1201" s="86">
        <f>Ruimtestaat[[#This Row],[Uitvoeringen werkdagen]]*Ruimtestaat[[#This Row],[Oppervlak (netto)]]</f>
        <v>14290</v>
      </c>
      <c r="W1201" s="87">
        <f>IF(U1201&gt;0,Ruimtestaat[[#This Row],[Prest. (m2 /jaar) werkdagen]]/Ruimtestaat[[#This Row],[Norm (m2/uur) werkdagen]],0)</f>
        <v>0</v>
      </c>
      <c r="X1201" s="88">
        <f>Ruimtestaat[[#This Row],[uren / jaar werkdagen]]*Tariefsopbouw!$E$35</f>
        <v>0</v>
      </c>
      <c r="Y1201" s="85"/>
      <c r="Z1201" s="89">
        <f>IF(Ruimtestaat[[#This Row],[Frequentie weekend]]&gt;0,VALUE(LEFT(Y1201,1))*R1201,0)</f>
        <v>0</v>
      </c>
      <c r="AA1201" s="85">
        <f>IF($Z1201&gt;0,VLOOKUP($J1201,Ruimtegroepen[],3,FALSE)*VLOOKUP($L1201,Vloersoorten[],3,FALSE)*VLOOKUP($Y1201,Frequenties[],3,FALSE)*VLOOKUP(#REF!,Locaties[],3,FALSE),0)</f>
        <v>0</v>
      </c>
      <c r="AB1201" s="87">
        <f>Ruimtestaat[[#This Row],[Uitvoeringen weekend]]*Ruimtestaat[[#This Row],[Oppervlak (netto)]]</f>
        <v>0</v>
      </c>
      <c r="AC1201" s="90">
        <f>IF(AB1201&gt;0,Ruimtestaat[[#This Row],[Prest. (m2 /jaar) weekend]]/Ruimtestaat[[#This Row],[Norm (m2/uur) weekend]],0)</f>
        <v>0</v>
      </c>
      <c r="AD1201" s="91">
        <f>Ruimtestaat[[#This Row],[uren / jaar weekend]]*Tariefsopbouw!$D$40</f>
        <v>0</v>
      </c>
      <c r="AE1201" s="60">
        <f>Ruimtestaat[[#This Row],[Prest. (m2 /jaar) weekend]]+Ruimtestaat[[#This Row],[Prest. (m2 /jaar) werkdagen]]</f>
        <v>14290</v>
      </c>
      <c r="AF1201" s="60">
        <f>Ruimtestaat[[#This Row],[uren / jaar weekend]]+Ruimtestaat[[#This Row],[uren / jaar werkdagen]]</f>
        <v>0</v>
      </c>
      <c r="AG1201" s="61">
        <f>Ruimtestaat[[#This Row],[kosten / jaar weekend]]+Ruimtestaat[[#This Row],[kosten / jaar werkdagen]]</f>
        <v>0</v>
      </c>
      <c r="AH1201" s="92"/>
      <c r="HL1201" s="59"/>
    </row>
    <row r="1202" spans="1:220">
      <c r="A1202" s="24">
        <v>7</v>
      </c>
      <c r="B1202" s="24" t="str">
        <f>VLOOKUP(Ruimtestaat[[#This Row],[Code]],Locaties[#All],2,FALSE)</f>
        <v>Het Vlier</v>
      </c>
      <c r="C1202" s="24" t="str">
        <f>VLOOKUP(Ruimtestaat[[#This Row],[Code]],Locaties[#All],4,FALSE)</f>
        <v>Het Vlier 1</v>
      </c>
      <c r="D1202" s="24" t="str">
        <f>VLOOKUP(Ruimtestaat[[#This Row],[Code]],Locaties[#All],5,FALSE)</f>
        <v>7414 AR</v>
      </c>
      <c r="E1202" s="24" t="str">
        <f>VLOOKUP(Ruimtestaat[[#This Row],[Code]],Locaties[#All],6,FALSE)</f>
        <v>Deventer</v>
      </c>
      <c r="F1202" s="54"/>
      <c r="G1202" s="24" t="s">
        <v>599</v>
      </c>
      <c r="H1202" s="24" t="s">
        <v>1617</v>
      </c>
      <c r="I1202" s="4" t="s">
        <v>1427</v>
      </c>
      <c r="J1202" s="24">
        <v>16</v>
      </c>
      <c r="K1202" s="54" t="str">
        <f>VLOOKUP(J1202,Ruimtegroepen[],2,FALSE)</f>
        <v>Leslokalen theorie</v>
      </c>
      <c r="L1202" s="24" t="s">
        <v>305</v>
      </c>
      <c r="M1202" s="24" t="s">
        <v>400</v>
      </c>
      <c r="N1202" s="83">
        <v>74.39</v>
      </c>
      <c r="O1202" s="83"/>
      <c r="P1202" s="93" t="str">
        <f>LEFT(VLOOKUP(Ruimtestaat[[#This Row],[Ruimte code]],Ruimtegroepen[#All],4,1),2)</f>
        <v>Le</v>
      </c>
      <c r="Q1202" s="93"/>
      <c r="R1202" s="84">
        <v>40</v>
      </c>
      <c r="S1202" s="84" t="s">
        <v>318</v>
      </c>
      <c r="T1202" s="85">
        <f>IF(R1202&gt;0,IF(RIGHT(Ruimtestaat[[#This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2" s="85">
        <f>IF(T1202&gt;0,VLOOKUP($J1202,Ruimtegroepen[],3,FALSE)*VLOOKUP($L1202,Vloersoorten[],3,FALSE)*VLOOKUP($S1202,Frequenties[],3,FALSE)*VLOOKUP($A1202,Locaties[],3,FALSE),0)</f>
        <v>0</v>
      </c>
      <c r="V1202" s="86">
        <f>Ruimtestaat[[#This Row],[Uitvoeringen werkdagen]]*Ruimtestaat[[#This Row],[Oppervlak (netto)]]</f>
        <v>14878</v>
      </c>
      <c r="W1202" s="87">
        <f>IF(U1202&gt;0,Ruimtestaat[[#This Row],[Prest. (m2 /jaar) werkdagen]]/Ruimtestaat[[#This Row],[Norm (m2/uur) werkdagen]],0)</f>
        <v>0</v>
      </c>
      <c r="X1202" s="88">
        <f>Ruimtestaat[[#This Row],[uren / jaar werkdagen]]*Tariefsopbouw!$E$35</f>
        <v>0</v>
      </c>
      <c r="Y1202" s="85"/>
      <c r="Z1202" s="89">
        <f>IF(Ruimtestaat[[#This Row],[Frequentie weekend]]&gt;0,VALUE(LEFT(Y1202,1))*R1202,0)</f>
        <v>0</v>
      </c>
      <c r="AA1202" s="85">
        <f>IF($Z1202&gt;0,VLOOKUP($J1202,Ruimtegroepen[],3,FALSE)*VLOOKUP($L1202,Vloersoorten[],3,FALSE)*VLOOKUP($Y1202,Frequenties[],3,FALSE)*VLOOKUP(#REF!,Locaties[],3,FALSE),0)</f>
        <v>0</v>
      </c>
      <c r="AB1202" s="87">
        <f>Ruimtestaat[[#This Row],[Uitvoeringen weekend]]*Ruimtestaat[[#This Row],[Oppervlak (netto)]]</f>
        <v>0</v>
      </c>
      <c r="AC1202" s="90">
        <f>IF(AB1202&gt;0,Ruimtestaat[[#This Row],[Prest. (m2 /jaar) weekend]]/Ruimtestaat[[#This Row],[Norm (m2/uur) weekend]],0)</f>
        <v>0</v>
      </c>
      <c r="AD1202" s="91">
        <f>Ruimtestaat[[#This Row],[uren / jaar weekend]]*Tariefsopbouw!$D$40</f>
        <v>0</v>
      </c>
      <c r="AE1202" s="60">
        <f>Ruimtestaat[[#This Row],[Prest. (m2 /jaar) weekend]]+Ruimtestaat[[#This Row],[Prest. (m2 /jaar) werkdagen]]</f>
        <v>14878</v>
      </c>
      <c r="AF1202" s="60">
        <f>Ruimtestaat[[#This Row],[uren / jaar weekend]]+Ruimtestaat[[#This Row],[uren / jaar werkdagen]]</f>
        <v>0</v>
      </c>
      <c r="AG1202" s="61">
        <f>Ruimtestaat[[#This Row],[kosten / jaar weekend]]+Ruimtestaat[[#This Row],[kosten / jaar werkdagen]]</f>
        <v>0</v>
      </c>
      <c r="AH1202" s="92"/>
      <c r="HL1202" s="59"/>
    </row>
    <row r="1203" spans="1:220">
      <c r="A1203" s="24">
        <v>7</v>
      </c>
      <c r="B1203" s="24" t="str">
        <f>VLOOKUP(Ruimtestaat[[#This Row],[Code]],Locaties[#All],2,FALSE)</f>
        <v>Het Vlier</v>
      </c>
      <c r="C1203" s="24" t="str">
        <f>VLOOKUP(Ruimtestaat[[#This Row],[Code]],Locaties[#All],4,FALSE)</f>
        <v>Het Vlier 1</v>
      </c>
      <c r="D1203" s="24" t="str">
        <f>VLOOKUP(Ruimtestaat[[#This Row],[Code]],Locaties[#All],5,FALSE)</f>
        <v>7414 AR</v>
      </c>
      <c r="E1203" s="24" t="str">
        <f>VLOOKUP(Ruimtestaat[[#This Row],[Code]],Locaties[#All],6,FALSE)</f>
        <v>Deventer</v>
      </c>
      <c r="F1203" s="54"/>
      <c r="G1203" s="24" t="s">
        <v>599</v>
      </c>
      <c r="H1203" s="24" t="s">
        <v>1618</v>
      </c>
      <c r="I1203" s="4" t="s">
        <v>1427</v>
      </c>
      <c r="J1203" s="24">
        <v>16</v>
      </c>
      <c r="K1203" s="54" t="str">
        <f>VLOOKUP(J1203,Ruimtegroepen[],2,FALSE)</f>
        <v>Leslokalen theorie</v>
      </c>
      <c r="L1203" s="24" t="s">
        <v>305</v>
      </c>
      <c r="M1203" s="24" t="s">
        <v>400</v>
      </c>
      <c r="N1203" s="83">
        <v>75.010000000000005</v>
      </c>
      <c r="O1203" s="83"/>
      <c r="P1203" s="93" t="str">
        <f>LEFT(VLOOKUP(Ruimtestaat[[#This Row],[Ruimte code]],Ruimtegroepen[#All],4,1),2)</f>
        <v>Le</v>
      </c>
      <c r="Q1203" s="93"/>
      <c r="R1203" s="84">
        <v>40</v>
      </c>
      <c r="S1203" s="84" t="s">
        <v>318</v>
      </c>
      <c r="T1203" s="85">
        <f>IF(R1203&gt;0,IF(RIGHT(Ruimtestaat[[#This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3" s="85">
        <f>IF(T1203&gt;0,VLOOKUP($J1203,Ruimtegroepen[],3,FALSE)*VLOOKUP($L1203,Vloersoorten[],3,FALSE)*VLOOKUP($S1203,Frequenties[],3,FALSE)*VLOOKUP($A1203,Locaties[],3,FALSE),0)</f>
        <v>0</v>
      </c>
      <c r="V1203" s="86">
        <f>Ruimtestaat[[#This Row],[Uitvoeringen werkdagen]]*Ruimtestaat[[#This Row],[Oppervlak (netto)]]</f>
        <v>15002.000000000002</v>
      </c>
      <c r="W1203" s="87">
        <f>IF(U1203&gt;0,Ruimtestaat[[#This Row],[Prest. (m2 /jaar) werkdagen]]/Ruimtestaat[[#This Row],[Norm (m2/uur) werkdagen]],0)</f>
        <v>0</v>
      </c>
      <c r="X1203" s="88">
        <f>Ruimtestaat[[#This Row],[uren / jaar werkdagen]]*Tariefsopbouw!$E$35</f>
        <v>0</v>
      </c>
      <c r="Y1203" s="85"/>
      <c r="Z1203" s="89">
        <f>IF(Ruimtestaat[[#This Row],[Frequentie weekend]]&gt;0,VALUE(LEFT(Y1203,1))*R1203,0)</f>
        <v>0</v>
      </c>
      <c r="AA1203" s="85">
        <f>IF($Z1203&gt;0,VLOOKUP($J1203,Ruimtegroepen[],3,FALSE)*VLOOKUP($L1203,Vloersoorten[],3,FALSE)*VLOOKUP($Y1203,Frequenties[],3,FALSE)*VLOOKUP(#REF!,Locaties[],3,FALSE),0)</f>
        <v>0</v>
      </c>
      <c r="AB1203" s="87">
        <f>Ruimtestaat[[#This Row],[Uitvoeringen weekend]]*Ruimtestaat[[#This Row],[Oppervlak (netto)]]</f>
        <v>0</v>
      </c>
      <c r="AC1203" s="90">
        <f>IF(AB1203&gt;0,Ruimtestaat[[#This Row],[Prest. (m2 /jaar) weekend]]/Ruimtestaat[[#This Row],[Norm (m2/uur) weekend]],0)</f>
        <v>0</v>
      </c>
      <c r="AD1203" s="91">
        <f>Ruimtestaat[[#This Row],[uren / jaar weekend]]*Tariefsopbouw!$D$40</f>
        <v>0</v>
      </c>
      <c r="AE1203" s="60">
        <f>Ruimtestaat[[#This Row],[Prest. (m2 /jaar) weekend]]+Ruimtestaat[[#This Row],[Prest. (m2 /jaar) werkdagen]]</f>
        <v>15002.000000000002</v>
      </c>
      <c r="AF1203" s="60">
        <f>Ruimtestaat[[#This Row],[uren / jaar weekend]]+Ruimtestaat[[#This Row],[uren / jaar werkdagen]]</f>
        <v>0</v>
      </c>
      <c r="AG1203" s="61">
        <f>Ruimtestaat[[#This Row],[kosten / jaar weekend]]+Ruimtestaat[[#This Row],[kosten / jaar werkdagen]]</f>
        <v>0</v>
      </c>
      <c r="AH1203" s="92"/>
      <c r="HL1203" s="59"/>
    </row>
    <row r="1204" spans="1:220">
      <c r="A1204" s="24">
        <v>7</v>
      </c>
      <c r="B1204" s="24" t="str">
        <f>VLOOKUP(Ruimtestaat[[#This Row],[Code]],Locaties[#All],2,FALSE)</f>
        <v>Het Vlier</v>
      </c>
      <c r="C1204" s="24" t="str">
        <f>VLOOKUP(Ruimtestaat[[#This Row],[Code]],Locaties[#All],4,FALSE)</f>
        <v>Het Vlier 1</v>
      </c>
      <c r="D1204" s="24" t="str">
        <f>VLOOKUP(Ruimtestaat[[#This Row],[Code]],Locaties[#All],5,FALSE)</f>
        <v>7414 AR</v>
      </c>
      <c r="E1204" s="24" t="str">
        <f>VLOOKUP(Ruimtestaat[[#This Row],[Code]],Locaties[#All],6,FALSE)</f>
        <v>Deventer</v>
      </c>
      <c r="F1204" s="54"/>
      <c r="G1204" s="24" t="s">
        <v>599</v>
      </c>
      <c r="H1204" s="24" t="s">
        <v>1619</v>
      </c>
      <c r="I1204" s="4" t="s">
        <v>1427</v>
      </c>
      <c r="J1204" s="24">
        <v>16</v>
      </c>
      <c r="K1204" s="54" t="str">
        <f>VLOOKUP(J1204,Ruimtegroepen[],2,FALSE)</f>
        <v>Leslokalen theorie</v>
      </c>
      <c r="L1204" s="24" t="s">
        <v>305</v>
      </c>
      <c r="M1204" s="24" t="s">
        <v>400</v>
      </c>
      <c r="N1204" s="83">
        <v>86.9</v>
      </c>
      <c r="O1204" s="83"/>
      <c r="P1204" s="93" t="str">
        <f>LEFT(VLOOKUP(Ruimtestaat[[#This Row],[Ruimte code]],Ruimtegroepen[#All],4,1),2)</f>
        <v>Le</v>
      </c>
      <c r="Q1204" s="93"/>
      <c r="R1204" s="84">
        <v>40</v>
      </c>
      <c r="S1204" s="84" t="s">
        <v>318</v>
      </c>
      <c r="T1204" s="85">
        <f>IF(R1204&gt;0,IF(RIGHT(Ruimtestaat[[#This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4" s="85">
        <f>IF(T1204&gt;0,VLOOKUP($J1204,Ruimtegroepen[],3,FALSE)*VLOOKUP($L1204,Vloersoorten[],3,FALSE)*VLOOKUP($S1204,Frequenties[],3,FALSE)*VLOOKUP($A1204,Locaties[],3,FALSE),0)</f>
        <v>0</v>
      </c>
      <c r="V1204" s="86">
        <f>Ruimtestaat[[#This Row],[Uitvoeringen werkdagen]]*Ruimtestaat[[#This Row],[Oppervlak (netto)]]</f>
        <v>17380</v>
      </c>
      <c r="W1204" s="87">
        <f>IF(U1204&gt;0,Ruimtestaat[[#This Row],[Prest. (m2 /jaar) werkdagen]]/Ruimtestaat[[#This Row],[Norm (m2/uur) werkdagen]],0)</f>
        <v>0</v>
      </c>
      <c r="X1204" s="88">
        <f>Ruimtestaat[[#This Row],[uren / jaar werkdagen]]*Tariefsopbouw!$E$35</f>
        <v>0</v>
      </c>
      <c r="Y1204" s="85"/>
      <c r="Z1204" s="89">
        <f>IF(Ruimtestaat[[#This Row],[Frequentie weekend]]&gt;0,VALUE(LEFT(Y1204,1))*R1204,0)</f>
        <v>0</v>
      </c>
      <c r="AA1204" s="85">
        <f>IF($Z1204&gt;0,VLOOKUP($J1204,Ruimtegroepen[],3,FALSE)*VLOOKUP($L1204,Vloersoorten[],3,FALSE)*VLOOKUP($Y1204,Frequenties[],3,FALSE)*VLOOKUP(#REF!,Locaties[],3,FALSE),0)</f>
        <v>0</v>
      </c>
      <c r="AB1204" s="87">
        <f>Ruimtestaat[[#This Row],[Uitvoeringen weekend]]*Ruimtestaat[[#This Row],[Oppervlak (netto)]]</f>
        <v>0</v>
      </c>
      <c r="AC1204" s="90">
        <f>IF(AB1204&gt;0,Ruimtestaat[[#This Row],[Prest. (m2 /jaar) weekend]]/Ruimtestaat[[#This Row],[Norm (m2/uur) weekend]],0)</f>
        <v>0</v>
      </c>
      <c r="AD1204" s="91">
        <f>Ruimtestaat[[#This Row],[uren / jaar weekend]]*Tariefsopbouw!$D$40</f>
        <v>0</v>
      </c>
      <c r="AE1204" s="60">
        <f>Ruimtestaat[[#This Row],[Prest. (m2 /jaar) weekend]]+Ruimtestaat[[#This Row],[Prest. (m2 /jaar) werkdagen]]</f>
        <v>17380</v>
      </c>
      <c r="AF1204" s="60">
        <f>Ruimtestaat[[#This Row],[uren / jaar weekend]]+Ruimtestaat[[#This Row],[uren / jaar werkdagen]]</f>
        <v>0</v>
      </c>
      <c r="AG1204" s="61">
        <f>Ruimtestaat[[#This Row],[kosten / jaar weekend]]+Ruimtestaat[[#This Row],[kosten / jaar werkdagen]]</f>
        <v>0</v>
      </c>
      <c r="AH1204" s="92"/>
      <c r="HL1204" s="59"/>
    </row>
    <row r="1205" spans="1:220">
      <c r="A1205" s="24">
        <v>7</v>
      </c>
      <c r="B1205" s="24" t="str">
        <f>VLOOKUP(Ruimtestaat[[#This Row],[Code]],Locaties[#All],2,FALSE)</f>
        <v>Het Vlier</v>
      </c>
      <c r="C1205" s="24" t="str">
        <f>VLOOKUP(Ruimtestaat[[#This Row],[Code]],Locaties[#All],4,FALSE)</f>
        <v>Het Vlier 1</v>
      </c>
      <c r="D1205" s="24" t="str">
        <f>VLOOKUP(Ruimtestaat[[#This Row],[Code]],Locaties[#All],5,FALSE)</f>
        <v>7414 AR</v>
      </c>
      <c r="E1205" s="24" t="str">
        <f>VLOOKUP(Ruimtestaat[[#This Row],[Code]],Locaties[#All],6,FALSE)</f>
        <v>Deventer</v>
      </c>
      <c r="F1205" s="54"/>
      <c r="G1205" s="24" t="s">
        <v>599</v>
      </c>
      <c r="H1205" s="24" t="s">
        <v>1620</v>
      </c>
      <c r="I1205" s="4" t="s">
        <v>1427</v>
      </c>
      <c r="J1205" s="24">
        <v>16</v>
      </c>
      <c r="K1205" s="54" t="str">
        <f>VLOOKUP(J1205,Ruimtegroepen[],2,FALSE)</f>
        <v>Leslokalen theorie</v>
      </c>
      <c r="L1205" s="24" t="s">
        <v>305</v>
      </c>
      <c r="M1205" s="24" t="s">
        <v>400</v>
      </c>
      <c r="N1205" s="83">
        <v>56.99</v>
      </c>
      <c r="O1205" s="83"/>
      <c r="P1205" s="93" t="str">
        <f>LEFT(VLOOKUP(Ruimtestaat[[#This Row],[Ruimte code]],Ruimtegroepen[#All],4,1),2)</f>
        <v>Le</v>
      </c>
      <c r="Q1205" s="93"/>
      <c r="R1205" s="84">
        <v>40</v>
      </c>
      <c r="S1205" s="84" t="s">
        <v>318</v>
      </c>
      <c r="T1205" s="85">
        <f>IF(R1205&gt;0,IF(RIGHT(Ruimtestaat[[#This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5" s="85">
        <f>IF(T1205&gt;0,VLOOKUP($J1205,Ruimtegroepen[],3,FALSE)*VLOOKUP($L1205,Vloersoorten[],3,FALSE)*VLOOKUP($S1205,Frequenties[],3,FALSE)*VLOOKUP($A1205,Locaties[],3,FALSE),0)</f>
        <v>0</v>
      </c>
      <c r="V1205" s="86">
        <f>Ruimtestaat[[#This Row],[Uitvoeringen werkdagen]]*Ruimtestaat[[#This Row],[Oppervlak (netto)]]</f>
        <v>11398</v>
      </c>
      <c r="W1205" s="87">
        <f>IF(U1205&gt;0,Ruimtestaat[[#This Row],[Prest. (m2 /jaar) werkdagen]]/Ruimtestaat[[#This Row],[Norm (m2/uur) werkdagen]],0)</f>
        <v>0</v>
      </c>
      <c r="X1205" s="88">
        <f>Ruimtestaat[[#This Row],[uren / jaar werkdagen]]*Tariefsopbouw!$E$35</f>
        <v>0</v>
      </c>
      <c r="Y1205" s="85"/>
      <c r="Z1205" s="89">
        <f>IF(Ruimtestaat[[#This Row],[Frequentie weekend]]&gt;0,VALUE(LEFT(Y1205,1))*R1205,0)</f>
        <v>0</v>
      </c>
      <c r="AA1205" s="85">
        <f>IF($Z1205&gt;0,VLOOKUP($J1205,Ruimtegroepen[],3,FALSE)*VLOOKUP($L1205,Vloersoorten[],3,FALSE)*VLOOKUP($Y1205,Frequenties[],3,FALSE)*VLOOKUP(#REF!,Locaties[],3,FALSE),0)</f>
        <v>0</v>
      </c>
      <c r="AB1205" s="87">
        <f>Ruimtestaat[[#This Row],[Uitvoeringen weekend]]*Ruimtestaat[[#This Row],[Oppervlak (netto)]]</f>
        <v>0</v>
      </c>
      <c r="AC1205" s="90">
        <f>IF(AB1205&gt;0,Ruimtestaat[[#This Row],[Prest. (m2 /jaar) weekend]]/Ruimtestaat[[#This Row],[Norm (m2/uur) weekend]],0)</f>
        <v>0</v>
      </c>
      <c r="AD1205" s="91">
        <f>Ruimtestaat[[#This Row],[uren / jaar weekend]]*Tariefsopbouw!$D$40</f>
        <v>0</v>
      </c>
      <c r="AE1205" s="60">
        <f>Ruimtestaat[[#This Row],[Prest. (m2 /jaar) weekend]]+Ruimtestaat[[#This Row],[Prest. (m2 /jaar) werkdagen]]</f>
        <v>11398</v>
      </c>
      <c r="AF1205" s="60">
        <f>Ruimtestaat[[#This Row],[uren / jaar weekend]]+Ruimtestaat[[#This Row],[uren / jaar werkdagen]]</f>
        <v>0</v>
      </c>
      <c r="AG1205" s="61">
        <f>Ruimtestaat[[#This Row],[kosten / jaar weekend]]+Ruimtestaat[[#This Row],[kosten / jaar werkdagen]]</f>
        <v>0</v>
      </c>
      <c r="AH1205" s="92"/>
      <c r="HL1205" s="59"/>
    </row>
    <row r="1206" spans="1:220">
      <c r="A1206" s="24">
        <v>7</v>
      </c>
      <c r="B1206" s="24" t="str">
        <f>VLOOKUP(Ruimtestaat[[#This Row],[Code]],Locaties[#All],2,FALSE)</f>
        <v>Het Vlier</v>
      </c>
      <c r="C1206" s="24" t="str">
        <f>VLOOKUP(Ruimtestaat[[#This Row],[Code]],Locaties[#All],4,FALSE)</f>
        <v>Het Vlier 1</v>
      </c>
      <c r="D1206" s="24" t="str">
        <f>VLOOKUP(Ruimtestaat[[#This Row],[Code]],Locaties[#All],5,FALSE)</f>
        <v>7414 AR</v>
      </c>
      <c r="E1206" s="24" t="str">
        <f>VLOOKUP(Ruimtestaat[[#This Row],[Code]],Locaties[#All],6,FALSE)</f>
        <v>Deventer</v>
      </c>
      <c r="F1206" s="54"/>
      <c r="G1206" s="24" t="s">
        <v>599</v>
      </c>
      <c r="H1206" s="24" t="s">
        <v>1621</v>
      </c>
      <c r="I1206" s="4" t="s">
        <v>1427</v>
      </c>
      <c r="J1206" s="24">
        <v>16</v>
      </c>
      <c r="K1206" s="54" t="str">
        <f>VLOOKUP(J1206,Ruimtegroepen[],2,FALSE)</f>
        <v>Leslokalen theorie</v>
      </c>
      <c r="L1206" s="24" t="s">
        <v>305</v>
      </c>
      <c r="M1206" s="24" t="s">
        <v>400</v>
      </c>
      <c r="N1206" s="83">
        <v>58.55</v>
      </c>
      <c r="O1206" s="83"/>
      <c r="P1206" s="93" t="str">
        <f>LEFT(VLOOKUP(Ruimtestaat[[#This Row],[Ruimte code]],Ruimtegroepen[#All],4,1),2)</f>
        <v>Le</v>
      </c>
      <c r="Q1206" s="93"/>
      <c r="R1206" s="84">
        <v>40</v>
      </c>
      <c r="S1206" s="84" t="s">
        <v>318</v>
      </c>
      <c r="T1206" s="85">
        <f>IF(R1206&gt;0,IF(RIGHT(Ruimtestaat[[#This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6" s="85">
        <f>IF(T1206&gt;0,VLOOKUP($J1206,Ruimtegroepen[],3,FALSE)*VLOOKUP($L1206,Vloersoorten[],3,FALSE)*VLOOKUP($S1206,Frequenties[],3,FALSE)*VLOOKUP($A1206,Locaties[],3,FALSE),0)</f>
        <v>0</v>
      </c>
      <c r="V1206" s="86">
        <f>Ruimtestaat[[#This Row],[Uitvoeringen werkdagen]]*Ruimtestaat[[#This Row],[Oppervlak (netto)]]</f>
        <v>11710</v>
      </c>
      <c r="W1206" s="87">
        <f>IF(U1206&gt;0,Ruimtestaat[[#This Row],[Prest. (m2 /jaar) werkdagen]]/Ruimtestaat[[#This Row],[Norm (m2/uur) werkdagen]],0)</f>
        <v>0</v>
      </c>
      <c r="X1206" s="88">
        <f>Ruimtestaat[[#This Row],[uren / jaar werkdagen]]*Tariefsopbouw!$E$35</f>
        <v>0</v>
      </c>
      <c r="Y1206" s="85"/>
      <c r="Z1206" s="89">
        <f>IF(Ruimtestaat[[#This Row],[Frequentie weekend]]&gt;0,VALUE(LEFT(Y1206,1))*R1206,0)</f>
        <v>0</v>
      </c>
      <c r="AA1206" s="85">
        <f>IF($Z1206&gt;0,VLOOKUP($J1206,Ruimtegroepen[],3,FALSE)*VLOOKUP($L1206,Vloersoorten[],3,FALSE)*VLOOKUP($Y1206,Frequenties[],3,FALSE)*VLOOKUP(#REF!,Locaties[],3,FALSE),0)</f>
        <v>0</v>
      </c>
      <c r="AB1206" s="87">
        <f>Ruimtestaat[[#This Row],[Uitvoeringen weekend]]*Ruimtestaat[[#This Row],[Oppervlak (netto)]]</f>
        <v>0</v>
      </c>
      <c r="AC1206" s="90">
        <f>IF(AB1206&gt;0,Ruimtestaat[[#This Row],[Prest. (m2 /jaar) weekend]]/Ruimtestaat[[#This Row],[Norm (m2/uur) weekend]],0)</f>
        <v>0</v>
      </c>
      <c r="AD1206" s="91">
        <f>Ruimtestaat[[#This Row],[uren / jaar weekend]]*Tariefsopbouw!$D$40</f>
        <v>0</v>
      </c>
      <c r="AE1206" s="60">
        <f>Ruimtestaat[[#This Row],[Prest. (m2 /jaar) weekend]]+Ruimtestaat[[#This Row],[Prest. (m2 /jaar) werkdagen]]</f>
        <v>11710</v>
      </c>
      <c r="AF1206" s="60">
        <f>Ruimtestaat[[#This Row],[uren / jaar weekend]]+Ruimtestaat[[#This Row],[uren / jaar werkdagen]]</f>
        <v>0</v>
      </c>
      <c r="AG1206" s="61">
        <f>Ruimtestaat[[#This Row],[kosten / jaar weekend]]+Ruimtestaat[[#This Row],[kosten / jaar werkdagen]]</f>
        <v>0</v>
      </c>
      <c r="AH1206" s="92"/>
      <c r="HL1206" s="59"/>
    </row>
    <row r="1207" spans="1:220">
      <c r="A1207" s="24">
        <v>7</v>
      </c>
      <c r="B1207" s="24" t="str">
        <f>VLOOKUP(Ruimtestaat[[#This Row],[Code]],Locaties[#All],2,FALSE)</f>
        <v>Het Vlier</v>
      </c>
      <c r="C1207" s="24" t="str">
        <f>VLOOKUP(Ruimtestaat[[#This Row],[Code]],Locaties[#All],4,FALSE)</f>
        <v>Het Vlier 1</v>
      </c>
      <c r="D1207" s="24" t="str">
        <f>VLOOKUP(Ruimtestaat[[#This Row],[Code]],Locaties[#All],5,FALSE)</f>
        <v>7414 AR</v>
      </c>
      <c r="E1207" s="24" t="str">
        <f>VLOOKUP(Ruimtestaat[[#This Row],[Code]],Locaties[#All],6,FALSE)</f>
        <v>Deventer</v>
      </c>
      <c r="F1207" s="54"/>
      <c r="G1207" s="24" t="s">
        <v>599</v>
      </c>
      <c r="H1207" s="24" t="s">
        <v>1622</v>
      </c>
      <c r="I1207" s="4" t="s">
        <v>1427</v>
      </c>
      <c r="J1207" s="24">
        <v>16</v>
      </c>
      <c r="K1207" s="54" t="str">
        <f>VLOOKUP(J1207,Ruimtegroepen[],2,FALSE)</f>
        <v>Leslokalen theorie</v>
      </c>
      <c r="L1207" s="24" t="s">
        <v>305</v>
      </c>
      <c r="M1207" s="24" t="s">
        <v>400</v>
      </c>
      <c r="N1207" s="83">
        <v>53.65</v>
      </c>
      <c r="O1207" s="83"/>
      <c r="P1207" s="93" t="str">
        <f>LEFT(VLOOKUP(Ruimtestaat[[#This Row],[Ruimte code]],Ruimtegroepen[#All],4,1),2)</f>
        <v>Le</v>
      </c>
      <c r="Q1207" s="93"/>
      <c r="R1207" s="84">
        <v>40</v>
      </c>
      <c r="S1207" s="84" t="s">
        <v>318</v>
      </c>
      <c r="T1207" s="85">
        <f>IF(R1207&gt;0,IF(RIGHT(Ruimtestaat[[#This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7" s="85">
        <f>IF(T1207&gt;0,VLOOKUP($J1207,Ruimtegroepen[],3,FALSE)*VLOOKUP($L1207,Vloersoorten[],3,FALSE)*VLOOKUP($S1207,Frequenties[],3,FALSE)*VLOOKUP($A1207,Locaties[],3,FALSE),0)</f>
        <v>0</v>
      </c>
      <c r="V1207" s="86">
        <f>Ruimtestaat[[#This Row],[Uitvoeringen werkdagen]]*Ruimtestaat[[#This Row],[Oppervlak (netto)]]</f>
        <v>10730</v>
      </c>
      <c r="W1207" s="87">
        <f>IF(U1207&gt;0,Ruimtestaat[[#This Row],[Prest. (m2 /jaar) werkdagen]]/Ruimtestaat[[#This Row],[Norm (m2/uur) werkdagen]],0)</f>
        <v>0</v>
      </c>
      <c r="X1207" s="88">
        <f>Ruimtestaat[[#This Row],[uren / jaar werkdagen]]*Tariefsopbouw!$E$35</f>
        <v>0</v>
      </c>
      <c r="Y1207" s="85"/>
      <c r="Z1207" s="89">
        <f>IF(Ruimtestaat[[#This Row],[Frequentie weekend]]&gt;0,VALUE(LEFT(Y1207,1))*R1207,0)</f>
        <v>0</v>
      </c>
      <c r="AA1207" s="85">
        <f>IF($Z1207&gt;0,VLOOKUP($J1207,Ruimtegroepen[],3,FALSE)*VLOOKUP($L1207,Vloersoorten[],3,FALSE)*VLOOKUP($Y1207,Frequenties[],3,FALSE)*VLOOKUP(#REF!,Locaties[],3,FALSE),0)</f>
        <v>0</v>
      </c>
      <c r="AB1207" s="87">
        <f>Ruimtestaat[[#This Row],[Uitvoeringen weekend]]*Ruimtestaat[[#This Row],[Oppervlak (netto)]]</f>
        <v>0</v>
      </c>
      <c r="AC1207" s="90">
        <f>IF(AB1207&gt;0,Ruimtestaat[[#This Row],[Prest. (m2 /jaar) weekend]]/Ruimtestaat[[#This Row],[Norm (m2/uur) weekend]],0)</f>
        <v>0</v>
      </c>
      <c r="AD1207" s="91">
        <f>Ruimtestaat[[#This Row],[uren / jaar weekend]]*Tariefsopbouw!$D$40</f>
        <v>0</v>
      </c>
      <c r="AE1207" s="60">
        <f>Ruimtestaat[[#This Row],[Prest. (m2 /jaar) weekend]]+Ruimtestaat[[#This Row],[Prest. (m2 /jaar) werkdagen]]</f>
        <v>10730</v>
      </c>
      <c r="AF1207" s="60">
        <f>Ruimtestaat[[#This Row],[uren / jaar weekend]]+Ruimtestaat[[#This Row],[uren / jaar werkdagen]]</f>
        <v>0</v>
      </c>
      <c r="AG1207" s="61">
        <f>Ruimtestaat[[#This Row],[kosten / jaar weekend]]+Ruimtestaat[[#This Row],[kosten / jaar werkdagen]]</f>
        <v>0</v>
      </c>
      <c r="AH1207" s="92"/>
      <c r="HL1207" s="59"/>
    </row>
    <row r="1208" spans="1:220">
      <c r="A1208" s="24">
        <v>7</v>
      </c>
      <c r="B1208" s="24" t="str">
        <f>VLOOKUP(Ruimtestaat[[#This Row],[Code]],Locaties[#All],2,FALSE)</f>
        <v>Het Vlier</v>
      </c>
      <c r="C1208" s="24" t="str">
        <f>VLOOKUP(Ruimtestaat[[#This Row],[Code]],Locaties[#All],4,FALSE)</f>
        <v>Het Vlier 1</v>
      </c>
      <c r="D1208" s="24" t="str">
        <f>VLOOKUP(Ruimtestaat[[#This Row],[Code]],Locaties[#All],5,FALSE)</f>
        <v>7414 AR</v>
      </c>
      <c r="E1208" s="24" t="str">
        <f>VLOOKUP(Ruimtestaat[[#This Row],[Code]],Locaties[#All],6,FALSE)</f>
        <v>Deventer</v>
      </c>
      <c r="F1208" s="54"/>
      <c r="G1208" s="24" t="s">
        <v>599</v>
      </c>
      <c r="H1208" s="24" t="s">
        <v>1623</v>
      </c>
      <c r="I1208" s="4" t="s">
        <v>1427</v>
      </c>
      <c r="J1208" s="24">
        <v>16</v>
      </c>
      <c r="K1208" s="54" t="str">
        <f>VLOOKUP(J1208,Ruimtegroepen[],2,FALSE)</f>
        <v>Leslokalen theorie</v>
      </c>
      <c r="L1208" s="24" t="s">
        <v>305</v>
      </c>
      <c r="M1208" s="24" t="s">
        <v>400</v>
      </c>
      <c r="N1208" s="83">
        <v>57.1</v>
      </c>
      <c r="O1208" s="83"/>
      <c r="P1208" s="93" t="str">
        <f>LEFT(VLOOKUP(Ruimtestaat[[#This Row],[Ruimte code]],Ruimtegroepen[#All],4,1),2)</f>
        <v>Le</v>
      </c>
      <c r="Q1208" s="93"/>
      <c r="R1208" s="84">
        <v>40</v>
      </c>
      <c r="S1208" s="84" t="s">
        <v>318</v>
      </c>
      <c r="T1208" s="85">
        <f>IF(R1208&gt;0,IF(RIGHT(Ruimtestaat[[#This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8" s="85">
        <f>IF(T1208&gt;0,VLOOKUP($J1208,Ruimtegroepen[],3,FALSE)*VLOOKUP($L1208,Vloersoorten[],3,FALSE)*VLOOKUP($S1208,Frequenties[],3,FALSE)*VLOOKUP($A1208,Locaties[],3,FALSE),0)</f>
        <v>0</v>
      </c>
      <c r="V1208" s="86">
        <f>Ruimtestaat[[#This Row],[Uitvoeringen werkdagen]]*Ruimtestaat[[#This Row],[Oppervlak (netto)]]</f>
        <v>11420</v>
      </c>
      <c r="W1208" s="87">
        <f>IF(U1208&gt;0,Ruimtestaat[[#This Row],[Prest. (m2 /jaar) werkdagen]]/Ruimtestaat[[#This Row],[Norm (m2/uur) werkdagen]],0)</f>
        <v>0</v>
      </c>
      <c r="X1208" s="88">
        <f>Ruimtestaat[[#This Row],[uren / jaar werkdagen]]*Tariefsopbouw!$E$35</f>
        <v>0</v>
      </c>
      <c r="Y1208" s="85"/>
      <c r="Z1208" s="89">
        <f>IF(Ruimtestaat[[#This Row],[Frequentie weekend]]&gt;0,VALUE(LEFT(Y1208,1))*R1208,0)</f>
        <v>0</v>
      </c>
      <c r="AA1208" s="85">
        <f>IF($Z1208&gt;0,VLOOKUP($J1208,Ruimtegroepen[],3,FALSE)*VLOOKUP($L1208,Vloersoorten[],3,FALSE)*VLOOKUP($Y1208,Frequenties[],3,FALSE)*VLOOKUP(#REF!,Locaties[],3,FALSE),0)</f>
        <v>0</v>
      </c>
      <c r="AB1208" s="87">
        <f>Ruimtestaat[[#This Row],[Uitvoeringen weekend]]*Ruimtestaat[[#This Row],[Oppervlak (netto)]]</f>
        <v>0</v>
      </c>
      <c r="AC1208" s="90">
        <f>IF(AB1208&gt;0,Ruimtestaat[[#This Row],[Prest. (m2 /jaar) weekend]]/Ruimtestaat[[#This Row],[Norm (m2/uur) weekend]],0)</f>
        <v>0</v>
      </c>
      <c r="AD1208" s="91">
        <f>Ruimtestaat[[#This Row],[uren / jaar weekend]]*Tariefsopbouw!$D$40</f>
        <v>0</v>
      </c>
      <c r="AE1208" s="60">
        <f>Ruimtestaat[[#This Row],[Prest. (m2 /jaar) weekend]]+Ruimtestaat[[#This Row],[Prest. (m2 /jaar) werkdagen]]</f>
        <v>11420</v>
      </c>
      <c r="AF1208" s="60">
        <f>Ruimtestaat[[#This Row],[uren / jaar weekend]]+Ruimtestaat[[#This Row],[uren / jaar werkdagen]]</f>
        <v>0</v>
      </c>
      <c r="AG1208" s="61">
        <f>Ruimtestaat[[#This Row],[kosten / jaar weekend]]+Ruimtestaat[[#This Row],[kosten / jaar werkdagen]]</f>
        <v>0</v>
      </c>
      <c r="AH1208" s="92"/>
      <c r="HL1208" s="59"/>
    </row>
    <row r="1209" spans="1:220">
      <c r="A1209" s="24">
        <v>7</v>
      </c>
      <c r="B1209" s="24" t="str">
        <f>VLOOKUP(Ruimtestaat[[#This Row],[Code]],Locaties[#All],2,FALSE)</f>
        <v>Het Vlier</v>
      </c>
      <c r="C1209" s="24" t="str">
        <f>VLOOKUP(Ruimtestaat[[#This Row],[Code]],Locaties[#All],4,FALSE)</f>
        <v>Het Vlier 1</v>
      </c>
      <c r="D1209" s="24" t="str">
        <f>VLOOKUP(Ruimtestaat[[#This Row],[Code]],Locaties[#All],5,FALSE)</f>
        <v>7414 AR</v>
      </c>
      <c r="E1209" s="24" t="str">
        <f>VLOOKUP(Ruimtestaat[[#This Row],[Code]],Locaties[#All],6,FALSE)</f>
        <v>Deventer</v>
      </c>
      <c r="F1209" s="54"/>
      <c r="G1209" s="24" t="s">
        <v>599</v>
      </c>
      <c r="H1209" s="24" t="s">
        <v>1624</v>
      </c>
      <c r="I1209" s="4" t="s">
        <v>1427</v>
      </c>
      <c r="J1209" s="24">
        <v>16</v>
      </c>
      <c r="K1209" s="54" t="str">
        <f>VLOOKUP(J1209,Ruimtegroepen[],2,FALSE)</f>
        <v>Leslokalen theorie</v>
      </c>
      <c r="L1209" s="24" t="s">
        <v>305</v>
      </c>
      <c r="M1209" s="24" t="s">
        <v>400</v>
      </c>
      <c r="N1209" s="83">
        <v>72.209999999999994</v>
      </c>
      <c r="O1209" s="83"/>
      <c r="P1209" s="93" t="str">
        <f>LEFT(VLOOKUP(Ruimtestaat[[#This Row],[Ruimte code]],Ruimtegroepen[#All],4,1),2)</f>
        <v>Le</v>
      </c>
      <c r="Q1209" s="93"/>
      <c r="R1209" s="84">
        <v>40</v>
      </c>
      <c r="S1209" s="84" t="s">
        <v>318</v>
      </c>
      <c r="T1209" s="85">
        <f>IF(R1209&gt;0,IF(RIGHT(Ruimtestaat[[#This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9" s="85">
        <f>IF(T1209&gt;0,VLOOKUP($J1209,Ruimtegroepen[],3,FALSE)*VLOOKUP($L1209,Vloersoorten[],3,FALSE)*VLOOKUP($S1209,Frequenties[],3,FALSE)*VLOOKUP($A1209,Locaties[],3,FALSE),0)</f>
        <v>0</v>
      </c>
      <c r="V1209" s="86">
        <f>Ruimtestaat[[#This Row],[Uitvoeringen werkdagen]]*Ruimtestaat[[#This Row],[Oppervlak (netto)]]</f>
        <v>14441.999999999998</v>
      </c>
      <c r="W1209" s="87">
        <f>IF(U1209&gt;0,Ruimtestaat[[#This Row],[Prest. (m2 /jaar) werkdagen]]/Ruimtestaat[[#This Row],[Norm (m2/uur) werkdagen]],0)</f>
        <v>0</v>
      </c>
      <c r="X1209" s="88">
        <f>Ruimtestaat[[#This Row],[uren / jaar werkdagen]]*Tariefsopbouw!$E$35</f>
        <v>0</v>
      </c>
      <c r="Y1209" s="85"/>
      <c r="Z1209" s="89">
        <f>IF(Ruimtestaat[[#This Row],[Frequentie weekend]]&gt;0,VALUE(LEFT(Y1209,1))*R1209,0)</f>
        <v>0</v>
      </c>
      <c r="AA1209" s="85">
        <f>IF($Z1209&gt;0,VLOOKUP($J1209,Ruimtegroepen[],3,FALSE)*VLOOKUP($L1209,Vloersoorten[],3,FALSE)*VLOOKUP($Y1209,Frequenties[],3,FALSE)*VLOOKUP(#REF!,Locaties[],3,FALSE),0)</f>
        <v>0</v>
      </c>
      <c r="AB1209" s="87">
        <f>Ruimtestaat[[#This Row],[Uitvoeringen weekend]]*Ruimtestaat[[#This Row],[Oppervlak (netto)]]</f>
        <v>0</v>
      </c>
      <c r="AC1209" s="90">
        <f>IF(AB1209&gt;0,Ruimtestaat[[#This Row],[Prest. (m2 /jaar) weekend]]/Ruimtestaat[[#This Row],[Norm (m2/uur) weekend]],0)</f>
        <v>0</v>
      </c>
      <c r="AD1209" s="91">
        <f>Ruimtestaat[[#This Row],[uren / jaar weekend]]*Tariefsopbouw!$D$40</f>
        <v>0</v>
      </c>
      <c r="AE1209" s="60">
        <f>Ruimtestaat[[#This Row],[Prest. (m2 /jaar) weekend]]+Ruimtestaat[[#This Row],[Prest. (m2 /jaar) werkdagen]]</f>
        <v>14441.999999999998</v>
      </c>
      <c r="AF1209" s="60">
        <f>Ruimtestaat[[#This Row],[uren / jaar weekend]]+Ruimtestaat[[#This Row],[uren / jaar werkdagen]]</f>
        <v>0</v>
      </c>
      <c r="AG1209" s="61">
        <f>Ruimtestaat[[#This Row],[kosten / jaar weekend]]+Ruimtestaat[[#This Row],[kosten / jaar werkdagen]]</f>
        <v>0</v>
      </c>
      <c r="AH1209" s="92"/>
      <c r="HL1209" s="59"/>
    </row>
    <row r="1210" spans="1:220">
      <c r="A1210" s="24">
        <v>7</v>
      </c>
      <c r="B1210" s="24" t="str">
        <f>VLOOKUP(Ruimtestaat[[#This Row],[Code]],Locaties[#All],2,FALSE)</f>
        <v>Het Vlier</v>
      </c>
      <c r="C1210" s="24" t="str">
        <f>VLOOKUP(Ruimtestaat[[#This Row],[Code]],Locaties[#All],4,FALSE)</f>
        <v>Het Vlier 1</v>
      </c>
      <c r="D1210" s="24" t="str">
        <f>VLOOKUP(Ruimtestaat[[#This Row],[Code]],Locaties[#All],5,FALSE)</f>
        <v>7414 AR</v>
      </c>
      <c r="E1210" s="24" t="str">
        <f>VLOOKUP(Ruimtestaat[[#This Row],[Code]],Locaties[#All],6,FALSE)</f>
        <v>Deventer</v>
      </c>
      <c r="F1210" s="54"/>
      <c r="G1210" s="24" t="s">
        <v>599</v>
      </c>
      <c r="H1210" s="24" t="s">
        <v>1625</v>
      </c>
      <c r="I1210" s="4" t="s">
        <v>1488</v>
      </c>
      <c r="J1210" s="24">
        <v>2</v>
      </c>
      <c r="K1210" s="54" t="str">
        <f>VLOOKUP(J1210,Ruimtegroepen[],2,FALSE)</f>
        <v>Kantoren</v>
      </c>
      <c r="L1210" s="24" t="s">
        <v>305</v>
      </c>
      <c r="M1210" s="24" t="s">
        <v>400</v>
      </c>
      <c r="N1210" s="83">
        <v>26.74</v>
      </c>
      <c r="O1210" s="83"/>
      <c r="P1210" s="93" t="str">
        <f>LEFT(VLOOKUP(Ruimtestaat[[#This Row],[Ruimte code]],Ruimtegroepen[#All],4,1),2)</f>
        <v>Bu</v>
      </c>
      <c r="Q1210" s="93"/>
      <c r="R1210" s="84">
        <v>42</v>
      </c>
      <c r="S1210" s="84" t="s">
        <v>322</v>
      </c>
      <c r="T1210" s="85">
        <f>IF(R1210&gt;0,IF(RIGHT(Ruimtestaat[[#This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210" s="85">
        <f>IF(T1210&gt;0,VLOOKUP($J1210,Ruimtegroepen[],3,FALSE)*VLOOKUP($L1210,Vloersoorten[],3,FALSE)*VLOOKUP($S1210,Frequenties[],3,FALSE)*VLOOKUP($A1210,Locaties[],3,FALSE),0)</f>
        <v>0</v>
      </c>
      <c r="V1210" s="86">
        <f>Ruimtestaat[[#This Row],[Uitvoeringen werkdagen]]*Ruimtestaat[[#This Row],[Oppervlak (netto)]]</f>
        <v>3369.24</v>
      </c>
      <c r="W1210" s="87">
        <f>IF(U1210&gt;0,Ruimtestaat[[#This Row],[Prest. (m2 /jaar) werkdagen]]/Ruimtestaat[[#This Row],[Norm (m2/uur) werkdagen]],0)</f>
        <v>0</v>
      </c>
      <c r="X1210" s="88">
        <f>Ruimtestaat[[#This Row],[uren / jaar werkdagen]]*Tariefsopbouw!$E$35</f>
        <v>0</v>
      </c>
      <c r="Y1210" s="85"/>
      <c r="Z1210" s="89">
        <f>IF(Ruimtestaat[[#This Row],[Frequentie weekend]]&gt;0,VALUE(LEFT(Y1210,1))*R1210,0)</f>
        <v>0</v>
      </c>
      <c r="AA1210" s="85">
        <f>IF($Z1210&gt;0,VLOOKUP($J1210,Ruimtegroepen[],3,FALSE)*VLOOKUP($L1210,Vloersoorten[],3,FALSE)*VLOOKUP($Y1210,Frequenties[],3,FALSE)*VLOOKUP(#REF!,Locaties[],3,FALSE),0)</f>
        <v>0</v>
      </c>
      <c r="AB1210" s="87">
        <f>Ruimtestaat[[#This Row],[Uitvoeringen weekend]]*Ruimtestaat[[#This Row],[Oppervlak (netto)]]</f>
        <v>0</v>
      </c>
      <c r="AC1210" s="90">
        <f>IF(AB1210&gt;0,Ruimtestaat[[#This Row],[Prest. (m2 /jaar) weekend]]/Ruimtestaat[[#This Row],[Norm (m2/uur) weekend]],0)</f>
        <v>0</v>
      </c>
      <c r="AD1210" s="91">
        <f>Ruimtestaat[[#This Row],[uren / jaar weekend]]*Tariefsopbouw!$D$40</f>
        <v>0</v>
      </c>
      <c r="AE1210" s="60">
        <f>Ruimtestaat[[#This Row],[Prest. (m2 /jaar) weekend]]+Ruimtestaat[[#This Row],[Prest. (m2 /jaar) werkdagen]]</f>
        <v>3369.24</v>
      </c>
      <c r="AF1210" s="60">
        <f>Ruimtestaat[[#This Row],[uren / jaar weekend]]+Ruimtestaat[[#This Row],[uren / jaar werkdagen]]</f>
        <v>0</v>
      </c>
      <c r="AG1210" s="61">
        <f>Ruimtestaat[[#This Row],[kosten / jaar weekend]]+Ruimtestaat[[#This Row],[kosten / jaar werkdagen]]</f>
        <v>0</v>
      </c>
      <c r="AH1210" s="92"/>
      <c r="HL1210" s="59"/>
    </row>
    <row r="1211" spans="1:220">
      <c r="A1211" s="24">
        <v>7</v>
      </c>
      <c r="B1211" s="24" t="str">
        <f>VLOOKUP(Ruimtestaat[[#This Row],[Code]],Locaties[#All],2,FALSE)</f>
        <v>Het Vlier</v>
      </c>
      <c r="C1211" s="24" t="str">
        <f>VLOOKUP(Ruimtestaat[[#This Row],[Code]],Locaties[#All],4,FALSE)</f>
        <v>Het Vlier 1</v>
      </c>
      <c r="D1211" s="24" t="str">
        <f>VLOOKUP(Ruimtestaat[[#This Row],[Code]],Locaties[#All],5,FALSE)</f>
        <v>7414 AR</v>
      </c>
      <c r="E1211" s="24" t="str">
        <f>VLOOKUP(Ruimtestaat[[#This Row],[Code]],Locaties[#All],6,FALSE)</f>
        <v>Deventer</v>
      </c>
      <c r="F1211" s="54"/>
      <c r="G1211" s="24" t="s">
        <v>599</v>
      </c>
      <c r="H1211" s="24" t="s">
        <v>1626</v>
      </c>
      <c r="I1211" s="4" t="s">
        <v>1627</v>
      </c>
      <c r="J1211" s="24">
        <v>20</v>
      </c>
      <c r="K1211" s="54" t="str">
        <f>VLOOKUP(J1211,Ruimtegroepen[],2,FALSE)</f>
        <v>Kabinet</v>
      </c>
      <c r="L1211" s="24" t="s">
        <v>305</v>
      </c>
      <c r="M1211" s="24" t="s">
        <v>400</v>
      </c>
      <c r="N1211" s="83">
        <v>28.73</v>
      </c>
      <c r="O1211" s="83"/>
      <c r="P1211" s="93" t="str">
        <f>LEFT(VLOOKUP(Ruimtestaat[[#This Row],[Ruimte code]],Ruimtegroepen[#All],4,1),2)</f>
        <v>Ve</v>
      </c>
      <c r="Q1211" s="93"/>
      <c r="R1211" s="84">
        <v>40</v>
      </c>
      <c r="S1211" s="84" t="s">
        <v>318</v>
      </c>
      <c r="T1211" s="85">
        <f>IF(R1211&gt;0,IF(RIGHT(Ruimtestaat[[#This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11" s="85">
        <f>IF(T1211&gt;0,VLOOKUP($J1211,Ruimtegroepen[],3,FALSE)*VLOOKUP($L1211,Vloersoorten[],3,FALSE)*VLOOKUP($S1211,Frequenties[],3,FALSE)*VLOOKUP($A1211,Locaties[],3,FALSE),0)</f>
        <v>0</v>
      </c>
      <c r="V1211" s="86">
        <f>Ruimtestaat[[#This Row],[Uitvoeringen werkdagen]]*Ruimtestaat[[#This Row],[Oppervlak (netto)]]</f>
        <v>5746</v>
      </c>
      <c r="W1211" s="87">
        <f>IF(U1211&gt;0,Ruimtestaat[[#This Row],[Prest. (m2 /jaar) werkdagen]]/Ruimtestaat[[#This Row],[Norm (m2/uur) werkdagen]],0)</f>
        <v>0</v>
      </c>
      <c r="X1211" s="88">
        <f>Ruimtestaat[[#This Row],[uren / jaar werkdagen]]*Tariefsopbouw!$E$35</f>
        <v>0</v>
      </c>
      <c r="Y1211" s="85"/>
      <c r="Z1211" s="89">
        <f>IF(Ruimtestaat[[#This Row],[Frequentie weekend]]&gt;0,VALUE(LEFT(Y1211,1))*R1211,0)</f>
        <v>0</v>
      </c>
      <c r="AA1211" s="85">
        <f>IF($Z1211&gt;0,VLOOKUP($J1211,Ruimtegroepen[],3,FALSE)*VLOOKUP($L1211,Vloersoorten[],3,FALSE)*VLOOKUP($Y1211,Frequenties[],3,FALSE)*VLOOKUP(#REF!,Locaties[],3,FALSE),0)</f>
        <v>0</v>
      </c>
      <c r="AB1211" s="87">
        <f>Ruimtestaat[[#This Row],[Uitvoeringen weekend]]*Ruimtestaat[[#This Row],[Oppervlak (netto)]]</f>
        <v>0</v>
      </c>
      <c r="AC1211" s="90">
        <f>IF(AB1211&gt;0,Ruimtestaat[[#This Row],[Prest. (m2 /jaar) weekend]]/Ruimtestaat[[#This Row],[Norm (m2/uur) weekend]],0)</f>
        <v>0</v>
      </c>
      <c r="AD1211" s="91">
        <f>Ruimtestaat[[#This Row],[uren / jaar weekend]]*Tariefsopbouw!$D$40</f>
        <v>0</v>
      </c>
      <c r="AE1211" s="60">
        <f>Ruimtestaat[[#This Row],[Prest. (m2 /jaar) weekend]]+Ruimtestaat[[#This Row],[Prest. (m2 /jaar) werkdagen]]</f>
        <v>5746</v>
      </c>
      <c r="AF1211" s="60">
        <f>Ruimtestaat[[#This Row],[uren / jaar weekend]]+Ruimtestaat[[#This Row],[uren / jaar werkdagen]]</f>
        <v>0</v>
      </c>
      <c r="AG1211" s="61">
        <f>Ruimtestaat[[#This Row],[kosten / jaar weekend]]+Ruimtestaat[[#This Row],[kosten / jaar werkdagen]]</f>
        <v>0</v>
      </c>
      <c r="AH1211" s="92"/>
      <c r="HL1211" s="59"/>
    </row>
    <row r="1212" spans="1:220">
      <c r="A1212" s="24">
        <v>7</v>
      </c>
      <c r="B1212" s="24" t="str">
        <f>VLOOKUP(Ruimtestaat[[#This Row],[Code]],Locaties[#All],2,FALSE)</f>
        <v>Het Vlier</v>
      </c>
      <c r="C1212" s="24" t="str">
        <f>VLOOKUP(Ruimtestaat[[#This Row],[Code]],Locaties[#All],4,FALSE)</f>
        <v>Het Vlier 1</v>
      </c>
      <c r="D1212" s="24" t="str">
        <f>VLOOKUP(Ruimtestaat[[#This Row],[Code]],Locaties[#All],5,FALSE)</f>
        <v>7414 AR</v>
      </c>
      <c r="E1212" s="24" t="str">
        <f>VLOOKUP(Ruimtestaat[[#This Row],[Code]],Locaties[#All],6,FALSE)</f>
        <v>Deventer</v>
      </c>
      <c r="F1212" s="54"/>
      <c r="G1212" s="24" t="s">
        <v>599</v>
      </c>
      <c r="H1212" s="24" t="s">
        <v>1628</v>
      </c>
      <c r="I1212" s="4" t="s">
        <v>1449</v>
      </c>
      <c r="J1212" s="24">
        <v>22</v>
      </c>
      <c r="K1212" s="54" t="str">
        <f>VLOOKUP(J1212,Ruimtegroepen[],2,FALSE)</f>
        <v>Niet in onderhoud</v>
      </c>
      <c r="M1212" s="24"/>
      <c r="N1212" s="83"/>
      <c r="O1212" s="83">
        <v>42.41</v>
      </c>
      <c r="P1212" s="93" t="str">
        <f>LEFT(VLOOKUP(Ruimtestaat[[#This Row],[Ruimte code]],Ruimtegroepen[#All],4,1),2)</f>
        <v/>
      </c>
      <c r="Q1212" s="93"/>
      <c r="R1212" s="84"/>
      <c r="S1212" s="84"/>
      <c r="T1212" s="85">
        <f>IF(R1212&gt;0,IF(RIGHT(Ruimtestaat[[#This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2" s="85">
        <f>IF(T1212&gt;0,VLOOKUP($J1212,Ruimtegroepen[],3,FALSE)*VLOOKUP($L1212,Vloersoorten[],3,FALSE)*VLOOKUP($S1212,Frequenties[],3,FALSE)*VLOOKUP($A1212,Locaties[],3,FALSE),0)</f>
        <v>0</v>
      </c>
      <c r="V1212" s="86">
        <f>Ruimtestaat[[#This Row],[Uitvoeringen werkdagen]]*Ruimtestaat[[#This Row],[Oppervlak (netto)]]</f>
        <v>0</v>
      </c>
      <c r="W1212" s="87">
        <f>IF(U1212&gt;0,Ruimtestaat[[#This Row],[Prest. (m2 /jaar) werkdagen]]/Ruimtestaat[[#This Row],[Norm (m2/uur) werkdagen]],0)</f>
        <v>0</v>
      </c>
      <c r="X1212" s="88">
        <f>Ruimtestaat[[#This Row],[uren / jaar werkdagen]]*Tariefsopbouw!$E$35</f>
        <v>0</v>
      </c>
      <c r="Y1212" s="85"/>
      <c r="Z1212" s="89">
        <f>IF(Ruimtestaat[[#This Row],[Frequentie weekend]]&gt;0,VALUE(LEFT(Y1212,1))*R1212,0)</f>
        <v>0</v>
      </c>
      <c r="AA1212" s="85">
        <f>IF($Z1212&gt;0,VLOOKUP($J1212,Ruimtegroepen[],3,FALSE)*VLOOKUP($L1212,Vloersoorten[],3,FALSE)*VLOOKUP($Y1212,Frequenties[],3,FALSE)*VLOOKUP(#REF!,Locaties[],3,FALSE),0)</f>
        <v>0</v>
      </c>
      <c r="AB1212" s="87">
        <f>Ruimtestaat[[#This Row],[Uitvoeringen weekend]]*Ruimtestaat[[#This Row],[Oppervlak (netto)]]</f>
        <v>0</v>
      </c>
      <c r="AC1212" s="90">
        <f>IF(AB1212&gt;0,Ruimtestaat[[#This Row],[Prest. (m2 /jaar) weekend]]/Ruimtestaat[[#This Row],[Norm (m2/uur) weekend]],0)</f>
        <v>0</v>
      </c>
      <c r="AD1212" s="91">
        <f>Ruimtestaat[[#This Row],[uren / jaar weekend]]*Tariefsopbouw!$D$40</f>
        <v>0</v>
      </c>
      <c r="AE1212" s="60">
        <f>Ruimtestaat[[#This Row],[Prest. (m2 /jaar) weekend]]+Ruimtestaat[[#This Row],[Prest. (m2 /jaar) werkdagen]]</f>
        <v>0</v>
      </c>
      <c r="AF1212" s="60">
        <f>Ruimtestaat[[#This Row],[uren / jaar weekend]]+Ruimtestaat[[#This Row],[uren / jaar werkdagen]]</f>
        <v>0</v>
      </c>
      <c r="AG1212" s="61">
        <f>Ruimtestaat[[#This Row],[kosten / jaar weekend]]+Ruimtestaat[[#This Row],[kosten / jaar werkdagen]]</f>
        <v>0</v>
      </c>
      <c r="AH1212" s="92"/>
      <c r="HL1212" s="59"/>
    </row>
    <row r="1213" spans="1:220">
      <c r="A1213" s="24">
        <v>7</v>
      </c>
      <c r="B1213" s="24" t="str">
        <f>VLOOKUP(Ruimtestaat[[#This Row],[Code]],Locaties[#All],2,FALSE)</f>
        <v>Het Vlier</v>
      </c>
      <c r="C1213" s="24" t="str">
        <f>VLOOKUP(Ruimtestaat[[#This Row],[Code]],Locaties[#All],4,FALSE)</f>
        <v>Het Vlier 1</v>
      </c>
      <c r="D1213" s="24" t="str">
        <f>VLOOKUP(Ruimtestaat[[#This Row],[Code]],Locaties[#All],5,FALSE)</f>
        <v>7414 AR</v>
      </c>
      <c r="E1213" s="24" t="str">
        <f>VLOOKUP(Ruimtestaat[[#This Row],[Code]],Locaties[#All],6,FALSE)</f>
        <v>Deventer</v>
      </c>
      <c r="F1213" s="54"/>
      <c r="G1213" s="24" t="s">
        <v>599</v>
      </c>
      <c r="H1213" s="24" t="s">
        <v>1629</v>
      </c>
      <c r="I1213" s="4" t="s">
        <v>1630</v>
      </c>
      <c r="J1213" s="24">
        <v>22</v>
      </c>
      <c r="K1213" s="54" t="str">
        <f>VLOOKUP(J1213,Ruimtegroepen[],2,FALSE)</f>
        <v>Niet in onderhoud</v>
      </c>
      <c r="M1213" s="24"/>
      <c r="N1213" s="83"/>
      <c r="O1213" s="83">
        <v>3.63</v>
      </c>
      <c r="P1213" s="93" t="str">
        <f>LEFT(VLOOKUP(Ruimtestaat[[#This Row],[Ruimte code]],Ruimtegroepen[#All],4,1),2)</f>
        <v/>
      </c>
      <c r="Q1213" s="93"/>
      <c r="R1213" s="84"/>
      <c r="S1213" s="84"/>
      <c r="T1213" s="85">
        <f>IF(R1213&gt;0,IF(RIGHT(Ruimtestaat[[#This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3" s="85">
        <f>IF(T1213&gt;0,VLOOKUP($J1213,Ruimtegroepen[],3,FALSE)*VLOOKUP($L1213,Vloersoorten[],3,FALSE)*VLOOKUP($S1213,Frequenties[],3,FALSE)*VLOOKUP($A1213,Locaties[],3,FALSE),0)</f>
        <v>0</v>
      </c>
      <c r="V1213" s="86">
        <f>Ruimtestaat[[#This Row],[Uitvoeringen werkdagen]]*Ruimtestaat[[#This Row],[Oppervlak (netto)]]</f>
        <v>0</v>
      </c>
      <c r="W1213" s="87">
        <f>IF(U1213&gt;0,Ruimtestaat[[#This Row],[Prest. (m2 /jaar) werkdagen]]/Ruimtestaat[[#This Row],[Norm (m2/uur) werkdagen]],0)</f>
        <v>0</v>
      </c>
      <c r="X1213" s="88">
        <f>Ruimtestaat[[#This Row],[uren / jaar werkdagen]]*Tariefsopbouw!$E$35</f>
        <v>0</v>
      </c>
      <c r="Y1213" s="85"/>
      <c r="Z1213" s="89">
        <f>IF(Ruimtestaat[[#This Row],[Frequentie weekend]]&gt;0,VALUE(LEFT(Y1213,1))*R1213,0)</f>
        <v>0</v>
      </c>
      <c r="AA1213" s="85">
        <f>IF($Z1213&gt;0,VLOOKUP($J1213,Ruimtegroepen[],3,FALSE)*VLOOKUP($L1213,Vloersoorten[],3,FALSE)*VLOOKUP($Y1213,Frequenties[],3,FALSE)*VLOOKUP(#REF!,Locaties[],3,FALSE),0)</f>
        <v>0</v>
      </c>
      <c r="AB1213" s="87">
        <f>Ruimtestaat[[#This Row],[Uitvoeringen weekend]]*Ruimtestaat[[#This Row],[Oppervlak (netto)]]</f>
        <v>0</v>
      </c>
      <c r="AC1213" s="90">
        <f>IF(AB1213&gt;0,Ruimtestaat[[#This Row],[Prest. (m2 /jaar) weekend]]/Ruimtestaat[[#This Row],[Norm (m2/uur) weekend]],0)</f>
        <v>0</v>
      </c>
      <c r="AD1213" s="91">
        <f>Ruimtestaat[[#This Row],[uren / jaar weekend]]*Tariefsopbouw!$D$40</f>
        <v>0</v>
      </c>
      <c r="AE1213" s="60">
        <f>Ruimtestaat[[#This Row],[Prest. (m2 /jaar) weekend]]+Ruimtestaat[[#This Row],[Prest. (m2 /jaar) werkdagen]]</f>
        <v>0</v>
      </c>
      <c r="AF1213" s="60">
        <f>Ruimtestaat[[#This Row],[uren / jaar weekend]]+Ruimtestaat[[#This Row],[uren / jaar werkdagen]]</f>
        <v>0</v>
      </c>
      <c r="AG1213" s="61">
        <f>Ruimtestaat[[#This Row],[kosten / jaar weekend]]+Ruimtestaat[[#This Row],[kosten / jaar werkdagen]]</f>
        <v>0</v>
      </c>
      <c r="AH1213" s="92"/>
      <c r="HL1213" s="59"/>
    </row>
    <row r="1214" spans="1:220">
      <c r="A1214" s="24">
        <v>7</v>
      </c>
      <c r="B1214" s="24" t="str">
        <f>VLOOKUP(Ruimtestaat[[#This Row],[Code]],Locaties[#All],2,FALSE)</f>
        <v>Het Vlier</v>
      </c>
      <c r="C1214" s="24" t="str">
        <f>VLOOKUP(Ruimtestaat[[#This Row],[Code]],Locaties[#All],4,FALSE)</f>
        <v>Het Vlier 1</v>
      </c>
      <c r="D1214" s="24" t="str">
        <f>VLOOKUP(Ruimtestaat[[#This Row],[Code]],Locaties[#All],5,FALSE)</f>
        <v>7414 AR</v>
      </c>
      <c r="E1214" s="24" t="str">
        <f>VLOOKUP(Ruimtestaat[[#This Row],[Code]],Locaties[#All],6,FALSE)</f>
        <v>Deventer</v>
      </c>
      <c r="F1214" s="54"/>
      <c r="G1214" s="24" t="s">
        <v>599</v>
      </c>
      <c r="H1214" s="24" t="s">
        <v>1631</v>
      </c>
      <c r="I1214" s="4" t="s">
        <v>1537</v>
      </c>
      <c r="J1214" s="24">
        <v>5</v>
      </c>
      <c r="K1214" s="54" t="str">
        <f>VLOOKUP(J1214,Ruimtegroepen[],2,FALSE)</f>
        <v>Sanitair</v>
      </c>
      <c r="L1214" s="24" t="s">
        <v>305</v>
      </c>
      <c r="M1214" s="24" t="s">
        <v>400</v>
      </c>
      <c r="N1214" s="83">
        <v>2.31</v>
      </c>
      <c r="O1214" s="83"/>
      <c r="P1214" s="93" t="str">
        <f>LEFT(VLOOKUP(Ruimtestaat[[#This Row],[Ruimte code]],Ruimtegroepen[#All],4,1),2)</f>
        <v>Sa</v>
      </c>
      <c r="Q1214" s="93"/>
      <c r="R1214" s="84">
        <v>42</v>
      </c>
      <c r="S1214" s="84" t="s">
        <v>316</v>
      </c>
      <c r="T1214" s="85">
        <f>IF(R1214&gt;0,IF(RIGHT(Ruimtestaat[[#This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14" s="85">
        <f>IF(T1214&gt;0,VLOOKUP($J1214,Ruimtegroepen[],3,FALSE)*VLOOKUP($L1214,Vloersoorten[],3,FALSE)*VLOOKUP($S1214,Frequenties[],3,FALSE)*VLOOKUP($A1214,Locaties[],3,FALSE),0)</f>
        <v>0</v>
      </c>
      <c r="V1214" s="86">
        <f>Ruimtestaat[[#This Row],[Uitvoeringen werkdagen]]*Ruimtestaat[[#This Row],[Oppervlak (netto)]]</f>
        <v>970.2</v>
      </c>
      <c r="W1214" s="87">
        <f>IF(U1214&gt;0,Ruimtestaat[[#This Row],[Prest. (m2 /jaar) werkdagen]]/Ruimtestaat[[#This Row],[Norm (m2/uur) werkdagen]],0)</f>
        <v>0</v>
      </c>
      <c r="X1214" s="88">
        <f>Ruimtestaat[[#This Row],[uren / jaar werkdagen]]*Tariefsopbouw!$E$35</f>
        <v>0</v>
      </c>
      <c r="Y1214" s="85"/>
      <c r="Z1214" s="89">
        <f>IF(Ruimtestaat[[#This Row],[Frequentie weekend]]&gt;0,VALUE(LEFT(Y1214,1))*R1214,0)</f>
        <v>0</v>
      </c>
      <c r="AA1214" s="85">
        <f>IF($Z1214&gt;0,VLOOKUP($J1214,Ruimtegroepen[],3,FALSE)*VLOOKUP($L1214,Vloersoorten[],3,FALSE)*VLOOKUP($Y1214,Frequenties[],3,FALSE)*VLOOKUP(#REF!,Locaties[],3,FALSE),0)</f>
        <v>0</v>
      </c>
      <c r="AB1214" s="87">
        <f>Ruimtestaat[[#This Row],[Uitvoeringen weekend]]*Ruimtestaat[[#This Row],[Oppervlak (netto)]]</f>
        <v>0</v>
      </c>
      <c r="AC1214" s="90">
        <f>IF(AB1214&gt;0,Ruimtestaat[[#This Row],[Prest. (m2 /jaar) weekend]]/Ruimtestaat[[#This Row],[Norm (m2/uur) weekend]],0)</f>
        <v>0</v>
      </c>
      <c r="AD1214" s="91">
        <f>Ruimtestaat[[#This Row],[uren / jaar weekend]]*Tariefsopbouw!$D$40</f>
        <v>0</v>
      </c>
      <c r="AE1214" s="60">
        <f>Ruimtestaat[[#This Row],[Prest. (m2 /jaar) weekend]]+Ruimtestaat[[#This Row],[Prest. (m2 /jaar) werkdagen]]</f>
        <v>970.2</v>
      </c>
      <c r="AF1214" s="60">
        <f>Ruimtestaat[[#This Row],[uren / jaar weekend]]+Ruimtestaat[[#This Row],[uren / jaar werkdagen]]</f>
        <v>0</v>
      </c>
      <c r="AG1214" s="61">
        <f>Ruimtestaat[[#This Row],[kosten / jaar weekend]]+Ruimtestaat[[#This Row],[kosten / jaar werkdagen]]</f>
        <v>0</v>
      </c>
      <c r="AH1214" s="92"/>
      <c r="HL1214" s="59"/>
    </row>
    <row r="1215" spans="1:220">
      <c r="A1215" s="24">
        <v>7</v>
      </c>
      <c r="B1215" s="24" t="str">
        <f>VLOOKUP(Ruimtestaat[[#This Row],[Code]],Locaties[#All],2,FALSE)</f>
        <v>Het Vlier</v>
      </c>
      <c r="C1215" s="24" t="str">
        <f>VLOOKUP(Ruimtestaat[[#This Row],[Code]],Locaties[#All],4,FALSE)</f>
        <v>Het Vlier 1</v>
      </c>
      <c r="D1215" s="24" t="str">
        <f>VLOOKUP(Ruimtestaat[[#This Row],[Code]],Locaties[#All],5,FALSE)</f>
        <v>7414 AR</v>
      </c>
      <c r="E1215" s="24" t="str">
        <f>VLOOKUP(Ruimtestaat[[#This Row],[Code]],Locaties[#All],6,FALSE)</f>
        <v>Deventer</v>
      </c>
      <c r="F1215" s="54"/>
      <c r="G1215" s="24" t="s">
        <v>599</v>
      </c>
      <c r="H1215" s="24" t="s">
        <v>1632</v>
      </c>
      <c r="I1215" s="4" t="s">
        <v>1537</v>
      </c>
      <c r="J1215" s="24">
        <v>5</v>
      </c>
      <c r="K1215" s="54" t="str">
        <f>VLOOKUP(J1215,Ruimtegroepen[],2,FALSE)</f>
        <v>Sanitair</v>
      </c>
      <c r="L1215" s="24" t="s">
        <v>305</v>
      </c>
      <c r="M1215" s="24" t="s">
        <v>400</v>
      </c>
      <c r="N1215" s="83">
        <v>2.31</v>
      </c>
      <c r="O1215" s="83"/>
      <c r="P1215" s="93" t="str">
        <f>LEFT(VLOOKUP(Ruimtestaat[[#This Row],[Ruimte code]],Ruimtegroepen[#All],4,1),2)</f>
        <v>Sa</v>
      </c>
      <c r="Q1215" s="93"/>
      <c r="R1215" s="84">
        <v>42</v>
      </c>
      <c r="S1215" s="84" t="s">
        <v>316</v>
      </c>
      <c r="T1215" s="85">
        <f>IF(R1215&gt;0,IF(RIGHT(Ruimtestaat[[#This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15" s="85">
        <f>IF(T1215&gt;0,VLOOKUP($J1215,Ruimtegroepen[],3,FALSE)*VLOOKUP($L1215,Vloersoorten[],3,FALSE)*VLOOKUP($S1215,Frequenties[],3,FALSE)*VLOOKUP($A1215,Locaties[],3,FALSE),0)</f>
        <v>0</v>
      </c>
      <c r="V1215" s="86">
        <f>Ruimtestaat[[#This Row],[Uitvoeringen werkdagen]]*Ruimtestaat[[#This Row],[Oppervlak (netto)]]</f>
        <v>970.2</v>
      </c>
      <c r="W1215" s="87">
        <f>IF(U1215&gt;0,Ruimtestaat[[#This Row],[Prest. (m2 /jaar) werkdagen]]/Ruimtestaat[[#This Row],[Norm (m2/uur) werkdagen]],0)</f>
        <v>0</v>
      </c>
      <c r="X1215" s="88">
        <f>Ruimtestaat[[#This Row],[uren / jaar werkdagen]]*Tariefsopbouw!$E$35</f>
        <v>0</v>
      </c>
      <c r="Y1215" s="85"/>
      <c r="Z1215" s="89">
        <f>IF(Ruimtestaat[[#This Row],[Frequentie weekend]]&gt;0,VALUE(LEFT(Y1215,1))*R1215,0)</f>
        <v>0</v>
      </c>
      <c r="AA1215" s="85">
        <f>IF($Z1215&gt;0,VLOOKUP($J1215,Ruimtegroepen[],3,FALSE)*VLOOKUP($L1215,Vloersoorten[],3,FALSE)*VLOOKUP($Y1215,Frequenties[],3,FALSE)*VLOOKUP(#REF!,Locaties[],3,FALSE),0)</f>
        <v>0</v>
      </c>
      <c r="AB1215" s="87">
        <f>Ruimtestaat[[#This Row],[Uitvoeringen weekend]]*Ruimtestaat[[#This Row],[Oppervlak (netto)]]</f>
        <v>0</v>
      </c>
      <c r="AC1215" s="90">
        <f>IF(AB1215&gt;0,Ruimtestaat[[#This Row],[Prest. (m2 /jaar) weekend]]/Ruimtestaat[[#This Row],[Norm (m2/uur) weekend]],0)</f>
        <v>0</v>
      </c>
      <c r="AD1215" s="91">
        <f>Ruimtestaat[[#This Row],[uren / jaar weekend]]*Tariefsopbouw!$D$40</f>
        <v>0</v>
      </c>
      <c r="AE1215" s="60">
        <f>Ruimtestaat[[#This Row],[Prest. (m2 /jaar) weekend]]+Ruimtestaat[[#This Row],[Prest. (m2 /jaar) werkdagen]]</f>
        <v>970.2</v>
      </c>
      <c r="AF1215" s="60">
        <f>Ruimtestaat[[#This Row],[uren / jaar weekend]]+Ruimtestaat[[#This Row],[uren / jaar werkdagen]]</f>
        <v>0</v>
      </c>
      <c r="AG1215" s="61">
        <f>Ruimtestaat[[#This Row],[kosten / jaar weekend]]+Ruimtestaat[[#This Row],[kosten / jaar werkdagen]]</f>
        <v>0</v>
      </c>
      <c r="AH1215" s="92"/>
      <c r="HL1215" s="59"/>
    </row>
    <row r="1216" spans="1:220">
      <c r="A1216" s="24">
        <v>7</v>
      </c>
      <c r="B1216" s="24" t="str">
        <f>VLOOKUP(Ruimtestaat[[#This Row],[Code]],Locaties[#All],2,FALSE)</f>
        <v>Het Vlier</v>
      </c>
      <c r="C1216" s="24" t="str">
        <f>VLOOKUP(Ruimtestaat[[#This Row],[Code]],Locaties[#All],4,FALSE)</f>
        <v>Het Vlier 1</v>
      </c>
      <c r="D1216" s="24" t="str">
        <f>VLOOKUP(Ruimtestaat[[#This Row],[Code]],Locaties[#All],5,FALSE)</f>
        <v>7414 AR</v>
      </c>
      <c r="E1216" s="24" t="str">
        <f>VLOOKUP(Ruimtestaat[[#This Row],[Code]],Locaties[#All],6,FALSE)</f>
        <v>Deventer</v>
      </c>
      <c r="F1216" s="54"/>
      <c r="G1216" s="24" t="s">
        <v>599</v>
      </c>
      <c r="H1216" s="24" t="s">
        <v>1633</v>
      </c>
      <c r="I1216" s="4" t="s">
        <v>1493</v>
      </c>
      <c r="J1216" s="24">
        <v>5</v>
      </c>
      <c r="K1216" s="54" t="str">
        <f>VLOOKUP(J1216,Ruimtegroepen[],2,FALSE)</f>
        <v>Sanitair</v>
      </c>
      <c r="L1216" s="24" t="s">
        <v>305</v>
      </c>
      <c r="M1216" s="24" t="s">
        <v>400</v>
      </c>
      <c r="N1216" s="83">
        <v>13.64</v>
      </c>
      <c r="O1216" s="83"/>
      <c r="P1216" s="93" t="str">
        <f>LEFT(VLOOKUP(Ruimtestaat[[#This Row],[Ruimte code]],Ruimtegroepen[#All],4,1),2)</f>
        <v>Sa</v>
      </c>
      <c r="Q1216" s="93"/>
      <c r="R1216" s="84">
        <v>42</v>
      </c>
      <c r="S1216" s="84" t="s">
        <v>316</v>
      </c>
      <c r="T1216" s="85">
        <f>IF(R1216&gt;0,IF(RIGHT(Ruimtestaat[[#This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16" s="85">
        <f>IF(T1216&gt;0,VLOOKUP($J1216,Ruimtegroepen[],3,FALSE)*VLOOKUP($L1216,Vloersoorten[],3,FALSE)*VLOOKUP($S1216,Frequenties[],3,FALSE)*VLOOKUP($A1216,Locaties[],3,FALSE),0)</f>
        <v>0</v>
      </c>
      <c r="V1216" s="86">
        <f>Ruimtestaat[[#This Row],[Uitvoeringen werkdagen]]*Ruimtestaat[[#This Row],[Oppervlak (netto)]]</f>
        <v>5728.8</v>
      </c>
      <c r="W1216" s="87">
        <f>IF(U1216&gt;0,Ruimtestaat[[#This Row],[Prest. (m2 /jaar) werkdagen]]/Ruimtestaat[[#This Row],[Norm (m2/uur) werkdagen]],0)</f>
        <v>0</v>
      </c>
      <c r="X1216" s="88">
        <f>Ruimtestaat[[#This Row],[uren / jaar werkdagen]]*Tariefsopbouw!$E$35</f>
        <v>0</v>
      </c>
      <c r="Y1216" s="85"/>
      <c r="Z1216" s="89">
        <f>IF(Ruimtestaat[[#This Row],[Frequentie weekend]]&gt;0,VALUE(LEFT(Y1216,1))*R1216,0)</f>
        <v>0</v>
      </c>
      <c r="AA1216" s="85">
        <f>IF($Z1216&gt;0,VLOOKUP($J1216,Ruimtegroepen[],3,FALSE)*VLOOKUP($L1216,Vloersoorten[],3,FALSE)*VLOOKUP($Y1216,Frequenties[],3,FALSE)*VLOOKUP(#REF!,Locaties[],3,FALSE),0)</f>
        <v>0</v>
      </c>
      <c r="AB1216" s="87">
        <f>Ruimtestaat[[#This Row],[Uitvoeringen weekend]]*Ruimtestaat[[#This Row],[Oppervlak (netto)]]</f>
        <v>0</v>
      </c>
      <c r="AC1216" s="90">
        <f>IF(AB1216&gt;0,Ruimtestaat[[#This Row],[Prest. (m2 /jaar) weekend]]/Ruimtestaat[[#This Row],[Norm (m2/uur) weekend]],0)</f>
        <v>0</v>
      </c>
      <c r="AD1216" s="91">
        <f>Ruimtestaat[[#This Row],[uren / jaar weekend]]*Tariefsopbouw!$D$40</f>
        <v>0</v>
      </c>
      <c r="AE1216" s="60">
        <f>Ruimtestaat[[#This Row],[Prest. (m2 /jaar) weekend]]+Ruimtestaat[[#This Row],[Prest. (m2 /jaar) werkdagen]]</f>
        <v>5728.8</v>
      </c>
      <c r="AF1216" s="60">
        <f>Ruimtestaat[[#This Row],[uren / jaar weekend]]+Ruimtestaat[[#This Row],[uren / jaar werkdagen]]</f>
        <v>0</v>
      </c>
      <c r="AG1216" s="61">
        <f>Ruimtestaat[[#This Row],[kosten / jaar weekend]]+Ruimtestaat[[#This Row],[kosten / jaar werkdagen]]</f>
        <v>0</v>
      </c>
      <c r="AH1216" s="92"/>
      <c r="HL1216" s="59"/>
    </row>
    <row r="1217" spans="1:220">
      <c r="A1217" s="24">
        <v>7</v>
      </c>
      <c r="B1217" s="24" t="str">
        <f>VLOOKUP(Ruimtestaat[[#This Row],[Code]],Locaties[#All],2,FALSE)</f>
        <v>Het Vlier</v>
      </c>
      <c r="C1217" s="24" t="str">
        <f>VLOOKUP(Ruimtestaat[[#This Row],[Code]],Locaties[#All],4,FALSE)</f>
        <v>Het Vlier 1</v>
      </c>
      <c r="D1217" s="24" t="str">
        <f>VLOOKUP(Ruimtestaat[[#This Row],[Code]],Locaties[#All],5,FALSE)</f>
        <v>7414 AR</v>
      </c>
      <c r="E1217" s="24" t="str">
        <f>VLOOKUP(Ruimtestaat[[#This Row],[Code]],Locaties[#All],6,FALSE)</f>
        <v>Deventer</v>
      </c>
      <c r="F1217" s="54"/>
      <c r="G1217" s="24" t="s">
        <v>599</v>
      </c>
      <c r="H1217" s="24" t="s">
        <v>1634</v>
      </c>
      <c r="I1217" s="4" t="s">
        <v>1594</v>
      </c>
      <c r="J1217" s="24">
        <v>22</v>
      </c>
      <c r="K1217" s="54" t="str">
        <f>VLOOKUP(J1217,Ruimtegroepen[],2,FALSE)</f>
        <v>Niet in onderhoud</v>
      </c>
      <c r="M1217" s="24"/>
      <c r="N1217" s="83"/>
      <c r="O1217" s="83">
        <v>3.79</v>
      </c>
      <c r="P1217" s="93" t="str">
        <f>LEFT(VLOOKUP(Ruimtestaat[[#This Row],[Ruimte code]],Ruimtegroepen[#All],4,1),2)</f>
        <v/>
      </c>
      <c r="Q1217" s="93"/>
      <c r="R1217" s="84"/>
      <c r="S1217" s="84"/>
      <c r="T1217" s="85">
        <f>IF(R1217&gt;0,IF(RIGHT(Ruimtestaat[[#This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7" s="85">
        <f>IF(T1217&gt;0,VLOOKUP($J1217,Ruimtegroepen[],3,FALSE)*VLOOKUP($L1217,Vloersoorten[],3,FALSE)*VLOOKUP($S1217,Frequenties[],3,FALSE)*VLOOKUP($A1217,Locaties[],3,FALSE),0)</f>
        <v>0</v>
      </c>
      <c r="V1217" s="86">
        <f>Ruimtestaat[[#This Row],[Uitvoeringen werkdagen]]*Ruimtestaat[[#This Row],[Oppervlak (netto)]]</f>
        <v>0</v>
      </c>
      <c r="W1217" s="87">
        <f>IF(U1217&gt;0,Ruimtestaat[[#This Row],[Prest. (m2 /jaar) werkdagen]]/Ruimtestaat[[#This Row],[Norm (m2/uur) werkdagen]],0)</f>
        <v>0</v>
      </c>
      <c r="X1217" s="88">
        <f>Ruimtestaat[[#This Row],[uren / jaar werkdagen]]*Tariefsopbouw!$E$35</f>
        <v>0</v>
      </c>
      <c r="Y1217" s="85"/>
      <c r="Z1217" s="89">
        <f>IF(Ruimtestaat[[#This Row],[Frequentie weekend]]&gt;0,VALUE(LEFT(Y1217,1))*R1217,0)</f>
        <v>0</v>
      </c>
      <c r="AA1217" s="85">
        <f>IF($Z1217&gt;0,VLOOKUP($J1217,Ruimtegroepen[],3,FALSE)*VLOOKUP($L1217,Vloersoorten[],3,FALSE)*VLOOKUP($Y1217,Frequenties[],3,FALSE)*VLOOKUP(#REF!,Locaties[],3,FALSE),0)</f>
        <v>0</v>
      </c>
      <c r="AB1217" s="87">
        <f>Ruimtestaat[[#This Row],[Uitvoeringen weekend]]*Ruimtestaat[[#This Row],[Oppervlak (netto)]]</f>
        <v>0</v>
      </c>
      <c r="AC1217" s="90">
        <f>IF(AB1217&gt;0,Ruimtestaat[[#This Row],[Prest. (m2 /jaar) weekend]]/Ruimtestaat[[#This Row],[Norm (m2/uur) weekend]],0)</f>
        <v>0</v>
      </c>
      <c r="AD1217" s="91">
        <f>Ruimtestaat[[#This Row],[uren / jaar weekend]]*Tariefsopbouw!$D$40</f>
        <v>0</v>
      </c>
      <c r="AE1217" s="60">
        <f>Ruimtestaat[[#This Row],[Prest. (m2 /jaar) weekend]]+Ruimtestaat[[#This Row],[Prest. (m2 /jaar) werkdagen]]</f>
        <v>0</v>
      </c>
      <c r="AF1217" s="60">
        <f>Ruimtestaat[[#This Row],[uren / jaar weekend]]+Ruimtestaat[[#This Row],[uren / jaar werkdagen]]</f>
        <v>0</v>
      </c>
      <c r="AG1217" s="61">
        <f>Ruimtestaat[[#This Row],[kosten / jaar weekend]]+Ruimtestaat[[#This Row],[kosten / jaar werkdagen]]</f>
        <v>0</v>
      </c>
      <c r="AH1217" s="92"/>
      <c r="HL1217" s="59"/>
    </row>
    <row r="1218" spans="1:220">
      <c r="A1218" s="24">
        <v>7</v>
      </c>
      <c r="B1218" s="24" t="str">
        <f>VLOOKUP(Ruimtestaat[[#This Row],[Code]],Locaties[#All],2,FALSE)</f>
        <v>Het Vlier</v>
      </c>
      <c r="C1218" s="24" t="str">
        <f>VLOOKUP(Ruimtestaat[[#This Row],[Code]],Locaties[#All],4,FALSE)</f>
        <v>Het Vlier 1</v>
      </c>
      <c r="D1218" s="24" t="str">
        <f>VLOOKUP(Ruimtestaat[[#This Row],[Code]],Locaties[#All],5,FALSE)</f>
        <v>7414 AR</v>
      </c>
      <c r="E1218" s="24" t="str">
        <f>VLOOKUP(Ruimtestaat[[#This Row],[Code]],Locaties[#All],6,FALSE)</f>
        <v>Deventer</v>
      </c>
      <c r="F1218" s="54"/>
      <c r="G1218" s="24" t="s">
        <v>599</v>
      </c>
      <c r="H1218" s="24" t="s">
        <v>1635</v>
      </c>
      <c r="I1218" s="4" t="s">
        <v>1493</v>
      </c>
      <c r="J1218" s="24">
        <v>5</v>
      </c>
      <c r="K1218" s="54" t="str">
        <f>VLOOKUP(J1218,Ruimtegroepen[],2,FALSE)</f>
        <v>Sanitair</v>
      </c>
      <c r="L1218" s="24" t="s">
        <v>305</v>
      </c>
      <c r="M1218" s="24" t="s">
        <v>400</v>
      </c>
      <c r="N1218" s="83">
        <v>15</v>
      </c>
      <c r="O1218" s="83"/>
      <c r="P1218" s="93" t="str">
        <f>LEFT(VLOOKUP(Ruimtestaat[[#This Row],[Ruimte code]],Ruimtegroepen[#All],4,1),2)</f>
        <v>Sa</v>
      </c>
      <c r="Q1218" s="93"/>
      <c r="R1218" s="84">
        <v>42</v>
      </c>
      <c r="S1218" s="84" t="s">
        <v>316</v>
      </c>
      <c r="T1218" s="85">
        <f>IF(R1218&gt;0,IF(RIGHT(Ruimtestaat[[#This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18" s="85">
        <f>IF(T1218&gt;0,VLOOKUP($J1218,Ruimtegroepen[],3,FALSE)*VLOOKUP($L1218,Vloersoorten[],3,FALSE)*VLOOKUP($S1218,Frequenties[],3,FALSE)*VLOOKUP($A1218,Locaties[],3,FALSE),0)</f>
        <v>0</v>
      </c>
      <c r="V1218" s="86">
        <f>Ruimtestaat[[#This Row],[Uitvoeringen werkdagen]]*Ruimtestaat[[#This Row],[Oppervlak (netto)]]</f>
        <v>6300</v>
      </c>
      <c r="W1218" s="87">
        <f>IF(U1218&gt;0,Ruimtestaat[[#This Row],[Prest. (m2 /jaar) werkdagen]]/Ruimtestaat[[#This Row],[Norm (m2/uur) werkdagen]],0)</f>
        <v>0</v>
      </c>
      <c r="X1218" s="88">
        <f>Ruimtestaat[[#This Row],[uren / jaar werkdagen]]*Tariefsopbouw!$E$35</f>
        <v>0</v>
      </c>
      <c r="Y1218" s="85"/>
      <c r="Z1218" s="89">
        <f>IF(Ruimtestaat[[#This Row],[Frequentie weekend]]&gt;0,VALUE(LEFT(Y1218,1))*R1218,0)</f>
        <v>0</v>
      </c>
      <c r="AA1218" s="85">
        <f>IF($Z1218&gt;0,VLOOKUP($J1218,Ruimtegroepen[],3,FALSE)*VLOOKUP($L1218,Vloersoorten[],3,FALSE)*VLOOKUP($Y1218,Frequenties[],3,FALSE)*VLOOKUP(#REF!,Locaties[],3,FALSE),0)</f>
        <v>0</v>
      </c>
      <c r="AB1218" s="87">
        <f>Ruimtestaat[[#This Row],[Uitvoeringen weekend]]*Ruimtestaat[[#This Row],[Oppervlak (netto)]]</f>
        <v>0</v>
      </c>
      <c r="AC1218" s="90">
        <f>IF(AB1218&gt;0,Ruimtestaat[[#This Row],[Prest. (m2 /jaar) weekend]]/Ruimtestaat[[#This Row],[Norm (m2/uur) weekend]],0)</f>
        <v>0</v>
      </c>
      <c r="AD1218" s="91">
        <f>Ruimtestaat[[#This Row],[uren / jaar weekend]]*Tariefsopbouw!$D$40</f>
        <v>0</v>
      </c>
      <c r="AE1218" s="60">
        <f>Ruimtestaat[[#This Row],[Prest. (m2 /jaar) weekend]]+Ruimtestaat[[#This Row],[Prest. (m2 /jaar) werkdagen]]</f>
        <v>6300</v>
      </c>
      <c r="AF1218" s="60">
        <f>Ruimtestaat[[#This Row],[uren / jaar weekend]]+Ruimtestaat[[#This Row],[uren / jaar werkdagen]]</f>
        <v>0</v>
      </c>
      <c r="AG1218" s="61">
        <f>Ruimtestaat[[#This Row],[kosten / jaar weekend]]+Ruimtestaat[[#This Row],[kosten / jaar werkdagen]]</f>
        <v>0</v>
      </c>
      <c r="AH1218" s="92"/>
      <c r="HL1218" s="59"/>
    </row>
    <row r="1219" spans="1:220">
      <c r="A1219" s="24">
        <v>7</v>
      </c>
      <c r="B1219" s="24" t="str">
        <f>VLOOKUP(Ruimtestaat[[#This Row],[Code]],Locaties[#All],2,FALSE)</f>
        <v>Het Vlier</v>
      </c>
      <c r="C1219" s="24" t="str">
        <f>VLOOKUP(Ruimtestaat[[#This Row],[Code]],Locaties[#All],4,FALSE)</f>
        <v>Het Vlier 1</v>
      </c>
      <c r="D1219" s="24" t="str">
        <f>VLOOKUP(Ruimtestaat[[#This Row],[Code]],Locaties[#All],5,FALSE)</f>
        <v>7414 AR</v>
      </c>
      <c r="E1219" s="24" t="str">
        <f>VLOOKUP(Ruimtestaat[[#This Row],[Code]],Locaties[#All],6,FALSE)</f>
        <v>Deventer</v>
      </c>
      <c r="F1219" s="54"/>
      <c r="G1219" s="24" t="s">
        <v>599</v>
      </c>
      <c r="H1219" s="24" t="s">
        <v>1636</v>
      </c>
      <c r="I1219" s="4" t="s">
        <v>1637</v>
      </c>
      <c r="J1219" s="24">
        <v>22</v>
      </c>
      <c r="K1219" s="54" t="str">
        <f>VLOOKUP(J1219,Ruimtegroepen[],2,FALSE)</f>
        <v>Niet in onderhoud</v>
      </c>
      <c r="M1219" s="24"/>
      <c r="N1219" s="83"/>
      <c r="O1219" s="83">
        <v>4.3899999999999997</v>
      </c>
      <c r="P1219" s="93" t="str">
        <f>LEFT(VLOOKUP(Ruimtestaat[[#This Row],[Ruimte code]],Ruimtegroepen[#All],4,1),2)</f>
        <v/>
      </c>
      <c r="Q1219" s="93"/>
      <c r="R1219" s="84"/>
      <c r="S1219" s="84"/>
      <c r="T1219" s="85">
        <f>IF(R1219&gt;0,IF(RIGHT(Ruimtestaat[[#This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9" s="85">
        <f>IF(T1219&gt;0,VLOOKUP($J1219,Ruimtegroepen[],3,FALSE)*VLOOKUP($L1219,Vloersoorten[],3,FALSE)*VLOOKUP($S1219,Frequenties[],3,FALSE)*VLOOKUP($A1219,Locaties[],3,FALSE),0)</f>
        <v>0</v>
      </c>
      <c r="V1219" s="86">
        <f>Ruimtestaat[[#This Row],[Uitvoeringen werkdagen]]*Ruimtestaat[[#This Row],[Oppervlak (netto)]]</f>
        <v>0</v>
      </c>
      <c r="W1219" s="87">
        <f>IF(U1219&gt;0,Ruimtestaat[[#This Row],[Prest. (m2 /jaar) werkdagen]]/Ruimtestaat[[#This Row],[Norm (m2/uur) werkdagen]],0)</f>
        <v>0</v>
      </c>
      <c r="X1219" s="88">
        <f>Ruimtestaat[[#This Row],[uren / jaar werkdagen]]*Tariefsopbouw!$E$35</f>
        <v>0</v>
      </c>
      <c r="Y1219" s="85"/>
      <c r="Z1219" s="89">
        <f>IF(Ruimtestaat[[#This Row],[Frequentie weekend]]&gt;0,VALUE(LEFT(Y1219,1))*R1219,0)</f>
        <v>0</v>
      </c>
      <c r="AA1219" s="85">
        <f>IF($Z1219&gt;0,VLOOKUP($J1219,Ruimtegroepen[],3,FALSE)*VLOOKUP($L1219,Vloersoorten[],3,FALSE)*VLOOKUP($Y1219,Frequenties[],3,FALSE)*VLOOKUP(#REF!,Locaties[],3,FALSE),0)</f>
        <v>0</v>
      </c>
      <c r="AB1219" s="87">
        <f>Ruimtestaat[[#This Row],[Uitvoeringen weekend]]*Ruimtestaat[[#This Row],[Oppervlak (netto)]]</f>
        <v>0</v>
      </c>
      <c r="AC1219" s="90">
        <f>IF(AB1219&gt;0,Ruimtestaat[[#This Row],[Prest. (m2 /jaar) weekend]]/Ruimtestaat[[#This Row],[Norm (m2/uur) weekend]],0)</f>
        <v>0</v>
      </c>
      <c r="AD1219" s="91">
        <f>Ruimtestaat[[#This Row],[uren / jaar weekend]]*Tariefsopbouw!$D$40</f>
        <v>0</v>
      </c>
      <c r="AE1219" s="60">
        <f>Ruimtestaat[[#This Row],[Prest. (m2 /jaar) weekend]]+Ruimtestaat[[#This Row],[Prest. (m2 /jaar) werkdagen]]</f>
        <v>0</v>
      </c>
      <c r="AF1219" s="60">
        <f>Ruimtestaat[[#This Row],[uren / jaar weekend]]+Ruimtestaat[[#This Row],[uren / jaar werkdagen]]</f>
        <v>0</v>
      </c>
      <c r="AG1219" s="61">
        <f>Ruimtestaat[[#This Row],[kosten / jaar weekend]]+Ruimtestaat[[#This Row],[kosten / jaar werkdagen]]</f>
        <v>0</v>
      </c>
      <c r="AH1219" s="92"/>
      <c r="HL1219" s="59"/>
    </row>
    <row r="1220" spans="1:220">
      <c r="A1220" s="24">
        <v>7</v>
      </c>
      <c r="B1220" s="24" t="str">
        <f>VLOOKUP(Ruimtestaat[[#This Row],[Code]],Locaties[#All],2,FALSE)</f>
        <v>Het Vlier</v>
      </c>
      <c r="C1220" s="24" t="str">
        <f>VLOOKUP(Ruimtestaat[[#This Row],[Code]],Locaties[#All],4,FALSE)</f>
        <v>Het Vlier 1</v>
      </c>
      <c r="D1220" s="24" t="str">
        <f>VLOOKUP(Ruimtestaat[[#This Row],[Code]],Locaties[#All],5,FALSE)</f>
        <v>7414 AR</v>
      </c>
      <c r="E1220" s="24" t="str">
        <f>VLOOKUP(Ruimtestaat[[#This Row],[Code]],Locaties[#All],6,FALSE)</f>
        <v>Deventer</v>
      </c>
      <c r="F1220" s="54"/>
      <c r="G1220" s="24" t="s">
        <v>599</v>
      </c>
      <c r="H1220" s="24" t="s">
        <v>1638</v>
      </c>
      <c r="I1220" s="4" t="s">
        <v>1594</v>
      </c>
      <c r="J1220" s="24">
        <v>22</v>
      </c>
      <c r="K1220" s="54" t="str">
        <f>VLOOKUP(J1220,Ruimtegroepen[],2,FALSE)</f>
        <v>Niet in onderhoud</v>
      </c>
      <c r="M1220" s="24"/>
      <c r="N1220" s="83"/>
      <c r="O1220" s="83">
        <v>3.79</v>
      </c>
      <c r="P1220" s="93" t="str">
        <f>LEFT(VLOOKUP(Ruimtestaat[[#This Row],[Ruimte code]],Ruimtegroepen[#All],4,1),2)</f>
        <v/>
      </c>
      <c r="Q1220" s="93"/>
      <c r="R1220" s="84"/>
      <c r="S1220" s="84"/>
      <c r="T1220" s="85">
        <f>IF(R1220&gt;0,IF(RIGHT(Ruimtestaat[[#This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0" s="85">
        <f>IF(T1220&gt;0,VLOOKUP($J1220,Ruimtegroepen[],3,FALSE)*VLOOKUP($L1220,Vloersoorten[],3,FALSE)*VLOOKUP($S1220,Frequenties[],3,FALSE)*VLOOKUP($A1220,Locaties[],3,FALSE),0)</f>
        <v>0</v>
      </c>
      <c r="V1220" s="86">
        <f>Ruimtestaat[[#This Row],[Uitvoeringen werkdagen]]*Ruimtestaat[[#This Row],[Oppervlak (netto)]]</f>
        <v>0</v>
      </c>
      <c r="W1220" s="87">
        <f>IF(U1220&gt;0,Ruimtestaat[[#This Row],[Prest. (m2 /jaar) werkdagen]]/Ruimtestaat[[#This Row],[Norm (m2/uur) werkdagen]],0)</f>
        <v>0</v>
      </c>
      <c r="X1220" s="88">
        <f>Ruimtestaat[[#This Row],[uren / jaar werkdagen]]*Tariefsopbouw!$E$35</f>
        <v>0</v>
      </c>
      <c r="Y1220" s="85"/>
      <c r="Z1220" s="89">
        <f>IF(Ruimtestaat[[#This Row],[Frequentie weekend]]&gt;0,VALUE(LEFT(Y1220,1))*R1220,0)</f>
        <v>0</v>
      </c>
      <c r="AA1220" s="85">
        <f>IF($Z1220&gt;0,VLOOKUP($J1220,Ruimtegroepen[],3,FALSE)*VLOOKUP($L1220,Vloersoorten[],3,FALSE)*VLOOKUP($Y1220,Frequenties[],3,FALSE)*VLOOKUP(#REF!,Locaties[],3,FALSE),0)</f>
        <v>0</v>
      </c>
      <c r="AB1220" s="87">
        <f>Ruimtestaat[[#This Row],[Uitvoeringen weekend]]*Ruimtestaat[[#This Row],[Oppervlak (netto)]]</f>
        <v>0</v>
      </c>
      <c r="AC1220" s="90">
        <f>IF(AB1220&gt;0,Ruimtestaat[[#This Row],[Prest. (m2 /jaar) weekend]]/Ruimtestaat[[#This Row],[Norm (m2/uur) weekend]],0)</f>
        <v>0</v>
      </c>
      <c r="AD1220" s="91">
        <f>Ruimtestaat[[#This Row],[uren / jaar weekend]]*Tariefsopbouw!$D$40</f>
        <v>0</v>
      </c>
      <c r="AE1220" s="60">
        <f>Ruimtestaat[[#This Row],[Prest. (m2 /jaar) weekend]]+Ruimtestaat[[#This Row],[Prest. (m2 /jaar) werkdagen]]</f>
        <v>0</v>
      </c>
      <c r="AF1220" s="60">
        <f>Ruimtestaat[[#This Row],[uren / jaar weekend]]+Ruimtestaat[[#This Row],[uren / jaar werkdagen]]</f>
        <v>0</v>
      </c>
      <c r="AG1220" s="61">
        <f>Ruimtestaat[[#This Row],[kosten / jaar weekend]]+Ruimtestaat[[#This Row],[kosten / jaar werkdagen]]</f>
        <v>0</v>
      </c>
      <c r="AH1220" s="92"/>
      <c r="HL1220" s="59"/>
    </row>
    <row r="1221" spans="1:220">
      <c r="A1221" s="24">
        <v>7</v>
      </c>
      <c r="B1221" s="24" t="str">
        <f>VLOOKUP(Ruimtestaat[[#This Row],[Code]],Locaties[#All],2,FALSE)</f>
        <v>Het Vlier</v>
      </c>
      <c r="C1221" s="24" t="str">
        <f>VLOOKUP(Ruimtestaat[[#This Row],[Code]],Locaties[#All],4,FALSE)</f>
        <v>Het Vlier 1</v>
      </c>
      <c r="D1221" s="24" t="str">
        <f>VLOOKUP(Ruimtestaat[[#This Row],[Code]],Locaties[#All],5,FALSE)</f>
        <v>7414 AR</v>
      </c>
      <c r="E1221" s="24" t="str">
        <f>VLOOKUP(Ruimtestaat[[#This Row],[Code]],Locaties[#All],6,FALSE)</f>
        <v>Deventer</v>
      </c>
      <c r="F1221" s="54"/>
      <c r="G1221" s="24" t="s">
        <v>599</v>
      </c>
      <c r="H1221" s="24" t="s">
        <v>1639</v>
      </c>
      <c r="I1221" s="4" t="s">
        <v>1640</v>
      </c>
      <c r="J1221" s="24">
        <v>20</v>
      </c>
      <c r="K1221" s="54" t="str">
        <f>VLOOKUP(J1221,Ruimtegroepen[],2,FALSE)</f>
        <v>Kabinet</v>
      </c>
      <c r="L1221" s="24" t="s">
        <v>305</v>
      </c>
      <c r="M1221" s="24" t="s">
        <v>400</v>
      </c>
      <c r="N1221" s="83">
        <v>29.56</v>
      </c>
      <c r="O1221" s="83"/>
      <c r="P1221" s="93" t="str">
        <f>LEFT(VLOOKUP(Ruimtestaat[[#This Row],[Ruimte code]],Ruimtegroepen[#All],4,1),2)</f>
        <v>Ve</v>
      </c>
      <c r="Q1221" s="93"/>
      <c r="R1221" s="84">
        <v>40</v>
      </c>
      <c r="S1221" s="84" t="s">
        <v>318</v>
      </c>
      <c r="T1221" s="85">
        <f>IF(R1221&gt;0,IF(RIGHT(Ruimtestaat[[#This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1" s="85">
        <f>IF(T1221&gt;0,VLOOKUP($J1221,Ruimtegroepen[],3,FALSE)*VLOOKUP($L1221,Vloersoorten[],3,FALSE)*VLOOKUP($S1221,Frequenties[],3,FALSE)*VLOOKUP($A1221,Locaties[],3,FALSE),0)</f>
        <v>0</v>
      </c>
      <c r="V1221" s="86">
        <f>Ruimtestaat[[#This Row],[Uitvoeringen werkdagen]]*Ruimtestaat[[#This Row],[Oppervlak (netto)]]</f>
        <v>5912</v>
      </c>
      <c r="W1221" s="87">
        <f>IF(U1221&gt;0,Ruimtestaat[[#This Row],[Prest. (m2 /jaar) werkdagen]]/Ruimtestaat[[#This Row],[Norm (m2/uur) werkdagen]],0)</f>
        <v>0</v>
      </c>
      <c r="X1221" s="88">
        <f>Ruimtestaat[[#This Row],[uren / jaar werkdagen]]*Tariefsopbouw!$E$35</f>
        <v>0</v>
      </c>
      <c r="Y1221" s="85"/>
      <c r="Z1221" s="89">
        <f>IF(Ruimtestaat[[#This Row],[Frequentie weekend]]&gt;0,VALUE(LEFT(Y1221,1))*R1221,0)</f>
        <v>0</v>
      </c>
      <c r="AA1221" s="85">
        <f>IF($Z1221&gt;0,VLOOKUP($J1221,Ruimtegroepen[],3,FALSE)*VLOOKUP($L1221,Vloersoorten[],3,FALSE)*VLOOKUP($Y1221,Frequenties[],3,FALSE)*VLOOKUP(#REF!,Locaties[],3,FALSE),0)</f>
        <v>0</v>
      </c>
      <c r="AB1221" s="87">
        <f>Ruimtestaat[[#This Row],[Uitvoeringen weekend]]*Ruimtestaat[[#This Row],[Oppervlak (netto)]]</f>
        <v>0</v>
      </c>
      <c r="AC1221" s="90">
        <f>IF(AB1221&gt;0,Ruimtestaat[[#This Row],[Prest. (m2 /jaar) weekend]]/Ruimtestaat[[#This Row],[Norm (m2/uur) weekend]],0)</f>
        <v>0</v>
      </c>
      <c r="AD1221" s="91">
        <f>Ruimtestaat[[#This Row],[uren / jaar weekend]]*Tariefsopbouw!$D$40</f>
        <v>0</v>
      </c>
      <c r="AE1221" s="60">
        <f>Ruimtestaat[[#This Row],[Prest. (m2 /jaar) weekend]]+Ruimtestaat[[#This Row],[Prest. (m2 /jaar) werkdagen]]</f>
        <v>5912</v>
      </c>
      <c r="AF1221" s="60">
        <f>Ruimtestaat[[#This Row],[uren / jaar weekend]]+Ruimtestaat[[#This Row],[uren / jaar werkdagen]]</f>
        <v>0</v>
      </c>
      <c r="AG1221" s="61">
        <f>Ruimtestaat[[#This Row],[kosten / jaar weekend]]+Ruimtestaat[[#This Row],[kosten / jaar werkdagen]]</f>
        <v>0</v>
      </c>
      <c r="AH1221" s="92"/>
      <c r="HL1221" s="59"/>
    </row>
    <row r="1222" spans="1:220">
      <c r="A1222" s="24">
        <v>7</v>
      </c>
      <c r="B1222" s="24" t="str">
        <f>VLOOKUP(Ruimtestaat[[#This Row],[Code]],Locaties[#All],2,FALSE)</f>
        <v>Het Vlier</v>
      </c>
      <c r="C1222" s="24" t="str">
        <f>VLOOKUP(Ruimtestaat[[#This Row],[Code]],Locaties[#All],4,FALSE)</f>
        <v>Het Vlier 1</v>
      </c>
      <c r="D1222" s="24" t="str">
        <f>VLOOKUP(Ruimtestaat[[#This Row],[Code]],Locaties[#All],5,FALSE)</f>
        <v>7414 AR</v>
      </c>
      <c r="E1222" s="24" t="str">
        <f>VLOOKUP(Ruimtestaat[[#This Row],[Code]],Locaties[#All],6,FALSE)</f>
        <v>Deventer</v>
      </c>
      <c r="F1222" s="54"/>
      <c r="G1222" s="24" t="s">
        <v>599</v>
      </c>
      <c r="H1222" s="24" t="s">
        <v>1641</v>
      </c>
      <c r="I1222" s="4" t="s">
        <v>1642</v>
      </c>
      <c r="J1222" s="24">
        <v>22</v>
      </c>
      <c r="K1222" s="54" t="str">
        <f>VLOOKUP(J1222,Ruimtegroepen[],2,FALSE)</f>
        <v>Niet in onderhoud</v>
      </c>
      <c r="M1222" s="24"/>
      <c r="N1222" s="83"/>
      <c r="O1222" s="83">
        <v>1.0900000000000001</v>
      </c>
      <c r="P1222" s="93" t="str">
        <f>LEFT(VLOOKUP(Ruimtestaat[[#This Row],[Ruimte code]],Ruimtegroepen[#All],4,1),2)</f>
        <v/>
      </c>
      <c r="Q1222" s="93"/>
      <c r="R1222" s="84"/>
      <c r="S1222" s="84"/>
      <c r="T1222" s="85">
        <f>IF(R1222&gt;0,IF(RIGHT(Ruimtestaat[[#This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2" s="85">
        <f>IF(T1222&gt;0,VLOOKUP($J1222,Ruimtegroepen[],3,FALSE)*VLOOKUP($L1222,Vloersoorten[],3,FALSE)*VLOOKUP($S1222,Frequenties[],3,FALSE)*VLOOKUP($A1222,Locaties[],3,FALSE),0)</f>
        <v>0</v>
      </c>
      <c r="V1222" s="86">
        <f>Ruimtestaat[[#This Row],[Uitvoeringen werkdagen]]*Ruimtestaat[[#This Row],[Oppervlak (netto)]]</f>
        <v>0</v>
      </c>
      <c r="W1222" s="87">
        <f>IF(U1222&gt;0,Ruimtestaat[[#This Row],[Prest. (m2 /jaar) werkdagen]]/Ruimtestaat[[#This Row],[Norm (m2/uur) werkdagen]],0)</f>
        <v>0</v>
      </c>
      <c r="X1222" s="88">
        <f>Ruimtestaat[[#This Row],[uren / jaar werkdagen]]*Tariefsopbouw!$E$35</f>
        <v>0</v>
      </c>
      <c r="Y1222" s="85"/>
      <c r="Z1222" s="89">
        <f>IF(Ruimtestaat[[#This Row],[Frequentie weekend]]&gt;0,VALUE(LEFT(Y1222,1))*R1222,0)</f>
        <v>0</v>
      </c>
      <c r="AA1222" s="85">
        <f>IF($Z1222&gt;0,VLOOKUP($J1222,Ruimtegroepen[],3,FALSE)*VLOOKUP($L1222,Vloersoorten[],3,FALSE)*VLOOKUP($Y1222,Frequenties[],3,FALSE)*VLOOKUP(#REF!,Locaties[],3,FALSE),0)</f>
        <v>0</v>
      </c>
      <c r="AB1222" s="87">
        <f>Ruimtestaat[[#This Row],[Uitvoeringen weekend]]*Ruimtestaat[[#This Row],[Oppervlak (netto)]]</f>
        <v>0</v>
      </c>
      <c r="AC1222" s="90">
        <f>IF(AB1222&gt;0,Ruimtestaat[[#This Row],[Prest. (m2 /jaar) weekend]]/Ruimtestaat[[#This Row],[Norm (m2/uur) weekend]],0)</f>
        <v>0</v>
      </c>
      <c r="AD1222" s="91">
        <f>Ruimtestaat[[#This Row],[uren / jaar weekend]]*Tariefsopbouw!$D$40</f>
        <v>0</v>
      </c>
      <c r="AE1222" s="60">
        <f>Ruimtestaat[[#This Row],[Prest. (m2 /jaar) weekend]]+Ruimtestaat[[#This Row],[Prest. (m2 /jaar) werkdagen]]</f>
        <v>0</v>
      </c>
      <c r="AF1222" s="60">
        <f>Ruimtestaat[[#This Row],[uren / jaar weekend]]+Ruimtestaat[[#This Row],[uren / jaar werkdagen]]</f>
        <v>0</v>
      </c>
      <c r="AG1222" s="61">
        <f>Ruimtestaat[[#This Row],[kosten / jaar weekend]]+Ruimtestaat[[#This Row],[kosten / jaar werkdagen]]</f>
        <v>0</v>
      </c>
      <c r="AH1222" s="92"/>
      <c r="HL1222" s="59"/>
    </row>
    <row r="1223" spans="1:220">
      <c r="A1223" s="24">
        <v>7</v>
      </c>
      <c r="B1223" s="24" t="str">
        <f>VLOOKUP(Ruimtestaat[[#This Row],[Code]],Locaties[#All],2,FALSE)</f>
        <v>Het Vlier</v>
      </c>
      <c r="C1223" s="24" t="str">
        <f>VLOOKUP(Ruimtestaat[[#This Row],[Code]],Locaties[#All],4,FALSE)</f>
        <v>Het Vlier 1</v>
      </c>
      <c r="D1223" s="24" t="str">
        <f>VLOOKUP(Ruimtestaat[[#This Row],[Code]],Locaties[#All],5,FALSE)</f>
        <v>7414 AR</v>
      </c>
      <c r="E1223" s="24" t="str">
        <f>VLOOKUP(Ruimtestaat[[#This Row],[Code]],Locaties[#All],6,FALSE)</f>
        <v>Deventer</v>
      </c>
      <c r="F1223" s="54"/>
      <c r="G1223" s="24" t="s">
        <v>599</v>
      </c>
      <c r="H1223" s="24" t="s">
        <v>1643</v>
      </c>
      <c r="I1223" s="4" t="s">
        <v>1642</v>
      </c>
      <c r="J1223" s="24">
        <v>22</v>
      </c>
      <c r="K1223" s="54" t="str">
        <f>VLOOKUP(J1223,Ruimtegroepen[],2,FALSE)</f>
        <v>Niet in onderhoud</v>
      </c>
      <c r="M1223" s="24"/>
      <c r="N1223" s="83"/>
      <c r="O1223" s="83">
        <v>1.0900000000000001</v>
      </c>
      <c r="P1223" s="93" t="str">
        <f>LEFT(VLOOKUP(Ruimtestaat[[#This Row],[Ruimte code]],Ruimtegroepen[#All],4,1),2)</f>
        <v/>
      </c>
      <c r="Q1223" s="93"/>
      <c r="R1223" s="84"/>
      <c r="S1223" s="84"/>
      <c r="T1223" s="85">
        <f>IF(R1223&gt;0,IF(RIGHT(Ruimtestaat[[#This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3" s="85">
        <f>IF(T1223&gt;0,VLOOKUP($J1223,Ruimtegroepen[],3,FALSE)*VLOOKUP($L1223,Vloersoorten[],3,FALSE)*VLOOKUP($S1223,Frequenties[],3,FALSE)*VLOOKUP($A1223,Locaties[],3,FALSE),0)</f>
        <v>0</v>
      </c>
      <c r="V1223" s="86">
        <f>Ruimtestaat[[#This Row],[Uitvoeringen werkdagen]]*Ruimtestaat[[#This Row],[Oppervlak (netto)]]</f>
        <v>0</v>
      </c>
      <c r="W1223" s="87">
        <f>IF(U1223&gt;0,Ruimtestaat[[#This Row],[Prest. (m2 /jaar) werkdagen]]/Ruimtestaat[[#This Row],[Norm (m2/uur) werkdagen]],0)</f>
        <v>0</v>
      </c>
      <c r="X1223" s="88">
        <f>Ruimtestaat[[#This Row],[uren / jaar werkdagen]]*Tariefsopbouw!$E$35</f>
        <v>0</v>
      </c>
      <c r="Y1223" s="85"/>
      <c r="Z1223" s="89">
        <f>IF(Ruimtestaat[[#This Row],[Frequentie weekend]]&gt;0,VALUE(LEFT(Y1223,1))*R1223,0)</f>
        <v>0</v>
      </c>
      <c r="AA1223" s="85">
        <f>IF($Z1223&gt;0,VLOOKUP($J1223,Ruimtegroepen[],3,FALSE)*VLOOKUP($L1223,Vloersoorten[],3,FALSE)*VLOOKUP($Y1223,Frequenties[],3,FALSE)*VLOOKUP(#REF!,Locaties[],3,FALSE),0)</f>
        <v>0</v>
      </c>
      <c r="AB1223" s="87">
        <f>Ruimtestaat[[#This Row],[Uitvoeringen weekend]]*Ruimtestaat[[#This Row],[Oppervlak (netto)]]</f>
        <v>0</v>
      </c>
      <c r="AC1223" s="90">
        <f>IF(AB1223&gt;0,Ruimtestaat[[#This Row],[Prest. (m2 /jaar) weekend]]/Ruimtestaat[[#This Row],[Norm (m2/uur) weekend]],0)</f>
        <v>0</v>
      </c>
      <c r="AD1223" s="91">
        <f>Ruimtestaat[[#This Row],[uren / jaar weekend]]*Tariefsopbouw!$D$40</f>
        <v>0</v>
      </c>
      <c r="AE1223" s="60">
        <f>Ruimtestaat[[#This Row],[Prest. (m2 /jaar) weekend]]+Ruimtestaat[[#This Row],[Prest. (m2 /jaar) werkdagen]]</f>
        <v>0</v>
      </c>
      <c r="AF1223" s="60">
        <f>Ruimtestaat[[#This Row],[uren / jaar weekend]]+Ruimtestaat[[#This Row],[uren / jaar werkdagen]]</f>
        <v>0</v>
      </c>
      <c r="AG1223" s="61">
        <f>Ruimtestaat[[#This Row],[kosten / jaar weekend]]+Ruimtestaat[[#This Row],[kosten / jaar werkdagen]]</f>
        <v>0</v>
      </c>
      <c r="AH1223" s="92"/>
      <c r="HL1223" s="59"/>
    </row>
    <row r="1224" spans="1:220">
      <c r="A1224" s="24">
        <v>7</v>
      </c>
      <c r="B1224" s="24" t="str">
        <f>VLOOKUP(Ruimtestaat[[#This Row],[Code]],Locaties[#All],2,FALSE)</f>
        <v>Het Vlier</v>
      </c>
      <c r="C1224" s="24" t="str">
        <f>VLOOKUP(Ruimtestaat[[#This Row],[Code]],Locaties[#All],4,FALSE)</f>
        <v>Het Vlier 1</v>
      </c>
      <c r="D1224" s="24" t="str">
        <f>VLOOKUP(Ruimtestaat[[#This Row],[Code]],Locaties[#All],5,FALSE)</f>
        <v>7414 AR</v>
      </c>
      <c r="E1224" s="24" t="str">
        <f>VLOOKUP(Ruimtestaat[[#This Row],[Code]],Locaties[#All],6,FALSE)</f>
        <v>Deventer</v>
      </c>
      <c r="F1224" s="54"/>
      <c r="G1224" s="24" t="s">
        <v>599</v>
      </c>
      <c r="H1224" s="24" t="s">
        <v>1644</v>
      </c>
      <c r="I1224" s="4" t="s">
        <v>1449</v>
      </c>
      <c r="J1224" s="24">
        <v>22</v>
      </c>
      <c r="K1224" s="54" t="str">
        <f>VLOOKUP(J1224,Ruimtegroepen[],2,FALSE)</f>
        <v>Niet in onderhoud</v>
      </c>
      <c r="L1224" s="24" t="s">
        <v>305</v>
      </c>
      <c r="M1224" s="24" t="s">
        <v>400</v>
      </c>
      <c r="N1224" s="83"/>
      <c r="O1224" s="83">
        <v>42.41</v>
      </c>
      <c r="P1224" s="93" t="str">
        <f>LEFT(VLOOKUP(Ruimtestaat[[#This Row],[Ruimte code]],Ruimtegroepen[#All],4,1),2)</f>
        <v/>
      </c>
      <c r="Q1224" s="93"/>
      <c r="R1224" s="84"/>
      <c r="S1224" s="84"/>
      <c r="T1224" s="85">
        <f>IF(R1224&gt;0,IF(RIGHT(Ruimtestaat[[#This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4" s="85">
        <f>IF(T1224&gt;0,VLOOKUP($J1224,Ruimtegroepen[],3,FALSE)*VLOOKUP($L1224,Vloersoorten[],3,FALSE)*VLOOKUP($S1224,Frequenties[],3,FALSE)*VLOOKUP($A1224,Locaties[],3,FALSE),0)</f>
        <v>0</v>
      </c>
      <c r="V1224" s="86">
        <f>Ruimtestaat[[#This Row],[Uitvoeringen werkdagen]]*Ruimtestaat[[#This Row],[Oppervlak (netto)]]</f>
        <v>0</v>
      </c>
      <c r="W1224" s="87">
        <f>IF(U1224&gt;0,Ruimtestaat[[#This Row],[Prest. (m2 /jaar) werkdagen]]/Ruimtestaat[[#This Row],[Norm (m2/uur) werkdagen]],0)</f>
        <v>0</v>
      </c>
      <c r="X1224" s="88">
        <f>Ruimtestaat[[#This Row],[uren / jaar werkdagen]]*Tariefsopbouw!$E$35</f>
        <v>0</v>
      </c>
      <c r="Y1224" s="85"/>
      <c r="Z1224" s="89">
        <f>IF(Ruimtestaat[[#This Row],[Frequentie weekend]]&gt;0,VALUE(LEFT(Y1224,1))*R1224,0)</f>
        <v>0</v>
      </c>
      <c r="AA1224" s="85">
        <f>IF($Z1224&gt;0,VLOOKUP($J1224,Ruimtegroepen[],3,FALSE)*VLOOKUP($L1224,Vloersoorten[],3,FALSE)*VLOOKUP($Y1224,Frequenties[],3,FALSE)*VLOOKUP(#REF!,Locaties[],3,FALSE),0)</f>
        <v>0</v>
      </c>
      <c r="AB1224" s="87">
        <f>Ruimtestaat[[#This Row],[Uitvoeringen weekend]]*Ruimtestaat[[#This Row],[Oppervlak (netto)]]</f>
        <v>0</v>
      </c>
      <c r="AC1224" s="90">
        <f>IF(AB1224&gt;0,Ruimtestaat[[#This Row],[Prest. (m2 /jaar) weekend]]/Ruimtestaat[[#This Row],[Norm (m2/uur) weekend]],0)</f>
        <v>0</v>
      </c>
      <c r="AD1224" s="91">
        <f>Ruimtestaat[[#This Row],[uren / jaar weekend]]*Tariefsopbouw!$D$40</f>
        <v>0</v>
      </c>
      <c r="AE1224" s="60">
        <f>Ruimtestaat[[#This Row],[Prest. (m2 /jaar) weekend]]+Ruimtestaat[[#This Row],[Prest. (m2 /jaar) werkdagen]]</f>
        <v>0</v>
      </c>
      <c r="AF1224" s="60">
        <f>Ruimtestaat[[#This Row],[uren / jaar weekend]]+Ruimtestaat[[#This Row],[uren / jaar werkdagen]]</f>
        <v>0</v>
      </c>
      <c r="AG1224" s="61">
        <f>Ruimtestaat[[#This Row],[kosten / jaar weekend]]+Ruimtestaat[[#This Row],[kosten / jaar werkdagen]]</f>
        <v>0</v>
      </c>
      <c r="AH1224" s="92"/>
      <c r="HL1224" s="59"/>
    </row>
    <row r="1225" spans="1:220">
      <c r="A1225" s="24">
        <v>7</v>
      </c>
      <c r="B1225" s="24" t="str">
        <f>VLOOKUP(Ruimtestaat[[#This Row],[Code]],Locaties[#All],2,FALSE)</f>
        <v>Het Vlier</v>
      </c>
      <c r="C1225" s="24" t="str">
        <f>VLOOKUP(Ruimtestaat[[#This Row],[Code]],Locaties[#All],4,FALSE)</f>
        <v>Het Vlier 1</v>
      </c>
      <c r="D1225" s="24" t="str">
        <f>VLOOKUP(Ruimtestaat[[#This Row],[Code]],Locaties[#All],5,FALSE)</f>
        <v>7414 AR</v>
      </c>
      <c r="E1225" s="24" t="str">
        <f>VLOOKUP(Ruimtestaat[[#This Row],[Code]],Locaties[#All],6,FALSE)</f>
        <v>Deventer</v>
      </c>
      <c r="F1225" s="54"/>
      <c r="G1225" s="24" t="s">
        <v>599</v>
      </c>
      <c r="H1225" s="24" t="s">
        <v>1645</v>
      </c>
      <c r="I1225" s="4" t="s">
        <v>1646</v>
      </c>
      <c r="J1225" s="24">
        <v>14</v>
      </c>
      <c r="K1225" s="54" t="str">
        <f>VLOOKUP(J1225,Ruimtegroepen[],2,FALSE)</f>
        <v>Praktijklokalen binas/zorg</v>
      </c>
      <c r="L1225" s="24" t="s">
        <v>305</v>
      </c>
      <c r="M1225" s="24" t="s">
        <v>400</v>
      </c>
      <c r="N1225" s="83">
        <v>66.260000000000005</v>
      </c>
      <c r="O1225" s="83"/>
      <c r="P1225" s="93" t="str">
        <f>LEFT(VLOOKUP(Ruimtestaat[[#This Row],[Ruimte code]],Ruimtegroepen[#All],4,1),2)</f>
        <v>Le</v>
      </c>
      <c r="Q1225" s="93"/>
      <c r="R1225" s="84">
        <v>40</v>
      </c>
      <c r="S1225" s="84" t="s">
        <v>318</v>
      </c>
      <c r="T1225" s="85">
        <f>IF(R1225&gt;0,IF(RIGHT(Ruimtestaat[[#This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5" s="85">
        <f>IF(T1225&gt;0,VLOOKUP($J1225,Ruimtegroepen[],3,FALSE)*VLOOKUP($L1225,Vloersoorten[],3,FALSE)*VLOOKUP($S1225,Frequenties[],3,FALSE)*VLOOKUP($A1225,Locaties[],3,FALSE),0)</f>
        <v>0</v>
      </c>
      <c r="V1225" s="86">
        <f>Ruimtestaat[[#This Row],[Uitvoeringen werkdagen]]*Ruimtestaat[[#This Row],[Oppervlak (netto)]]</f>
        <v>13252.000000000002</v>
      </c>
      <c r="W1225" s="87">
        <f>IF(U1225&gt;0,Ruimtestaat[[#This Row],[Prest. (m2 /jaar) werkdagen]]/Ruimtestaat[[#This Row],[Norm (m2/uur) werkdagen]],0)</f>
        <v>0</v>
      </c>
      <c r="X1225" s="88">
        <f>Ruimtestaat[[#This Row],[uren / jaar werkdagen]]*Tariefsopbouw!$E$35</f>
        <v>0</v>
      </c>
      <c r="Y1225" s="85"/>
      <c r="Z1225" s="89">
        <f>IF(Ruimtestaat[[#This Row],[Frequentie weekend]]&gt;0,VALUE(LEFT(Y1225,1))*R1225,0)</f>
        <v>0</v>
      </c>
      <c r="AA1225" s="85">
        <f>IF($Z1225&gt;0,VLOOKUP($J1225,Ruimtegroepen[],3,FALSE)*VLOOKUP($L1225,Vloersoorten[],3,FALSE)*VLOOKUP($Y1225,Frequenties[],3,FALSE)*VLOOKUP(#REF!,Locaties[],3,FALSE),0)</f>
        <v>0</v>
      </c>
      <c r="AB1225" s="87">
        <f>Ruimtestaat[[#This Row],[Uitvoeringen weekend]]*Ruimtestaat[[#This Row],[Oppervlak (netto)]]</f>
        <v>0</v>
      </c>
      <c r="AC1225" s="90">
        <f>IF(AB1225&gt;0,Ruimtestaat[[#This Row],[Prest. (m2 /jaar) weekend]]/Ruimtestaat[[#This Row],[Norm (m2/uur) weekend]],0)</f>
        <v>0</v>
      </c>
      <c r="AD1225" s="91">
        <f>Ruimtestaat[[#This Row],[uren / jaar weekend]]*Tariefsopbouw!$D$40</f>
        <v>0</v>
      </c>
      <c r="AE1225" s="60">
        <f>Ruimtestaat[[#This Row],[Prest. (m2 /jaar) weekend]]+Ruimtestaat[[#This Row],[Prest. (m2 /jaar) werkdagen]]</f>
        <v>13252.000000000002</v>
      </c>
      <c r="AF1225" s="60">
        <f>Ruimtestaat[[#This Row],[uren / jaar weekend]]+Ruimtestaat[[#This Row],[uren / jaar werkdagen]]</f>
        <v>0</v>
      </c>
      <c r="AG1225" s="61">
        <f>Ruimtestaat[[#This Row],[kosten / jaar weekend]]+Ruimtestaat[[#This Row],[kosten / jaar werkdagen]]</f>
        <v>0</v>
      </c>
      <c r="AH1225" s="92"/>
      <c r="HL1225" s="59"/>
    </row>
    <row r="1226" spans="1:220">
      <c r="A1226" s="24">
        <v>7</v>
      </c>
      <c r="B1226" s="24" t="str">
        <f>VLOOKUP(Ruimtestaat[[#This Row],[Code]],Locaties[#All],2,FALSE)</f>
        <v>Het Vlier</v>
      </c>
      <c r="C1226" s="24" t="str">
        <f>VLOOKUP(Ruimtestaat[[#This Row],[Code]],Locaties[#All],4,FALSE)</f>
        <v>Het Vlier 1</v>
      </c>
      <c r="D1226" s="24" t="str">
        <f>VLOOKUP(Ruimtestaat[[#This Row],[Code]],Locaties[#All],5,FALSE)</f>
        <v>7414 AR</v>
      </c>
      <c r="E1226" s="24" t="str">
        <f>VLOOKUP(Ruimtestaat[[#This Row],[Code]],Locaties[#All],6,FALSE)</f>
        <v>Deventer</v>
      </c>
      <c r="F1226" s="54"/>
      <c r="G1226" s="24" t="s">
        <v>599</v>
      </c>
      <c r="H1226" s="24" t="s">
        <v>1647</v>
      </c>
      <c r="I1226" s="4" t="s">
        <v>1648</v>
      </c>
      <c r="J1226" s="24">
        <v>22</v>
      </c>
      <c r="K1226" s="54" t="str">
        <f>VLOOKUP(J1226,Ruimtegroepen[],2,FALSE)</f>
        <v>Niet in onderhoud</v>
      </c>
      <c r="M1226" s="24"/>
      <c r="N1226" s="83"/>
      <c r="O1226" s="83">
        <v>30.79</v>
      </c>
      <c r="P1226" s="93" t="str">
        <f>LEFT(VLOOKUP(Ruimtestaat[[#This Row],[Ruimte code]],Ruimtegroepen[#All],4,1),2)</f>
        <v/>
      </c>
      <c r="Q1226" s="93"/>
      <c r="R1226" s="84"/>
      <c r="S1226" s="84"/>
      <c r="T1226" s="85">
        <f>IF(R1226&gt;0,IF(RIGHT(Ruimtestaat[[#This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6" s="85">
        <f>IF(T1226&gt;0,VLOOKUP($J1226,Ruimtegroepen[],3,FALSE)*VLOOKUP($L1226,Vloersoorten[],3,FALSE)*VLOOKUP($S1226,Frequenties[],3,FALSE)*VLOOKUP($A1226,Locaties[],3,FALSE),0)</f>
        <v>0</v>
      </c>
      <c r="V1226" s="86">
        <f>Ruimtestaat[[#This Row],[Uitvoeringen werkdagen]]*Ruimtestaat[[#This Row],[Oppervlak (netto)]]</f>
        <v>0</v>
      </c>
      <c r="W1226" s="87">
        <f>IF(U1226&gt;0,Ruimtestaat[[#This Row],[Prest. (m2 /jaar) werkdagen]]/Ruimtestaat[[#This Row],[Norm (m2/uur) werkdagen]],0)</f>
        <v>0</v>
      </c>
      <c r="X1226" s="88">
        <f>Ruimtestaat[[#This Row],[uren / jaar werkdagen]]*Tariefsopbouw!$E$35</f>
        <v>0</v>
      </c>
      <c r="Y1226" s="85"/>
      <c r="Z1226" s="89">
        <f>IF(Ruimtestaat[[#This Row],[Frequentie weekend]]&gt;0,VALUE(LEFT(Y1226,1))*R1226,0)</f>
        <v>0</v>
      </c>
      <c r="AA1226" s="85">
        <f>IF($Z1226&gt;0,VLOOKUP($J1226,Ruimtegroepen[],3,FALSE)*VLOOKUP($L1226,Vloersoorten[],3,FALSE)*VLOOKUP($Y1226,Frequenties[],3,FALSE)*VLOOKUP(#REF!,Locaties[],3,FALSE),0)</f>
        <v>0</v>
      </c>
      <c r="AB1226" s="87">
        <f>Ruimtestaat[[#This Row],[Uitvoeringen weekend]]*Ruimtestaat[[#This Row],[Oppervlak (netto)]]</f>
        <v>0</v>
      </c>
      <c r="AC1226" s="90">
        <f>IF(AB1226&gt;0,Ruimtestaat[[#This Row],[Prest. (m2 /jaar) weekend]]/Ruimtestaat[[#This Row],[Norm (m2/uur) weekend]],0)</f>
        <v>0</v>
      </c>
      <c r="AD1226" s="91">
        <f>Ruimtestaat[[#This Row],[uren / jaar weekend]]*Tariefsopbouw!$D$40</f>
        <v>0</v>
      </c>
      <c r="AE1226" s="60">
        <f>Ruimtestaat[[#This Row],[Prest. (m2 /jaar) weekend]]+Ruimtestaat[[#This Row],[Prest. (m2 /jaar) werkdagen]]</f>
        <v>0</v>
      </c>
      <c r="AF1226" s="60">
        <f>Ruimtestaat[[#This Row],[uren / jaar weekend]]+Ruimtestaat[[#This Row],[uren / jaar werkdagen]]</f>
        <v>0</v>
      </c>
      <c r="AG1226" s="61">
        <f>Ruimtestaat[[#This Row],[kosten / jaar weekend]]+Ruimtestaat[[#This Row],[kosten / jaar werkdagen]]</f>
        <v>0</v>
      </c>
      <c r="AH1226" s="92"/>
      <c r="HL1226" s="59"/>
    </row>
    <row r="1227" spans="1:220">
      <c r="A1227" s="24">
        <v>7</v>
      </c>
      <c r="B1227" s="24" t="str">
        <f>VLOOKUP(Ruimtestaat[[#This Row],[Code]],Locaties[#All],2,FALSE)</f>
        <v>Het Vlier</v>
      </c>
      <c r="C1227" s="24" t="str">
        <f>VLOOKUP(Ruimtestaat[[#This Row],[Code]],Locaties[#All],4,FALSE)</f>
        <v>Het Vlier 1</v>
      </c>
      <c r="D1227" s="24" t="str">
        <f>VLOOKUP(Ruimtestaat[[#This Row],[Code]],Locaties[#All],5,FALSE)</f>
        <v>7414 AR</v>
      </c>
      <c r="E1227" s="24" t="str">
        <f>VLOOKUP(Ruimtestaat[[#This Row],[Code]],Locaties[#All],6,FALSE)</f>
        <v>Deventer</v>
      </c>
      <c r="F1227" s="54"/>
      <c r="G1227" s="24" t="s">
        <v>367</v>
      </c>
      <c r="H1227" s="24" t="s">
        <v>1649</v>
      </c>
      <c r="I1227" s="4" t="s">
        <v>1432</v>
      </c>
      <c r="J1227" s="24">
        <v>6</v>
      </c>
      <c r="K1227" s="54" t="str">
        <f>VLOOKUP(J1227,Ruimtegroepen[],2,FALSE)</f>
        <v>Gangen/hallen</v>
      </c>
      <c r="L1227" s="24" t="s">
        <v>305</v>
      </c>
      <c r="M1227" s="24" t="s">
        <v>400</v>
      </c>
      <c r="N1227" s="83">
        <v>143.9</v>
      </c>
      <c r="O1227" s="83"/>
      <c r="P1227" s="93" t="str">
        <f>LEFT(VLOOKUP(Ruimtestaat[[#This Row],[Ruimte code]],Ruimtegroepen[#All],4,1),2)</f>
        <v>Ve</v>
      </c>
      <c r="Q1227" s="93"/>
      <c r="R1227" s="84">
        <v>40</v>
      </c>
      <c r="S1227" s="84" t="s">
        <v>318</v>
      </c>
      <c r="T1227" s="85">
        <f>IF(R1227&gt;0,IF(RIGHT(Ruimtestaat[[#This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7" s="85">
        <f>IF(T1227&gt;0,VLOOKUP($J1227,Ruimtegroepen[],3,FALSE)*VLOOKUP($L1227,Vloersoorten[],3,FALSE)*VLOOKUP($S1227,Frequenties[],3,FALSE)*VLOOKUP($A1227,Locaties[],3,FALSE),0)</f>
        <v>0</v>
      </c>
      <c r="V1227" s="86">
        <f>Ruimtestaat[[#This Row],[Uitvoeringen werkdagen]]*Ruimtestaat[[#This Row],[Oppervlak (netto)]]</f>
        <v>28780</v>
      </c>
      <c r="W1227" s="87">
        <f>IF(U1227&gt;0,Ruimtestaat[[#This Row],[Prest. (m2 /jaar) werkdagen]]/Ruimtestaat[[#This Row],[Norm (m2/uur) werkdagen]],0)</f>
        <v>0</v>
      </c>
      <c r="X1227" s="88">
        <f>Ruimtestaat[[#This Row],[uren / jaar werkdagen]]*Tariefsopbouw!$E$35</f>
        <v>0</v>
      </c>
      <c r="Y1227" s="85"/>
      <c r="Z1227" s="89">
        <f>IF(Ruimtestaat[[#This Row],[Frequentie weekend]]&gt;0,VALUE(LEFT(Y1227,1))*R1227,0)</f>
        <v>0</v>
      </c>
      <c r="AA1227" s="85">
        <f>IF($Z1227&gt;0,VLOOKUP($J1227,Ruimtegroepen[],3,FALSE)*VLOOKUP($L1227,Vloersoorten[],3,FALSE)*VLOOKUP($Y1227,Frequenties[],3,FALSE)*VLOOKUP(#REF!,Locaties[],3,FALSE),0)</f>
        <v>0</v>
      </c>
      <c r="AB1227" s="87">
        <f>Ruimtestaat[[#This Row],[Uitvoeringen weekend]]*Ruimtestaat[[#This Row],[Oppervlak (netto)]]</f>
        <v>0</v>
      </c>
      <c r="AC1227" s="90">
        <f>IF(AB1227&gt;0,Ruimtestaat[[#This Row],[Prest. (m2 /jaar) weekend]]/Ruimtestaat[[#This Row],[Norm (m2/uur) weekend]],0)</f>
        <v>0</v>
      </c>
      <c r="AD1227" s="91">
        <f>Ruimtestaat[[#This Row],[uren / jaar weekend]]*Tariefsopbouw!$D$40</f>
        <v>0</v>
      </c>
      <c r="AE1227" s="60">
        <f>Ruimtestaat[[#This Row],[Prest. (m2 /jaar) weekend]]+Ruimtestaat[[#This Row],[Prest. (m2 /jaar) werkdagen]]</f>
        <v>28780</v>
      </c>
      <c r="AF1227" s="60">
        <f>Ruimtestaat[[#This Row],[uren / jaar weekend]]+Ruimtestaat[[#This Row],[uren / jaar werkdagen]]</f>
        <v>0</v>
      </c>
      <c r="AG1227" s="61">
        <f>Ruimtestaat[[#This Row],[kosten / jaar weekend]]+Ruimtestaat[[#This Row],[kosten / jaar werkdagen]]</f>
        <v>0</v>
      </c>
      <c r="AH1227" s="92"/>
      <c r="HL1227" s="59"/>
    </row>
    <row r="1228" spans="1:220">
      <c r="A1228" s="24">
        <v>7</v>
      </c>
      <c r="B1228" s="24" t="str">
        <f>VLOOKUP(Ruimtestaat[[#This Row],[Code]],Locaties[#All],2,FALSE)</f>
        <v>Het Vlier</v>
      </c>
      <c r="C1228" s="24" t="str">
        <f>VLOOKUP(Ruimtestaat[[#This Row],[Code]],Locaties[#All],4,FALSE)</f>
        <v>Het Vlier 1</v>
      </c>
      <c r="D1228" s="24" t="str">
        <f>VLOOKUP(Ruimtestaat[[#This Row],[Code]],Locaties[#All],5,FALSE)</f>
        <v>7414 AR</v>
      </c>
      <c r="E1228" s="24" t="str">
        <f>VLOOKUP(Ruimtestaat[[#This Row],[Code]],Locaties[#All],6,FALSE)</f>
        <v>Deventer</v>
      </c>
      <c r="F1228" s="54"/>
      <c r="G1228" s="24" t="s">
        <v>367</v>
      </c>
      <c r="H1228" s="24" t="s">
        <v>1650</v>
      </c>
      <c r="I1228" s="4" t="s">
        <v>1432</v>
      </c>
      <c r="J1228" s="24">
        <v>6</v>
      </c>
      <c r="K1228" s="54" t="str">
        <f>VLOOKUP(J1228,Ruimtegroepen[],2,FALSE)</f>
        <v>Gangen/hallen</v>
      </c>
      <c r="L1228" s="24" t="s">
        <v>305</v>
      </c>
      <c r="M1228" s="24" t="s">
        <v>400</v>
      </c>
      <c r="N1228" s="83">
        <v>112.69</v>
      </c>
      <c r="O1228" s="83"/>
      <c r="P1228" s="93" t="str">
        <f>LEFT(VLOOKUP(Ruimtestaat[[#This Row],[Ruimte code]],Ruimtegroepen[#All],4,1),2)</f>
        <v>Ve</v>
      </c>
      <c r="Q1228" s="93"/>
      <c r="R1228" s="84">
        <v>40</v>
      </c>
      <c r="S1228" s="84" t="s">
        <v>318</v>
      </c>
      <c r="T1228" s="85">
        <f>IF(R1228&gt;0,IF(RIGHT(Ruimtestaat[[#This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8" s="85">
        <f>IF(T1228&gt;0,VLOOKUP($J1228,Ruimtegroepen[],3,FALSE)*VLOOKUP($L1228,Vloersoorten[],3,FALSE)*VLOOKUP($S1228,Frequenties[],3,FALSE)*VLOOKUP($A1228,Locaties[],3,FALSE),0)</f>
        <v>0</v>
      </c>
      <c r="V1228" s="86">
        <f>Ruimtestaat[[#This Row],[Uitvoeringen werkdagen]]*Ruimtestaat[[#This Row],[Oppervlak (netto)]]</f>
        <v>22538</v>
      </c>
      <c r="W1228" s="87">
        <f>IF(U1228&gt;0,Ruimtestaat[[#This Row],[Prest. (m2 /jaar) werkdagen]]/Ruimtestaat[[#This Row],[Norm (m2/uur) werkdagen]],0)</f>
        <v>0</v>
      </c>
      <c r="X1228" s="88">
        <f>Ruimtestaat[[#This Row],[uren / jaar werkdagen]]*Tariefsopbouw!$E$35</f>
        <v>0</v>
      </c>
      <c r="Y1228" s="85"/>
      <c r="Z1228" s="89">
        <f>IF(Ruimtestaat[[#This Row],[Frequentie weekend]]&gt;0,VALUE(LEFT(Y1228,1))*R1228,0)</f>
        <v>0</v>
      </c>
      <c r="AA1228" s="85">
        <f>IF($Z1228&gt;0,VLOOKUP($J1228,Ruimtegroepen[],3,FALSE)*VLOOKUP($L1228,Vloersoorten[],3,FALSE)*VLOOKUP($Y1228,Frequenties[],3,FALSE)*VLOOKUP(#REF!,Locaties[],3,FALSE),0)</f>
        <v>0</v>
      </c>
      <c r="AB1228" s="87">
        <f>Ruimtestaat[[#This Row],[Uitvoeringen weekend]]*Ruimtestaat[[#This Row],[Oppervlak (netto)]]</f>
        <v>0</v>
      </c>
      <c r="AC1228" s="90">
        <f>IF(AB1228&gt;0,Ruimtestaat[[#This Row],[Prest. (m2 /jaar) weekend]]/Ruimtestaat[[#This Row],[Norm (m2/uur) weekend]],0)</f>
        <v>0</v>
      </c>
      <c r="AD1228" s="91">
        <f>Ruimtestaat[[#This Row],[uren / jaar weekend]]*Tariefsopbouw!$D$40</f>
        <v>0</v>
      </c>
      <c r="AE1228" s="60">
        <f>Ruimtestaat[[#This Row],[Prest. (m2 /jaar) weekend]]+Ruimtestaat[[#This Row],[Prest. (m2 /jaar) werkdagen]]</f>
        <v>22538</v>
      </c>
      <c r="AF1228" s="60">
        <f>Ruimtestaat[[#This Row],[uren / jaar weekend]]+Ruimtestaat[[#This Row],[uren / jaar werkdagen]]</f>
        <v>0</v>
      </c>
      <c r="AG1228" s="61">
        <f>Ruimtestaat[[#This Row],[kosten / jaar weekend]]+Ruimtestaat[[#This Row],[kosten / jaar werkdagen]]</f>
        <v>0</v>
      </c>
      <c r="AH1228" s="92"/>
      <c r="HL1228" s="59"/>
    </row>
    <row r="1229" spans="1:220">
      <c r="A1229" s="24">
        <v>7</v>
      </c>
      <c r="B1229" s="24" t="str">
        <f>VLOOKUP(Ruimtestaat[[#This Row],[Code]],Locaties[#All],2,FALSE)</f>
        <v>Het Vlier</v>
      </c>
      <c r="C1229" s="24" t="str">
        <f>VLOOKUP(Ruimtestaat[[#This Row],[Code]],Locaties[#All],4,FALSE)</f>
        <v>Het Vlier 1</v>
      </c>
      <c r="D1229" s="24" t="str">
        <f>VLOOKUP(Ruimtestaat[[#This Row],[Code]],Locaties[#All],5,FALSE)</f>
        <v>7414 AR</v>
      </c>
      <c r="E1229" s="24" t="str">
        <f>VLOOKUP(Ruimtestaat[[#This Row],[Code]],Locaties[#All],6,FALSE)</f>
        <v>Deventer</v>
      </c>
      <c r="F1229" s="54"/>
      <c r="G1229" s="24" t="s">
        <v>367</v>
      </c>
      <c r="H1229" s="24" t="s">
        <v>1651</v>
      </c>
      <c r="I1229" s="4" t="s">
        <v>1432</v>
      </c>
      <c r="J1229" s="24">
        <v>6</v>
      </c>
      <c r="K1229" s="54" t="str">
        <f>VLOOKUP(J1229,Ruimtegroepen[],2,FALSE)</f>
        <v>Gangen/hallen</v>
      </c>
      <c r="L1229" s="24" t="s">
        <v>305</v>
      </c>
      <c r="M1229" s="24" t="s">
        <v>400</v>
      </c>
      <c r="N1229" s="83">
        <v>7.76</v>
      </c>
      <c r="O1229" s="83"/>
      <c r="P1229" s="93" t="str">
        <f>LEFT(VLOOKUP(Ruimtestaat[[#This Row],[Ruimte code]],Ruimtegroepen[#All],4,1),2)</f>
        <v>Ve</v>
      </c>
      <c r="Q1229" s="93"/>
      <c r="R1229" s="84">
        <v>40</v>
      </c>
      <c r="S1229" s="84" t="s">
        <v>318</v>
      </c>
      <c r="T1229" s="85">
        <f>IF(R1229&gt;0,IF(RIGHT(Ruimtestaat[[#This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9" s="85">
        <f>IF(T1229&gt;0,VLOOKUP($J1229,Ruimtegroepen[],3,FALSE)*VLOOKUP($L1229,Vloersoorten[],3,FALSE)*VLOOKUP($S1229,Frequenties[],3,FALSE)*VLOOKUP($A1229,Locaties[],3,FALSE),0)</f>
        <v>0</v>
      </c>
      <c r="V1229" s="86">
        <f>Ruimtestaat[[#This Row],[Uitvoeringen werkdagen]]*Ruimtestaat[[#This Row],[Oppervlak (netto)]]</f>
        <v>1552</v>
      </c>
      <c r="W1229" s="87">
        <f>IF(U1229&gt;0,Ruimtestaat[[#This Row],[Prest. (m2 /jaar) werkdagen]]/Ruimtestaat[[#This Row],[Norm (m2/uur) werkdagen]],0)</f>
        <v>0</v>
      </c>
      <c r="X1229" s="88">
        <f>Ruimtestaat[[#This Row],[uren / jaar werkdagen]]*Tariefsopbouw!$E$35</f>
        <v>0</v>
      </c>
      <c r="Y1229" s="85"/>
      <c r="Z1229" s="89">
        <f>IF(Ruimtestaat[[#This Row],[Frequentie weekend]]&gt;0,VALUE(LEFT(Y1229,1))*R1229,0)</f>
        <v>0</v>
      </c>
      <c r="AA1229" s="85">
        <f>IF($Z1229&gt;0,VLOOKUP($J1229,Ruimtegroepen[],3,FALSE)*VLOOKUP($L1229,Vloersoorten[],3,FALSE)*VLOOKUP($Y1229,Frequenties[],3,FALSE)*VLOOKUP(#REF!,Locaties[],3,FALSE),0)</f>
        <v>0</v>
      </c>
      <c r="AB1229" s="87">
        <f>Ruimtestaat[[#This Row],[Uitvoeringen weekend]]*Ruimtestaat[[#This Row],[Oppervlak (netto)]]</f>
        <v>0</v>
      </c>
      <c r="AC1229" s="90">
        <f>IF(AB1229&gt;0,Ruimtestaat[[#This Row],[Prest. (m2 /jaar) weekend]]/Ruimtestaat[[#This Row],[Norm (m2/uur) weekend]],0)</f>
        <v>0</v>
      </c>
      <c r="AD1229" s="91">
        <f>Ruimtestaat[[#This Row],[uren / jaar weekend]]*Tariefsopbouw!$D$40</f>
        <v>0</v>
      </c>
      <c r="AE1229" s="60">
        <f>Ruimtestaat[[#This Row],[Prest. (m2 /jaar) weekend]]+Ruimtestaat[[#This Row],[Prest. (m2 /jaar) werkdagen]]</f>
        <v>1552</v>
      </c>
      <c r="AF1229" s="60">
        <f>Ruimtestaat[[#This Row],[uren / jaar weekend]]+Ruimtestaat[[#This Row],[uren / jaar werkdagen]]</f>
        <v>0</v>
      </c>
      <c r="AG1229" s="61">
        <f>Ruimtestaat[[#This Row],[kosten / jaar weekend]]+Ruimtestaat[[#This Row],[kosten / jaar werkdagen]]</f>
        <v>0</v>
      </c>
      <c r="AH1229" s="92"/>
      <c r="HL1229" s="59"/>
    </row>
    <row r="1230" spans="1:220">
      <c r="A1230" s="24">
        <v>7</v>
      </c>
      <c r="B1230" s="24" t="str">
        <f>VLOOKUP(Ruimtestaat[[#This Row],[Code]],Locaties[#All],2,FALSE)</f>
        <v>Het Vlier</v>
      </c>
      <c r="C1230" s="24" t="str">
        <f>VLOOKUP(Ruimtestaat[[#This Row],[Code]],Locaties[#All],4,FALSE)</f>
        <v>Het Vlier 1</v>
      </c>
      <c r="D1230" s="24" t="str">
        <f>VLOOKUP(Ruimtestaat[[#This Row],[Code]],Locaties[#All],5,FALSE)</f>
        <v>7414 AR</v>
      </c>
      <c r="E1230" s="24" t="str">
        <f>VLOOKUP(Ruimtestaat[[#This Row],[Code]],Locaties[#All],6,FALSE)</f>
        <v>Deventer</v>
      </c>
      <c r="F1230" s="54"/>
      <c r="G1230" s="24" t="s">
        <v>512</v>
      </c>
      <c r="H1230" s="24" t="s">
        <v>1652</v>
      </c>
      <c r="I1230" s="4" t="s">
        <v>1432</v>
      </c>
      <c r="J1230" s="24">
        <v>6</v>
      </c>
      <c r="K1230" s="54" t="str">
        <f>VLOOKUP(J1230,Ruimtegroepen[],2,FALSE)</f>
        <v>Gangen/hallen</v>
      </c>
      <c r="L1230" s="24" t="s">
        <v>305</v>
      </c>
      <c r="M1230" s="24" t="s">
        <v>400</v>
      </c>
      <c r="N1230" s="83">
        <v>81.67</v>
      </c>
      <c r="O1230" s="83"/>
      <c r="P1230" s="93" t="str">
        <f>LEFT(VLOOKUP(Ruimtestaat[[#This Row],[Ruimte code]],Ruimtegroepen[#All],4,1),2)</f>
        <v>Ve</v>
      </c>
      <c r="Q1230" s="93"/>
      <c r="R1230" s="84">
        <v>40</v>
      </c>
      <c r="S1230" s="84" t="s">
        <v>318</v>
      </c>
      <c r="T1230" s="85">
        <f>IF(R1230&gt;0,IF(RIGHT(Ruimtestaat[[#This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0" s="85">
        <f>IF(T1230&gt;0,VLOOKUP($J1230,Ruimtegroepen[],3,FALSE)*VLOOKUP($L1230,Vloersoorten[],3,FALSE)*VLOOKUP($S1230,Frequenties[],3,FALSE)*VLOOKUP($A1230,Locaties[],3,FALSE),0)</f>
        <v>0</v>
      </c>
      <c r="V1230" s="86">
        <f>Ruimtestaat[[#This Row],[Uitvoeringen werkdagen]]*Ruimtestaat[[#This Row],[Oppervlak (netto)]]</f>
        <v>16334</v>
      </c>
      <c r="W1230" s="87">
        <f>IF(U1230&gt;0,Ruimtestaat[[#This Row],[Prest. (m2 /jaar) werkdagen]]/Ruimtestaat[[#This Row],[Norm (m2/uur) werkdagen]],0)</f>
        <v>0</v>
      </c>
      <c r="X1230" s="88">
        <f>Ruimtestaat[[#This Row],[uren / jaar werkdagen]]*Tariefsopbouw!$E$35</f>
        <v>0</v>
      </c>
      <c r="Y1230" s="85"/>
      <c r="Z1230" s="89">
        <f>IF(Ruimtestaat[[#This Row],[Frequentie weekend]]&gt;0,VALUE(LEFT(Y1230,1))*R1230,0)</f>
        <v>0</v>
      </c>
      <c r="AA1230" s="85">
        <f>IF($Z1230&gt;0,VLOOKUP($J1230,Ruimtegroepen[],3,FALSE)*VLOOKUP($L1230,Vloersoorten[],3,FALSE)*VLOOKUP($Y1230,Frequenties[],3,FALSE)*VLOOKUP(#REF!,Locaties[],3,FALSE),0)</f>
        <v>0</v>
      </c>
      <c r="AB1230" s="87">
        <f>Ruimtestaat[[#This Row],[Uitvoeringen weekend]]*Ruimtestaat[[#This Row],[Oppervlak (netto)]]</f>
        <v>0</v>
      </c>
      <c r="AC1230" s="90">
        <f>IF(AB1230&gt;0,Ruimtestaat[[#This Row],[Prest. (m2 /jaar) weekend]]/Ruimtestaat[[#This Row],[Norm (m2/uur) weekend]],0)</f>
        <v>0</v>
      </c>
      <c r="AD1230" s="91">
        <f>Ruimtestaat[[#This Row],[uren / jaar weekend]]*Tariefsopbouw!$D$40</f>
        <v>0</v>
      </c>
      <c r="AE1230" s="60">
        <f>Ruimtestaat[[#This Row],[Prest. (m2 /jaar) weekend]]+Ruimtestaat[[#This Row],[Prest. (m2 /jaar) werkdagen]]</f>
        <v>16334</v>
      </c>
      <c r="AF1230" s="60">
        <f>Ruimtestaat[[#This Row],[uren / jaar weekend]]+Ruimtestaat[[#This Row],[uren / jaar werkdagen]]</f>
        <v>0</v>
      </c>
      <c r="AG1230" s="61">
        <f>Ruimtestaat[[#This Row],[kosten / jaar weekend]]+Ruimtestaat[[#This Row],[kosten / jaar werkdagen]]</f>
        <v>0</v>
      </c>
      <c r="AH1230" s="92"/>
      <c r="HL1230" s="59"/>
    </row>
    <row r="1231" spans="1:220">
      <c r="A1231" s="24">
        <v>7</v>
      </c>
      <c r="B1231" s="24" t="str">
        <f>VLOOKUP(Ruimtestaat[[#This Row],[Code]],Locaties[#All],2,FALSE)</f>
        <v>Het Vlier</v>
      </c>
      <c r="C1231" s="24" t="str">
        <f>VLOOKUP(Ruimtestaat[[#This Row],[Code]],Locaties[#All],4,FALSE)</f>
        <v>Het Vlier 1</v>
      </c>
      <c r="D1231" s="24" t="str">
        <f>VLOOKUP(Ruimtestaat[[#This Row],[Code]],Locaties[#All],5,FALSE)</f>
        <v>7414 AR</v>
      </c>
      <c r="E1231" s="24" t="str">
        <f>VLOOKUP(Ruimtestaat[[#This Row],[Code]],Locaties[#All],6,FALSE)</f>
        <v>Deventer</v>
      </c>
      <c r="F1231" s="54"/>
      <c r="G1231" s="24" t="s">
        <v>512</v>
      </c>
      <c r="H1231" s="24" t="s">
        <v>1653</v>
      </c>
      <c r="I1231" s="4" t="s">
        <v>1432</v>
      </c>
      <c r="J1231" s="24">
        <v>6</v>
      </c>
      <c r="K1231" s="54" t="str">
        <f>VLOOKUP(J1231,Ruimtegroepen[],2,FALSE)</f>
        <v>Gangen/hallen</v>
      </c>
      <c r="L1231" s="24" t="s">
        <v>305</v>
      </c>
      <c r="M1231" s="24" t="s">
        <v>400</v>
      </c>
      <c r="N1231" s="83">
        <v>117.53</v>
      </c>
      <c r="O1231" s="83"/>
      <c r="P1231" s="93" t="str">
        <f>LEFT(VLOOKUP(Ruimtestaat[[#This Row],[Ruimte code]],Ruimtegroepen[#All],4,1),2)</f>
        <v>Ve</v>
      </c>
      <c r="Q1231" s="93"/>
      <c r="R1231" s="84">
        <v>40</v>
      </c>
      <c r="S1231" s="84" t="s">
        <v>318</v>
      </c>
      <c r="T1231" s="85">
        <f>IF(R1231&gt;0,IF(RIGHT(Ruimtestaat[[#This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1" s="85">
        <f>IF(T1231&gt;0,VLOOKUP($J1231,Ruimtegroepen[],3,FALSE)*VLOOKUP($L1231,Vloersoorten[],3,FALSE)*VLOOKUP($S1231,Frequenties[],3,FALSE)*VLOOKUP($A1231,Locaties[],3,FALSE),0)</f>
        <v>0</v>
      </c>
      <c r="V1231" s="86">
        <f>Ruimtestaat[[#This Row],[Uitvoeringen werkdagen]]*Ruimtestaat[[#This Row],[Oppervlak (netto)]]</f>
        <v>23506</v>
      </c>
      <c r="W1231" s="87">
        <f>IF(U1231&gt;0,Ruimtestaat[[#This Row],[Prest. (m2 /jaar) werkdagen]]/Ruimtestaat[[#This Row],[Norm (m2/uur) werkdagen]],0)</f>
        <v>0</v>
      </c>
      <c r="X1231" s="88">
        <f>Ruimtestaat[[#This Row],[uren / jaar werkdagen]]*Tariefsopbouw!$E$35</f>
        <v>0</v>
      </c>
      <c r="Y1231" s="85"/>
      <c r="Z1231" s="89">
        <f>IF(Ruimtestaat[[#This Row],[Frequentie weekend]]&gt;0,VALUE(LEFT(Y1231,1))*R1231,0)</f>
        <v>0</v>
      </c>
      <c r="AA1231" s="85">
        <f>IF($Z1231&gt;0,VLOOKUP($J1231,Ruimtegroepen[],3,FALSE)*VLOOKUP($L1231,Vloersoorten[],3,FALSE)*VLOOKUP($Y1231,Frequenties[],3,FALSE)*VLOOKUP(#REF!,Locaties[],3,FALSE),0)</f>
        <v>0</v>
      </c>
      <c r="AB1231" s="87">
        <f>Ruimtestaat[[#This Row],[Uitvoeringen weekend]]*Ruimtestaat[[#This Row],[Oppervlak (netto)]]</f>
        <v>0</v>
      </c>
      <c r="AC1231" s="90">
        <f>IF(AB1231&gt;0,Ruimtestaat[[#This Row],[Prest. (m2 /jaar) weekend]]/Ruimtestaat[[#This Row],[Norm (m2/uur) weekend]],0)</f>
        <v>0</v>
      </c>
      <c r="AD1231" s="91">
        <f>Ruimtestaat[[#This Row],[uren / jaar weekend]]*Tariefsopbouw!$D$40</f>
        <v>0</v>
      </c>
      <c r="AE1231" s="60">
        <f>Ruimtestaat[[#This Row],[Prest. (m2 /jaar) weekend]]+Ruimtestaat[[#This Row],[Prest. (m2 /jaar) werkdagen]]</f>
        <v>23506</v>
      </c>
      <c r="AF1231" s="60">
        <f>Ruimtestaat[[#This Row],[uren / jaar weekend]]+Ruimtestaat[[#This Row],[uren / jaar werkdagen]]</f>
        <v>0</v>
      </c>
      <c r="AG1231" s="61">
        <f>Ruimtestaat[[#This Row],[kosten / jaar weekend]]+Ruimtestaat[[#This Row],[kosten / jaar werkdagen]]</f>
        <v>0</v>
      </c>
      <c r="AH1231" s="92"/>
      <c r="HL1231" s="59"/>
    </row>
    <row r="1232" spans="1:220">
      <c r="A1232" s="24">
        <v>7</v>
      </c>
      <c r="B1232" s="24" t="str">
        <f>VLOOKUP(Ruimtestaat[[#This Row],[Code]],Locaties[#All],2,FALSE)</f>
        <v>Het Vlier</v>
      </c>
      <c r="C1232" s="24" t="str">
        <f>VLOOKUP(Ruimtestaat[[#This Row],[Code]],Locaties[#All],4,FALSE)</f>
        <v>Het Vlier 1</v>
      </c>
      <c r="D1232" s="24" t="str">
        <f>VLOOKUP(Ruimtestaat[[#This Row],[Code]],Locaties[#All],5,FALSE)</f>
        <v>7414 AR</v>
      </c>
      <c r="E1232" s="24" t="str">
        <f>VLOOKUP(Ruimtestaat[[#This Row],[Code]],Locaties[#All],6,FALSE)</f>
        <v>Deventer</v>
      </c>
      <c r="F1232" s="54"/>
      <c r="G1232" s="24" t="s">
        <v>367</v>
      </c>
      <c r="H1232" s="24" t="s">
        <v>1654</v>
      </c>
      <c r="I1232" s="4" t="s">
        <v>1655</v>
      </c>
      <c r="J1232" s="24">
        <v>22</v>
      </c>
      <c r="K1232" s="54" t="str">
        <f>VLOOKUP(J1232,Ruimtegroepen[],2,FALSE)</f>
        <v>Niet in onderhoud</v>
      </c>
      <c r="M1232" s="24"/>
      <c r="N1232" s="83"/>
      <c r="O1232" s="83">
        <v>15.15</v>
      </c>
      <c r="P1232" s="93" t="str">
        <f>LEFT(VLOOKUP(Ruimtestaat[[#This Row],[Ruimte code]],Ruimtegroepen[#All],4,1),2)</f>
        <v/>
      </c>
      <c r="Q1232" s="93"/>
      <c r="R1232" s="84"/>
      <c r="S1232" s="84"/>
      <c r="T1232" s="85">
        <f>IF(R1232&gt;0,IF(RIGHT(Ruimtestaat[[#This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32" s="85">
        <f>IF(T1232&gt;0,VLOOKUP($J1232,Ruimtegroepen[],3,FALSE)*VLOOKUP($L1232,Vloersoorten[],3,FALSE)*VLOOKUP($S1232,Frequenties[],3,FALSE)*VLOOKUP($A1232,Locaties[],3,FALSE),0)</f>
        <v>0</v>
      </c>
      <c r="V1232" s="86">
        <f>Ruimtestaat[[#This Row],[Uitvoeringen werkdagen]]*Ruimtestaat[[#This Row],[Oppervlak (netto)]]</f>
        <v>0</v>
      </c>
      <c r="W1232" s="87">
        <f>IF(U1232&gt;0,Ruimtestaat[[#This Row],[Prest. (m2 /jaar) werkdagen]]/Ruimtestaat[[#This Row],[Norm (m2/uur) werkdagen]],0)</f>
        <v>0</v>
      </c>
      <c r="X1232" s="88">
        <f>Ruimtestaat[[#This Row],[uren / jaar werkdagen]]*Tariefsopbouw!$E$35</f>
        <v>0</v>
      </c>
      <c r="Y1232" s="85"/>
      <c r="Z1232" s="89">
        <f>IF(Ruimtestaat[[#This Row],[Frequentie weekend]]&gt;0,VALUE(LEFT(Y1232,1))*R1232,0)</f>
        <v>0</v>
      </c>
      <c r="AA1232" s="85">
        <f>IF($Z1232&gt;0,VLOOKUP($J1232,Ruimtegroepen[],3,FALSE)*VLOOKUP($L1232,Vloersoorten[],3,FALSE)*VLOOKUP($Y1232,Frequenties[],3,FALSE)*VLOOKUP(#REF!,Locaties[],3,FALSE),0)</f>
        <v>0</v>
      </c>
      <c r="AB1232" s="87">
        <f>Ruimtestaat[[#This Row],[Uitvoeringen weekend]]*Ruimtestaat[[#This Row],[Oppervlak (netto)]]</f>
        <v>0</v>
      </c>
      <c r="AC1232" s="90">
        <f>IF(AB1232&gt;0,Ruimtestaat[[#This Row],[Prest. (m2 /jaar) weekend]]/Ruimtestaat[[#This Row],[Norm (m2/uur) weekend]],0)</f>
        <v>0</v>
      </c>
      <c r="AD1232" s="91">
        <f>Ruimtestaat[[#This Row],[uren / jaar weekend]]*Tariefsopbouw!$D$40</f>
        <v>0</v>
      </c>
      <c r="AE1232" s="60">
        <f>Ruimtestaat[[#This Row],[Prest. (m2 /jaar) weekend]]+Ruimtestaat[[#This Row],[Prest. (m2 /jaar) werkdagen]]</f>
        <v>0</v>
      </c>
      <c r="AF1232" s="60">
        <f>Ruimtestaat[[#This Row],[uren / jaar weekend]]+Ruimtestaat[[#This Row],[uren / jaar werkdagen]]</f>
        <v>0</v>
      </c>
      <c r="AG1232" s="61">
        <f>Ruimtestaat[[#This Row],[kosten / jaar weekend]]+Ruimtestaat[[#This Row],[kosten / jaar werkdagen]]</f>
        <v>0</v>
      </c>
      <c r="AH1232" s="92"/>
      <c r="HL1232" s="59"/>
    </row>
    <row r="1233" spans="1:220">
      <c r="A1233" s="24">
        <v>7</v>
      </c>
      <c r="B1233" s="24" t="str">
        <f>VLOOKUP(Ruimtestaat[[#This Row],[Code]],Locaties[#All],2,FALSE)</f>
        <v>Het Vlier</v>
      </c>
      <c r="C1233" s="24" t="str">
        <f>VLOOKUP(Ruimtestaat[[#This Row],[Code]],Locaties[#All],4,FALSE)</f>
        <v>Het Vlier 1</v>
      </c>
      <c r="D1233" s="24" t="str">
        <f>VLOOKUP(Ruimtestaat[[#This Row],[Code]],Locaties[#All],5,FALSE)</f>
        <v>7414 AR</v>
      </c>
      <c r="E1233" s="24" t="str">
        <f>VLOOKUP(Ruimtestaat[[#This Row],[Code]],Locaties[#All],6,FALSE)</f>
        <v>Deventer</v>
      </c>
      <c r="F1233" s="54"/>
      <c r="G1233" s="24" t="s">
        <v>569</v>
      </c>
      <c r="H1233" s="24" t="s">
        <v>1656</v>
      </c>
      <c r="I1233" s="4" t="s">
        <v>1432</v>
      </c>
      <c r="J1233" s="24">
        <v>6</v>
      </c>
      <c r="K1233" s="54" t="str">
        <f>VLOOKUP(J1233,Ruimtegroepen[],2,FALSE)</f>
        <v>Gangen/hallen</v>
      </c>
      <c r="L1233" s="24" t="s">
        <v>305</v>
      </c>
      <c r="M1233" s="24" t="s">
        <v>400</v>
      </c>
      <c r="N1233" s="83">
        <v>118.19</v>
      </c>
      <c r="O1233" s="83"/>
      <c r="P1233" s="93" t="str">
        <f>LEFT(VLOOKUP(Ruimtestaat[[#This Row],[Ruimte code]],Ruimtegroepen[#All],4,1),2)</f>
        <v>Ve</v>
      </c>
      <c r="Q1233" s="93"/>
      <c r="R1233" s="84">
        <v>40</v>
      </c>
      <c r="S1233" s="84" t="s">
        <v>318</v>
      </c>
      <c r="T1233" s="85">
        <f>IF(R1233&gt;0,IF(RIGHT(Ruimtestaat[[#This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3" s="85">
        <f>IF(T1233&gt;0,VLOOKUP($J1233,Ruimtegroepen[],3,FALSE)*VLOOKUP($L1233,Vloersoorten[],3,FALSE)*VLOOKUP($S1233,Frequenties[],3,FALSE)*VLOOKUP($A1233,Locaties[],3,FALSE),0)</f>
        <v>0</v>
      </c>
      <c r="V1233" s="86">
        <f>Ruimtestaat[[#This Row],[Uitvoeringen werkdagen]]*Ruimtestaat[[#This Row],[Oppervlak (netto)]]</f>
        <v>23638</v>
      </c>
      <c r="W1233" s="87">
        <f>IF(U1233&gt;0,Ruimtestaat[[#This Row],[Prest. (m2 /jaar) werkdagen]]/Ruimtestaat[[#This Row],[Norm (m2/uur) werkdagen]],0)</f>
        <v>0</v>
      </c>
      <c r="X1233" s="88">
        <f>Ruimtestaat[[#This Row],[uren / jaar werkdagen]]*Tariefsopbouw!$E$35</f>
        <v>0</v>
      </c>
      <c r="Y1233" s="85"/>
      <c r="Z1233" s="89">
        <f>IF(Ruimtestaat[[#This Row],[Frequentie weekend]]&gt;0,VALUE(LEFT(Y1233,1))*R1233,0)</f>
        <v>0</v>
      </c>
      <c r="AA1233" s="85">
        <f>IF($Z1233&gt;0,VLOOKUP($J1233,Ruimtegroepen[],3,FALSE)*VLOOKUP($L1233,Vloersoorten[],3,FALSE)*VLOOKUP($Y1233,Frequenties[],3,FALSE)*VLOOKUP(#REF!,Locaties[],3,FALSE),0)</f>
        <v>0</v>
      </c>
      <c r="AB1233" s="87">
        <f>Ruimtestaat[[#This Row],[Uitvoeringen weekend]]*Ruimtestaat[[#This Row],[Oppervlak (netto)]]</f>
        <v>0</v>
      </c>
      <c r="AC1233" s="90">
        <f>IF(AB1233&gt;0,Ruimtestaat[[#This Row],[Prest. (m2 /jaar) weekend]]/Ruimtestaat[[#This Row],[Norm (m2/uur) weekend]],0)</f>
        <v>0</v>
      </c>
      <c r="AD1233" s="91">
        <f>Ruimtestaat[[#This Row],[uren / jaar weekend]]*Tariefsopbouw!$D$40</f>
        <v>0</v>
      </c>
      <c r="AE1233" s="60">
        <f>Ruimtestaat[[#This Row],[Prest. (m2 /jaar) weekend]]+Ruimtestaat[[#This Row],[Prest. (m2 /jaar) werkdagen]]</f>
        <v>23638</v>
      </c>
      <c r="AF1233" s="60">
        <f>Ruimtestaat[[#This Row],[uren / jaar weekend]]+Ruimtestaat[[#This Row],[uren / jaar werkdagen]]</f>
        <v>0</v>
      </c>
      <c r="AG1233" s="61">
        <f>Ruimtestaat[[#This Row],[kosten / jaar weekend]]+Ruimtestaat[[#This Row],[kosten / jaar werkdagen]]</f>
        <v>0</v>
      </c>
      <c r="AH1233" s="92"/>
      <c r="HL1233" s="59"/>
    </row>
    <row r="1234" spans="1:220">
      <c r="A1234" s="24">
        <v>7</v>
      </c>
      <c r="B1234" s="24" t="str">
        <f>VLOOKUP(Ruimtestaat[[#This Row],[Code]],Locaties[#All],2,FALSE)</f>
        <v>Het Vlier</v>
      </c>
      <c r="C1234" s="24" t="str">
        <f>VLOOKUP(Ruimtestaat[[#This Row],[Code]],Locaties[#All],4,FALSE)</f>
        <v>Het Vlier 1</v>
      </c>
      <c r="D1234" s="24" t="str">
        <f>VLOOKUP(Ruimtestaat[[#This Row],[Code]],Locaties[#All],5,FALSE)</f>
        <v>7414 AR</v>
      </c>
      <c r="E1234" s="24" t="str">
        <f>VLOOKUP(Ruimtestaat[[#This Row],[Code]],Locaties[#All],6,FALSE)</f>
        <v>Deventer</v>
      </c>
      <c r="F1234" s="54"/>
      <c r="G1234" s="24" t="s">
        <v>569</v>
      </c>
      <c r="H1234" s="24" t="s">
        <v>1657</v>
      </c>
      <c r="I1234" s="4" t="s">
        <v>1432</v>
      </c>
      <c r="J1234" s="24">
        <v>6</v>
      </c>
      <c r="K1234" s="54" t="str">
        <f>VLOOKUP(J1234,Ruimtegroepen[],2,FALSE)</f>
        <v>Gangen/hallen</v>
      </c>
      <c r="L1234" s="24" t="s">
        <v>305</v>
      </c>
      <c r="M1234" s="24" t="s">
        <v>400</v>
      </c>
      <c r="N1234" s="83">
        <v>123.34</v>
      </c>
      <c r="O1234" s="83"/>
      <c r="P1234" s="93" t="str">
        <f>LEFT(VLOOKUP(Ruimtestaat[[#This Row],[Ruimte code]],Ruimtegroepen[#All],4,1),2)</f>
        <v>Ve</v>
      </c>
      <c r="Q1234" s="93"/>
      <c r="R1234" s="84">
        <v>40</v>
      </c>
      <c r="S1234" s="84" t="s">
        <v>318</v>
      </c>
      <c r="T1234" s="85">
        <f>IF(R1234&gt;0,IF(RIGHT(Ruimtestaat[[#This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4" s="85">
        <f>IF(T1234&gt;0,VLOOKUP($J1234,Ruimtegroepen[],3,FALSE)*VLOOKUP($L1234,Vloersoorten[],3,FALSE)*VLOOKUP($S1234,Frequenties[],3,FALSE)*VLOOKUP($A1234,Locaties[],3,FALSE),0)</f>
        <v>0</v>
      </c>
      <c r="V1234" s="86">
        <f>Ruimtestaat[[#This Row],[Uitvoeringen werkdagen]]*Ruimtestaat[[#This Row],[Oppervlak (netto)]]</f>
        <v>24668</v>
      </c>
      <c r="W1234" s="87">
        <f>IF(U1234&gt;0,Ruimtestaat[[#This Row],[Prest. (m2 /jaar) werkdagen]]/Ruimtestaat[[#This Row],[Norm (m2/uur) werkdagen]],0)</f>
        <v>0</v>
      </c>
      <c r="X1234" s="88">
        <f>Ruimtestaat[[#This Row],[uren / jaar werkdagen]]*Tariefsopbouw!$E$35</f>
        <v>0</v>
      </c>
      <c r="Y1234" s="85"/>
      <c r="Z1234" s="89">
        <f>IF(Ruimtestaat[[#This Row],[Frequentie weekend]]&gt;0,VALUE(LEFT(Y1234,1))*R1234,0)</f>
        <v>0</v>
      </c>
      <c r="AA1234" s="85">
        <f>IF($Z1234&gt;0,VLOOKUP($J1234,Ruimtegroepen[],3,FALSE)*VLOOKUP($L1234,Vloersoorten[],3,FALSE)*VLOOKUP($Y1234,Frequenties[],3,FALSE)*VLOOKUP(#REF!,Locaties[],3,FALSE),0)</f>
        <v>0</v>
      </c>
      <c r="AB1234" s="87">
        <f>Ruimtestaat[[#This Row],[Uitvoeringen weekend]]*Ruimtestaat[[#This Row],[Oppervlak (netto)]]</f>
        <v>0</v>
      </c>
      <c r="AC1234" s="90">
        <f>IF(AB1234&gt;0,Ruimtestaat[[#This Row],[Prest. (m2 /jaar) weekend]]/Ruimtestaat[[#This Row],[Norm (m2/uur) weekend]],0)</f>
        <v>0</v>
      </c>
      <c r="AD1234" s="91">
        <f>Ruimtestaat[[#This Row],[uren / jaar weekend]]*Tariefsopbouw!$D$40</f>
        <v>0</v>
      </c>
      <c r="AE1234" s="60">
        <f>Ruimtestaat[[#This Row],[Prest. (m2 /jaar) weekend]]+Ruimtestaat[[#This Row],[Prest. (m2 /jaar) werkdagen]]</f>
        <v>24668</v>
      </c>
      <c r="AF1234" s="60">
        <f>Ruimtestaat[[#This Row],[uren / jaar weekend]]+Ruimtestaat[[#This Row],[uren / jaar werkdagen]]</f>
        <v>0</v>
      </c>
      <c r="AG1234" s="61">
        <f>Ruimtestaat[[#This Row],[kosten / jaar weekend]]+Ruimtestaat[[#This Row],[kosten / jaar werkdagen]]</f>
        <v>0</v>
      </c>
      <c r="AH1234" s="92"/>
      <c r="HL1234" s="59"/>
    </row>
    <row r="1235" spans="1:220">
      <c r="A1235" s="24">
        <v>7</v>
      </c>
      <c r="B1235" s="24" t="str">
        <f>VLOOKUP(Ruimtestaat[[#This Row],[Code]],Locaties[#All],2,FALSE)</f>
        <v>Het Vlier</v>
      </c>
      <c r="C1235" s="24" t="str">
        <f>VLOOKUP(Ruimtestaat[[#This Row],[Code]],Locaties[#All],4,FALSE)</f>
        <v>Het Vlier 1</v>
      </c>
      <c r="D1235" s="24" t="str">
        <f>VLOOKUP(Ruimtestaat[[#This Row],[Code]],Locaties[#All],5,FALSE)</f>
        <v>7414 AR</v>
      </c>
      <c r="E1235" s="24" t="str">
        <f>VLOOKUP(Ruimtestaat[[#This Row],[Code]],Locaties[#All],6,FALSE)</f>
        <v>Deventer</v>
      </c>
      <c r="F1235" s="54"/>
      <c r="G1235" s="24" t="s">
        <v>599</v>
      </c>
      <c r="H1235" s="24" t="s">
        <v>1658</v>
      </c>
      <c r="I1235" s="4" t="s">
        <v>1432</v>
      </c>
      <c r="J1235" s="24">
        <v>6</v>
      </c>
      <c r="K1235" s="54" t="str">
        <f>VLOOKUP(J1235,Ruimtegroepen[],2,FALSE)</f>
        <v>Gangen/hallen</v>
      </c>
      <c r="L1235" s="24" t="s">
        <v>305</v>
      </c>
      <c r="M1235" s="24" t="s">
        <v>400</v>
      </c>
      <c r="N1235" s="83">
        <v>124.43</v>
      </c>
      <c r="O1235" s="83"/>
      <c r="P1235" s="93" t="str">
        <f>LEFT(VLOOKUP(Ruimtestaat[[#This Row],[Ruimte code]],Ruimtegroepen[#All],4,1),2)</f>
        <v>Ve</v>
      </c>
      <c r="Q1235" s="93"/>
      <c r="R1235" s="84">
        <v>40</v>
      </c>
      <c r="S1235" s="84" t="s">
        <v>318</v>
      </c>
      <c r="T1235" s="85">
        <f>IF(R1235&gt;0,IF(RIGHT(Ruimtestaat[[#This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5" s="85">
        <f>IF(T1235&gt;0,VLOOKUP($J1235,Ruimtegroepen[],3,FALSE)*VLOOKUP($L1235,Vloersoorten[],3,FALSE)*VLOOKUP($S1235,Frequenties[],3,FALSE)*VLOOKUP($A1235,Locaties[],3,FALSE),0)</f>
        <v>0</v>
      </c>
      <c r="V1235" s="86">
        <f>Ruimtestaat[[#This Row],[Uitvoeringen werkdagen]]*Ruimtestaat[[#This Row],[Oppervlak (netto)]]</f>
        <v>24886</v>
      </c>
      <c r="W1235" s="87">
        <f>IF(U1235&gt;0,Ruimtestaat[[#This Row],[Prest. (m2 /jaar) werkdagen]]/Ruimtestaat[[#This Row],[Norm (m2/uur) werkdagen]],0)</f>
        <v>0</v>
      </c>
      <c r="X1235" s="88">
        <f>Ruimtestaat[[#This Row],[uren / jaar werkdagen]]*Tariefsopbouw!$E$35</f>
        <v>0</v>
      </c>
      <c r="Y1235" s="85"/>
      <c r="Z1235" s="89">
        <f>IF(Ruimtestaat[[#This Row],[Frequentie weekend]]&gt;0,VALUE(LEFT(Y1235,1))*R1235,0)</f>
        <v>0</v>
      </c>
      <c r="AA1235" s="85">
        <f>IF($Z1235&gt;0,VLOOKUP($J1235,Ruimtegroepen[],3,FALSE)*VLOOKUP($L1235,Vloersoorten[],3,FALSE)*VLOOKUP($Y1235,Frequenties[],3,FALSE)*VLOOKUP(#REF!,Locaties[],3,FALSE),0)</f>
        <v>0</v>
      </c>
      <c r="AB1235" s="87">
        <f>Ruimtestaat[[#This Row],[Uitvoeringen weekend]]*Ruimtestaat[[#This Row],[Oppervlak (netto)]]</f>
        <v>0</v>
      </c>
      <c r="AC1235" s="90">
        <f>IF(AB1235&gt;0,Ruimtestaat[[#This Row],[Prest. (m2 /jaar) weekend]]/Ruimtestaat[[#This Row],[Norm (m2/uur) weekend]],0)</f>
        <v>0</v>
      </c>
      <c r="AD1235" s="91">
        <f>Ruimtestaat[[#This Row],[uren / jaar weekend]]*Tariefsopbouw!$D$40</f>
        <v>0</v>
      </c>
      <c r="AE1235" s="60">
        <f>Ruimtestaat[[#This Row],[Prest. (m2 /jaar) weekend]]+Ruimtestaat[[#This Row],[Prest. (m2 /jaar) werkdagen]]</f>
        <v>24886</v>
      </c>
      <c r="AF1235" s="60">
        <f>Ruimtestaat[[#This Row],[uren / jaar weekend]]+Ruimtestaat[[#This Row],[uren / jaar werkdagen]]</f>
        <v>0</v>
      </c>
      <c r="AG1235" s="61">
        <f>Ruimtestaat[[#This Row],[kosten / jaar weekend]]+Ruimtestaat[[#This Row],[kosten / jaar werkdagen]]</f>
        <v>0</v>
      </c>
      <c r="AH1235" s="92"/>
      <c r="HL1235" s="59"/>
    </row>
    <row r="1236" spans="1:220">
      <c r="A1236" s="24">
        <v>7</v>
      </c>
      <c r="B1236" s="24" t="str">
        <f>VLOOKUP(Ruimtestaat[[#This Row],[Code]],Locaties[#All],2,FALSE)</f>
        <v>Het Vlier</v>
      </c>
      <c r="C1236" s="24" t="str">
        <f>VLOOKUP(Ruimtestaat[[#This Row],[Code]],Locaties[#All],4,FALSE)</f>
        <v>Het Vlier 1</v>
      </c>
      <c r="D1236" s="24" t="str">
        <f>VLOOKUP(Ruimtestaat[[#This Row],[Code]],Locaties[#All],5,FALSE)</f>
        <v>7414 AR</v>
      </c>
      <c r="E1236" s="24" t="str">
        <f>VLOOKUP(Ruimtestaat[[#This Row],[Code]],Locaties[#All],6,FALSE)</f>
        <v>Deventer</v>
      </c>
      <c r="F1236" s="54"/>
      <c r="G1236" s="24" t="s">
        <v>599</v>
      </c>
      <c r="H1236" s="24" t="s">
        <v>1659</v>
      </c>
      <c r="I1236" s="4" t="s">
        <v>1432</v>
      </c>
      <c r="J1236" s="24">
        <v>6</v>
      </c>
      <c r="K1236" s="54" t="str">
        <f>VLOOKUP(J1236,Ruimtegroepen[],2,FALSE)</f>
        <v>Gangen/hallen</v>
      </c>
      <c r="L1236" s="24" t="s">
        <v>305</v>
      </c>
      <c r="M1236" s="24" t="s">
        <v>400</v>
      </c>
      <c r="N1236" s="83">
        <v>119.29</v>
      </c>
      <c r="O1236" s="83"/>
      <c r="P1236" s="93" t="str">
        <f>LEFT(VLOOKUP(Ruimtestaat[[#This Row],[Ruimte code]],Ruimtegroepen[#All],4,1),2)</f>
        <v>Ve</v>
      </c>
      <c r="Q1236" s="93"/>
      <c r="R1236" s="84">
        <v>40</v>
      </c>
      <c r="S1236" s="84" t="s">
        <v>318</v>
      </c>
      <c r="T1236" s="85">
        <f>IF(R1236&gt;0,IF(RIGHT(Ruimtestaat[[#This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6" s="85">
        <f>IF(T1236&gt;0,VLOOKUP($J1236,Ruimtegroepen[],3,FALSE)*VLOOKUP($L1236,Vloersoorten[],3,FALSE)*VLOOKUP($S1236,Frequenties[],3,FALSE)*VLOOKUP($A1236,Locaties[],3,FALSE),0)</f>
        <v>0</v>
      </c>
      <c r="V1236" s="86">
        <f>Ruimtestaat[[#This Row],[Uitvoeringen werkdagen]]*Ruimtestaat[[#This Row],[Oppervlak (netto)]]</f>
        <v>23858</v>
      </c>
      <c r="W1236" s="87">
        <f>IF(U1236&gt;0,Ruimtestaat[[#This Row],[Prest. (m2 /jaar) werkdagen]]/Ruimtestaat[[#This Row],[Norm (m2/uur) werkdagen]],0)</f>
        <v>0</v>
      </c>
      <c r="X1236" s="88">
        <f>Ruimtestaat[[#This Row],[uren / jaar werkdagen]]*Tariefsopbouw!$E$35</f>
        <v>0</v>
      </c>
      <c r="Y1236" s="85"/>
      <c r="Z1236" s="89">
        <f>IF(Ruimtestaat[[#This Row],[Frequentie weekend]]&gt;0,VALUE(LEFT(Y1236,1))*R1236,0)</f>
        <v>0</v>
      </c>
      <c r="AA1236" s="85">
        <f>IF($Z1236&gt;0,VLOOKUP($J1236,Ruimtegroepen[],3,FALSE)*VLOOKUP($L1236,Vloersoorten[],3,FALSE)*VLOOKUP($Y1236,Frequenties[],3,FALSE)*VLOOKUP(#REF!,Locaties[],3,FALSE),0)</f>
        <v>0</v>
      </c>
      <c r="AB1236" s="87">
        <f>Ruimtestaat[[#This Row],[Uitvoeringen weekend]]*Ruimtestaat[[#This Row],[Oppervlak (netto)]]</f>
        <v>0</v>
      </c>
      <c r="AC1236" s="90">
        <f>IF(AB1236&gt;0,Ruimtestaat[[#This Row],[Prest. (m2 /jaar) weekend]]/Ruimtestaat[[#This Row],[Norm (m2/uur) weekend]],0)</f>
        <v>0</v>
      </c>
      <c r="AD1236" s="91">
        <f>Ruimtestaat[[#This Row],[uren / jaar weekend]]*Tariefsopbouw!$D$40</f>
        <v>0</v>
      </c>
      <c r="AE1236" s="60">
        <f>Ruimtestaat[[#This Row],[Prest. (m2 /jaar) weekend]]+Ruimtestaat[[#This Row],[Prest. (m2 /jaar) werkdagen]]</f>
        <v>23858</v>
      </c>
      <c r="AF1236" s="60">
        <f>Ruimtestaat[[#This Row],[uren / jaar weekend]]+Ruimtestaat[[#This Row],[uren / jaar werkdagen]]</f>
        <v>0</v>
      </c>
      <c r="AG1236" s="61">
        <f>Ruimtestaat[[#This Row],[kosten / jaar weekend]]+Ruimtestaat[[#This Row],[kosten / jaar werkdagen]]</f>
        <v>0</v>
      </c>
      <c r="AH1236" s="92"/>
      <c r="HL1236" s="59"/>
    </row>
    <row r="1237" spans="1:220">
      <c r="A1237" s="24">
        <v>7</v>
      </c>
      <c r="B1237" s="24" t="str">
        <f>VLOOKUP(Ruimtestaat[[#This Row],[Code]],Locaties[#All],2,FALSE)</f>
        <v>Het Vlier</v>
      </c>
      <c r="C1237" s="24" t="str">
        <f>VLOOKUP(Ruimtestaat[[#This Row],[Code]],Locaties[#All],4,FALSE)</f>
        <v>Het Vlier 1</v>
      </c>
      <c r="D1237" s="24" t="str">
        <f>VLOOKUP(Ruimtestaat[[#This Row],[Code]],Locaties[#All],5,FALSE)</f>
        <v>7414 AR</v>
      </c>
      <c r="E1237" s="24" t="str">
        <f>VLOOKUP(Ruimtestaat[[#This Row],[Code]],Locaties[#All],6,FALSE)</f>
        <v>Deventer</v>
      </c>
      <c r="F1237" s="54"/>
      <c r="G1237" s="24" t="s">
        <v>367</v>
      </c>
      <c r="H1237" s="24" t="s">
        <v>1660</v>
      </c>
      <c r="I1237" s="4" t="s">
        <v>1432</v>
      </c>
      <c r="J1237" s="24">
        <v>6</v>
      </c>
      <c r="K1237" s="54" t="str">
        <f>VLOOKUP(J1237,Ruimtegroepen[],2,FALSE)</f>
        <v>Gangen/hallen</v>
      </c>
      <c r="L1237" s="24" t="s">
        <v>305</v>
      </c>
      <c r="M1237" s="24" t="s">
        <v>400</v>
      </c>
      <c r="N1237" s="83">
        <v>86.12</v>
      </c>
      <c r="O1237" s="83"/>
      <c r="P1237" s="93" t="str">
        <f>LEFT(VLOOKUP(Ruimtestaat[[#This Row],[Ruimte code]],Ruimtegroepen[#All],4,1),2)</f>
        <v>Ve</v>
      </c>
      <c r="Q1237" s="93"/>
      <c r="R1237" s="84">
        <v>40</v>
      </c>
      <c r="S1237" s="84" t="s">
        <v>318</v>
      </c>
      <c r="T1237" s="85">
        <f>IF(R1237&gt;0,IF(RIGHT(Ruimtestaat[[#This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7" s="85">
        <f>IF(T1237&gt;0,VLOOKUP($J1237,Ruimtegroepen[],3,FALSE)*VLOOKUP($L1237,Vloersoorten[],3,FALSE)*VLOOKUP($S1237,Frequenties[],3,FALSE)*VLOOKUP($A1237,Locaties[],3,FALSE),0)</f>
        <v>0</v>
      </c>
      <c r="V1237" s="86">
        <f>Ruimtestaat[[#This Row],[Uitvoeringen werkdagen]]*Ruimtestaat[[#This Row],[Oppervlak (netto)]]</f>
        <v>17224</v>
      </c>
      <c r="W1237" s="87">
        <f>IF(U1237&gt;0,Ruimtestaat[[#This Row],[Prest. (m2 /jaar) werkdagen]]/Ruimtestaat[[#This Row],[Norm (m2/uur) werkdagen]],0)</f>
        <v>0</v>
      </c>
      <c r="X1237" s="88">
        <f>Ruimtestaat[[#This Row],[uren / jaar werkdagen]]*Tariefsopbouw!$E$35</f>
        <v>0</v>
      </c>
      <c r="Y1237" s="85"/>
      <c r="Z1237" s="89">
        <f>IF(Ruimtestaat[[#This Row],[Frequentie weekend]]&gt;0,VALUE(LEFT(Y1237,1))*R1237,0)</f>
        <v>0</v>
      </c>
      <c r="AA1237" s="85">
        <f>IF($Z1237&gt;0,VLOOKUP($J1237,Ruimtegroepen[],3,FALSE)*VLOOKUP($L1237,Vloersoorten[],3,FALSE)*VLOOKUP($Y1237,Frequenties[],3,FALSE)*VLOOKUP(#REF!,Locaties[],3,FALSE),0)</f>
        <v>0</v>
      </c>
      <c r="AB1237" s="87">
        <f>Ruimtestaat[[#This Row],[Uitvoeringen weekend]]*Ruimtestaat[[#This Row],[Oppervlak (netto)]]</f>
        <v>0</v>
      </c>
      <c r="AC1237" s="90">
        <f>IF(AB1237&gt;0,Ruimtestaat[[#This Row],[Prest. (m2 /jaar) weekend]]/Ruimtestaat[[#This Row],[Norm (m2/uur) weekend]],0)</f>
        <v>0</v>
      </c>
      <c r="AD1237" s="91">
        <f>Ruimtestaat[[#This Row],[uren / jaar weekend]]*Tariefsopbouw!$D$40</f>
        <v>0</v>
      </c>
      <c r="AE1237" s="60">
        <f>Ruimtestaat[[#This Row],[Prest. (m2 /jaar) weekend]]+Ruimtestaat[[#This Row],[Prest. (m2 /jaar) werkdagen]]</f>
        <v>17224</v>
      </c>
      <c r="AF1237" s="60">
        <f>Ruimtestaat[[#This Row],[uren / jaar weekend]]+Ruimtestaat[[#This Row],[uren / jaar werkdagen]]</f>
        <v>0</v>
      </c>
      <c r="AG1237" s="61">
        <f>Ruimtestaat[[#This Row],[kosten / jaar weekend]]+Ruimtestaat[[#This Row],[kosten / jaar werkdagen]]</f>
        <v>0</v>
      </c>
      <c r="AH1237" s="92"/>
      <c r="HL1237" s="59"/>
    </row>
    <row r="1238" spans="1:220">
      <c r="A1238" s="24">
        <v>7</v>
      </c>
      <c r="B1238" s="24" t="str">
        <f>VLOOKUP(Ruimtestaat[[#This Row],[Code]],Locaties[#All],2,FALSE)</f>
        <v>Het Vlier</v>
      </c>
      <c r="C1238" s="24" t="str">
        <f>VLOOKUP(Ruimtestaat[[#This Row],[Code]],Locaties[#All],4,FALSE)</f>
        <v>Het Vlier 1</v>
      </c>
      <c r="D1238" s="24" t="str">
        <f>VLOOKUP(Ruimtestaat[[#This Row],[Code]],Locaties[#All],5,FALSE)</f>
        <v>7414 AR</v>
      </c>
      <c r="E1238" s="24" t="str">
        <f>VLOOKUP(Ruimtestaat[[#This Row],[Code]],Locaties[#All],6,FALSE)</f>
        <v>Deventer</v>
      </c>
      <c r="F1238" s="54"/>
      <c r="G1238" s="24" t="s">
        <v>367</v>
      </c>
      <c r="H1238" s="24" t="s">
        <v>1661</v>
      </c>
      <c r="I1238" s="4" t="s">
        <v>1432</v>
      </c>
      <c r="J1238" s="24">
        <v>6</v>
      </c>
      <c r="K1238" s="54" t="str">
        <f>VLOOKUP(J1238,Ruimtegroepen[],2,FALSE)</f>
        <v>Gangen/hallen</v>
      </c>
      <c r="L1238" s="24" t="s">
        <v>305</v>
      </c>
      <c r="M1238" s="24" t="s">
        <v>400</v>
      </c>
      <c r="N1238" s="83">
        <v>89.7</v>
      </c>
      <c r="O1238" s="83"/>
      <c r="P1238" s="93" t="str">
        <f>LEFT(VLOOKUP(Ruimtestaat[[#This Row],[Ruimte code]],Ruimtegroepen[#All],4,1),2)</f>
        <v>Ve</v>
      </c>
      <c r="Q1238" s="93"/>
      <c r="R1238" s="84">
        <v>40</v>
      </c>
      <c r="S1238" s="84" t="s">
        <v>318</v>
      </c>
      <c r="T1238" s="85">
        <f>IF(R1238&gt;0,IF(RIGHT(Ruimtestaat[[#This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8" s="85">
        <f>IF(T1238&gt;0,VLOOKUP($J1238,Ruimtegroepen[],3,FALSE)*VLOOKUP($L1238,Vloersoorten[],3,FALSE)*VLOOKUP($S1238,Frequenties[],3,FALSE)*VLOOKUP($A1238,Locaties[],3,FALSE),0)</f>
        <v>0</v>
      </c>
      <c r="V1238" s="86">
        <f>Ruimtestaat[[#This Row],[Uitvoeringen werkdagen]]*Ruimtestaat[[#This Row],[Oppervlak (netto)]]</f>
        <v>17940</v>
      </c>
      <c r="W1238" s="87">
        <f>IF(U1238&gt;0,Ruimtestaat[[#This Row],[Prest. (m2 /jaar) werkdagen]]/Ruimtestaat[[#This Row],[Norm (m2/uur) werkdagen]],0)</f>
        <v>0</v>
      </c>
      <c r="X1238" s="88">
        <f>Ruimtestaat[[#This Row],[uren / jaar werkdagen]]*Tariefsopbouw!$E$35</f>
        <v>0</v>
      </c>
      <c r="Y1238" s="85"/>
      <c r="Z1238" s="89">
        <f>IF(Ruimtestaat[[#This Row],[Frequentie weekend]]&gt;0,VALUE(LEFT(Y1238,1))*R1238,0)</f>
        <v>0</v>
      </c>
      <c r="AA1238" s="85">
        <f>IF($Z1238&gt;0,VLOOKUP($J1238,Ruimtegroepen[],3,FALSE)*VLOOKUP($L1238,Vloersoorten[],3,FALSE)*VLOOKUP($Y1238,Frequenties[],3,FALSE)*VLOOKUP(#REF!,Locaties[],3,FALSE),0)</f>
        <v>0</v>
      </c>
      <c r="AB1238" s="87">
        <f>Ruimtestaat[[#This Row],[Uitvoeringen weekend]]*Ruimtestaat[[#This Row],[Oppervlak (netto)]]</f>
        <v>0</v>
      </c>
      <c r="AC1238" s="90">
        <f>IF(AB1238&gt;0,Ruimtestaat[[#This Row],[Prest. (m2 /jaar) weekend]]/Ruimtestaat[[#This Row],[Norm (m2/uur) weekend]],0)</f>
        <v>0</v>
      </c>
      <c r="AD1238" s="91">
        <f>Ruimtestaat[[#This Row],[uren / jaar weekend]]*Tariefsopbouw!$D$40</f>
        <v>0</v>
      </c>
      <c r="AE1238" s="60">
        <f>Ruimtestaat[[#This Row],[Prest. (m2 /jaar) weekend]]+Ruimtestaat[[#This Row],[Prest. (m2 /jaar) werkdagen]]</f>
        <v>17940</v>
      </c>
      <c r="AF1238" s="60">
        <f>Ruimtestaat[[#This Row],[uren / jaar weekend]]+Ruimtestaat[[#This Row],[uren / jaar werkdagen]]</f>
        <v>0</v>
      </c>
      <c r="AG1238" s="61">
        <f>Ruimtestaat[[#This Row],[kosten / jaar weekend]]+Ruimtestaat[[#This Row],[kosten / jaar werkdagen]]</f>
        <v>0</v>
      </c>
      <c r="AH1238" s="92"/>
      <c r="HL1238" s="59"/>
    </row>
    <row r="1239" spans="1:220">
      <c r="A1239" s="24">
        <v>7</v>
      </c>
      <c r="B1239" s="24" t="str">
        <f>VLOOKUP(Ruimtestaat[[#This Row],[Code]],Locaties[#All],2,FALSE)</f>
        <v>Het Vlier</v>
      </c>
      <c r="C1239" s="24" t="str">
        <f>VLOOKUP(Ruimtestaat[[#This Row],[Code]],Locaties[#All],4,FALSE)</f>
        <v>Het Vlier 1</v>
      </c>
      <c r="D1239" s="24" t="str">
        <f>VLOOKUP(Ruimtestaat[[#This Row],[Code]],Locaties[#All],5,FALSE)</f>
        <v>7414 AR</v>
      </c>
      <c r="E1239" s="24" t="str">
        <f>VLOOKUP(Ruimtestaat[[#This Row],[Code]],Locaties[#All],6,FALSE)</f>
        <v>Deventer</v>
      </c>
      <c r="F1239" s="54"/>
      <c r="G1239" s="24" t="s">
        <v>512</v>
      </c>
      <c r="H1239" s="24" t="s">
        <v>1662</v>
      </c>
      <c r="I1239" s="4" t="s">
        <v>1663</v>
      </c>
      <c r="J1239" s="24">
        <v>6</v>
      </c>
      <c r="K1239" s="54" t="str">
        <f>VLOOKUP(J1239,Ruimtegroepen[],2,FALSE)</f>
        <v>Gangen/hallen</v>
      </c>
      <c r="L1239" s="24" t="s">
        <v>305</v>
      </c>
      <c r="M1239" s="24" t="s">
        <v>400</v>
      </c>
      <c r="N1239" s="83">
        <v>106.66</v>
      </c>
      <c r="O1239" s="83"/>
      <c r="P1239" s="93" t="str">
        <f>LEFT(VLOOKUP(Ruimtestaat[[#This Row],[Ruimte code]],Ruimtegroepen[#All],4,1),2)</f>
        <v>Ve</v>
      </c>
      <c r="Q1239" s="93"/>
      <c r="R1239" s="84">
        <v>40</v>
      </c>
      <c r="S1239" s="84" t="s">
        <v>318</v>
      </c>
      <c r="T1239" s="85">
        <f>IF(R1239&gt;0,IF(RIGHT(Ruimtestaat[[#This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9" s="85">
        <f>IF(T1239&gt;0,VLOOKUP($J1239,Ruimtegroepen[],3,FALSE)*VLOOKUP($L1239,Vloersoorten[],3,FALSE)*VLOOKUP($S1239,Frequenties[],3,FALSE)*VLOOKUP($A1239,Locaties[],3,FALSE),0)</f>
        <v>0</v>
      </c>
      <c r="V1239" s="86">
        <f>Ruimtestaat[[#This Row],[Uitvoeringen werkdagen]]*Ruimtestaat[[#This Row],[Oppervlak (netto)]]</f>
        <v>21332</v>
      </c>
      <c r="W1239" s="87">
        <f>IF(U1239&gt;0,Ruimtestaat[[#This Row],[Prest. (m2 /jaar) werkdagen]]/Ruimtestaat[[#This Row],[Norm (m2/uur) werkdagen]],0)</f>
        <v>0</v>
      </c>
      <c r="X1239" s="88">
        <f>Ruimtestaat[[#This Row],[uren / jaar werkdagen]]*Tariefsopbouw!$E$35</f>
        <v>0</v>
      </c>
      <c r="Y1239" s="85"/>
      <c r="Z1239" s="89">
        <f>IF(Ruimtestaat[[#This Row],[Frequentie weekend]]&gt;0,VALUE(LEFT(Y1239,1))*R1239,0)</f>
        <v>0</v>
      </c>
      <c r="AA1239" s="85">
        <f>IF($Z1239&gt;0,VLOOKUP($J1239,Ruimtegroepen[],3,FALSE)*VLOOKUP($L1239,Vloersoorten[],3,FALSE)*VLOOKUP($Y1239,Frequenties[],3,FALSE)*VLOOKUP(#REF!,Locaties[],3,FALSE),0)</f>
        <v>0</v>
      </c>
      <c r="AB1239" s="87">
        <f>Ruimtestaat[[#This Row],[Uitvoeringen weekend]]*Ruimtestaat[[#This Row],[Oppervlak (netto)]]</f>
        <v>0</v>
      </c>
      <c r="AC1239" s="90">
        <f>IF(AB1239&gt;0,Ruimtestaat[[#This Row],[Prest. (m2 /jaar) weekend]]/Ruimtestaat[[#This Row],[Norm (m2/uur) weekend]],0)</f>
        <v>0</v>
      </c>
      <c r="AD1239" s="91">
        <f>Ruimtestaat[[#This Row],[uren / jaar weekend]]*Tariefsopbouw!$D$40</f>
        <v>0</v>
      </c>
      <c r="AE1239" s="60">
        <f>Ruimtestaat[[#This Row],[Prest. (m2 /jaar) weekend]]+Ruimtestaat[[#This Row],[Prest. (m2 /jaar) werkdagen]]</f>
        <v>21332</v>
      </c>
      <c r="AF1239" s="60">
        <f>Ruimtestaat[[#This Row],[uren / jaar weekend]]+Ruimtestaat[[#This Row],[uren / jaar werkdagen]]</f>
        <v>0</v>
      </c>
      <c r="AG1239" s="61">
        <f>Ruimtestaat[[#This Row],[kosten / jaar weekend]]+Ruimtestaat[[#This Row],[kosten / jaar werkdagen]]</f>
        <v>0</v>
      </c>
      <c r="AH1239" s="92"/>
      <c r="HL1239" s="59"/>
    </row>
    <row r="1240" spans="1:220">
      <c r="A1240" s="24">
        <v>7</v>
      </c>
      <c r="B1240" s="24" t="str">
        <f>VLOOKUP(Ruimtestaat[[#This Row],[Code]],Locaties[#All],2,FALSE)</f>
        <v>Het Vlier</v>
      </c>
      <c r="C1240" s="24" t="str">
        <f>VLOOKUP(Ruimtestaat[[#This Row],[Code]],Locaties[#All],4,FALSE)</f>
        <v>Het Vlier 1</v>
      </c>
      <c r="D1240" s="24" t="str">
        <f>VLOOKUP(Ruimtestaat[[#This Row],[Code]],Locaties[#All],5,FALSE)</f>
        <v>7414 AR</v>
      </c>
      <c r="E1240" s="24" t="str">
        <f>VLOOKUP(Ruimtestaat[[#This Row],[Code]],Locaties[#All],6,FALSE)</f>
        <v>Deventer</v>
      </c>
      <c r="F1240" s="54"/>
      <c r="G1240" s="24" t="s">
        <v>512</v>
      </c>
      <c r="H1240" s="24" t="s">
        <v>1664</v>
      </c>
      <c r="I1240" s="4" t="s">
        <v>1663</v>
      </c>
      <c r="J1240" s="24">
        <v>6</v>
      </c>
      <c r="K1240" s="54" t="str">
        <f>VLOOKUP(J1240,Ruimtegroepen[],2,FALSE)</f>
        <v>Gangen/hallen</v>
      </c>
      <c r="L1240" s="24" t="s">
        <v>305</v>
      </c>
      <c r="M1240" s="24" t="s">
        <v>400</v>
      </c>
      <c r="N1240" s="83">
        <v>96.83</v>
      </c>
      <c r="O1240" s="83"/>
      <c r="P1240" s="93" t="str">
        <f>LEFT(VLOOKUP(Ruimtestaat[[#This Row],[Ruimte code]],Ruimtegroepen[#All],4,1),2)</f>
        <v>Ve</v>
      </c>
      <c r="Q1240" s="93"/>
      <c r="R1240" s="84">
        <v>40</v>
      </c>
      <c r="S1240" s="84" t="s">
        <v>318</v>
      </c>
      <c r="T1240" s="85">
        <f>IF(R1240&gt;0,IF(RIGHT(Ruimtestaat[[#This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0" s="85">
        <f>IF(T1240&gt;0,VLOOKUP($J1240,Ruimtegroepen[],3,FALSE)*VLOOKUP($L1240,Vloersoorten[],3,FALSE)*VLOOKUP($S1240,Frequenties[],3,FALSE)*VLOOKUP($A1240,Locaties[],3,FALSE),0)</f>
        <v>0</v>
      </c>
      <c r="V1240" s="86">
        <f>Ruimtestaat[[#This Row],[Uitvoeringen werkdagen]]*Ruimtestaat[[#This Row],[Oppervlak (netto)]]</f>
        <v>19366</v>
      </c>
      <c r="W1240" s="87">
        <f>IF(U1240&gt;0,Ruimtestaat[[#This Row],[Prest. (m2 /jaar) werkdagen]]/Ruimtestaat[[#This Row],[Norm (m2/uur) werkdagen]],0)</f>
        <v>0</v>
      </c>
      <c r="X1240" s="88">
        <f>Ruimtestaat[[#This Row],[uren / jaar werkdagen]]*Tariefsopbouw!$E$35</f>
        <v>0</v>
      </c>
      <c r="Y1240" s="85"/>
      <c r="Z1240" s="89">
        <f>IF(Ruimtestaat[[#This Row],[Frequentie weekend]]&gt;0,VALUE(LEFT(Y1240,1))*R1240,0)</f>
        <v>0</v>
      </c>
      <c r="AA1240" s="85">
        <f>IF($Z1240&gt;0,VLOOKUP($J1240,Ruimtegroepen[],3,FALSE)*VLOOKUP($L1240,Vloersoorten[],3,FALSE)*VLOOKUP($Y1240,Frequenties[],3,FALSE)*VLOOKUP(#REF!,Locaties[],3,FALSE),0)</f>
        <v>0</v>
      </c>
      <c r="AB1240" s="87">
        <f>Ruimtestaat[[#This Row],[Uitvoeringen weekend]]*Ruimtestaat[[#This Row],[Oppervlak (netto)]]</f>
        <v>0</v>
      </c>
      <c r="AC1240" s="90">
        <f>IF(AB1240&gt;0,Ruimtestaat[[#This Row],[Prest. (m2 /jaar) weekend]]/Ruimtestaat[[#This Row],[Norm (m2/uur) weekend]],0)</f>
        <v>0</v>
      </c>
      <c r="AD1240" s="91">
        <f>Ruimtestaat[[#This Row],[uren / jaar weekend]]*Tariefsopbouw!$D$40</f>
        <v>0</v>
      </c>
      <c r="AE1240" s="60">
        <f>Ruimtestaat[[#This Row],[Prest. (m2 /jaar) weekend]]+Ruimtestaat[[#This Row],[Prest. (m2 /jaar) werkdagen]]</f>
        <v>19366</v>
      </c>
      <c r="AF1240" s="60">
        <f>Ruimtestaat[[#This Row],[uren / jaar weekend]]+Ruimtestaat[[#This Row],[uren / jaar werkdagen]]</f>
        <v>0</v>
      </c>
      <c r="AG1240" s="61">
        <f>Ruimtestaat[[#This Row],[kosten / jaar weekend]]+Ruimtestaat[[#This Row],[kosten / jaar werkdagen]]</f>
        <v>0</v>
      </c>
      <c r="AH1240" s="92"/>
      <c r="HL1240" s="59"/>
    </row>
    <row r="1241" spans="1:220">
      <c r="A1241" s="24">
        <v>7</v>
      </c>
      <c r="B1241" s="24" t="str">
        <f>VLOOKUP(Ruimtestaat[[#This Row],[Code]],Locaties[#All],2,FALSE)</f>
        <v>Het Vlier</v>
      </c>
      <c r="C1241" s="24" t="str">
        <f>VLOOKUP(Ruimtestaat[[#This Row],[Code]],Locaties[#All],4,FALSE)</f>
        <v>Het Vlier 1</v>
      </c>
      <c r="D1241" s="24" t="str">
        <f>VLOOKUP(Ruimtestaat[[#This Row],[Code]],Locaties[#All],5,FALSE)</f>
        <v>7414 AR</v>
      </c>
      <c r="E1241" s="24" t="str">
        <f>VLOOKUP(Ruimtestaat[[#This Row],[Code]],Locaties[#All],6,FALSE)</f>
        <v>Deventer</v>
      </c>
      <c r="F1241" s="54"/>
      <c r="G1241" s="24" t="s">
        <v>569</v>
      </c>
      <c r="H1241" s="24" t="s">
        <v>1665</v>
      </c>
      <c r="I1241" s="4" t="s">
        <v>1432</v>
      </c>
      <c r="J1241" s="24">
        <v>6</v>
      </c>
      <c r="K1241" s="54" t="str">
        <f>VLOOKUP(J1241,Ruimtegroepen[],2,FALSE)</f>
        <v>Gangen/hallen</v>
      </c>
      <c r="L1241" s="24" t="s">
        <v>305</v>
      </c>
      <c r="M1241" s="24" t="s">
        <v>400</v>
      </c>
      <c r="N1241" s="83">
        <v>119.58</v>
      </c>
      <c r="O1241" s="83"/>
      <c r="P1241" s="93" t="str">
        <f>LEFT(VLOOKUP(Ruimtestaat[[#This Row],[Ruimte code]],Ruimtegroepen[#All],4,1),2)</f>
        <v>Ve</v>
      </c>
      <c r="Q1241" s="93"/>
      <c r="R1241" s="84">
        <v>40</v>
      </c>
      <c r="S1241" s="84" t="s">
        <v>318</v>
      </c>
      <c r="T1241" s="85">
        <f>IF(R1241&gt;0,IF(RIGHT(Ruimtestaat[[#This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1" s="85">
        <f>IF(T1241&gt;0,VLOOKUP($J1241,Ruimtegroepen[],3,FALSE)*VLOOKUP($L1241,Vloersoorten[],3,FALSE)*VLOOKUP($S1241,Frequenties[],3,FALSE)*VLOOKUP($A1241,Locaties[],3,FALSE),0)</f>
        <v>0</v>
      </c>
      <c r="V1241" s="86">
        <f>Ruimtestaat[[#This Row],[Uitvoeringen werkdagen]]*Ruimtestaat[[#This Row],[Oppervlak (netto)]]</f>
        <v>23916</v>
      </c>
      <c r="W1241" s="87">
        <f>IF(U1241&gt;0,Ruimtestaat[[#This Row],[Prest. (m2 /jaar) werkdagen]]/Ruimtestaat[[#This Row],[Norm (m2/uur) werkdagen]],0)</f>
        <v>0</v>
      </c>
      <c r="X1241" s="88">
        <f>Ruimtestaat[[#This Row],[uren / jaar werkdagen]]*Tariefsopbouw!$E$35</f>
        <v>0</v>
      </c>
      <c r="Y1241" s="85"/>
      <c r="Z1241" s="89">
        <f>IF(Ruimtestaat[[#This Row],[Frequentie weekend]]&gt;0,VALUE(LEFT(Y1241,1))*R1241,0)</f>
        <v>0</v>
      </c>
      <c r="AA1241" s="85">
        <f>IF($Z1241&gt;0,VLOOKUP($J1241,Ruimtegroepen[],3,FALSE)*VLOOKUP($L1241,Vloersoorten[],3,FALSE)*VLOOKUP($Y1241,Frequenties[],3,FALSE)*VLOOKUP(#REF!,Locaties[],3,FALSE),0)</f>
        <v>0</v>
      </c>
      <c r="AB1241" s="87">
        <f>Ruimtestaat[[#This Row],[Uitvoeringen weekend]]*Ruimtestaat[[#This Row],[Oppervlak (netto)]]</f>
        <v>0</v>
      </c>
      <c r="AC1241" s="90">
        <f>IF(AB1241&gt;0,Ruimtestaat[[#This Row],[Prest. (m2 /jaar) weekend]]/Ruimtestaat[[#This Row],[Norm (m2/uur) weekend]],0)</f>
        <v>0</v>
      </c>
      <c r="AD1241" s="91">
        <f>Ruimtestaat[[#This Row],[uren / jaar weekend]]*Tariefsopbouw!$D$40</f>
        <v>0</v>
      </c>
      <c r="AE1241" s="60">
        <f>Ruimtestaat[[#This Row],[Prest. (m2 /jaar) weekend]]+Ruimtestaat[[#This Row],[Prest. (m2 /jaar) werkdagen]]</f>
        <v>23916</v>
      </c>
      <c r="AF1241" s="60">
        <f>Ruimtestaat[[#This Row],[uren / jaar weekend]]+Ruimtestaat[[#This Row],[uren / jaar werkdagen]]</f>
        <v>0</v>
      </c>
      <c r="AG1241" s="61">
        <f>Ruimtestaat[[#This Row],[kosten / jaar weekend]]+Ruimtestaat[[#This Row],[kosten / jaar werkdagen]]</f>
        <v>0</v>
      </c>
      <c r="AH1241" s="92"/>
      <c r="HL1241" s="59"/>
    </row>
    <row r="1242" spans="1:220">
      <c r="A1242" s="24">
        <v>7</v>
      </c>
      <c r="B1242" s="24" t="str">
        <f>VLOOKUP(Ruimtestaat[[#This Row],[Code]],Locaties[#All],2,FALSE)</f>
        <v>Het Vlier</v>
      </c>
      <c r="C1242" s="24" t="str">
        <f>VLOOKUP(Ruimtestaat[[#This Row],[Code]],Locaties[#All],4,FALSE)</f>
        <v>Het Vlier 1</v>
      </c>
      <c r="D1242" s="24" t="str">
        <f>VLOOKUP(Ruimtestaat[[#This Row],[Code]],Locaties[#All],5,FALSE)</f>
        <v>7414 AR</v>
      </c>
      <c r="E1242" s="24" t="str">
        <f>VLOOKUP(Ruimtestaat[[#This Row],[Code]],Locaties[#All],6,FALSE)</f>
        <v>Deventer</v>
      </c>
      <c r="F1242" s="54"/>
      <c r="G1242" s="24" t="s">
        <v>569</v>
      </c>
      <c r="H1242" s="24" t="s">
        <v>1666</v>
      </c>
      <c r="I1242" s="4" t="s">
        <v>1432</v>
      </c>
      <c r="J1242" s="24">
        <v>6</v>
      </c>
      <c r="K1242" s="54" t="str">
        <f>VLOOKUP(J1242,Ruimtegroepen[],2,FALSE)</f>
        <v>Gangen/hallen</v>
      </c>
      <c r="L1242" s="24" t="s">
        <v>305</v>
      </c>
      <c r="M1242" s="24" t="s">
        <v>400</v>
      </c>
      <c r="N1242" s="83">
        <v>99.88</v>
      </c>
      <c r="O1242" s="83"/>
      <c r="P1242" s="93" t="str">
        <f>LEFT(VLOOKUP(Ruimtestaat[[#This Row],[Ruimte code]],Ruimtegroepen[#All],4,1),2)</f>
        <v>Ve</v>
      </c>
      <c r="Q1242" s="93"/>
      <c r="R1242" s="84">
        <v>40</v>
      </c>
      <c r="S1242" s="84" t="s">
        <v>318</v>
      </c>
      <c r="T1242" s="85">
        <f>IF(R1242&gt;0,IF(RIGHT(Ruimtestaat[[#This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2" s="85">
        <f>IF(T1242&gt;0,VLOOKUP($J1242,Ruimtegroepen[],3,FALSE)*VLOOKUP($L1242,Vloersoorten[],3,FALSE)*VLOOKUP($S1242,Frequenties[],3,FALSE)*VLOOKUP($A1242,Locaties[],3,FALSE),0)</f>
        <v>0</v>
      </c>
      <c r="V1242" s="86">
        <f>Ruimtestaat[[#This Row],[Uitvoeringen werkdagen]]*Ruimtestaat[[#This Row],[Oppervlak (netto)]]</f>
        <v>19976</v>
      </c>
      <c r="W1242" s="87">
        <f>IF(U1242&gt;0,Ruimtestaat[[#This Row],[Prest. (m2 /jaar) werkdagen]]/Ruimtestaat[[#This Row],[Norm (m2/uur) werkdagen]],0)</f>
        <v>0</v>
      </c>
      <c r="X1242" s="88">
        <f>Ruimtestaat[[#This Row],[uren / jaar werkdagen]]*Tariefsopbouw!$E$35</f>
        <v>0</v>
      </c>
      <c r="Y1242" s="85"/>
      <c r="Z1242" s="89">
        <f>IF(Ruimtestaat[[#This Row],[Frequentie weekend]]&gt;0,VALUE(LEFT(Y1242,1))*R1242,0)</f>
        <v>0</v>
      </c>
      <c r="AA1242" s="85">
        <f>IF($Z1242&gt;0,VLOOKUP($J1242,Ruimtegroepen[],3,FALSE)*VLOOKUP($L1242,Vloersoorten[],3,FALSE)*VLOOKUP($Y1242,Frequenties[],3,FALSE)*VLOOKUP(#REF!,Locaties[],3,FALSE),0)</f>
        <v>0</v>
      </c>
      <c r="AB1242" s="87">
        <f>Ruimtestaat[[#This Row],[Uitvoeringen weekend]]*Ruimtestaat[[#This Row],[Oppervlak (netto)]]</f>
        <v>0</v>
      </c>
      <c r="AC1242" s="90">
        <f>IF(AB1242&gt;0,Ruimtestaat[[#This Row],[Prest. (m2 /jaar) weekend]]/Ruimtestaat[[#This Row],[Norm (m2/uur) weekend]],0)</f>
        <v>0</v>
      </c>
      <c r="AD1242" s="91">
        <f>Ruimtestaat[[#This Row],[uren / jaar weekend]]*Tariefsopbouw!$D$40</f>
        <v>0</v>
      </c>
      <c r="AE1242" s="60">
        <f>Ruimtestaat[[#This Row],[Prest. (m2 /jaar) weekend]]+Ruimtestaat[[#This Row],[Prest. (m2 /jaar) werkdagen]]</f>
        <v>19976</v>
      </c>
      <c r="AF1242" s="60">
        <f>Ruimtestaat[[#This Row],[uren / jaar weekend]]+Ruimtestaat[[#This Row],[uren / jaar werkdagen]]</f>
        <v>0</v>
      </c>
      <c r="AG1242" s="61">
        <f>Ruimtestaat[[#This Row],[kosten / jaar weekend]]+Ruimtestaat[[#This Row],[kosten / jaar werkdagen]]</f>
        <v>0</v>
      </c>
      <c r="AH1242" s="92"/>
      <c r="HL1242" s="59"/>
    </row>
    <row r="1243" spans="1:220">
      <c r="A1243" s="24">
        <v>7</v>
      </c>
      <c r="B1243" s="24" t="str">
        <f>VLOOKUP(Ruimtestaat[[#This Row],[Code]],Locaties[#All],2,FALSE)</f>
        <v>Het Vlier</v>
      </c>
      <c r="C1243" s="24" t="str">
        <f>VLOOKUP(Ruimtestaat[[#This Row],[Code]],Locaties[#All],4,FALSE)</f>
        <v>Het Vlier 1</v>
      </c>
      <c r="D1243" s="24" t="str">
        <f>VLOOKUP(Ruimtestaat[[#This Row],[Code]],Locaties[#All],5,FALSE)</f>
        <v>7414 AR</v>
      </c>
      <c r="E1243" s="24" t="str">
        <f>VLOOKUP(Ruimtestaat[[#This Row],[Code]],Locaties[#All],6,FALSE)</f>
        <v>Deventer</v>
      </c>
      <c r="F1243" s="54"/>
      <c r="G1243" s="24" t="s">
        <v>599</v>
      </c>
      <c r="H1243" s="24" t="s">
        <v>1667</v>
      </c>
      <c r="I1243" s="4" t="s">
        <v>1432</v>
      </c>
      <c r="J1243" s="24">
        <v>6</v>
      </c>
      <c r="K1243" s="54" t="str">
        <f>VLOOKUP(J1243,Ruimtegroepen[],2,FALSE)</f>
        <v>Gangen/hallen</v>
      </c>
      <c r="L1243" s="24" t="s">
        <v>305</v>
      </c>
      <c r="M1243" s="24" t="s">
        <v>400</v>
      </c>
      <c r="N1243" s="83">
        <v>102.22</v>
      </c>
      <c r="O1243" s="83"/>
      <c r="P1243" s="93" t="str">
        <f>LEFT(VLOOKUP(Ruimtestaat[[#This Row],[Ruimte code]],Ruimtegroepen[#All],4,1),2)</f>
        <v>Ve</v>
      </c>
      <c r="Q1243" s="93"/>
      <c r="R1243" s="84">
        <v>40</v>
      </c>
      <c r="S1243" s="84" t="s">
        <v>318</v>
      </c>
      <c r="T1243" s="85">
        <f>IF(R1243&gt;0,IF(RIGHT(Ruimtestaat[[#This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3" s="85">
        <f>IF(T1243&gt;0,VLOOKUP($J1243,Ruimtegroepen[],3,FALSE)*VLOOKUP($L1243,Vloersoorten[],3,FALSE)*VLOOKUP($S1243,Frequenties[],3,FALSE)*VLOOKUP($A1243,Locaties[],3,FALSE),0)</f>
        <v>0</v>
      </c>
      <c r="V1243" s="86">
        <f>Ruimtestaat[[#This Row],[Uitvoeringen werkdagen]]*Ruimtestaat[[#This Row],[Oppervlak (netto)]]</f>
        <v>20444</v>
      </c>
      <c r="W1243" s="87">
        <f>IF(U1243&gt;0,Ruimtestaat[[#This Row],[Prest. (m2 /jaar) werkdagen]]/Ruimtestaat[[#This Row],[Norm (m2/uur) werkdagen]],0)</f>
        <v>0</v>
      </c>
      <c r="X1243" s="88">
        <f>Ruimtestaat[[#This Row],[uren / jaar werkdagen]]*Tariefsopbouw!$E$35</f>
        <v>0</v>
      </c>
      <c r="Y1243" s="85"/>
      <c r="Z1243" s="89">
        <f>IF(Ruimtestaat[[#This Row],[Frequentie weekend]]&gt;0,VALUE(LEFT(Y1243,1))*R1243,0)</f>
        <v>0</v>
      </c>
      <c r="AA1243" s="85">
        <f>IF($Z1243&gt;0,VLOOKUP($J1243,Ruimtegroepen[],3,FALSE)*VLOOKUP($L1243,Vloersoorten[],3,FALSE)*VLOOKUP($Y1243,Frequenties[],3,FALSE)*VLOOKUP(#REF!,Locaties[],3,FALSE),0)</f>
        <v>0</v>
      </c>
      <c r="AB1243" s="87">
        <f>Ruimtestaat[[#This Row],[Uitvoeringen weekend]]*Ruimtestaat[[#This Row],[Oppervlak (netto)]]</f>
        <v>0</v>
      </c>
      <c r="AC1243" s="90">
        <f>IF(AB1243&gt;0,Ruimtestaat[[#This Row],[Prest. (m2 /jaar) weekend]]/Ruimtestaat[[#This Row],[Norm (m2/uur) weekend]],0)</f>
        <v>0</v>
      </c>
      <c r="AD1243" s="91">
        <f>Ruimtestaat[[#This Row],[uren / jaar weekend]]*Tariefsopbouw!$D$40</f>
        <v>0</v>
      </c>
      <c r="AE1243" s="60">
        <f>Ruimtestaat[[#This Row],[Prest. (m2 /jaar) weekend]]+Ruimtestaat[[#This Row],[Prest. (m2 /jaar) werkdagen]]</f>
        <v>20444</v>
      </c>
      <c r="AF1243" s="60">
        <f>Ruimtestaat[[#This Row],[uren / jaar weekend]]+Ruimtestaat[[#This Row],[uren / jaar werkdagen]]</f>
        <v>0</v>
      </c>
      <c r="AG1243" s="61">
        <f>Ruimtestaat[[#This Row],[kosten / jaar weekend]]+Ruimtestaat[[#This Row],[kosten / jaar werkdagen]]</f>
        <v>0</v>
      </c>
      <c r="AH1243" s="92"/>
      <c r="HL1243" s="59"/>
    </row>
    <row r="1244" spans="1:220">
      <c r="A1244" s="24">
        <v>7</v>
      </c>
      <c r="B1244" s="24" t="str">
        <f>VLOOKUP(Ruimtestaat[[#This Row],[Code]],Locaties[#All],2,FALSE)</f>
        <v>Het Vlier</v>
      </c>
      <c r="C1244" s="24" t="str">
        <f>VLOOKUP(Ruimtestaat[[#This Row],[Code]],Locaties[#All],4,FALSE)</f>
        <v>Het Vlier 1</v>
      </c>
      <c r="D1244" s="24" t="str">
        <f>VLOOKUP(Ruimtestaat[[#This Row],[Code]],Locaties[#All],5,FALSE)</f>
        <v>7414 AR</v>
      </c>
      <c r="E1244" s="24" t="str">
        <f>VLOOKUP(Ruimtestaat[[#This Row],[Code]],Locaties[#All],6,FALSE)</f>
        <v>Deventer</v>
      </c>
      <c r="F1244" s="54"/>
      <c r="G1244" s="24" t="s">
        <v>599</v>
      </c>
      <c r="H1244" s="24" t="s">
        <v>1668</v>
      </c>
      <c r="I1244" s="4" t="s">
        <v>1432</v>
      </c>
      <c r="J1244" s="24">
        <v>6</v>
      </c>
      <c r="K1244" s="54" t="str">
        <f>VLOOKUP(J1244,Ruimtegroepen[],2,FALSE)</f>
        <v>Gangen/hallen</v>
      </c>
      <c r="L1244" s="24" t="s">
        <v>305</v>
      </c>
      <c r="M1244" s="24" t="s">
        <v>400</v>
      </c>
      <c r="N1244" s="83">
        <v>99.83</v>
      </c>
      <c r="O1244" s="83"/>
      <c r="P1244" s="93" t="str">
        <f>LEFT(VLOOKUP(Ruimtestaat[[#This Row],[Ruimte code]],Ruimtegroepen[#All],4,1),2)</f>
        <v>Ve</v>
      </c>
      <c r="Q1244" s="93"/>
      <c r="R1244" s="84">
        <v>40</v>
      </c>
      <c r="S1244" s="84" t="s">
        <v>318</v>
      </c>
      <c r="T1244" s="85">
        <f>IF(R1244&gt;0,IF(RIGHT(Ruimtestaat[[#This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4" s="85">
        <f>IF(T1244&gt;0,VLOOKUP($J1244,Ruimtegroepen[],3,FALSE)*VLOOKUP($L1244,Vloersoorten[],3,FALSE)*VLOOKUP($S1244,Frequenties[],3,FALSE)*VLOOKUP($A1244,Locaties[],3,FALSE),0)</f>
        <v>0</v>
      </c>
      <c r="V1244" s="86">
        <f>Ruimtestaat[[#This Row],[Uitvoeringen werkdagen]]*Ruimtestaat[[#This Row],[Oppervlak (netto)]]</f>
        <v>19966</v>
      </c>
      <c r="W1244" s="87">
        <f>IF(U1244&gt;0,Ruimtestaat[[#This Row],[Prest. (m2 /jaar) werkdagen]]/Ruimtestaat[[#This Row],[Norm (m2/uur) werkdagen]],0)</f>
        <v>0</v>
      </c>
      <c r="X1244" s="88">
        <f>Ruimtestaat[[#This Row],[uren / jaar werkdagen]]*Tariefsopbouw!$E$35</f>
        <v>0</v>
      </c>
      <c r="Y1244" s="85"/>
      <c r="Z1244" s="89">
        <f>IF(Ruimtestaat[[#This Row],[Frequentie weekend]]&gt;0,VALUE(LEFT(Y1244,1))*R1244,0)</f>
        <v>0</v>
      </c>
      <c r="AA1244" s="85">
        <f>IF($Z1244&gt;0,VLOOKUP($J1244,Ruimtegroepen[],3,FALSE)*VLOOKUP($L1244,Vloersoorten[],3,FALSE)*VLOOKUP($Y1244,Frequenties[],3,FALSE)*VLOOKUP(#REF!,Locaties[],3,FALSE),0)</f>
        <v>0</v>
      </c>
      <c r="AB1244" s="87">
        <f>Ruimtestaat[[#This Row],[Uitvoeringen weekend]]*Ruimtestaat[[#This Row],[Oppervlak (netto)]]</f>
        <v>0</v>
      </c>
      <c r="AC1244" s="90">
        <f>IF(AB1244&gt;0,Ruimtestaat[[#This Row],[Prest. (m2 /jaar) weekend]]/Ruimtestaat[[#This Row],[Norm (m2/uur) weekend]],0)</f>
        <v>0</v>
      </c>
      <c r="AD1244" s="91">
        <f>Ruimtestaat[[#This Row],[uren / jaar weekend]]*Tariefsopbouw!$D$40</f>
        <v>0</v>
      </c>
      <c r="AE1244" s="60">
        <f>Ruimtestaat[[#This Row],[Prest. (m2 /jaar) weekend]]+Ruimtestaat[[#This Row],[Prest. (m2 /jaar) werkdagen]]</f>
        <v>19966</v>
      </c>
      <c r="AF1244" s="60">
        <f>Ruimtestaat[[#This Row],[uren / jaar weekend]]+Ruimtestaat[[#This Row],[uren / jaar werkdagen]]</f>
        <v>0</v>
      </c>
      <c r="AG1244" s="61">
        <f>Ruimtestaat[[#This Row],[kosten / jaar weekend]]+Ruimtestaat[[#This Row],[kosten / jaar werkdagen]]</f>
        <v>0</v>
      </c>
      <c r="AH1244" s="92"/>
      <c r="HL1244" s="59"/>
    </row>
    <row r="1245" spans="1:220">
      <c r="A1245" s="24">
        <v>7</v>
      </c>
      <c r="B1245" s="24" t="str">
        <f>VLOOKUP(Ruimtestaat[[#This Row],[Code]],Locaties[#All],2,FALSE)</f>
        <v>Het Vlier</v>
      </c>
      <c r="C1245" s="24" t="str">
        <f>VLOOKUP(Ruimtestaat[[#This Row],[Code]],Locaties[#All],4,FALSE)</f>
        <v>Het Vlier 1</v>
      </c>
      <c r="D1245" s="24" t="str">
        <f>VLOOKUP(Ruimtestaat[[#This Row],[Code]],Locaties[#All],5,FALSE)</f>
        <v>7414 AR</v>
      </c>
      <c r="E1245" s="24" t="str">
        <f>VLOOKUP(Ruimtestaat[[#This Row],[Code]],Locaties[#All],6,FALSE)</f>
        <v>Deventer</v>
      </c>
      <c r="F1245" s="54"/>
      <c r="G1245" s="24" t="s">
        <v>367</v>
      </c>
      <c r="H1245" s="24" t="s">
        <v>1669</v>
      </c>
      <c r="I1245" s="4" t="s">
        <v>1670</v>
      </c>
      <c r="J1245" s="24">
        <v>22</v>
      </c>
      <c r="K1245" s="54" t="str">
        <f>VLOOKUP(J1245,Ruimtegroepen[],2,FALSE)</f>
        <v>Niet in onderhoud</v>
      </c>
      <c r="M1245" s="24"/>
      <c r="N1245" s="83"/>
      <c r="O1245" s="83">
        <v>60.64</v>
      </c>
      <c r="P1245" s="93" t="str">
        <f>LEFT(VLOOKUP(Ruimtestaat[[#This Row],[Ruimte code]],Ruimtegroepen[#All],4,1),2)</f>
        <v/>
      </c>
      <c r="Q1245" s="93"/>
      <c r="R1245" s="84"/>
      <c r="S1245" s="84"/>
      <c r="T1245" s="85">
        <f>IF(R1245&gt;0,IF(RIGHT(Ruimtestaat[[#This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45" s="85">
        <f>IF(T1245&gt;0,VLOOKUP($J1245,Ruimtegroepen[],3,FALSE)*VLOOKUP($L1245,Vloersoorten[],3,FALSE)*VLOOKUP($S1245,Frequenties[],3,FALSE)*VLOOKUP($A1245,Locaties[],3,FALSE),0)</f>
        <v>0</v>
      </c>
      <c r="V1245" s="86">
        <f>Ruimtestaat[[#This Row],[Uitvoeringen werkdagen]]*Ruimtestaat[[#This Row],[Oppervlak (netto)]]</f>
        <v>0</v>
      </c>
      <c r="W1245" s="87">
        <f>IF(U1245&gt;0,Ruimtestaat[[#This Row],[Prest. (m2 /jaar) werkdagen]]/Ruimtestaat[[#This Row],[Norm (m2/uur) werkdagen]],0)</f>
        <v>0</v>
      </c>
      <c r="X1245" s="88">
        <f>Ruimtestaat[[#This Row],[uren / jaar werkdagen]]*Tariefsopbouw!$E$35</f>
        <v>0</v>
      </c>
      <c r="Y1245" s="85"/>
      <c r="Z1245" s="89">
        <f>IF(Ruimtestaat[[#This Row],[Frequentie weekend]]&gt;0,VALUE(LEFT(Y1245,1))*R1245,0)</f>
        <v>0</v>
      </c>
      <c r="AA1245" s="85">
        <f>IF($Z1245&gt;0,VLOOKUP($J1245,Ruimtegroepen[],3,FALSE)*VLOOKUP($L1245,Vloersoorten[],3,FALSE)*VLOOKUP($Y1245,Frequenties[],3,FALSE)*VLOOKUP(#REF!,Locaties[],3,FALSE),0)</f>
        <v>0</v>
      </c>
      <c r="AB1245" s="87">
        <f>Ruimtestaat[[#This Row],[Uitvoeringen weekend]]*Ruimtestaat[[#This Row],[Oppervlak (netto)]]</f>
        <v>0</v>
      </c>
      <c r="AC1245" s="90">
        <f>IF(AB1245&gt;0,Ruimtestaat[[#This Row],[Prest. (m2 /jaar) weekend]]/Ruimtestaat[[#This Row],[Norm (m2/uur) weekend]],0)</f>
        <v>0</v>
      </c>
      <c r="AD1245" s="91">
        <f>Ruimtestaat[[#This Row],[uren / jaar weekend]]*Tariefsopbouw!$D$40</f>
        <v>0</v>
      </c>
      <c r="AE1245" s="60">
        <f>Ruimtestaat[[#This Row],[Prest. (m2 /jaar) weekend]]+Ruimtestaat[[#This Row],[Prest. (m2 /jaar) werkdagen]]</f>
        <v>0</v>
      </c>
      <c r="AF1245" s="60">
        <f>Ruimtestaat[[#This Row],[uren / jaar weekend]]+Ruimtestaat[[#This Row],[uren / jaar werkdagen]]</f>
        <v>0</v>
      </c>
      <c r="AG1245" s="61">
        <f>Ruimtestaat[[#This Row],[kosten / jaar weekend]]+Ruimtestaat[[#This Row],[kosten / jaar werkdagen]]</f>
        <v>0</v>
      </c>
      <c r="AH1245" s="92"/>
      <c r="HL1245" s="59"/>
    </row>
    <row r="1246" spans="1:220">
      <c r="A1246" s="24">
        <v>7</v>
      </c>
      <c r="B1246" s="24" t="str">
        <f>VLOOKUP(Ruimtestaat[[#This Row],[Code]],Locaties[#All],2,FALSE)</f>
        <v>Het Vlier</v>
      </c>
      <c r="C1246" s="24" t="str">
        <f>VLOOKUP(Ruimtestaat[[#This Row],[Code]],Locaties[#All],4,FALSE)</f>
        <v>Het Vlier 1</v>
      </c>
      <c r="D1246" s="24" t="str">
        <f>VLOOKUP(Ruimtestaat[[#This Row],[Code]],Locaties[#All],5,FALSE)</f>
        <v>7414 AR</v>
      </c>
      <c r="E1246" s="24" t="str">
        <f>VLOOKUP(Ruimtestaat[[#This Row],[Code]],Locaties[#All],6,FALSE)</f>
        <v>Deventer</v>
      </c>
      <c r="F1246" s="54"/>
      <c r="G1246" s="24" t="s">
        <v>367</v>
      </c>
      <c r="H1246" s="24" t="s">
        <v>1671</v>
      </c>
      <c r="I1246" s="4" t="s">
        <v>1672</v>
      </c>
      <c r="J1246" s="24">
        <v>22</v>
      </c>
      <c r="K1246" s="54" t="str">
        <f>VLOOKUP(J1246,Ruimtegroepen[],2,FALSE)</f>
        <v>Niet in onderhoud</v>
      </c>
      <c r="M1246" s="24"/>
      <c r="N1246" s="83"/>
      <c r="O1246" s="83">
        <v>14</v>
      </c>
      <c r="P1246" s="93" t="str">
        <f>LEFT(VLOOKUP(Ruimtestaat[[#This Row],[Ruimte code]],Ruimtegroepen[#All],4,1),2)</f>
        <v/>
      </c>
      <c r="Q1246" s="93"/>
      <c r="R1246" s="84"/>
      <c r="S1246" s="84"/>
      <c r="T1246" s="85">
        <f>IF(R1246&gt;0,IF(RIGHT(Ruimtestaat[[#This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46" s="85">
        <f>IF(T1246&gt;0,VLOOKUP($J1246,Ruimtegroepen[],3,FALSE)*VLOOKUP($L1246,Vloersoorten[],3,FALSE)*VLOOKUP($S1246,Frequenties[],3,FALSE)*VLOOKUP($A1246,Locaties[],3,FALSE),0)</f>
        <v>0</v>
      </c>
      <c r="V1246" s="86">
        <f>Ruimtestaat[[#This Row],[Uitvoeringen werkdagen]]*Ruimtestaat[[#This Row],[Oppervlak (netto)]]</f>
        <v>0</v>
      </c>
      <c r="W1246" s="87">
        <f>IF(U1246&gt;0,Ruimtestaat[[#This Row],[Prest. (m2 /jaar) werkdagen]]/Ruimtestaat[[#This Row],[Norm (m2/uur) werkdagen]],0)</f>
        <v>0</v>
      </c>
      <c r="X1246" s="88">
        <f>Ruimtestaat[[#This Row],[uren / jaar werkdagen]]*Tariefsopbouw!$E$35</f>
        <v>0</v>
      </c>
      <c r="Y1246" s="85"/>
      <c r="Z1246" s="89">
        <f>IF(Ruimtestaat[[#This Row],[Frequentie weekend]]&gt;0,VALUE(LEFT(Y1246,1))*R1246,0)</f>
        <v>0</v>
      </c>
      <c r="AA1246" s="85">
        <f>IF($Z1246&gt;0,VLOOKUP($J1246,Ruimtegroepen[],3,FALSE)*VLOOKUP($L1246,Vloersoorten[],3,FALSE)*VLOOKUP($Y1246,Frequenties[],3,FALSE)*VLOOKUP(#REF!,Locaties[],3,FALSE),0)</f>
        <v>0</v>
      </c>
      <c r="AB1246" s="87">
        <f>Ruimtestaat[[#This Row],[Uitvoeringen weekend]]*Ruimtestaat[[#This Row],[Oppervlak (netto)]]</f>
        <v>0</v>
      </c>
      <c r="AC1246" s="90">
        <f>IF(AB1246&gt;0,Ruimtestaat[[#This Row],[Prest. (m2 /jaar) weekend]]/Ruimtestaat[[#This Row],[Norm (m2/uur) weekend]],0)</f>
        <v>0</v>
      </c>
      <c r="AD1246" s="91">
        <f>Ruimtestaat[[#This Row],[uren / jaar weekend]]*Tariefsopbouw!$D$40</f>
        <v>0</v>
      </c>
      <c r="AE1246" s="60">
        <f>Ruimtestaat[[#This Row],[Prest. (m2 /jaar) weekend]]+Ruimtestaat[[#This Row],[Prest. (m2 /jaar) werkdagen]]</f>
        <v>0</v>
      </c>
      <c r="AF1246" s="60">
        <f>Ruimtestaat[[#This Row],[uren / jaar weekend]]+Ruimtestaat[[#This Row],[uren / jaar werkdagen]]</f>
        <v>0</v>
      </c>
      <c r="AG1246" s="61">
        <f>Ruimtestaat[[#This Row],[kosten / jaar weekend]]+Ruimtestaat[[#This Row],[kosten / jaar werkdagen]]</f>
        <v>0</v>
      </c>
      <c r="AH1246" s="92"/>
      <c r="HL1246" s="59"/>
    </row>
    <row r="1247" spans="1:220">
      <c r="A1247" s="24">
        <v>7</v>
      </c>
      <c r="B1247" s="24" t="str">
        <f>VLOOKUP(Ruimtestaat[[#This Row],[Code]],Locaties[#All],2,FALSE)</f>
        <v>Het Vlier</v>
      </c>
      <c r="C1247" s="24" t="str">
        <f>VLOOKUP(Ruimtestaat[[#This Row],[Code]],Locaties[#All],4,FALSE)</f>
        <v>Het Vlier 1</v>
      </c>
      <c r="D1247" s="24" t="str">
        <f>VLOOKUP(Ruimtestaat[[#This Row],[Code]],Locaties[#All],5,FALSE)</f>
        <v>7414 AR</v>
      </c>
      <c r="E1247" s="24" t="str">
        <f>VLOOKUP(Ruimtestaat[[#This Row],[Code]],Locaties[#All],6,FALSE)</f>
        <v>Deventer</v>
      </c>
      <c r="F1247" s="54"/>
      <c r="G1247" s="24" t="s">
        <v>367</v>
      </c>
      <c r="H1247" s="24" t="s">
        <v>1673</v>
      </c>
      <c r="I1247" s="4" t="s">
        <v>1435</v>
      </c>
      <c r="J1247" s="24">
        <v>22</v>
      </c>
      <c r="K1247" s="54" t="str">
        <f>VLOOKUP(J1247,Ruimtegroepen[],2,FALSE)</f>
        <v>Niet in onderhoud</v>
      </c>
      <c r="M1247" s="24"/>
      <c r="N1247" s="83"/>
      <c r="O1247" s="83">
        <v>19.04</v>
      </c>
      <c r="P1247" s="93" t="str">
        <f>LEFT(VLOOKUP(Ruimtestaat[[#This Row],[Ruimte code]],Ruimtegroepen[#All],4,1),2)</f>
        <v/>
      </c>
      <c r="Q1247" s="93"/>
      <c r="R1247" s="84"/>
      <c r="S1247" s="84"/>
      <c r="T1247" s="85">
        <f>IF(R1247&gt;0,IF(RIGHT(Ruimtestaat[[#This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47" s="85">
        <f>IF(T1247&gt;0,VLOOKUP($J1247,Ruimtegroepen[],3,FALSE)*VLOOKUP($L1247,Vloersoorten[],3,FALSE)*VLOOKUP($S1247,Frequenties[],3,FALSE)*VLOOKUP($A1247,Locaties[],3,FALSE),0)</f>
        <v>0</v>
      </c>
      <c r="V1247" s="86">
        <f>Ruimtestaat[[#This Row],[Uitvoeringen werkdagen]]*Ruimtestaat[[#This Row],[Oppervlak (netto)]]</f>
        <v>0</v>
      </c>
      <c r="W1247" s="87">
        <f>IF(U1247&gt;0,Ruimtestaat[[#This Row],[Prest. (m2 /jaar) werkdagen]]/Ruimtestaat[[#This Row],[Norm (m2/uur) werkdagen]],0)</f>
        <v>0</v>
      </c>
      <c r="X1247" s="88">
        <f>Ruimtestaat[[#This Row],[uren / jaar werkdagen]]*Tariefsopbouw!$E$35</f>
        <v>0</v>
      </c>
      <c r="Y1247" s="85"/>
      <c r="Z1247" s="89">
        <f>IF(Ruimtestaat[[#This Row],[Frequentie weekend]]&gt;0,VALUE(LEFT(Y1247,1))*R1247,0)</f>
        <v>0</v>
      </c>
      <c r="AA1247" s="85">
        <f>IF($Z1247&gt;0,VLOOKUP($J1247,Ruimtegroepen[],3,FALSE)*VLOOKUP($L1247,Vloersoorten[],3,FALSE)*VLOOKUP($Y1247,Frequenties[],3,FALSE)*VLOOKUP(#REF!,Locaties[],3,FALSE),0)</f>
        <v>0</v>
      </c>
      <c r="AB1247" s="87">
        <f>Ruimtestaat[[#This Row],[Uitvoeringen weekend]]*Ruimtestaat[[#This Row],[Oppervlak (netto)]]</f>
        <v>0</v>
      </c>
      <c r="AC1247" s="90">
        <f>IF(AB1247&gt;0,Ruimtestaat[[#This Row],[Prest. (m2 /jaar) weekend]]/Ruimtestaat[[#This Row],[Norm (m2/uur) weekend]],0)</f>
        <v>0</v>
      </c>
      <c r="AD1247" s="91">
        <f>Ruimtestaat[[#This Row],[uren / jaar weekend]]*Tariefsopbouw!$D$40</f>
        <v>0</v>
      </c>
      <c r="AE1247" s="60">
        <f>Ruimtestaat[[#This Row],[Prest. (m2 /jaar) weekend]]+Ruimtestaat[[#This Row],[Prest. (m2 /jaar) werkdagen]]</f>
        <v>0</v>
      </c>
      <c r="AF1247" s="60">
        <f>Ruimtestaat[[#This Row],[uren / jaar weekend]]+Ruimtestaat[[#This Row],[uren / jaar werkdagen]]</f>
        <v>0</v>
      </c>
      <c r="AG1247" s="61">
        <f>Ruimtestaat[[#This Row],[kosten / jaar weekend]]+Ruimtestaat[[#This Row],[kosten / jaar werkdagen]]</f>
        <v>0</v>
      </c>
      <c r="AH1247" s="92"/>
      <c r="HL1247" s="59"/>
    </row>
    <row r="1248" spans="1:220">
      <c r="A1248" s="24">
        <v>7</v>
      </c>
      <c r="B1248" s="24" t="str">
        <f>VLOOKUP(Ruimtestaat[[#This Row],[Code]],Locaties[#All],2,FALSE)</f>
        <v>Het Vlier</v>
      </c>
      <c r="C1248" s="24" t="str">
        <f>VLOOKUP(Ruimtestaat[[#This Row],[Code]],Locaties[#All],4,FALSE)</f>
        <v>Het Vlier 1</v>
      </c>
      <c r="D1248" s="24" t="str">
        <f>VLOOKUP(Ruimtestaat[[#This Row],[Code]],Locaties[#All],5,FALSE)</f>
        <v>7414 AR</v>
      </c>
      <c r="E1248" s="24" t="str">
        <f>VLOOKUP(Ruimtestaat[[#This Row],[Code]],Locaties[#All],6,FALSE)</f>
        <v>Deventer</v>
      </c>
      <c r="F1248" s="54"/>
      <c r="G1248" s="24" t="s">
        <v>512</v>
      </c>
      <c r="H1248" s="24" t="s">
        <v>1674</v>
      </c>
      <c r="I1248" s="4" t="s">
        <v>1675</v>
      </c>
      <c r="J1248" s="24">
        <v>18</v>
      </c>
      <c r="K1248" s="54" t="str">
        <f>VLOOKUP(J1248,Ruimtegroepen[],2,FALSE)</f>
        <v>Gymzaal</v>
      </c>
      <c r="L1248" s="24" t="s">
        <v>311</v>
      </c>
      <c r="M1248" s="24" t="s">
        <v>1676</v>
      </c>
      <c r="N1248" s="83">
        <v>272.20999999999998</v>
      </c>
      <c r="O1248" s="83"/>
      <c r="P1248" s="93" t="str">
        <f>LEFT(VLOOKUP(Ruimtestaat[[#This Row],[Ruimte code]],Ruimtegroepen[#All],4,1),2)</f>
        <v>Sp</v>
      </c>
      <c r="Q1248" s="93"/>
      <c r="R1248" s="84">
        <v>40</v>
      </c>
      <c r="S1248" s="84" t="s">
        <v>318</v>
      </c>
      <c r="T1248" s="85">
        <f>IF(R1248&gt;0,IF(RIGHT(Ruimtestaat[[#This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8" s="85">
        <f>IF(T1248&gt;0,VLOOKUP($J1248,Ruimtegroepen[],3,FALSE)*VLOOKUP($L1248,Vloersoorten[],3,FALSE)*VLOOKUP($S1248,Frequenties[],3,FALSE)*VLOOKUP($A1248,Locaties[],3,FALSE),0)</f>
        <v>0</v>
      </c>
      <c r="V1248" s="86">
        <f>Ruimtestaat[[#This Row],[Uitvoeringen werkdagen]]*Ruimtestaat[[#This Row],[Oppervlak (netto)]]</f>
        <v>54441.999999999993</v>
      </c>
      <c r="W1248" s="87">
        <f>IF(U1248&gt;0,Ruimtestaat[[#This Row],[Prest. (m2 /jaar) werkdagen]]/Ruimtestaat[[#This Row],[Norm (m2/uur) werkdagen]],0)</f>
        <v>0</v>
      </c>
      <c r="X1248" s="88">
        <f>Ruimtestaat[[#This Row],[uren / jaar werkdagen]]*Tariefsopbouw!$E$35</f>
        <v>0</v>
      </c>
      <c r="Y1248" s="85"/>
      <c r="Z1248" s="89">
        <f>IF(Ruimtestaat[[#This Row],[Frequentie weekend]]&gt;0,VALUE(LEFT(Y1248,1))*R1248,0)</f>
        <v>0</v>
      </c>
      <c r="AA1248" s="85">
        <f>IF($Z1248&gt;0,VLOOKUP($J1248,Ruimtegroepen[],3,FALSE)*VLOOKUP($L1248,Vloersoorten[],3,FALSE)*VLOOKUP($Y1248,Frequenties[],3,FALSE)*VLOOKUP(#REF!,Locaties[],3,FALSE),0)</f>
        <v>0</v>
      </c>
      <c r="AB1248" s="87">
        <f>Ruimtestaat[[#This Row],[Uitvoeringen weekend]]*Ruimtestaat[[#This Row],[Oppervlak (netto)]]</f>
        <v>0</v>
      </c>
      <c r="AC1248" s="90">
        <f>IF(AB1248&gt;0,Ruimtestaat[[#This Row],[Prest. (m2 /jaar) weekend]]/Ruimtestaat[[#This Row],[Norm (m2/uur) weekend]],0)</f>
        <v>0</v>
      </c>
      <c r="AD1248" s="91">
        <f>Ruimtestaat[[#This Row],[uren / jaar weekend]]*Tariefsopbouw!$D$40</f>
        <v>0</v>
      </c>
      <c r="AE1248" s="60">
        <f>Ruimtestaat[[#This Row],[Prest. (m2 /jaar) weekend]]+Ruimtestaat[[#This Row],[Prest. (m2 /jaar) werkdagen]]</f>
        <v>54441.999999999993</v>
      </c>
      <c r="AF1248" s="60">
        <f>Ruimtestaat[[#This Row],[uren / jaar weekend]]+Ruimtestaat[[#This Row],[uren / jaar werkdagen]]</f>
        <v>0</v>
      </c>
      <c r="AG1248" s="61">
        <f>Ruimtestaat[[#This Row],[kosten / jaar weekend]]+Ruimtestaat[[#This Row],[kosten / jaar werkdagen]]</f>
        <v>0</v>
      </c>
      <c r="AH1248" s="92"/>
      <c r="HL1248" s="59"/>
    </row>
    <row r="1249" spans="1:220">
      <c r="A1249" s="24">
        <v>7</v>
      </c>
      <c r="B1249" s="24" t="str">
        <f>VLOOKUP(Ruimtestaat[[#This Row],[Code]],Locaties[#All],2,FALSE)</f>
        <v>Het Vlier</v>
      </c>
      <c r="C1249" s="24" t="str">
        <f>VLOOKUP(Ruimtestaat[[#This Row],[Code]],Locaties[#All],4,FALSE)</f>
        <v>Het Vlier 1</v>
      </c>
      <c r="D1249" s="24" t="str">
        <f>VLOOKUP(Ruimtestaat[[#This Row],[Code]],Locaties[#All],5,FALSE)</f>
        <v>7414 AR</v>
      </c>
      <c r="E1249" s="24" t="str">
        <f>VLOOKUP(Ruimtestaat[[#This Row],[Code]],Locaties[#All],6,FALSE)</f>
        <v>Deventer</v>
      </c>
      <c r="F1249" s="54"/>
      <c r="G1249" s="24" t="s">
        <v>569</v>
      </c>
      <c r="H1249" s="24" t="s">
        <v>1674</v>
      </c>
      <c r="I1249" s="4" t="s">
        <v>1677</v>
      </c>
      <c r="J1249" s="24">
        <v>22</v>
      </c>
      <c r="K1249" s="54" t="str">
        <f>VLOOKUP(J1249,Ruimtegroepen[],2,FALSE)</f>
        <v>Niet in onderhoud</v>
      </c>
      <c r="M1249" s="24"/>
      <c r="N1249" s="83"/>
      <c r="O1249" s="83">
        <v>257.58</v>
      </c>
      <c r="P1249" s="93" t="str">
        <f>LEFT(VLOOKUP(Ruimtestaat[[#This Row],[Ruimte code]],Ruimtegroepen[#All],4,1),2)</f>
        <v/>
      </c>
      <c r="Q1249" s="93"/>
      <c r="R1249" s="84"/>
      <c r="S1249" s="84"/>
      <c r="T1249" s="85">
        <f>IF(R1249&gt;0,IF(RIGHT(Ruimtestaat[[#This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49" s="85">
        <f>IF(T1249&gt;0,VLOOKUP($J1249,Ruimtegroepen[],3,FALSE)*VLOOKUP($L1249,Vloersoorten[],3,FALSE)*VLOOKUP($S1249,Frequenties[],3,FALSE)*VLOOKUP($A1249,Locaties[],3,FALSE),0)</f>
        <v>0</v>
      </c>
      <c r="V1249" s="86">
        <f>Ruimtestaat[[#This Row],[Uitvoeringen werkdagen]]*Ruimtestaat[[#This Row],[Oppervlak (netto)]]</f>
        <v>0</v>
      </c>
      <c r="W1249" s="87">
        <f>IF(U1249&gt;0,Ruimtestaat[[#This Row],[Prest. (m2 /jaar) werkdagen]]/Ruimtestaat[[#This Row],[Norm (m2/uur) werkdagen]],0)</f>
        <v>0</v>
      </c>
      <c r="X1249" s="88">
        <f>Ruimtestaat[[#This Row],[uren / jaar werkdagen]]*Tariefsopbouw!$E$35</f>
        <v>0</v>
      </c>
      <c r="Y1249" s="85"/>
      <c r="Z1249" s="89">
        <f>IF(Ruimtestaat[[#This Row],[Frequentie weekend]]&gt;0,VALUE(LEFT(Y1249,1))*R1249,0)</f>
        <v>0</v>
      </c>
      <c r="AA1249" s="85">
        <f>IF($Z1249&gt;0,VLOOKUP($J1249,Ruimtegroepen[],3,FALSE)*VLOOKUP($L1249,Vloersoorten[],3,FALSE)*VLOOKUP($Y1249,Frequenties[],3,FALSE)*VLOOKUP(#REF!,Locaties[],3,FALSE),0)</f>
        <v>0</v>
      </c>
      <c r="AB1249" s="87">
        <f>Ruimtestaat[[#This Row],[Uitvoeringen weekend]]*Ruimtestaat[[#This Row],[Oppervlak (netto)]]</f>
        <v>0</v>
      </c>
      <c r="AC1249" s="90">
        <f>IF(AB1249&gt;0,Ruimtestaat[[#This Row],[Prest. (m2 /jaar) weekend]]/Ruimtestaat[[#This Row],[Norm (m2/uur) weekend]],0)</f>
        <v>0</v>
      </c>
      <c r="AD1249" s="91">
        <f>Ruimtestaat[[#This Row],[uren / jaar weekend]]*Tariefsopbouw!$D$40</f>
        <v>0</v>
      </c>
      <c r="AE1249" s="60">
        <f>Ruimtestaat[[#This Row],[Prest. (m2 /jaar) weekend]]+Ruimtestaat[[#This Row],[Prest. (m2 /jaar) werkdagen]]</f>
        <v>0</v>
      </c>
      <c r="AF1249" s="60">
        <f>Ruimtestaat[[#This Row],[uren / jaar weekend]]+Ruimtestaat[[#This Row],[uren / jaar werkdagen]]</f>
        <v>0</v>
      </c>
      <c r="AG1249" s="61">
        <f>Ruimtestaat[[#This Row],[kosten / jaar weekend]]+Ruimtestaat[[#This Row],[kosten / jaar werkdagen]]</f>
        <v>0</v>
      </c>
      <c r="AH1249" s="92"/>
      <c r="HL1249" s="59"/>
    </row>
    <row r="1250" spans="1:220">
      <c r="A1250" s="24">
        <v>7</v>
      </c>
      <c r="B1250" s="24" t="str">
        <f>VLOOKUP(Ruimtestaat[[#This Row],[Code]],Locaties[#All],2,FALSE)</f>
        <v>Het Vlier</v>
      </c>
      <c r="C1250" s="24" t="str">
        <f>VLOOKUP(Ruimtestaat[[#This Row],[Code]],Locaties[#All],4,FALSE)</f>
        <v>Het Vlier 1</v>
      </c>
      <c r="D1250" s="24" t="str">
        <f>VLOOKUP(Ruimtestaat[[#This Row],[Code]],Locaties[#All],5,FALSE)</f>
        <v>7414 AR</v>
      </c>
      <c r="E1250" s="24" t="str">
        <f>VLOOKUP(Ruimtestaat[[#This Row],[Code]],Locaties[#All],6,FALSE)</f>
        <v>Deventer</v>
      </c>
      <c r="F1250" s="54"/>
      <c r="G1250" s="24" t="s">
        <v>512</v>
      </c>
      <c r="H1250" s="24" t="s">
        <v>1678</v>
      </c>
      <c r="I1250" s="4" t="s">
        <v>1435</v>
      </c>
      <c r="J1250" s="24">
        <v>22</v>
      </c>
      <c r="K1250" s="54" t="str">
        <f>VLOOKUP(J1250,Ruimtegroepen[],2,FALSE)</f>
        <v>Niet in onderhoud</v>
      </c>
      <c r="L1250" s="24" t="s">
        <v>311</v>
      </c>
      <c r="M1250" s="24" t="s">
        <v>1676</v>
      </c>
      <c r="N1250" s="83"/>
      <c r="O1250" s="83">
        <v>8.61</v>
      </c>
      <c r="P1250" s="93" t="str">
        <f>LEFT(VLOOKUP(Ruimtestaat[[#This Row],[Ruimte code]],Ruimtegroepen[#All],4,1),2)</f>
        <v/>
      </c>
      <c r="Q1250" s="93"/>
      <c r="R1250" s="84"/>
      <c r="S1250" s="84"/>
      <c r="T1250" s="85">
        <f>IF(R1250&gt;0,IF(RIGHT(Ruimtestaat[[#This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0" s="85">
        <f>IF(T1250&gt;0,VLOOKUP($J1250,Ruimtegroepen[],3,FALSE)*VLOOKUP($L1250,Vloersoorten[],3,FALSE)*VLOOKUP($S1250,Frequenties[],3,FALSE)*VLOOKUP($A1250,Locaties[],3,FALSE),0)</f>
        <v>0</v>
      </c>
      <c r="V1250" s="86">
        <f>Ruimtestaat[[#This Row],[Uitvoeringen werkdagen]]*Ruimtestaat[[#This Row],[Oppervlak (netto)]]</f>
        <v>0</v>
      </c>
      <c r="W1250" s="87">
        <f>IF(U1250&gt;0,Ruimtestaat[[#This Row],[Prest. (m2 /jaar) werkdagen]]/Ruimtestaat[[#This Row],[Norm (m2/uur) werkdagen]],0)</f>
        <v>0</v>
      </c>
      <c r="X1250" s="88">
        <f>Ruimtestaat[[#This Row],[uren / jaar werkdagen]]*Tariefsopbouw!$E$35</f>
        <v>0</v>
      </c>
      <c r="Y1250" s="85"/>
      <c r="Z1250" s="89">
        <f>IF(Ruimtestaat[[#This Row],[Frequentie weekend]]&gt;0,VALUE(LEFT(Y1250,1))*R1250,0)</f>
        <v>0</v>
      </c>
      <c r="AA1250" s="85">
        <f>IF($Z1250&gt;0,VLOOKUP($J1250,Ruimtegroepen[],3,FALSE)*VLOOKUP($L1250,Vloersoorten[],3,FALSE)*VLOOKUP($Y1250,Frequenties[],3,FALSE)*VLOOKUP(#REF!,Locaties[],3,FALSE),0)</f>
        <v>0</v>
      </c>
      <c r="AB1250" s="87">
        <f>Ruimtestaat[[#This Row],[Uitvoeringen weekend]]*Ruimtestaat[[#This Row],[Oppervlak (netto)]]</f>
        <v>0</v>
      </c>
      <c r="AC1250" s="90">
        <f>IF(AB1250&gt;0,Ruimtestaat[[#This Row],[Prest. (m2 /jaar) weekend]]/Ruimtestaat[[#This Row],[Norm (m2/uur) weekend]],0)</f>
        <v>0</v>
      </c>
      <c r="AD1250" s="91">
        <f>Ruimtestaat[[#This Row],[uren / jaar weekend]]*Tariefsopbouw!$D$40</f>
        <v>0</v>
      </c>
      <c r="AE1250" s="60">
        <f>Ruimtestaat[[#This Row],[Prest. (m2 /jaar) weekend]]+Ruimtestaat[[#This Row],[Prest. (m2 /jaar) werkdagen]]</f>
        <v>0</v>
      </c>
      <c r="AF1250" s="60">
        <f>Ruimtestaat[[#This Row],[uren / jaar weekend]]+Ruimtestaat[[#This Row],[uren / jaar werkdagen]]</f>
        <v>0</v>
      </c>
      <c r="AG1250" s="61">
        <f>Ruimtestaat[[#This Row],[kosten / jaar weekend]]+Ruimtestaat[[#This Row],[kosten / jaar werkdagen]]</f>
        <v>0</v>
      </c>
      <c r="AH1250" s="92"/>
      <c r="HL1250" s="59"/>
    </row>
    <row r="1251" spans="1:220">
      <c r="A1251" s="24">
        <v>7</v>
      </c>
      <c r="B1251" s="24" t="str">
        <f>VLOOKUP(Ruimtestaat[[#This Row],[Code]],Locaties[#All],2,FALSE)</f>
        <v>Het Vlier</v>
      </c>
      <c r="C1251" s="24" t="str">
        <f>VLOOKUP(Ruimtestaat[[#This Row],[Code]],Locaties[#All],4,FALSE)</f>
        <v>Het Vlier 1</v>
      </c>
      <c r="D1251" s="24" t="str">
        <f>VLOOKUP(Ruimtestaat[[#This Row],[Code]],Locaties[#All],5,FALSE)</f>
        <v>7414 AR</v>
      </c>
      <c r="E1251" s="24" t="str">
        <f>VLOOKUP(Ruimtestaat[[#This Row],[Code]],Locaties[#All],6,FALSE)</f>
        <v>Deventer</v>
      </c>
      <c r="F1251" s="54"/>
      <c r="G1251" s="24" t="s">
        <v>569</v>
      </c>
      <c r="H1251" s="24" t="s">
        <v>1678</v>
      </c>
      <c r="I1251" s="4" t="s">
        <v>1435</v>
      </c>
      <c r="J1251" s="24">
        <v>22</v>
      </c>
      <c r="K1251" s="54" t="str">
        <f>VLOOKUP(J1251,Ruimtegroepen[],2,FALSE)</f>
        <v>Niet in onderhoud</v>
      </c>
      <c r="M1251" s="24"/>
      <c r="N1251" s="83"/>
      <c r="O1251" s="83">
        <v>8.02</v>
      </c>
      <c r="P1251" s="93" t="str">
        <f>LEFT(VLOOKUP(Ruimtestaat[[#This Row],[Ruimte code]],Ruimtegroepen[#All],4,1),2)</f>
        <v/>
      </c>
      <c r="Q1251" s="93"/>
      <c r="R1251" s="84"/>
      <c r="S1251" s="84"/>
      <c r="T1251" s="85">
        <f>IF(R1251&gt;0,IF(RIGHT(Ruimtestaat[[#This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1" s="85">
        <f>IF(T1251&gt;0,VLOOKUP($J1251,Ruimtegroepen[],3,FALSE)*VLOOKUP($L1251,Vloersoorten[],3,FALSE)*VLOOKUP($S1251,Frequenties[],3,FALSE)*VLOOKUP($A1251,Locaties[],3,FALSE),0)</f>
        <v>0</v>
      </c>
      <c r="V1251" s="86">
        <f>Ruimtestaat[[#This Row],[Uitvoeringen werkdagen]]*Ruimtestaat[[#This Row],[Oppervlak (netto)]]</f>
        <v>0</v>
      </c>
      <c r="W1251" s="87">
        <f>IF(U1251&gt;0,Ruimtestaat[[#This Row],[Prest. (m2 /jaar) werkdagen]]/Ruimtestaat[[#This Row],[Norm (m2/uur) werkdagen]],0)</f>
        <v>0</v>
      </c>
      <c r="X1251" s="88">
        <f>Ruimtestaat[[#This Row],[uren / jaar werkdagen]]*Tariefsopbouw!$E$35</f>
        <v>0</v>
      </c>
      <c r="Y1251" s="85"/>
      <c r="Z1251" s="89">
        <f>IF(Ruimtestaat[[#This Row],[Frequentie weekend]]&gt;0,VALUE(LEFT(Y1251,1))*R1251,0)</f>
        <v>0</v>
      </c>
      <c r="AA1251" s="85">
        <f>IF($Z1251&gt;0,VLOOKUP($J1251,Ruimtegroepen[],3,FALSE)*VLOOKUP($L1251,Vloersoorten[],3,FALSE)*VLOOKUP($Y1251,Frequenties[],3,FALSE)*VLOOKUP(#REF!,Locaties[],3,FALSE),0)</f>
        <v>0</v>
      </c>
      <c r="AB1251" s="87">
        <f>Ruimtestaat[[#This Row],[Uitvoeringen weekend]]*Ruimtestaat[[#This Row],[Oppervlak (netto)]]</f>
        <v>0</v>
      </c>
      <c r="AC1251" s="90">
        <f>IF(AB1251&gt;0,Ruimtestaat[[#This Row],[Prest. (m2 /jaar) weekend]]/Ruimtestaat[[#This Row],[Norm (m2/uur) weekend]],0)</f>
        <v>0</v>
      </c>
      <c r="AD1251" s="91">
        <f>Ruimtestaat[[#This Row],[uren / jaar weekend]]*Tariefsopbouw!$D$40</f>
        <v>0</v>
      </c>
      <c r="AE1251" s="60">
        <f>Ruimtestaat[[#This Row],[Prest. (m2 /jaar) weekend]]+Ruimtestaat[[#This Row],[Prest. (m2 /jaar) werkdagen]]</f>
        <v>0</v>
      </c>
      <c r="AF1251" s="60">
        <f>Ruimtestaat[[#This Row],[uren / jaar weekend]]+Ruimtestaat[[#This Row],[uren / jaar werkdagen]]</f>
        <v>0</v>
      </c>
      <c r="AG1251" s="61">
        <f>Ruimtestaat[[#This Row],[kosten / jaar weekend]]+Ruimtestaat[[#This Row],[kosten / jaar werkdagen]]</f>
        <v>0</v>
      </c>
      <c r="AH1251" s="92"/>
      <c r="HL1251" s="59"/>
    </row>
    <row r="1252" spans="1:220">
      <c r="A1252" s="24">
        <v>7</v>
      </c>
      <c r="B1252" s="24" t="str">
        <f>VLOOKUP(Ruimtestaat[[#This Row],[Code]],Locaties[#All],2,FALSE)</f>
        <v>Het Vlier</v>
      </c>
      <c r="C1252" s="24" t="str">
        <f>VLOOKUP(Ruimtestaat[[#This Row],[Code]],Locaties[#All],4,FALSE)</f>
        <v>Het Vlier 1</v>
      </c>
      <c r="D1252" s="24" t="str">
        <f>VLOOKUP(Ruimtestaat[[#This Row],[Code]],Locaties[#All],5,FALSE)</f>
        <v>7414 AR</v>
      </c>
      <c r="E1252" s="24" t="str">
        <f>VLOOKUP(Ruimtestaat[[#This Row],[Code]],Locaties[#All],6,FALSE)</f>
        <v>Deventer</v>
      </c>
      <c r="F1252" s="54"/>
      <c r="G1252" s="24" t="s">
        <v>512</v>
      </c>
      <c r="H1252" s="24" t="s">
        <v>1679</v>
      </c>
      <c r="I1252" s="4" t="s">
        <v>1680</v>
      </c>
      <c r="J1252" s="24">
        <v>17</v>
      </c>
      <c r="K1252" s="54" t="str">
        <f>VLOOKUP(J1252,Ruimtegroepen[],2,FALSE)</f>
        <v>Toestelberging</v>
      </c>
      <c r="L1252" s="24" t="s">
        <v>311</v>
      </c>
      <c r="M1252" s="24" t="s">
        <v>1676</v>
      </c>
      <c r="N1252" s="83">
        <v>9.31</v>
      </c>
      <c r="O1252" s="83"/>
      <c r="P1252" s="93" t="str">
        <f>LEFT(VLOOKUP(Ruimtestaat[[#This Row],[Ruimte code]],Ruimtegroepen[#All],4,1),2)</f>
        <v>Ve</v>
      </c>
      <c r="Q1252" s="93"/>
      <c r="R1252" s="84">
        <v>40</v>
      </c>
      <c r="S1252" s="84" t="s">
        <v>328</v>
      </c>
      <c r="T1252" s="85">
        <f>IF(R1252&gt;0,IF(RIGHT(Ruimtestaat[[#This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1252" s="85">
        <f>IF(T1252&gt;0,VLOOKUP($J1252,Ruimtegroepen[],3,FALSE)*VLOOKUP($L1252,Vloersoorten[],3,FALSE)*VLOOKUP($S1252,Frequenties[],3,FALSE)*VLOOKUP($A1252,Locaties[],3,FALSE),0)</f>
        <v>0</v>
      </c>
      <c r="V1252" s="86">
        <f>Ruimtestaat[[#This Row],[Uitvoeringen werkdagen]]*Ruimtestaat[[#This Row],[Oppervlak (netto)]]</f>
        <v>372.40000000000003</v>
      </c>
      <c r="W1252" s="87">
        <f>IF(U1252&gt;0,Ruimtestaat[[#This Row],[Prest. (m2 /jaar) werkdagen]]/Ruimtestaat[[#This Row],[Norm (m2/uur) werkdagen]],0)</f>
        <v>0</v>
      </c>
      <c r="X1252" s="88">
        <f>Ruimtestaat[[#This Row],[uren / jaar werkdagen]]*Tariefsopbouw!$E$35</f>
        <v>0</v>
      </c>
      <c r="Y1252" s="85"/>
      <c r="Z1252" s="89">
        <f>IF(Ruimtestaat[[#This Row],[Frequentie weekend]]&gt;0,VALUE(LEFT(Y1252,1))*R1252,0)</f>
        <v>0</v>
      </c>
      <c r="AA1252" s="85">
        <f>IF($Z1252&gt;0,VLOOKUP($J1252,Ruimtegroepen[],3,FALSE)*VLOOKUP($L1252,Vloersoorten[],3,FALSE)*VLOOKUP($Y1252,Frequenties[],3,FALSE)*VLOOKUP(#REF!,Locaties[],3,FALSE),0)</f>
        <v>0</v>
      </c>
      <c r="AB1252" s="87">
        <f>Ruimtestaat[[#This Row],[Uitvoeringen weekend]]*Ruimtestaat[[#This Row],[Oppervlak (netto)]]</f>
        <v>0</v>
      </c>
      <c r="AC1252" s="90">
        <f>IF(AB1252&gt;0,Ruimtestaat[[#This Row],[Prest. (m2 /jaar) weekend]]/Ruimtestaat[[#This Row],[Norm (m2/uur) weekend]],0)</f>
        <v>0</v>
      </c>
      <c r="AD1252" s="91">
        <f>Ruimtestaat[[#This Row],[uren / jaar weekend]]*Tariefsopbouw!$D$40</f>
        <v>0</v>
      </c>
      <c r="AE1252" s="60">
        <f>Ruimtestaat[[#This Row],[Prest. (m2 /jaar) weekend]]+Ruimtestaat[[#This Row],[Prest. (m2 /jaar) werkdagen]]</f>
        <v>372.40000000000003</v>
      </c>
      <c r="AF1252" s="60">
        <f>Ruimtestaat[[#This Row],[uren / jaar weekend]]+Ruimtestaat[[#This Row],[uren / jaar werkdagen]]</f>
        <v>0</v>
      </c>
      <c r="AG1252" s="61">
        <f>Ruimtestaat[[#This Row],[kosten / jaar weekend]]+Ruimtestaat[[#This Row],[kosten / jaar werkdagen]]</f>
        <v>0</v>
      </c>
      <c r="AH1252" s="92"/>
      <c r="HL1252" s="59"/>
    </row>
    <row r="1253" spans="1:220">
      <c r="A1253" s="24">
        <v>7</v>
      </c>
      <c r="B1253" s="24" t="str">
        <f>VLOOKUP(Ruimtestaat[[#This Row],[Code]],Locaties[#All],2,FALSE)</f>
        <v>Het Vlier</v>
      </c>
      <c r="C1253" s="24" t="str">
        <f>VLOOKUP(Ruimtestaat[[#This Row],[Code]],Locaties[#All],4,FALSE)</f>
        <v>Het Vlier 1</v>
      </c>
      <c r="D1253" s="24" t="str">
        <f>VLOOKUP(Ruimtestaat[[#This Row],[Code]],Locaties[#All],5,FALSE)</f>
        <v>7414 AR</v>
      </c>
      <c r="E1253" s="24" t="str">
        <f>VLOOKUP(Ruimtestaat[[#This Row],[Code]],Locaties[#All],6,FALSE)</f>
        <v>Deventer</v>
      </c>
      <c r="F1253" s="54"/>
      <c r="G1253" s="24" t="s">
        <v>569</v>
      </c>
      <c r="H1253" s="24" t="s">
        <v>1679</v>
      </c>
      <c r="I1253" s="4" t="s">
        <v>1680</v>
      </c>
      <c r="J1253" s="24">
        <v>22</v>
      </c>
      <c r="K1253" s="54" t="str">
        <f>VLOOKUP(J1253,Ruimtegroepen[],2,FALSE)</f>
        <v>Niet in onderhoud</v>
      </c>
      <c r="M1253" s="24"/>
      <c r="N1253" s="83"/>
      <c r="O1253" s="83">
        <v>9.0399999999999991</v>
      </c>
      <c r="P1253" s="93" t="str">
        <f>LEFT(VLOOKUP(Ruimtestaat[[#This Row],[Ruimte code]],Ruimtegroepen[#All],4,1),2)</f>
        <v/>
      </c>
      <c r="Q1253" s="93"/>
      <c r="R1253" s="84"/>
      <c r="S1253" s="84"/>
      <c r="T1253" s="85">
        <f>IF(R1253&gt;0,IF(RIGHT(Ruimtestaat[[#This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3" s="85">
        <f>IF(T1253&gt;0,VLOOKUP($J1253,Ruimtegroepen[],3,FALSE)*VLOOKUP($L1253,Vloersoorten[],3,FALSE)*VLOOKUP($S1253,Frequenties[],3,FALSE)*VLOOKUP($A1253,Locaties[],3,FALSE),0)</f>
        <v>0</v>
      </c>
      <c r="V1253" s="86">
        <f>Ruimtestaat[[#This Row],[Uitvoeringen werkdagen]]*Ruimtestaat[[#This Row],[Oppervlak (netto)]]</f>
        <v>0</v>
      </c>
      <c r="W1253" s="87">
        <f>IF(U1253&gt;0,Ruimtestaat[[#This Row],[Prest. (m2 /jaar) werkdagen]]/Ruimtestaat[[#This Row],[Norm (m2/uur) werkdagen]],0)</f>
        <v>0</v>
      </c>
      <c r="X1253" s="88">
        <f>Ruimtestaat[[#This Row],[uren / jaar werkdagen]]*Tariefsopbouw!$E$35</f>
        <v>0</v>
      </c>
      <c r="Y1253" s="85"/>
      <c r="Z1253" s="89">
        <f>IF(Ruimtestaat[[#This Row],[Frequentie weekend]]&gt;0,VALUE(LEFT(Y1253,1))*R1253,0)</f>
        <v>0</v>
      </c>
      <c r="AA1253" s="85">
        <f>IF($Z1253&gt;0,VLOOKUP($J1253,Ruimtegroepen[],3,FALSE)*VLOOKUP($L1253,Vloersoorten[],3,FALSE)*VLOOKUP($Y1253,Frequenties[],3,FALSE)*VLOOKUP(#REF!,Locaties[],3,FALSE),0)</f>
        <v>0</v>
      </c>
      <c r="AB1253" s="87">
        <f>Ruimtestaat[[#This Row],[Uitvoeringen weekend]]*Ruimtestaat[[#This Row],[Oppervlak (netto)]]</f>
        <v>0</v>
      </c>
      <c r="AC1253" s="90">
        <f>IF(AB1253&gt;0,Ruimtestaat[[#This Row],[Prest. (m2 /jaar) weekend]]/Ruimtestaat[[#This Row],[Norm (m2/uur) weekend]],0)</f>
        <v>0</v>
      </c>
      <c r="AD1253" s="91">
        <f>Ruimtestaat[[#This Row],[uren / jaar weekend]]*Tariefsopbouw!$D$40</f>
        <v>0</v>
      </c>
      <c r="AE1253" s="60">
        <f>Ruimtestaat[[#This Row],[Prest. (m2 /jaar) weekend]]+Ruimtestaat[[#This Row],[Prest. (m2 /jaar) werkdagen]]</f>
        <v>0</v>
      </c>
      <c r="AF1253" s="60">
        <f>Ruimtestaat[[#This Row],[uren / jaar weekend]]+Ruimtestaat[[#This Row],[uren / jaar werkdagen]]</f>
        <v>0</v>
      </c>
      <c r="AG1253" s="61">
        <f>Ruimtestaat[[#This Row],[kosten / jaar weekend]]+Ruimtestaat[[#This Row],[kosten / jaar werkdagen]]</f>
        <v>0</v>
      </c>
      <c r="AH1253" s="92"/>
      <c r="HL1253" s="59"/>
    </row>
    <row r="1254" spans="1:220">
      <c r="A1254" s="24">
        <v>7</v>
      </c>
      <c r="B1254" s="24" t="str">
        <f>VLOOKUP(Ruimtestaat[[#This Row],[Code]],Locaties[#All],2,FALSE)</f>
        <v>Het Vlier</v>
      </c>
      <c r="C1254" s="24" t="str">
        <f>VLOOKUP(Ruimtestaat[[#This Row],[Code]],Locaties[#All],4,FALSE)</f>
        <v>Het Vlier 1</v>
      </c>
      <c r="D1254" s="24" t="str">
        <f>VLOOKUP(Ruimtestaat[[#This Row],[Code]],Locaties[#All],5,FALSE)</f>
        <v>7414 AR</v>
      </c>
      <c r="E1254" s="24" t="str">
        <f>VLOOKUP(Ruimtestaat[[#This Row],[Code]],Locaties[#All],6,FALSE)</f>
        <v>Deventer</v>
      </c>
      <c r="F1254" s="54"/>
      <c r="G1254" s="24" t="s">
        <v>512</v>
      </c>
      <c r="H1254" s="24" t="s">
        <v>1681</v>
      </c>
      <c r="I1254" s="4" t="s">
        <v>1682</v>
      </c>
      <c r="J1254" s="24">
        <v>18</v>
      </c>
      <c r="K1254" s="54" t="str">
        <f>VLOOKUP(J1254,Ruimtegroepen[],2,FALSE)</f>
        <v>Gymzaal</v>
      </c>
      <c r="L1254" s="24" t="s">
        <v>311</v>
      </c>
      <c r="M1254" s="24" t="s">
        <v>1676</v>
      </c>
      <c r="N1254" s="83">
        <v>451.52</v>
      </c>
      <c r="O1254" s="83"/>
      <c r="P1254" s="93" t="str">
        <f>LEFT(VLOOKUP(Ruimtestaat[[#This Row],[Ruimte code]],Ruimtegroepen[#All],4,1),2)</f>
        <v>Sp</v>
      </c>
      <c r="Q1254" s="93"/>
      <c r="R1254" s="84">
        <v>40</v>
      </c>
      <c r="S1254" s="84" t="s">
        <v>318</v>
      </c>
      <c r="T1254" s="85">
        <f>IF(R1254&gt;0,IF(RIGHT(Ruimtestaat[[#This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54" s="85">
        <f>IF(T1254&gt;0,VLOOKUP($J1254,Ruimtegroepen[],3,FALSE)*VLOOKUP($L1254,Vloersoorten[],3,FALSE)*VLOOKUP($S1254,Frequenties[],3,FALSE)*VLOOKUP($A1254,Locaties[],3,FALSE),0)</f>
        <v>0</v>
      </c>
      <c r="V1254" s="86">
        <f>Ruimtestaat[[#This Row],[Uitvoeringen werkdagen]]*Ruimtestaat[[#This Row],[Oppervlak (netto)]]</f>
        <v>90304</v>
      </c>
      <c r="W1254" s="87">
        <f>IF(U1254&gt;0,Ruimtestaat[[#This Row],[Prest. (m2 /jaar) werkdagen]]/Ruimtestaat[[#This Row],[Norm (m2/uur) werkdagen]],0)</f>
        <v>0</v>
      </c>
      <c r="X1254" s="88">
        <f>Ruimtestaat[[#This Row],[uren / jaar werkdagen]]*Tariefsopbouw!$E$35</f>
        <v>0</v>
      </c>
      <c r="Y1254" s="85"/>
      <c r="Z1254" s="89">
        <f>IF(Ruimtestaat[[#This Row],[Frequentie weekend]]&gt;0,VALUE(LEFT(Y1254,1))*R1254,0)</f>
        <v>0</v>
      </c>
      <c r="AA1254" s="85">
        <f>IF($Z1254&gt;0,VLOOKUP($J1254,Ruimtegroepen[],3,FALSE)*VLOOKUP($L1254,Vloersoorten[],3,FALSE)*VLOOKUP($Y1254,Frequenties[],3,FALSE)*VLOOKUP(#REF!,Locaties[],3,FALSE),0)</f>
        <v>0</v>
      </c>
      <c r="AB1254" s="87">
        <f>Ruimtestaat[[#This Row],[Uitvoeringen weekend]]*Ruimtestaat[[#This Row],[Oppervlak (netto)]]</f>
        <v>0</v>
      </c>
      <c r="AC1254" s="90">
        <f>IF(AB1254&gt;0,Ruimtestaat[[#This Row],[Prest. (m2 /jaar) weekend]]/Ruimtestaat[[#This Row],[Norm (m2/uur) weekend]],0)</f>
        <v>0</v>
      </c>
      <c r="AD1254" s="91">
        <f>Ruimtestaat[[#This Row],[uren / jaar weekend]]*Tariefsopbouw!$D$40</f>
        <v>0</v>
      </c>
      <c r="AE1254" s="60">
        <f>Ruimtestaat[[#This Row],[Prest. (m2 /jaar) weekend]]+Ruimtestaat[[#This Row],[Prest. (m2 /jaar) werkdagen]]</f>
        <v>90304</v>
      </c>
      <c r="AF1254" s="60">
        <f>Ruimtestaat[[#This Row],[uren / jaar weekend]]+Ruimtestaat[[#This Row],[uren / jaar werkdagen]]</f>
        <v>0</v>
      </c>
      <c r="AG1254" s="61">
        <f>Ruimtestaat[[#This Row],[kosten / jaar weekend]]+Ruimtestaat[[#This Row],[kosten / jaar werkdagen]]</f>
        <v>0</v>
      </c>
      <c r="AH1254" s="92"/>
      <c r="HL1254" s="59"/>
    </row>
    <row r="1255" spans="1:220">
      <c r="A1255" s="24">
        <v>7</v>
      </c>
      <c r="B1255" s="24" t="str">
        <f>VLOOKUP(Ruimtestaat[[#This Row],[Code]],Locaties[#All],2,FALSE)</f>
        <v>Het Vlier</v>
      </c>
      <c r="C1255" s="24" t="str">
        <f>VLOOKUP(Ruimtestaat[[#This Row],[Code]],Locaties[#All],4,FALSE)</f>
        <v>Het Vlier 1</v>
      </c>
      <c r="D1255" s="24" t="str">
        <f>VLOOKUP(Ruimtestaat[[#This Row],[Code]],Locaties[#All],5,FALSE)</f>
        <v>7414 AR</v>
      </c>
      <c r="E1255" s="24" t="str">
        <f>VLOOKUP(Ruimtestaat[[#This Row],[Code]],Locaties[#All],6,FALSE)</f>
        <v>Deventer</v>
      </c>
      <c r="F1255" s="54"/>
      <c r="G1255" s="24" t="s">
        <v>569</v>
      </c>
      <c r="H1255" s="24" t="s">
        <v>1681</v>
      </c>
      <c r="I1255" s="4" t="s">
        <v>1682</v>
      </c>
      <c r="J1255" s="24">
        <v>22</v>
      </c>
      <c r="K1255" s="54" t="str">
        <f>VLOOKUP(J1255,Ruimtegroepen[],2,FALSE)</f>
        <v>Niet in onderhoud</v>
      </c>
      <c r="M1255" s="24"/>
      <c r="N1255" s="83"/>
      <c r="O1255" s="83">
        <v>451.52</v>
      </c>
      <c r="P1255" s="93" t="str">
        <f>LEFT(VLOOKUP(Ruimtestaat[[#This Row],[Ruimte code]],Ruimtegroepen[#All],4,1),2)</f>
        <v/>
      </c>
      <c r="Q1255" s="93"/>
      <c r="R1255" s="84"/>
      <c r="S1255" s="84"/>
      <c r="T1255" s="85">
        <f>IF(R1255&gt;0,IF(RIGHT(Ruimtestaat[[#This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5" s="85">
        <f>IF(T1255&gt;0,VLOOKUP($J1255,Ruimtegroepen[],3,FALSE)*VLOOKUP($L1255,Vloersoorten[],3,FALSE)*VLOOKUP($S1255,Frequenties[],3,FALSE)*VLOOKUP($A1255,Locaties[],3,FALSE),0)</f>
        <v>0</v>
      </c>
      <c r="V1255" s="86">
        <f>Ruimtestaat[[#This Row],[Uitvoeringen werkdagen]]*Ruimtestaat[[#This Row],[Oppervlak (netto)]]</f>
        <v>0</v>
      </c>
      <c r="W1255" s="87">
        <f>IF(U1255&gt;0,Ruimtestaat[[#This Row],[Prest. (m2 /jaar) werkdagen]]/Ruimtestaat[[#This Row],[Norm (m2/uur) werkdagen]],0)</f>
        <v>0</v>
      </c>
      <c r="X1255" s="88">
        <f>Ruimtestaat[[#This Row],[uren / jaar werkdagen]]*Tariefsopbouw!$E$35</f>
        <v>0</v>
      </c>
      <c r="Y1255" s="85"/>
      <c r="Z1255" s="89">
        <f>IF(Ruimtestaat[[#This Row],[Frequentie weekend]]&gt;0,VALUE(LEFT(Y1255,1))*R1255,0)</f>
        <v>0</v>
      </c>
      <c r="AA1255" s="85">
        <f>IF($Z1255&gt;0,VLOOKUP($J1255,Ruimtegroepen[],3,FALSE)*VLOOKUP($L1255,Vloersoorten[],3,FALSE)*VLOOKUP($Y1255,Frequenties[],3,FALSE)*VLOOKUP(#REF!,Locaties[],3,FALSE),0)</f>
        <v>0</v>
      </c>
      <c r="AB1255" s="87">
        <f>Ruimtestaat[[#This Row],[Uitvoeringen weekend]]*Ruimtestaat[[#This Row],[Oppervlak (netto)]]</f>
        <v>0</v>
      </c>
      <c r="AC1255" s="90">
        <f>IF(AB1255&gt;0,Ruimtestaat[[#This Row],[Prest. (m2 /jaar) weekend]]/Ruimtestaat[[#This Row],[Norm (m2/uur) weekend]],0)</f>
        <v>0</v>
      </c>
      <c r="AD1255" s="91">
        <f>Ruimtestaat[[#This Row],[uren / jaar weekend]]*Tariefsopbouw!$D$40</f>
        <v>0</v>
      </c>
      <c r="AE1255" s="60">
        <f>Ruimtestaat[[#This Row],[Prest. (m2 /jaar) weekend]]+Ruimtestaat[[#This Row],[Prest. (m2 /jaar) werkdagen]]</f>
        <v>0</v>
      </c>
      <c r="AF1255" s="60">
        <f>Ruimtestaat[[#This Row],[uren / jaar weekend]]+Ruimtestaat[[#This Row],[uren / jaar werkdagen]]</f>
        <v>0</v>
      </c>
      <c r="AG1255" s="61">
        <f>Ruimtestaat[[#This Row],[kosten / jaar weekend]]+Ruimtestaat[[#This Row],[kosten / jaar werkdagen]]</f>
        <v>0</v>
      </c>
      <c r="AH1255" s="92"/>
      <c r="HL1255" s="59"/>
    </row>
    <row r="1256" spans="1:220">
      <c r="A1256" s="24">
        <v>7</v>
      </c>
      <c r="B1256" s="24" t="str">
        <f>VLOOKUP(Ruimtestaat[[#This Row],[Code]],Locaties[#All],2,FALSE)</f>
        <v>Het Vlier</v>
      </c>
      <c r="C1256" s="24" t="str">
        <f>VLOOKUP(Ruimtestaat[[#This Row],[Code]],Locaties[#All],4,FALSE)</f>
        <v>Het Vlier 1</v>
      </c>
      <c r="D1256" s="24" t="str">
        <f>VLOOKUP(Ruimtestaat[[#This Row],[Code]],Locaties[#All],5,FALSE)</f>
        <v>7414 AR</v>
      </c>
      <c r="E1256" s="24" t="str">
        <f>VLOOKUP(Ruimtestaat[[#This Row],[Code]],Locaties[#All],6,FALSE)</f>
        <v>Deventer</v>
      </c>
      <c r="F1256" s="54"/>
      <c r="G1256" s="24" t="s">
        <v>512</v>
      </c>
      <c r="H1256" s="24" t="s">
        <v>1683</v>
      </c>
      <c r="I1256" s="4" t="s">
        <v>1435</v>
      </c>
      <c r="J1256" s="24">
        <v>22</v>
      </c>
      <c r="K1256" s="54" t="str">
        <f>VLOOKUP(J1256,Ruimtegroepen[],2,FALSE)</f>
        <v>Niet in onderhoud</v>
      </c>
      <c r="L1256" s="24" t="s">
        <v>311</v>
      </c>
      <c r="M1256" s="24" t="s">
        <v>1676</v>
      </c>
      <c r="N1256" s="83"/>
      <c r="O1256" s="83">
        <v>24.19</v>
      </c>
      <c r="P1256" s="93" t="str">
        <f>LEFT(VLOOKUP(Ruimtestaat[[#This Row],[Ruimte code]],Ruimtegroepen[#All],4,1),2)</f>
        <v/>
      </c>
      <c r="Q1256" s="93"/>
      <c r="R1256" s="84"/>
      <c r="S1256" s="84"/>
      <c r="T1256" s="85">
        <f>IF(R1256&gt;0,IF(RIGHT(Ruimtestaat[[#This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6" s="85">
        <f>IF(T1256&gt;0,VLOOKUP($J1256,Ruimtegroepen[],3,FALSE)*VLOOKUP($L1256,Vloersoorten[],3,FALSE)*VLOOKUP($S1256,Frequenties[],3,FALSE)*VLOOKUP($A1256,Locaties[],3,FALSE),0)</f>
        <v>0</v>
      </c>
      <c r="V1256" s="86">
        <f>Ruimtestaat[[#This Row],[Uitvoeringen werkdagen]]*Ruimtestaat[[#This Row],[Oppervlak (netto)]]</f>
        <v>0</v>
      </c>
      <c r="W1256" s="87">
        <f>IF(U1256&gt;0,Ruimtestaat[[#This Row],[Prest. (m2 /jaar) werkdagen]]/Ruimtestaat[[#This Row],[Norm (m2/uur) werkdagen]],0)</f>
        <v>0</v>
      </c>
      <c r="X1256" s="88">
        <f>Ruimtestaat[[#This Row],[uren / jaar werkdagen]]*Tariefsopbouw!$E$35</f>
        <v>0</v>
      </c>
      <c r="Y1256" s="85"/>
      <c r="Z1256" s="89">
        <f>IF(Ruimtestaat[[#This Row],[Frequentie weekend]]&gt;0,VALUE(LEFT(Y1256,1))*R1256,0)</f>
        <v>0</v>
      </c>
      <c r="AA1256" s="85">
        <f>IF($Z1256&gt;0,VLOOKUP($J1256,Ruimtegroepen[],3,FALSE)*VLOOKUP($L1256,Vloersoorten[],3,FALSE)*VLOOKUP($Y1256,Frequenties[],3,FALSE)*VLOOKUP(#REF!,Locaties[],3,FALSE),0)</f>
        <v>0</v>
      </c>
      <c r="AB1256" s="87">
        <f>Ruimtestaat[[#This Row],[Uitvoeringen weekend]]*Ruimtestaat[[#This Row],[Oppervlak (netto)]]</f>
        <v>0</v>
      </c>
      <c r="AC1256" s="90">
        <f>IF(AB1256&gt;0,Ruimtestaat[[#This Row],[Prest. (m2 /jaar) weekend]]/Ruimtestaat[[#This Row],[Norm (m2/uur) weekend]],0)</f>
        <v>0</v>
      </c>
      <c r="AD1256" s="91">
        <f>Ruimtestaat[[#This Row],[uren / jaar weekend]]*Tariefsopbouw!$D$40</f>
        <v>0</v>
      </c>
      <c r="AE1256" s="60">
        <f>Ruimtestaat[[#This Row],[Prest. (m2 /jaar) weekend]]+Ruimtestaat[[#This Row],[Prest. (m2 /jaar) werkdagen]]</f>
        <v>0</v>
      </c>
      <c r="AF1256" s="60">
        <f>Ruimtestaat[[#This Row],[uren / jaar weekend]]+Ruimtestaat[[#This Row],[uren / jaar werkdagen]]</f>
        <v>0</v>
      </c>
      <c r="AG1256" s="61">
        <f>Ruimtestaat[[#This Row],[kosten / jaar weekend]]+Ruimtestaat[[#This Row],[kosten / jaar werkdagen]]</f>
        <v>0</v>
      </c>
      <c r="AH1256" s="92"/>
      <c r="HL1256" s="59"/>
    </row>
    <row r="1257" spans="1:220">
      <c r="A1257" s="24">
        <v>7</v>
      </c>
      <c r="B1257" s="24" t="str">
        <f>VLOOKUP(Ruimtestaat[[#This Row],[Code]],Locaties[#All],2,FALSE)</f>
        <v>Het Vlier</v>
      </c>
      <c r="C1257" s="24" t="str">
        <f>VLOOKUP(Ruimtestaat[[#This Row],[Code]],Locaties[#All],4,FALSE)</f>
        <v>Het Vlier 1</v>
      </c>
      <c r="D1257" s="24" t="str">
        <f>VLOOKUP(Ruimtestaat[[#This Row],[Code]],Locaties[#All],5,FALSE)</f>
        <v>7414 AR</v>
      </c>
      <c r="E1257" s="24" t="str">
        <f>VLOOKUP(Ruimtestaat[[#This Row],[Code]],Locaties[#All],6,FALSE)</f>
        <v>Deventer</v>
      </c>
      <c r="F1257" s="54"/>
      <c r="G1257" s="24" t="s">
        <v>569</v>
      </c>
      <c r="H1257" s="24" t="s">
        <v>1683</v>
      </c>
      <c r="I1257" s="4" t="s">
        <v>1435</v>
      </c>
      <c r="J1257" s="24">
        <v>22</v>
      </c>
      <c r="K1257" s="54" t="str">
        <f>VLOOKUP(J1257,Ruimtegroepen[],2,FALSE)</f>
        <v>Niet in onderhoud</v>
      </c>
      <c r="M1257" s="24"/>
      <c r="N1257" s="83"/>
      <c r="O1257" s="83">
        <v>22.27</v>
      </c>
      <c r="P1257" s="93" t="str">
        <f>LEFT(VLOOKUP(Ruimtestaat[[#This Row],[Ruimte code]],Ruimtegroepen[#All],4,1),2)</f>
        <v/>
      </c>
      <c r="Q1257" s="93"/>
      <c r="R1257" s="84"/>
      <c r="S1257" s="84"/>
      <c r="T1257" s="85">
        <f>IF(R1257&gt;0,IF(RIGHT(Ruimtestaat[[#This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7" s="85">
        <f>IF(T1257&gt;0,VLOOKUP($J1257,Ruimtegroepen[],3,FALSE)*VLOOKUP($L1257,Vloersoorten[],3,FALSE)*VLOOKUP($S1257,Frequenties[],3,FALSE)*VLOOKUP($A1257,Locaties[],3,FALSE),0)</f>
        <v>0</v>
      </c>
      <c r="V1257" s="86">
        <f>Ruimtestaat[[#This Row],[Uitvoeringen werkdagen]]*Ruimtestaat[[#This Row],[Oppervlak (netto)]]</f>
        <v>0</v>
      </c>
      <c r="W1257" s="87">
        <f>IF(U1257&gt;0,Ruimtestaat[[#This Row],[Prest. (m2 /jaar) werkdagen]]/Ruimtestaat[[#This Row],[Norm (m2/uur) werkdagen]],0)</f>
        <v>0</v>
      </c>
      <c r="X1257" s="88">
        <f>Ruimtestaat[[#This Row],[uren / jaar werkdagen]]*Tariefsopbouw!$E$35</f>
        <v>0</v>
      </c>
      <c r="Y1257" s="85"/>
      <c r="Z1257" s="89">
        <f>IF(Ruimtestaat[[#This Row],[Frequentie weekend]]&gt;0,VALUE(LEFT(Y1257,1))*R1257,0)</f>
        <v>0</v>
      </c>
      <c r="AA1257" s="85">
        <f>IF($Z1257&gt;0,VLOOKUP($J1257,Ruimtegroepen[],3,FALSE)*VLOOKUP($L1257,Vloersoorten[],3,FALSE)*VLOOKUP($Y1257,Frequenties[],3,FALSE)*VLOOKUP(#REF!,Locaties[],3,FALSE),0)</f>
        <v>0</v>
      </c>
      <c r="AB1257" s="87">
        <f>Ruimtestaat[[#This Row],[Uitvoeringen weekend]]*Ruimtestaat[[#This Row],[Oppervlak (netto)]]</f>
        <v>0</v>
      </c>
      <c r="AC1257" s="90">
        <f>IF(AB1257&gt;0,Ruimtestaat[[#This Row],[Prest. (m2 /jaar) weekend]]/Ruimtestaat[[#This Row],[Norm (m2/uur) weekend]],0)</f>
        <v>0</v>
      </c>
      <c r="AD1257" s="91">
        <f>Ruimtestaat[[#This Row],[uren / jaar weekend]]*Tariefsopbouw!$D$40</f>
        <v>0</v>
      </c>
      <c r="AE1257" s="60">
        <f>Ruimtestaat[[#This Row],[Prest. (m2 /jaar) weekend]]+Ruimtestaat[[#This Row],[Prest. (m2 /jaar) werkdagen]]</f>
        <v>0</v>
      </c>
      <c r="AF1257" s="60">
        <f>Ruimtestaat[[#This Row],[uren / jaar weekend]]+Ruimtestaat[[#This Row],[uren / jaar werkdagen]]</f>
        <v>0</v>
      </c>
      <c r="AG1257" s="61">
        <f>Ruimtestaat[[#This Row],[kosten / jaar weekend]]+Ruimtestaat[[#This Row],[kosten / jaar werkdagen]]</f>
        <v>0</v>
      </c>
      <c r="AH1257" s="92"/>
      <c r="HL1257" s="59"/>
    </row>
    <row r="1258" spans="1:220">
      <c r="A1258" s="24">
        <v>7</v>
      </c>
      <c r="B1258" s="24" t="str">
        <f>VLOOKUP(Ruimtestaat[[#This Row],[Code]],Locaties[#All],2,FALSE)</f>
        <v>Het Vlier</v>
      </c>
      <c r="C1258" s="24" t="str">
        <f>VLOOKUP(Ruimtestaat[[#This Row],[Code]],Locaties[#All],4,FALSE)</f>
        <v>Het Vlier 1</v>
      </c>
      <c r="D1258" s="24" t="str">
        <f>VLOOKUP(Ruimtestaat[[#This Row],[Code]],Locaties[#All],5,FALSE)</f>
        <v>7414 AR</v>
      </c>
      <c r="E1258" s="24" t="str">
        <f>VLOOKUP(Ruimtestaat[[#This Row],[Code]],Locaties[#All],6,FALSE)</f>
        <v>Deventer</v>
      </c>
      <c r="F1258" s="54"/>
      <c r="G1258" s="24" t="s">
        <v>512</v>
      </c>
      <c r="H1258" s="24" t="s">
        <v>1684</v>
      </c>
      <c r="I1258" s="4" t="s">
        <v>1680</v>
      </c>
      <c r="J1258" s="24">
        <v>17</v>
      </c>
      <c r="K1258" s="54" t="str">
        <f>VLOOKUP(J1258,Ruimtegroepen[],2,FALSE)</f>
        <v>Toestelberging</v>
      </c>
      <c r="L1258" s="24" t="s">
        <v>311</v>
      </c>
      <c r="M1258" s="24" t="s">
        <v>1676</v>
      </c>
      <c r="N1258" s="83">
        <v>4.8600000000000003</v>
      </c>
      <c r="O1258" s="83"/>
      <c r="P1258" s="93" t="str">
        <f>LEFT(VLOOKUP(Ruimtestaat[[#This Row],[Ruimte code]],Ruimtegroepen[#All],4,1),2)</f>
        <v>Ve</v>
      </c>
      <c r="Q1258" s="93"/>
      <c r="R1258" s="84">
        <v>40</v>
      </c>
      <c r="S1258" s="84" t="s">
        <v>328</v>
      </c>
      <c r="T1258" s="85">
        <f>IF(R1258&gt;0,IF(RIGHT(Ruimtestaat[[#This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1258" s="85">
        <f>IF(T1258&gt;0,VLOOKUP($J1258,Ruimtegroepen[],3,FALSE)*VLOOKUP($L1258,Vloersoorten[],3,FALSE)*VLOOKUP($S1258,Frequenties[],3,FALSE)*VLOOKUP($A1258,Locaties[],3,FALSE),0)</f>
        <v>0</v>
      </c>
      <c r="V1258" s="86">
        <f>Ruimtestaat[[#This Row],[Uitvoeringen werkdagen]]*Ruimtestaat[[#This Row],[Oppervlak (netto)]]</f>
        <v>194.4</v>
      </c>
      <c r="W1258" s="87">
        <f>IF(U1258&gt;0,Ruimtestaat[[#This Row],[Prest. (m2 /jaar) werkdagen]]/Ruimtestaat[[#This Row],[Norm (m2/uur) werkdagen]],0)</f>
        <v>0</v>
      </c>
      <c r="X1258" s="88">
        <f>Ruimtestaat[[#This Row],[uren / jaar werkdagen]]*Tariefsopbouw!$E$35</f>
        <v>0</v>
      </c>
      <c r="Y1258" s="85"/>
      <c r="Z1258" s="89">
        <f>IF(Ruimtestaat[[#This Row],[Frequentie weekend]]&gt;0,VALUE(LEFT(Y1258,1))*R1258,0)</f>
        <v>0</v>
      </c>
      <c r="AA1258" s="85">
        <f>IF($Z1258&gt;0,VLOOKUP($J1258,Ruimtegroepen[],3,FALSE)*VLOOKUP($L1258,Vloersoorten[],3,FALSE)*VLOOKUP($Y1258,Frequenties[],3,FALSE)*VLOOKUP(#REF!,Locaties[],3,FALSE),0)</f>
        <v>0</v>
      </c>
      <c r="AB1258" s="87">
        <f>Ruimtestaat[[#This Row],[Uitvoeringen weekend]]*Ruimtestaat[[#This Row],[Oppervlak (netto)]]</f>
        <v>0</v>
      </c>
      <c r="AC1258" s="90">
        <f>IF(AB1258&gt;0,Ruimtestaat[[#This Row],[Prest. (m2 /jaar) weekend]]/Ruimtestaat[[#This Row],[Norm (m2/uur) weekend]],0)</f>
        <v>0</v>
      </c>
      <c r="AD1258" s="91">
        <f>Ruimtestaat[[#This Row],[uren / jaar weekend]]*Tariefsopbouw!$D$40</f>
        <v>0</v>
      </c>
      <c r="AE1258" s="60">
        <f>Ruimtestaat[[#This Row],[Prest. (m2 /jaar) weekend]]+Ruimtestaat[[#This Row],[Prest. (m2 /jaar) werkdagen]]</f>
        <v>194.4</v>
      </c>
      <c r="AF1258" s="60">
        <f>Ruimtestaat[[#This Row],[uren / jaar weekend]]+Ruimtestaat[[#This Row],[uren / jaar werkdagen]]</f>
        <v>0</v>
      </c>
      <c r="AG1258" s="61">
        <f>Ruimtestaat[[#This Row],[kosten / jaar weekend]]+Ruimtestaat[[#This Row],[kosten / jaar werkdagen]]</f>
        <v>0</v>
      </c>
      <c r="AH1258" s="92"/>
      <c r="HL1258" s="59"/>
    </row>
    <row r="1259" spans="1:220">
      <c r="A1259" s="24">
        <v>7</v>
      </c>
      <c r="B1259" s="24" t="str">
        <f>VLOOKUP(Ruimtestaat[[#This Row],[Code]],Locaties[#All],2,FALSE)</f>
        <v>Het Vlier</v>
      </c>
      <c r="C1259" s="24" t="str">
        <f>VLOOKUP(Ruimtestaat[[#This Row],[Code]],Locaties[#All],4,FALSE)</f>
        <v>Het Vlier 1</v>
      </c>
      <c r="D1259" s="24" t="str">
        <f>VLOOKUP(Ruimtestaat[[#This Row],[Code]],Locaties[#All],5,FALSE)</f>
        <v>7414 AR</v>
      </c>
      <c r="E1259" s="24" t="str">
        <f>VLOOKUP(Ruimtestaat[[#This Row],[Code]],Locaties[#All],6,FALSE)</f>
        <v>Deventer</v>
      </c>
      <c r="F1259" s="54"/>
      <c r="G1259" s="24" t="s">
        <v>569</v>
      </c>
      <c r="H1259" s="24" t="s">
        <v>1684</v>
      </c>
      <c r="I1259" s="4" t="s">
        <v>1680</v>
      </c>
      <c r="J1259" s="24">
        <v>22</v>
      </c>
      <c r="K1259" s="54" t="str">
        <f>VLOOKUP(J1259,Ruimtegroepen[],2,FALSE)</f>
        <v>Niet in onderhoud</v>
      </c>
      <c r="M1259" s="24"/>
      <c r="N1259" s="83"/>
      <c r="O1259" s="83">
        <v>4.7300000000000004</v>
      </c>
      <c r="P1259" s="93" t="str">
        <f>LEFT(VLOOKUP(Ruimtestaat[[#This Row],[Ruimte code]],Ruimtegroepen[#All],4,1),2)</f>
        <v/>
      </c>
      <c r="Q1259" s="93"/>
      <c r="R1259" s="84"/>
      <c r="S1259" s="84"/>
      <c r="T1259" s="85">
        <f>IF(R1259&gt;0,IF(RIGHT(Ruimtestaat[[#This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9" s="85">
        <f>IF(T1259&gt;0,VLOOKUP($J1259,Ruimtegroepen[],3,FALSE)*VLOOKUP($L1259,Vloersoorten[],3,FALSE)*VLOOKUP($S1259,Frequenties[],3,FALSE)*VLOOKUP($A1259,Locaties[],3,FALSE),0)</f>
        <v>0</v>
      </c>
      <c r="V1259" s="86">
        <f>Ruimtestaat[[#This Row],[Uitvoeringen werkdagen]]*Ruimtestaat[[#This Row],[Oppervlak (netto)]]</f>
        <v>0</v>
      </c>
      <c r="W1259" s="87">
        <f>IF(U1259&gt;0,Ruimtestaat[[#This Row],[Prest. (m2 /jaar) werkdagen]]/Ruimtestaat[[#This Row],[Norm (m2/uur) werkdagen]],0)</f>
        <v>0</v>
      </c>
      <c r="X1259" s="88">
        <f>Ruimtestaat[[#This Row],[uren / jaar werkdagen]]*Tariefsopbouw!$E$35</f>
        <v>0</v>
      </c>
      <c r="Y1259" s="85"/>
      <c r="Z1259" s="89">
        <f>IF(Ruimtestaat[[#This Row],[Frequentie weekend]]&gt;0,VALUE(LEFT(Y1259,1))*R1259,0)</f>
        <v>0</v>
      </c>
      <c r="AA1259" s="85">
        <f>IF($Z1259&gt;0,VLOOKUP($J1259,Ruimtegroepen[],3,FALSE)*VLOOKUP($L1259,Vloersoorten[],3,FALSE)*VLOOKUP($Y1259,Frequenties[],3,FALSE)*VLOOKUP(#REF!,Locaties[],3,FALSE),0)</f>
        <v>0</v>
      </c>
      <c r="AB1259" s="87">
        <f>Ruimtestaat[[#This Row],[Uitvoeringen weekend]]*Ruimtestaat[[#This Row],[Oppervlak (netto)]]</f>
        <v>0</v>
      </c>
      <c r="AC1259" s="90">
        <f>IF(AB1259&gt;0,Ruimtestaat[[#This Row],[Prest. (m2 /jaar) weekend]]/Ruimtestaat[[#This Row],[Norm (m2/uur) weekend]],0)</f>
        <v>0</v>
      </c>
      <c r="AD1259" s="91">
        <f>Ruimtestaat[[#This Row],[uren / jaar weekend]]*Tariefsopbouw!$D$40</f>
        <v>0</v>
      </c>
      <c r="AE1259" s="60">
        <f>Ruimtestaat[[#This Row],[Prest. (m2 /jaar) weekend]]+Ruimtestaat[[#This Row],[Prest. (m2 /jaar) werkdagen]]</f>
        <v>0</v>
      </c>
      <c r="AF1259" s="60">
        <f>Ruimtestaat[[#This Row],[uren / jaar weekend]]+Ruimtestaat[[#This Row],[uren / jaar werkdagen]]</f>
        <v>0</v>
      </c>
      <c r="AG1259" s="61">
        <f>Ruimtestaat[[#This Row],[kosten / jaar weekend]]+Ruimtestaat[[#This Row],[kosten / jaar werkdagen]]</f>
        <v>0</v>
      </c>
      <c r="AH1259" s="92"/>
      <c r="HL1259" s="59"/>
    </row>
    <row r="1260" spans="1:220">
      <c r="A1260" s="24">
        <v>7</v>
      </c>
      <c r="B1260" s="24" t="str">
        <f>VLOOKUP(Ruimtestaat[[#This Row],[Code]],Locaties[#All],2,FALSE)</f>
        <v>Het Vlier</v>
      </c>
      <c r="C1260" s="24" t="str">
        <f>VLOOKUP(Ruimtestaat[[#This Row],[Code]],Locaties[#All],4,FALSE)</f>
        <v>Het Vlier 1</v>
      </c>
      <c r="D1260" s="24" t="str">
        <f>VLOOKUP(Ruimtestaat[[#This Row],[Code]],Locaties[#All],5,FALSE)</f>
        <v>7414 AR</v>
      </c>
      <c r="E1260" s="24" t="str">
        <f>VLOOKUP(Ruimtestaat[[#This Row],[Code]],Locaties[#All],6,FALSE)</f>
        <v>Deventer</v>
      </c>
      <c r="F1260" s="54"/>
      <c r="G1260" s="24" t="s">
        <v>569</v>
      </c>
      <c r="H1260" s="24" t="s">
        <v>1685</v>
      </c>
      <c r="I1260" s="4" t="s">
        <v>1432</v>
      </c>
      <c r="J1260" s="24">
        <v>6</v>
      </c>
      <c r="K1260" s="54" t="str">
        <f>VLOOKUP(J1260,Ruimtegroepen[],2,FALSE)</f>
        <v>Gangen/hallen</v>
      </c>
      <c r="L1260" s="24" t="s">
        <v>305</v>
      </c>
      <c r="M1260" s="24" t="s">
        <v>400</v>
      </c>
      <c r="N1260" s="83">
        <v>26.89</v>
      </c>
      <c r="O1260" s="83"/>
      <c r="P1260" s="93" t="str">
        <f>LEFT(VLOOKUP(Ruimtestaat[[#This Row],[Ruimte code]],Ruimtegroepen[#All],4,1),2)</f>
        <v>Ve</v>
      </c>
      <c r="Q1260" s="93"/>
      <c r="R1260" s="84">
        <v>40</v>
      </c>
      <c r="S1260" s="84" t="s">
        <v>318</v>
      </c>
      <c r="T1260" s="85">
        <f>IF(R1260&gt;0,IF(RIGHT(Ruimtestaat[[#This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0" s="85">
        <f>IF(T1260&gt;0,VLOOKUP($J1260,Ruimtegroepen[],3,FALSE)*VLOOKUP($L1260,Vloersoorten[],3,FALSE)*VLOOKUP($S1260,Frequenties[],3,FALSE)*VLOOKUP($A1260,Locaties[],3,FALSE),0)</f>
        <v>0</v>
      </c>
      <c r="V1260" s="86">
        <f>Ruimtestaat[[#This Row],[Uitvoeringen werkdagen]]*Ruimtestaat[[#This Row],[Oppervlak (netto)]]</f>
        <v>5378</v>
      </c>
      <c r="W1260" s="87">
        <f>IF(U1260&gt;0,Ruimtestaat[[#This Row],[Prest. (m2 /jaar) werkdagen]]/Ruimtestaat[[#This Row],[Norm (m2/uur) werkdagen]],0)</f>
        <v>0</v>
      </c>
      <c r="X1260" s="88">
        <f>Ruimtestaat[[#This Row],[uren / jaar werkdagen]]*Tariefsopbouw!$E$35</f>
        <v>0</v>
      </c>
      <c r="Y1260" s="85"/>
      <c r="Z1260" s="89">
        <f>IF(Ruimtestaat[[#This Row],[Frequentie weekend]]&gt;0,VALUE(LEFT(Y1260,1))*R1260,0)</f>
        <v>0</v>
      </c>
      <c r="AA1260" s="85">
        <f>IF($Z1260&gt;0,VLOOKUP($J1260,Ruimtegroepen[],3,FALSE)*VLOOKUP($L1260,Vloersoorten[],3,FALSE)*VLOOKUP($Y1260,Frequenties[],3,FALSE)*VLOOKUP(#REF!,Locaties[],3,FALSE),0)</f>
        <v>0</v>
      </c>
      <c r="AB1260" s="87">
        <f>Ruimtestaat[[#This Row],[Uitvoeringen weekend]]*Ruimtestaat[[#This Row],[Oppervlak (netto)]]</f>
        <v>0</v>
      </c>
      <c r="AC1260" s="90">
        <f>IF(AB1260&gt;0,Ruimtestaat[[#This Row],[Prest. (m2 /jaar) weekend]]/Ruimtestaat[[#This Row],[Norm (m2/uur) weekend]],0)</f>
        <v>0</v>
      </c>
      <c r="AD1260" s="91">
        <f>Ruimtestaat[[#This Row],[uren / jaar weekend]]*Tariefsopbouw!$D$40</f>
        <v>0</v>
      </c>
      <c r="AE1260" s="60">
        <f>Ruimtestaat[[#This Row],[Prest. (m2 /jaar) weekend]]+Ruimtestaat[[#This Row],[Prest. (m2 /jaar) werkdagen]]</f>
        <v>5378</v>
      </c>
      <c r="AF1260" s="60">
        <f>Ruimtestaat[[#This Row],[uren / jaar weekend]]+Ruimtestaat[[#This Row],[uren / jaar werkdagen]]</f>
        <v>0</v>
      </c>
      <c r="AG1260" s="61">
        <f>Ruimtestaat[[#This Row],[kosten / jaar weekend]]+Ruimtestaat[[#This Row],[kosten / jaar werkdagen]]</f>
        <v>0</v>
      </c>
      <c r="AH1260" s="92"/>
      <c r="HL1260" s="59"/>
    </row>
    <row r="1261" spans="1:220">
      <c r="A1261" s="24">
        <v>7</v>
      </c>
      <c r="B1261" s="24" t="str">
        <f>VLOOKUP(Ruimtestaat[[#This Row],[Code]],Locaties[#All],2,FALSE)</f>
        <v>Het Vlier</v>
      </c>
      <c r="C1261" s="24" t="str">
        <f>VLOOKUP(Ruimtestaat[[#This Row],[Code]],Locaties[#All],4,FALSE)</f>
        <v>Het Vlier 1</v>
      </c>
      <c r="D1261" s="24" t="str">
        <f>VLOOKUP(Ruimtestaat[[#This Row],[Code]],Locaties[#All],5,FALSE)</f>
        <v>7414 AR</v>
      </c>
      <c r="E1261" s="24" t="str">
        <f>VLOOKUP(Ruimtestaat[[#This Row],[Code]],Locaties[#All],6,FALSE)</f>
        <v>Deventer</v>
      </c>
      <c r="F1261" s="54"/>
      <c r="G1261" s="24" t="s">
        <v>569</v>
      </c>
      <c r="H1261" s="24" t="s">
        <v>1686</v>
      </c>
      <c r="I1261" s="4" t="s">
        <v>1687</v>
      </c>
      <c r="J1261" s="24">
        <v>19</v>
      </c>
      <c r="K1261" s="54" t="str">
        <f>VLOOKUP(J1261,Ruimtegroepen[],2,FALSE)</f>
        <v>Kleedruimten</v>
      </c>
      <c r="L1261" s="24" t="s">
        <v>305</v>
      </c>
      <c r="M1261" s="24" t="s">
        <v>400</v>
      </c>
      <c r="N1261" s="83">
        <v>27.35</v>
      </c>
      <c r="O1261" s="83"/>
      <c r="P1261" s="93" t="str">
        <f>LEFT(VLOOKUP(Ruimtestaat[[#This Row],[Ruimte code]],Ruimtegroepen[#All],4,1),2)</f>
        <v>Ve</v>
      </c>
      <c r="Q1261" s="93"/>
      <c r="R1261" s="84">
        <v>40</v>
      </c>
      <c r="S1261" s="84" t="s">
        <v>318</v>
      </c>
      <c r="T1261" s="85">
        <f>IF(R1261&gt;0,IF(RIGHT(Ruimtestaat[[#This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1" s="85">
        <f>IF(T1261&gt;0,VLOOKUP($J1261,Ruimtegroepen[],3,FALSE)*VLOOKUP($L1261,Vloersoorten[],3,FALSE)*VLOOKUP($S1261,Frequenties[],3,FALSE)*VLOOKUP($A1261,Locaties[],3,FALSE),0)</f>
        <v>0</v>
      </c>
      <c r="V1261" s="86">
        <f>Ruimtestaat[[#This Row],[Uitvoeringen werkdagen]]*Ruimtestaat[[#This Row],[Oppervlak (netto)]]</f>
        <v>5470</v>
      </c>
      <c r="W1261" s="87">
        <f>IF(U1261&gt;0,Ruimtestaat[[#This Row],[Prest. (m2 /jaar) werkdagen]]/Ruimtestaat[[#This Row],[Norm (m2/uur) werkdagen]],0)</f>
        <v>0</v>
      </c>
      <c r="X1261" s="88">
        <f>Ruimtestaat[[#This Row],[uren / jaar werkdagen]]*Tariefsopbouw!$E$35</f>
        <v>0</v>
      </c>
      <c r="Y1261" s="85"/>
      <c r="Z1261" s="89">
        <f>IF(Ruimtestaat[[#This Row],[Frequentie weekend]]&gt;0,VALUE(LEFT(Y1261,1))*R1261,0)</f>
        <v>0</v>
      </c>
      <c r="AA1261" s="85">
        <f>IF($Z1261&gt;0,VLOOKUP($J1261,Ruimtegroepen[],3,FALSE)*VLOOKUP($L1261,Vloersoorten[],3,FALSE)*VLOOKUP($Y1261,Frequenties[],3,FALSE)*VLOOKUP(#REF!,Locaties[],3,FALSE),0)</f>
        <v>0</v>
      </c>
      <c r="AB1261" s="87">
        <f>Ruimtestaat[[#This Row],[Uitvoeringen weekend]]*Ruimtestaat[[#This Row],[Oppervlak (netto)]]</f>
        <v>0</v>
      </c>
      <c r="AC1261" s="90">
        <f>IF(AB1261&gt;0,Ruimtestaat[[#This Row],[Prest. (m2 /jaar) weekend]]/Ruimtestaat[[#This Row],[Norm (m2/uur) weekend]],0)</f>
        <v>0</v>
      </c>
      <c r="AD1261" s="91">
        <f>Ruimtestaat[[#This Row],[uren / jaar weekend]]*Tariefsopbouw!$D$40</f>
        <v>0</v>
      </c>
      <c r="AE1261" s="60">
        <f>Ruimtestaat[[#This Row],[Prest. (m2 /jaar) weekend]]+Ruimtestaat[[#This Row],[Prest. (m2 /jaar) werkdagen]]</f>
        <v>5470</v>
      </c>
      <c r="AF1261" s="60">
        <f>Ruimtestaat[[#This Row],[uren / jaar weekend]]+Ruimtestaat[[#This Row],[uren / jaar werkdagen]]</f>
        <v>0</v>
      </c>
      <c r="AG1261" s="61">
        <f>Ruimtestaat[[#This Row],[kosten / jaar weekend]]+Ruimtestaat[[#This Row],[kosten / jaar werkdagen]]</f>
        <v>0</v>
      </c>
      <c r="AH1261" s="92"/>
      <c r="HL1261" s="59"/>
    </row>
    <row r="1262" spans="1:220">
      <c r="A1262" s="24">
        <v>7</v>
      </c>
      <c r="B1262" s="24" t="str">
        <f>VLOOKUP(Ruimtestaat[[#This Row],[Code]],Locaties[#All],2,FALSE)</f>
        <v>Het Vlier</v>
      </c>
      <c r="C1262" s="24" t="str">
        <f>VLOOKUP(Ruimtestaat[[#This Row],[Code]],Locaties[#All],4,FALSE)</f>
        <v>Het Vlier 1</v>
      </c>
      <c r="D1262" s="24" t="str">
        <f>VLOOKUP(Ruimtestaat[[#This Row],[Code]],Locaties[#All],5,FALSE)</f>
        <v>7414 AR</v>
      </c>
      <c r="E1262" s="24" t="str">
        <f>VLOOKUP(Ruimtestaat[[#This Row],[Code]],Locaties[#All],6,FALSE)</f>
        <v>Deventer</v>
      </c>
      <c r="F1262" s="54"/>
      <c r="G1262" s="24" t="s">
        <v>569</v>
      </c>
      <c r="H1262" s="24" t="s">
        <v>1688</v>
      </c>
      <c r="I1262" s="4" t="s">
        <v>1010</v>
      </c>
      <c r="J1262" s="24">
        <v>5</v>
      </c>
      <c r="K1262" s="54" t="str">
        <f>VLOOKUP(J1262,Ruimtegroepen[],2,FALSE)</f>
        <v>Sanitair</v>
      </c>
      <c r="L1262" s="24" t="s">
        <v>305</v>
      </c>
      <c r="M1262" s="24" t="s">
        <v>400</v>
      </c>
      <c r="N1262" s="83">
        <v>1.93</v>
      </c>
      <c r="O1262" s="83"/>
      <c r="P1262" s="93" t="str">
        <f>LEFT(VLOOKUP(Ruimtestaat[[#This Row],[Ruimte code]],Ruimtegroepen[#All],4,1),2)</f>
        <v>Sa</v>
      </c>
      <c r="Q1262" s="93"/>
      <c r="R1262" s="84">
        <v>42</v>
      </c>
      <c r="S1262" s="84" t="s">
        <v>316</v>
      </c>
      <c r="T1262" s="85">
        <f>IF(R1262&gt;0,IF(RIGHT(Ruimtestaat[[#This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62" s="85">
        <f>IF(T1262&gt;0,VLOOKUP($J1262,Ruimtegroepen[],3,FALSE)*VLOOKUP($L1262,Vloersoorten[],3,FALSE)*VLOOKUP($S1262,Frequenties[],3,FALSE)*VLOOKUP($A1262,Locaties[],3,FALSE),0)</f>
        <v>0</v>
      </c>
      <c r="V1262" s="86">
        <f>Ruimtestaat[[#This Row],[Uitvoeringen werkdagen]]*Ruimtestaat[[#This Row],[Oppervlak (netto)]]</f>
        <v>810.6</v>
      </c>
      <c r="W1262" s="87">
        <f>IF(U1262&gt;0,Ruimtestaat[[#This Row],[Prest. (m2 /jaar) werkdagen]]/Ruimtestaat[[#This Row],[Norm (m2/uur) werkdagen]],0)</f>
        <v>0</v>
      </c>
      <c r="X1262" s="88">
        <f>Ruimtestaat[[#This Row],[uren / jaar werkdagen]]*Tariefsopbouw!$E$35</f>
        <v>0</v>
      </c>
      <c r="Y1262" s="85"/>
      <c r="Z1262" s="89">
        <f>IF(Ruimtestaat[[#This Row],[Frequentie weekend]]&gt;0,VALUE(LEFT(Y1262,1))*R1262,0)</f>
        <v>0</v>
      </c>
      <c r="AA1262" s="85">
        <f>IF($Z1262&gt;0,VLOOKUP($J1262,Ruimtegroepen[],3,FALSE)*VLOOKUP($L1262,Vloersoorten[],3,FALSE)*VLOOKUP($Y1262,Frequenties[],3,FALSE)*VLOOKUP(#REF!,Locaties[],3,FALSE),0)</f>
        <v>0</v>
      </c>
      <c r="AB1262" s="87">
        <f>Ruimtestaat[[#This Row],[Uitvoeringen weekend]]*Ruimtestaat[[#This Row],[Oppervlak (netto)]]</f>
        <v>0</v>
      </c>
      <c r="AC1262" s="90">
        <f>IF(AB1262&gt;0,Ruimtestaat[[#This Row],[Prest. (m2 /jaar) weekend]]/Ruimtestaat[[#This Row],[Norm (m2/uur) weekend]],0)</f>
        <v>0</v>
      </c>
      <c r="AD1262" s="91">
        <f>Ruimtestaat[[#This Row],[uren / jaar weekend]]*Tariefsopbouw!$D$40</f>
        <v>0</v>
      </c>
      <c r="AE1262" s="60">
        <f>Ruimtestaat[[#This Row],[Prest. (m2 /jaar) weekend]]+Ruimtestaat[[#This Row],[Prest. (m2 /jaar) werkdagen]]</f>
        <v>810.6</v>
      </c>
      <c r="AF1262" s="60">
        <f>Ruimtestaat[[#This Row],[uren / jaar weekend]]+Ruimtestaat[[#This Row],[uren / jaar werkdagen]]</f>
        <v>0</v>
      </c>
      <c r="AG1262" s="61">
        <f>Ruimtestaat[[#This Row],[kosten / jaar weekend]]+Ruimtestaat[[#This Row],[kosten / jaar werkdagen]]</f>
        <v>0</v>
      </c>
      <c r="AH1262" s="92"/>
      <c r="HL1262" s="59"/>
    </row>
    <row r="1263" spans="1:220">
      <c r="A1263" s="24">
        <v>7</v>
      </c>
      <c r="B1263" s="24" t="str">
        <f>VLOOKUP(Ruimtestaat[[#This Row],[Code]],Locaties[#All],2,FALSE)</f>
        <v>Het Vlier</v>
      </c>
      <c r="C1263" s="24" t="str">
        <f>VLOOKUP(Ruimtestaat[[#This Row],[Code]],Locaties[#All],4,FALSE)</f>
        <v>Het Vlier 1</v>
      </c>
      <c r="D1263" s="24" t="str">
        <f>VLOOKUP(Ruimtestaat[[#This Row],[Code]],Locaties[#All],5,FALSE)</f>
        <v>7414 AR</v>
      </c>
      <c r="E1263" s="24" t="str">
        <f>VLOOKUP(Ruimtestaat[[#This Row],[Code]],Locaties[#All],6,FALSE)</f>
        <v>Deventer</v>
      </c>
      <c r="F1263" s="54"/>
      <c r="G1263" s="24" t="s">
        <v>569</v>
      </c>
      <c r="H1263" s="24" t="s">
        <v>1689</v>
      </c>
      <c r="I1263" s="4" t="s">
        <v>1687</v>
      </c>
      <c r="J1263" s="24">
        <v>19</v>
      </c>
      <c r="K1263" s="54" t="str">
        <f>VLOOKUP(J1263,Ruimtegroepen[],2,FALSE)</f>
        <v>Kleedruimten</v>
      </c>
      <c r="L1263" s="24" t="s">
        <v>305</v>
      </c>
      <c r="M1263" s="24" t="s">
        <v>400</v>
      </c>
      <c r="N1263" s="83">
        <v>30.85</v>
      </c>
      <c r="O1263" s="83"/>
      <c r="P1263" s="93" t="str">
        <f>LEFT(VLOOKUP(Ruimtestaat[[#This Row],[Ruimte code]],Ruimtegroepen[#All],4,1),2)</f>
        <v>Ve</v>
      </c>
      <c r="Q1263" s="93"/>
      <c r="R1263" s="84">
        <v>40</v>
      </c>
      <c r="S1263" s="84" t="s">
        <v>318</v>
      </c>
      <c r="T1263" s="85">
        <f>IF(R1263&gt;0,IF(RIGHT(Ruimtestaat[[#This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3" s="85">
        <f>IF(T1263&gt;0,VLOOKUP($J1263,Ruimtegroepen[],3,FALSE)*VLOOKUP($L1263,Vloersoorten[],3,FALSE)*VLOOKUP($S1263,Frequenties[],3,FALSE)*VLOOKUP($A1263,Locaties[],3,FALSE),0)</f>
        <v>0</v>
      </c>
      <c r="V1263" s="86">
        <f>Ruimtestaat[[#This Row],[Uitvoeringen werkdagen]]*Ruimtestaat[[#This Row],[Oppervlak (netto)]]</f>
        <v>6170</v>
      </c>
      <c r="W1263" s="87">
        <f>IF(U1263&gt;0,Ruimtestaat[[#This Row],[Prest. (m2 /jaar) werkdagen]]/Ruimtestaat[[#This Row],[Norm (m2/uur) werkdagen]],0)</f>
        <v>0</v>
      </c>
      <c r="X1263" s="88">
        <f>Ruimtestaat[[#This Row],[uren / jaar werkdagen]]*Tariefsopbouw!$E$35</f>
        <v>0</v>
      </c>
      <c r="Y1263" s="85"/>
      <c r="Z1263" s="89">
        <f>IF(Ruimtestaat[[#This Row],[Frequentie weekend]]&gt;0,VALUE(LEFT(Y1263,1))*R1263,0)</f>
        <v>0</v>
      </c>
      <c r="AA1263" s="85">
        <f>IF($Z1263&gt;0,VLOOKUP($J1263,Ruimtegroepen[],3,FALSE)*VLOOKUP($L1263,Vloersoorten[],3,FALSE)*VLOOKUP($Y1263,Frequenties[],3,FALSE)*VLOOKUP(#REF!,Locaties[],3,FALSE),0)</f>
        <v>0</v>
      </c>
      <c r="AB1263" s="87">
        <f>Ruimtestaat[[#This Row],[Uitvoeringen weekend]]*Ruimtestaat[[#This Row],[Oppervlak (netto)]]</f>
        <v>0</v>
      </c>
      <c r="AC1263" s="90">
        <f>IF(AB1263&gt;0,Ruimtestaat[[#This Row],[Prest. (m2 /jaar) weekend]]/Ruimtestaat[[#This Row],[Norm (m2/uur) weekend]],0)</f>
        <v>0</v>
      </c>
      <c r="AD1263" s="91">
        <f>Ruimtestaat[[#This Row],[uren / jaar weekend]]*Tariefsopbouw!$D$40</f>
        <v>0</v>
      </c>
      <c r="AE1263" s="60">
        <f>Ruimtestaat[[#This Row],[Prest. (m2 /jaar) weekend]]+Ruimtestaat[[#This Row],[Prest. (m2 /jaar) werkdagen]]</f>
        <v>6170</v>
      </c>
      <c r="AF1263" s="60">
        <f>Ruimtestaat[[#This Row],[uren / jaar weekend]]+Ruimtestaat[[#This Row],[uren / jaar werkdagen]]</f>
        <v>0</v>
      </c>
      <c r="AG1263" s="61">
        <f>Ruimtestaat[[#This Row],[kosten / jaar weekend]]+Ruimtestaat[[#This Row],[kosten / jaar werkdagen]]</f>
        <v>0</v>
      </c>
      <c r="AH1263" s="92"/>
      <c r="HL1263" s="59"/>
    </row>
    <row r="1264" spans="1:220">
      <c r="A1264" s="24">
        <v>7</v>
      </c>
      <c r="B1264" s="24" t="str">
        <f>VLOOKUP(Ruimtestaat[[#This Row],[Code]],Locaties[#All],2,FALSE)</f>
        <v>Het Vlier</v>
      </c>
      <c r="C1264" s="24" t="str">
        <f>VLOOKUP(Ruimtestaat[[#This Row],[Code]],Locaties[#All],4,FALSE)</f>
        <v>Het Vlier 1</v>
      </c>
      <c r="D1264" s="24" t="str">
        <f>VLOOKUP(Ruimtestaat[[#This Row],[Code]],Locaties[#All],5,FALSE)</f>
        <v>7414 AR</v>
      </c>
      <c r="E1264" s="24" t="str">
        <f>VLOOKUP(Ruimtestaat[[#This Row],[Code]],Locaties[#All],6,FALSE)</f>
        <v>Deventer</v>
      </c>
      <c r="F1264" s="54"/>
      <c r="G1264" s="24" t="s">
        <v>569</v>
      </c>
      <c r="H1264" s="24" t="s">
        <v>1690</v>
      </c>
      <c r="I1264" s="4" t="s">
        <v>1010</v>
      </c>
      <c r="J1264" s="24">
        <v>5</v>
      </c>
      <c r="K1264" s="54" t="str">
        <f>VLOOKUP(J1264,Ruimtegroepen[],2,FALSE)</f>
        <v>Sanitair</v>
      </c>
      <c r="L1264" s="24" t="s">
        <v>305</v>
      </c>
      <c r="M1264" s="24" t="s">
        <v>400</v>
      </c>
      <c r="N1264" s="83">
        <v>1.52</v>
      </c>
      <c r="O1264" s="83"/>
      <c r="P1264" s="93" t="str">
        <f>LEFT(VLOOKUP(Ruimtestaat[[#This Row],[Ruimte code]],Ruimtegroepen[#All],4,1),2)</f>
        <v>Sa</v>
      </c>
      <c r="Q1264" s="93"/>
      <c r="R1264" s="84">
        <v>42</v>
      </c>
      <c r="S1264" s="84" t="s">
        <v>316</v>
      </c>
      <c r="T1264" s="85">
        <f>IF(R1264&gt;0,IF(RIGHT(Ruimtestaat[[#This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64" s="85">
        <f>IF(T1264&gt;0,VLOOKUP($J1264,Ruimtegroepen[],3,FALSE)*VLOOKUP($L1264,Vloersoorten[],3,FALSE)*VLOOKUP($S1264,Frequenties[],3,FALSE)*VLOOKUP($A1264,Locaties[],3,FALSE),0)</f>
        <v>0</v>
      </c>
      <c r="V1264" s="86">
        <f>Ruimtestaat[[#This Row],[Uitvoeringen werkdagen]]*Ruimtestaat[[#This Row],[Oppervlak (netto)]]</f>
        <v>638.4</v>
      </c>
      <c r="W1264" s="87">
        <f>IF(U1264&gt;0,Ruimtestaat[[#This Row],[Prest. (m2 /jaar) werkdagen]]/Ruimtestaat[[#This Row],[Norm (m2/uur) werkdagen]],0)</f>
        <v>0</v>
      </c>
      <c r="X1264" s="88">
        <f>Ruimtestaat[[#This Row],[uren / jaar werkdagen]]*Tariefsopbouw!$E$35</f>
        <v>0</v>
      </c>
      <c r="Y1264" s="85"/>
      <c r="Z1264" s="89">
        <f>IF(Ruimtestaat[[#This Row],[Frequentie weekend]]&gt;0,VALUE(LEFT(Y1264,1))*R1264,0)</f>
        <v>0</v>
      </c>
      <c r="AA1264" s="85">
        <f>IF($Z1264&gt;0,VLOOKUP($J1264,Ruimtegroepen[],3,FALSE)*VLOOKUP($L1264,Vloersoorten[],3,FALSE)*VLOOKUP($Y1264,Frequenties[],3,FALSE)*VLOOKUP(#REF!,Locaties[],3,FALSE),0)</f>
        <v>0</v>
      </c>
      <c r="AB1264" s="87">
        <f>Ruimtestaat[[#This Row],[Uitvoeringen weekend]]*Ruimtestaat[[#This Row],[Oppervlak (netto)]]</f>
        <v>0</v>
      </c>
      <c r="AC1264" s="90">
        <f>IF(AB1264&gt;0,Ruimtestaat[[#This Row],[Prest. (m2 /jaar) weekend]]/Ruimtestaat[[#This Row],[Norm (m2/uur) weekend]],0)</f>
        <v>0</v>
      </c>
      <c r="AD1264" s="91">
        <f>Ruimtestaat[[#This Row],[uren / jaar weekend]]*Tariefsopbouw!$D$40</f>
        <v>0</v>
      </c>
      <c r="AE1264" s="60">
        <f>Ruimtestaat[[#This Row],[Prest. (m2 /jaar) weekend]]+Ruimtestaat[[#This Row],[Prest. (m2 /jaar) werkdagen]]</f>
        <v>638.4</v>
      </c>
      <c r="AF1264" s="60">
        <f>Ruimtestaat[[#This Row],[uren / jaar weekend]]+Ruimtestaat[[#This Row],[uren / jaar werkdagen]]</f>
        <v>0</v>
      </c>
      <c r="AG1264" s="61">
        <f>Ruimtestaat[[#This Row],[kosten / jaar weekend]]+Ruimtestaat[[#This Row],[kosten / jaar werkdagen]]</f>
        <v>0</v>
      </c>
      <c r="AH1264" s="92"/>
      <c r="HL1264" s="59"/>
    </row>
    <row r="1265" spans="1:220">
      <c r="A1265" s="24">
        <v>7</v>
      </c>
      <c r="B1265" s="24" t="str">
        <f>VLOOKUP(Ruimtestaat[[#This Row],[Code]],Locaties[#All],2,FALSE)</f>
        <v>Het Vlier</v>
      </c>
      <c r="C1265" s="24" t="str">
        <f>VLOOKUP(Ruimtestaat[[#This Row],[Code]],Locaties[#All],4,FALSE)</f>
        <v>Het Vlier 1</v>
      </c>
      <c r="D1265" s="24" t="str">
        <f>VLOOKUP(Ruimtestaat[[#This Row],[Code]],Locaties[#All],5,FALSE)</f>
        <v>7414 AR</v>
      </c>
      <c r="E1265" s="24" t="str">
        <f>VLOOKUP(Ruimtestaat[[#This Row],[Code]],Locaties[#All],6,FALSE)</f>
        <v>Deventer</v>
      </c>
      <c r="F1265" s="54"/>
      <c r="G1265" s="24" t="s">
        <v>569</v>
      </c>
      <c r="H1265" s="24" t="s">
        <v>1691</v>
      </c>
      <c r="I1265" s="4" t="s">
        <v>1435</v>
      </c>
      <c r="J1265" s="24">
        <v>22</v>
      </c>
      <c r="K1265" s="54" t="str">
        <f>VLOOKUP(J1265,Ruimtegroepen[],2,FALSE)</f>
        <v>Niet in onderhoud</v>
      </c>
      <c r="M1265" s="24"/>
      <c r="N1265" s="83"/>
      <c r="O1265" s="83">
        <v>1.47</v>
      </c>
      <c r="P1265" s="93" t="str">
        <f>LEFT(VLOOKUP(Ruimtestaat[[#This Row],[Ruimte code]],Ruimtegroepen[#All],4,1),2)</f>
        <v/>
      </c>
      <c r="Q1265" s="93"/>
      <c r="R1265" s="84"/>
      <c r="S1265" s="84"/>
      <c r="T1265" s="85">
        <f>IF(R1265&gt;0,IF(RIGHT(Ruimtestaat[[#This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65" s="85">
        <f>IF(T1265&gt;0,VLOOKUP($J1265,Ruimtegroepen[],3,FALSE)*VLOOKUP($L1265,Vloersoorten[],3,FALSE)*VLOOKUP($S1265,Frequenties[],3,FALSE)*VLOOKUP($A1265,Locaties[],3,FALSE),0)</f>
        <v>0</v>
      </c>
      <c r="V1265" s="86">
        <f>Ruimtestaat[[#This Row],[Uitvoeringen werkdagen]]*Ruimtestaat[[#This Row],[Oppervlak (netto)]]</f>
        <v>0</v>
      </c>
      <c r="W1265" s="87">
        <f>IF(U1265&gt;0,Ruimtestaat[[#This Row],[Prest. (m2 /jaar) werkdagen]]/Ruimtestaat[[#This Row],[Norm (m2/uur) werkdagen]],0)</f>
        <v>0</v>
      </c>
      <c r="X1265" s="88">
        <f>Ruimtestaat[[#This Row],[uren / jaar werkdagen]]*Tariefsopbouw!$E$35</f>
        <v>0</v>
      </c>
      <c r="Y1265" s="85"/>
      <c r="Z1265" s="89">
        <f>IF(Ruimtestaat[[#This Row],[Frequentie weekend]]&gt;0,VALUE(LEFT(Y1265,1))*R1265,0)</f>
        <v>0</v>
      </c>
      <c r="AA1265" s="85">
        <f>IF($Z1265&gt;0,VLOOKUP($J1265,Ruimtegroepen[],3,FALSE)*VLOOKUP($L1265,Vloersoorten[],3,FALSE)*VLOOKUP($Y1265,Frequenties[],3,FALSE)*VLOOKUP(#REF!,Locaties[],3,FALSE),0)</f>
        <v>0</v>
      </c>
      <c r="AB1265" s="87">
        <f>Ruimtestaat[[#This Row],[Uitvoeringen weekend]]*Ruimtestaat[[#This Row],[Oppervlak (netto)]]</f>
        <v>0</v>
      </c>
      <c r="AC1265" s="90">
        <f>IF(AB1265&gt;0,Ruimtestaat[[#This Row],[Prest. (m2 /jaar) weekend]]/Ruimtestaat[[#This Row],[Norm (m2/uur) weekend]],0)</f>
        <v>0</v>
      </c>
      <c r="AD1265" s="91">
        <f>Ruimtestaat[[#This Row],[uren / jaar weekend]]*Tariefsopbouw!$D$40</f>
        <v>0</v>
      </c>
      <c r="AE1265" s="60">
        <f>Ruimtestaat[[#This Row],[Prest. (m2 /jaar) weekend]]+Ruimtestaat[[#This Row],[Prest. (m2 /jaar) werkdagen]]</f>
        <v>0</v>
      </c>
      <c r="AF1265" s="60">
        <f>Ruimtestaat[[#This Row],[uren / jaar weekend]]+Ruimtestaat[[#This Row],[uren / jaar werkdagen]]</f>
        <v>0</v>
      </c>
      <c r="AG1265" s="61">
        <f>Ruimtestaat[[#This Row],[kosten / jaar weekend]]+Ruimtestaat[[#This Row],[kosten / jaar werkdagen]]</f>
        <v>0</v>
      </c>
      <c r="AH1265" s="92"/>
      <c r="HL1265" s="59"/>
    </row>
    <row r="1266" spans="1:220">
      <c r="A1266" s="24">
        <v>7</v>
      </c>
      <c r="B1266" s="24" t="str">
        <f>VLOOKUP(Ruimtestaat[[#This Row],[Code]],Locaties[#All],2,FALSE)</f>
        <v>Het Vlier</v>
      </c>
      <c r="C1266" s="24" t="str">
        <f>VLOOKUP(Ruimtestaat[[#This Row],[Code]],Locaties[#All],4,FALSE)</f>
        <v>Het Vlier 1</v>
      </c>
      <c r="D1266" s="24" t="str">
        <f>VLOOKUP(Ruimtestaat[[#This Row],[Code]],Locaties[#All],5,FALSE)</f>
        <v>7414 AR</v>
      </c>
      <c r="E1266" s="24" t="str">
        <f>VLOOKUP(Ruimtestaat[[#This Row],[Code]],Locaties[#All],6,FALSE)</f>
        <v>Deventer</v>
      </c>
      <c r="F1266" s="54"/>
      <c r="G1266" s="24" t="s">
        <v>569</v>
      </c>
      <c r="H1266" s="24" t="s">
        <v>1692</v>
      </c>
      <c r="I1266" s="4" t="s">
        <v>1693</v>
      </c>
      <c r="J1266" s="24">
        <v>19</v>
      </c>
      <c r="K1266" s="54" t="str">
        <f>VLOOKUP(J1266,Ruimtegroepen[],2,FALSE)</f>
        <v>Kleedruimten</v>
      </c>
      <c r="L1266" s="24" t="s">
        <v>305</v>
      </c>
      <c r="M1266" s="24" t="s">
        <v>400</v>
      </c>
      <c r="N1266" s="83">
        <v>6.69</v>
      </c>
      <c r="O1266" s="83"/>
      <c r="P1266" s="93" t="str">
        <f>LEFT(VLOOKUP(Ruimtestaat[[#This Row],[Ruimte code]],Ruimtegroepen[#All],4,1),2)</f>
        <v>Ve</v>
      </c>
      <c r="Q1266" s="93"/>
      <c r="R1266" s="84">
        <v>40</v>
      </c>
      <c r="S1266" s="84" t="s">
        <v>318</v>
      </c>
      <c r="T1266" s="85">
        <f>IF(R1266&gt;0,IF(RIGHT(Ruimtestaat[[#This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6" s="85">
        <f>IF(T1266&gt;0,VLOOKUP($J1266,Ruimtegroepen[],3,FALSE)*VLOOKUP($L1266,Vloersoorten[],3,FALSE)*VLOOKUP($S1266,Frequenties[],3,FALSE)*VLOOKUP($A1266,Locaties[],3,FALSE),0)</f>
        <v>0</v>
      </c>
      <c r="V1266" s="86">
        <f>Ruimtestaat[[#This Row],[Uitvoeringen werkdagen]]*Ruimtestaat[[#This Row],[Oppervlak (netto)]]</f>
        <v>1338</v>
      </c>
      <c r="W1266" s="87">
        <f>IF(U1266&gt;0,Ruimtestaat[[#This Row],[Prest. (m2 /jaar) werkdagen]]/Ruimtestaat[[#This Row],[Norm (m2/uur) werkdagen]],0)</f>
        <v>0</v>
      </c>
      <c r="X1266" s="88">
        <f>Ruimtestaat[[#This Row],[uren / jaar werkdagen]]*Tariefsopbouw!$E$35</f>
        <v>0</v>
      </c>
      <c r="Y1266" s="85"/>
      <c r="Z1266" s="89">
        <f>IF(Ruimtestaat[[#This Row],[Frequentie weekend]]&gt;0,VALUE(LEFT(Y1266,1))*R1266,0)</f>
        <v>0</v>
      </c>
      <c r="AA1266" s="85">
        <f>IF($Z1266&gt;0,VLOOKUP($J1266,Ruimtegroepen[],3,FALSE)*VLOOKUP($L1266,Vloersoorten[],3,FALSE)*VLOOKUP($Y1266,Frequenties[],3,FALSE)*VLOOKUP(#REF!,Locaties[],3,FALSE),0)</f>
        <v>0</v>
      </c>
      <c r="AB1266" s="87">
        <f>Ruimtestaat[[#This Row],[Uitvoeringen weekend]]*Ruimtestaat[[#This Row],[Oppervlak (netto)]]</f>
        <v>0</v>
      </c>
      <c r="AC1266" s="90">
        <f>IF(AB1266&gt;0,Ruimtestaat[[#This Row],[Prest. (m2 /jaar) weekend]]/Ruimtestaat[[#This Row],[Norm (m2/uur) weekend]],0)</f>
        <v>0</v>
      </c>
      <c r="AD1266" s="91">
        <f>Ruimtestaat[[#This Row],[uren / jaar weekend]]*Tariefsopbouw!$D$40</f>
        <v>0</v>
      </c>
      <c r="AE1266" s="60">
        <f>Ruimtestaat[[#This Row],[Prest. (m2 /jaar) weekend]]+Ruimtestaat[[#This Row],[Prest. (m2 /jaar) werkdagen]]</f>
        <v>1338</v>
      </c>
      <c r="AF1266" s="60">
        <f>Ruimtestaat[[#This Row],[uren / jaar weekend]]+Ruimtestaat[[#This Row],[uren / jaar werkdagen]]</f>
        <v>0</v>
      </c>
      <c r="AG1266" s="61">
        <f>Ruimtestaat[[#This Row],[kosten / jaar weekend]]+Ruimtestaat[[#This Row],[kosten / jaar werkdagen]]</f>
        <v>0</v>
      </c>
      <c r="AH1266" s="92"/>
      <c r="HL1266" s="59"/>
    </row>
    <row r="1267" spans="1:220">
      <c r="A1267" s="24">
        <v>7</v>
      </c>
      <c r="B1267" s="24" t="str">
        <f>VLOOKUP(Ruimtestaat[[#This Row],[Code]],Locaties[#All],2,FALSE)</f>
        <v>Het Vlier</v>
      </c>
      <c r="C1267" s="24" t="str">
        <f>VLOOKUP(Ruimtestaat[[#This Row],[Code]],Locaties[#All],4,FALSE)</f>
        <v>Het Vlier 1</v>
      </c>
      <c r="D1267" s="24" t="str">
        <f>VLOOKUP(Ruimtestaat[[#This Row],[Code]],Locaties[#All],5,FALSE)</f>
        <v>7414 AR</v>
      </c>
      <c r="E1267" s="24" t="str">
        <f>VLOOKUP(Ruimtestaat[[#This Row],[Code]],Locaties[#All],6,FALSE)</f>
        <v>Deventer</v>
      </c>
      <c r="F1267" s="54"/>
      <c r="G1267" s="24" t="s">
        <v>569</v>
      </c>
      <c r="H1267" s="24" t="s">
        <v>1694</v>
      </c>
      <c r="I1267" s="4" t="s">
        <v>1695</v>
      </c>
      <c r="J1267" s="24">
        <v>22</v>
      </c>
      <c r="K1267" s="54" t="str">
        <f>VLOOKUP(J1267,Ruimtegroepen[],2,FALSE)</f>
        <v>Niet in onderhoud</v>
      </c>
      <c r="L1267" s="24" t="s">
        <v>305</v>
      </c>
      <c r="M1267" s="24" t="s">
        <v>400</v>
      </c>
      <c r="N1267" s="83"/>
      <c r="O1267" s="83">
        <v>1.45</v>
      </c>
      <c r="P1267" s="93" t="str">
        <f>LEFT(VLOOKUP(Ruimtestaat[[#This Row],[Ruimte code]],Ruimtegroepen[#All],4,1),2)</f>
        <v/>
      </c>
      <c r="Q1267" s="93"/>
      <c r="R1267" s="84"/>
      <c r="S1267" s="84"/>
      <c r="T1267" s="85">
        <f>IF(R1267&gt;0,IF(RIGHT(Ruimtestaat[[#This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67" s="85">
        <f>IF(T1267&gt;0,VLOOKUP($J1267,Ruimtegroepen[],3,FALSE)*VLOOKUP($L1267,Vloersoorten[],3,FALSE)*VLOOKUP($S1267,Frequenties[],3,FALSE)*VLOOKUP($A1267,Locaties[],3,FALSE),0)</f>
        <v>0</v>
      </c>
      <c r="V1267" s="86">
        <f>Ruimtestaat[[#This Row],[Uitvoeringen werkdagen]]*Ruimtestaat[[#This Row],[Oppervlak (netto)]]</f>
        <v>0</v>
      </c>
      <c r="W1267" s="87">
        <f>IF(U1267&gt;0,Ruimtestaat[[#This Row],[Prest. (m2 /jaar) werkdagen]]/Ruimtestaat[[#This Row],[Norm (m2/uur) werkdagen]],0)</f>
        <v>0</v>
      </c>
      <c r="X1267" s="88">
        <f>Ruimtestaat[[#This Row],[uren / jaar werkdagen]]*Tariefsopbouw!$E$35</f>
        <v>0</v>
      </c>
      <c r="Y1267" s="85"/>
      <c r="Z1267" s="89">
        <f>IF(Ruimtestaat[[#This Row],[Frequentie weekend]]&gt;0,VALUE(LEFT(Y1267,1))*R1267,0)</f>
        <v>0</v>
      </c>
      <c r="AA1267" s="85">
        <f>IF($Z1267&gt;0,VLOOKUP($J1267,Ruimtegroepen[],3,FALSE)*VLOOKUP($L1267,Vloersoorten[],3,FALSE)*VLOOKUP($Y1267,Frequenties[],3,FALSE)*VLOOKUP(#REF!,Locaties[],3,FALSE),0)</f>
        <v>0</v>
      </c>
      <c r="AB1267" s="87">
        <f>Ruimtestaat[[#This Row],[Uitvoeringen weekend]]*Ruimtestaat[[#This Row],[Oppervlak (netto)]]</f>
        <v>0</v>
      </c>
      <c r="AC1267" s="90">
        <f>IF(AB1267&gt;0,Ruimtestaat[[#This Row],[Prest. (m2 /jaar) weekend]]/Ruimtestaat[[#This Row],[Norm (m2/uur) weekend]],0)</f>
        <v>0</v>
      </c>
      <c r="AD1267" s="91">
        <f>Ruimtestaat[[#This Row],[uren / jaar weekend]]*Tariefsopbouw!$D$40</f>
        <v>0</v>
      </c>
      <c r="AE1267" s="60">
        <f>Ruimtestaat[[#This Row],[Prest. (m2 /jaar) weekend]]+Ruimtestaat[[#This Row],[Prest. (m2 /jaar) werkdagen]]</f>
        <v>0</v>
      </c>
      <c r="AF1267" s="60">
        <f>Ruimtestaat[[#This Row],[uren / jaar weekend]]+Ruimtestaat[[#This Row],[uren / jaar werkdagen]]</f>
        <v>0</v>
      </c>
      <c r="AG1267" s="61">
        <f>Ruimtestaat[[#This Row],[kosten / jaar weekend]]+Ruimtestaat[[#This Row],[kosten / jaar werkdagen]]</f>
        <v>0</v>
      </c>
      <c r="AH1267" s="92"/>
      <c r="HL1267" s="59"/>
    </row>
    <row r="1268" spans="1:220">
      <c r="A1268" s="24">
        <v>7</v>
      </c>
      <c r="B1268" s="24" t="str">
        <f>VLOOKUP(Ruimtestaat[[#This Row],[Code]],Locaties[#All],2,FALSE)</f>
        <v>Het Vlier</v>
      </c>
      <c r="C1268" s="24" t="str">
        <f>VLOOKUP(Ruimtestaat[[#This Row],[Code]],Locaties[#All],4,FALSE)</f>
        <v>Het Vlier 1</v>
      </c>
      <c r="D1268" s="24" t="str">
        <f>VLOOKUP(Ruimtestaat[[#This Row],[Code]],Locaties[#All],5,FALSE)</f>
        <v>7414 AR</v>
      </c>
      <c r="E1268" s="24" t="str">
        <f>VLOOKUP(Ruimtestaat[[#This Row],[Code]],Locaties[#All],6,FALSE)</f>
        <v>Deventer</v>
      </c>
      <c r="F1268" s="54"/>
      <c r="G1268" s="24" t="s">
        <v>599</v>
      </c>
      <c r="H1268" s="24" t="s">
        <v>1696</v>
      </c>
      <c r="I1268" s="4" t="s">
        <v>1432</v>
      </c>
      <c r="J1268" s="24">
        <v>6</v>
      </c>
      <c r="K1268" s="54" t="str">
        <f>VLOOKUP(J1268,Ruimtegroepen[],2,FALSE)</f>
        <v>Gangen/hallen</v>
      </c>
      <c r="L1268" s="24" t="s">
        <v>305</v>
      </c>
      <c r="M1268" s="24" t="s">
        <v>400</v>
      </c>
      <c r="N1268" s="83">
        <v>85.55</v>
      </c>
      <c r="O1268" s="83"/>
      <c r="P1268" s="93" t="str">
        <f>LEFT(VLOOKUP(Ruimtestaat[[#This Row],[Ruimte code]],Ruimtegroepen[#All],4,1),2)</f>
        <v>Ve</v>
      </c>
      <c r="Q1268" s="93"/>
      <c r="R1268" s="84">
        <v>40</v>
      </c>
      <c r="S1268" s="84" t="s">
        <v>318</v>
      </c>
      <c r="T1268" s="85">
        <f>IF(R1268&gt;0,IF(RIGHT(Ruimtestaat[[#This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8" s="85">
        <f>IF(T1268&gt;0,VLOOKUP($J1268,Ruimtegroepen[],3,FALSE)*VLOOKUP($L1268,Vloersoorten[],3,FALSE)*VLOOKUP($S1268,Frequenties[],3,FALSE)*VLOOKUP($A1268,Locaties[],3,FALSE),0)</f>
        <v>0</v>
      </c>
      <c r="V1268" s="86">
        <f>Ruimtestaat[[#This Row],[Uitvoeringen werkdagen]]*Ruimtestaat[[#This Row],[Oppervlak (netto)]]</f>
        <v>17110</v>
      </c>
      <c r="W1268" s="87">
        <f>IF(U1268&gt;0,Ruimtestaat[[#This Row],[Prest. (m2 /jaar) werkdagen]]/Ruimtestaat[[#This Row],[Norm (m2/uur) werkdagen]],0)</f>
        <v>0</v>
      </c>
      <c r="X1268" s="88">
        <f>Ruimtestaat[[#This Row],[uren / jaar werkdagen]]*Tariefsopbouw!$E$35</f>
        <v>0</v>
      </c>
      <c r="Y1268" s="85"/>
      <c r="Z1268" s="89">
        <f>IF(Ruimtestaat[[#This Row],[Frequentie weekend]]&gt;0,VALUE(LEFT(Y1268,1))*R1268,0)</f>
        <v>0</v>
      </c>
      <c r="AA1268" s="85">
        <f>IF($Z1268&gt;0,VLOOKUP($J1268,Ruimtegroepen[],3,FALSE)*VLOOKUP($L1268,Vloersoorten[],3,FALSE)*VLOOKUP($Y1268,Frequenties[],3,FALSE)*VLOOKUP(#REF!,Locaties[],3,FALSE),0)</f>
        <v>0</v>
      </c>
      <c r="AB1268" s="87">
        <f>Ruimtestaat[[#This Row],[Uitvoeringen weekend]]*Ruimtestaat[[#This Row],[Oppervlak (netto)]]</f>
        <v>0</v>
      </c>
      <c r="AC1268" s="90">
        <f>IF(AB1268&gt;0,Ruimtestaat[[#This Row],[Prest. (m2 /jaar) weekend]]/Ruimtestaat[[#This Row],[Norm (m2/uur) weekend]],0)</f>
        <v>0</v>
      </c>
      <c r="AD1268" s="91">
        <f>Ruimtestaat[[#This Row],[uren / jaar weekend]]*Tariefsopbouw!$D$40</f>
        <v>0</v>
      </c>
      <c r="AE1268" s="60">
        <f>Ruimtestaat[[#This Row],[Prest. (m2 /jaar) weekend]]+Ruimtestaat[[#This Row],[Prest. (m2 /jaar) werkdagen]]</f>
        <v>17110</v>
      </c>
      <c r="AF1268" s="60">
        <f>Ruimtestaat[[#This Row],[uren / jaar weekend]]+Ruimtestaat[[#This Row],[uren / jaar werkdagen]]</f>
        <v>0</v>
      </c>
      <c r="AG1268" s="61">
        <f>Ruimtestaat[[#This Row],[kosten / jaar weekend]]+Ruimtestaat[[#This Row],[kosten / jaar werkdagen]]</f>
        <v>0</v>
      </c>
      <c r="AH1268" s="92"/>
      <c r="HL1268" s="59"/>
    </row>
    <row r="1269" spans="1:220">
      <c r="A1269" s="24">
        <v>7</v>
      </c>
      <c r="B1269" s="24" t="str">
        <f>VLOOKUP(Ruimtestaat[[#This Row],[Code]],Locaties[#All],2,FALSE)</f>
        <v>Het Vlier</v>
      </c>
      <c r="C1269" s="24" t="str">
        <f>VLOOKUP(Ruimtestaat[[#This Row],[Code]],Locaties[#All],4,FALSE)</f>
        <v>Het Vlier 1</v>
      </c>
      <c r="D1269" s="24" t="str">
        <f>VLOOKUP(Ruimtestaat[[#This Row],[Code]],Locaties[#All],5,FALSE)</f>
        <v>7414 AR</v>
      </c>
      <c r="E1269" s="24" t="str">
        <f>VLOOKUP(Ruimtestaat[[#This Row],[Code]],Locaties[#All],6,FALSE)</f>
        <v>Deventer</v>
      </c>
      <c r="F1269" s="54"/>
      <c r="G1269" s="24" t="s">
        <v>599</v>
      </c>
      <c r="H1269" s="24" t="s">
        <v>1697</v>
      </c>
      <c r="I1269" s="4" t="s">
        <v>1698</v>
      </c>
      <c r="J1269" s="24">
        <v>5</v>
      </c>
      <c r="K1269" s="54" t="str">
        <f>VLOOKUP(J1269,Ruimtegroepen[],2,FALSE)</f>
        <v>Sanitair</v>
      </c>
      <c r="L1269" s="24" t="s">
        <v>305</v>
      </c>
      <c r="M1269" s="24" t="s">
        <v>400</v>
      </c>
      <c r="N1269" s="83">
        <v>8.27</v>
      </c>
      <c r="O1269" s="83"/>
      <c r="P1269" s="93" t="str">
        <f>LEFT(VLOOKUP(Ruimtestaat[[#This Row],[Ruimte code]],Ruimtegroepen[#All],4,1),2)</f>
        <v>Sa</v>
      </c>
      <c r="Q1269" s="93"/>
      <c r="R1269" s="84">
        <v>42</v>
      </c>
      <c r="S1269" s="84" t="s">
        <v>316</v>
      </c>
      <c r="T1269" s="85">
        <f>IF(R1269&gt;0,IF(RIGHT(Ruimtestaat[[#This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69" s="85">
        <f>IF(T1269&gt;0,VLOOKUP($J1269,Ruimtegroepen[],3,FALSE)*VLOOKUP($L1269,Vloersoorten[],3,FALSE)*VLOOKUP($S1269,Frequenties[],3,FALSE)*VLOOKUP($A1269,Locaties[],3,FALSE),0)</f>
        <v>0</v>
      </c>
      <c r="V1269" s="86">
        <f>Ruimtestaat[[#This Row],[Uitvoeringen werkdagen]]*Ruimtestaat[[#This Row],[Oppervlak (netto)]]</f>
        <v>3473.3999999999996</v>
      </c>
      <c r="W1269" s="87">
        <f>IF(U1269&gt;0,Ruimtestaat[[#This Row],[Prest. (m2 /jaar) werkdagen]]/Ruimtestaat[[#This Row],[Norm (m2/uur) werkdagen]],0)</f>
        <v>0</v>
      </c>
      <c r="X1269" s="88">
        <f>Ruimtestaat[[#This Row],[uren / jaar werkdagen]]*Tariefsopbouw!$E$35</f>
        <v>0</v>
      </c>
      <c r="Y1269" s="85"/>
      <c r="Z1269" s="89">
        <f>IF(Ruimtestaat[[#This Row],[Frequentie weekend]]&gt;0,VALUE(LEFT(Y1269,1))*R1269,0)</f>
        <v>0</v>
      </c>
      <c r="AA1269" s="85">
        <f>IF($Z1269&gt;0,VLOOKUP($J1269,Ruimtegroepen[],3,FALSE)*VLOOKUP($L1269,Vloersoorten[],3,FALSE)*VLOOKUP($Y1269,Frequenties[],3,FALSE)*VLOOKUP(#REF!,Locaties[],3,FALSE),0)</f>
        <v>0</v>
      </c>
      <c r="AB1269" s="87">
        <f>Ruimtestaat[[#This Row],[Uitvoeringen weekend]]*Ruimtestaat[[#This Row],[Oppervlak (netto)]]</f>
        <v>0</v>
      </c>
      <c r="AC1269" s="90">
        <f>IF(AB1269&gt;0,Ruimtestaat[[#This Row],[Prest. (m2 /jaar) weekend]]/Ruimtestaat[[#This Row],[Norm (m2/uur) weekend]],0)</f>
        <v>0</v>
      </c>
      <c r="AD1269" s="91">
        <f>Ruimtestaat[[#This Row],[uren / jaar weekend]]*Tariefsopbouw!$D$40</f>
        <v>0</v>
      </c>
      <c r="AE1269" s="60">
        <f>Ruimtestaat[[#This Row],[Prest. (m2 /jaar) weekend]]+Ruimtestaat[[#This Row],[Prest. (m2 /jaar) werkdagen]]</f>
        <v>3473.3999999999996</v>
      </c>
      <c r="AF1269" s="60">
        <f>Ruimtestaat[[#This Row],[uren / jaar weekend]]+Ruimtestaat[[#This Row],[uren / jaar werkdagen]]</f>
        <v>0</v>
      </c>
      <c r="AG1269" s="61">
        <f>Ruimtestaat[[#This Row],[kosten / jaar weekend]]+Ruimtestaat[[#This Row],[kosten / jaar werkdagen]]</f>
        <v>0</v>
      </c>
      <c r="AH1269" s="92"/>
      <c r="HL1269" s="59"/>
    </row>
    <row r="1270" spans="1:220">
      <c r="A1270" s="24">
        <v>7</v>
      </c>
      <c r="B1270" s="24" t="str">
        <f>VLOOKUP(Ruimtestaat[[#This Row],[Code]],Locaties[#All],2,FALSE)</f>
        <v>Het Vlier</v>
      </c>
      <c r="C1270" s="24" t="str">
        <f>VLOOKUP(Ruimtestaat[[#This Row],[Code]],Locaties[#All],4,FALSE)</f>
        <v>Het Vlier 1</v>
      </c>
      <c r="D1270" s="24" t="str">
        <f>VLOOKUP(Ruimtestaat[[#This Row],[Code]],Locaties[#All],5,FALSE)</f>
        <v>7414 AR</v>
      </c>
      <c r="E1270" s="24" t="str">
        <f>VLOOKUP(Ruimtestaat[[#This Row],[Code]],Locaties[#All],6,FALSE)</f>
        <v>Deventer</v>
      </c>
      <c r="F1270" s="54"/>
      <c r="G1270" s="24" t="s">
        <v>599</v>
      </c>
      <c r="H1270" s="24" t="s">
        <v>1699</v>
      </c>
      <c r="I1270" s="4" t="s">
        <v>1435</v>
      </c>
      <c r="J1270" s="24">
        <v>22</v>
      </c>
      <c r="K1270" s="54" t="str">
        <f>VLOOKUP(J1270,Ruimtegroepen[],2,FALSE)</f>
        <v>Niet in onderhoud</v>
      </c>
      <c r="M1270" s="24"/>
      <c r="N1270" s="83"/>
      <c r="O1270" s="83">
        <v>2.5299999999999998</v>
      </c>
      <c r="P1270" s="93" t="str">
        <f>LEFT(VLOOKUP(Ruimtestaat[[#This Row],[Ruimte code]],Ruimtegroepen[#All],4,1),2)</f>
        <v/>
      </c>
      <c r="Q1270" s="93"/>
      <c r="R1270" s="84"/>
      <c r="S1270" s="84"/>
      <c r="T1270" s="85">
        <f>IF(R1270&gt;0,IF(RIGHT(Ruimtestaat[[#This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0" s="85">
        <f>IF(T1270&gt;0,VLOOKUP($J1270,Ruimtegroepen[],3,FALSE)*VLOOKUP($L1270,Vloersoorten[],3,FALSE)*VLOOKUP($S1270,Frequenties[],3,FALSE)*VLOOKUP($A1270,Locaties[],3,FALSE),0)</f>
        <v>0</v>
      </c>
      <c r="V1270" s="86">
        <f>Ruimtestaat[[#This Row],[Uitvoeringen werkdagen]]*Ruimtestaat[[#This Row],[Oppervlak (netto)]]</f>
        <v>0</v>
      </c>
      <c r="W1270" s="87">
        <f>IF(U1270&gt;0,Ruimtestaat[[#This Row],[Prest. (m2 /jaar) werkdagen]]/Ruimtestaat[[#This Row],[Norm (m2/uur) werkdagen]],0)</f>
        <v>0</v>
      </c>
      <c r="X1270" s="88">
        <f>Ruimtestaat[[#This Row],[uren / jaar werkdagen]]*Tariefsopbouw!$E$35</f>
        <v>0</v>
      </c>
      <c r="Y1270" s="85"/>
      <c r="Z1270" s="89">
        <f>IF(Ruimtestaat[[#This Row],[Frequentie weekend]]&gt;0,VALUE(LEFT(Y1270,1))*R1270,0)</f>
        <v>0</v>
      </c>
      <c r="AA1270" s="85">
        <f>IF($Z1270&gt;0,VLOOKUP($J1270,Ruimtegroepen[],3,FALSE)*VLOOKUP($L1270,Vloersoorten[],3,FALSE)*VLOOKUP($Y1270,Frequenties[],3,FALSE)*VLOOKUP(#REF!,Locaties[],3,FALSE),0)</f>
        <v>0</v>
      </c>
      <c r="AB1270" s="87">
        <f>Ruimtestaat[[#This Row],[Uitvoeringen weekend]]*Ruimtestaat[[#This Row],[Oppervlak (netto)]]</f>
        <v>0</v>
      </c>
      <c r="AC1270" s="90">
        <f>IF(AB1270&gt;0,Ruimtestaat[[#This Row],[Prest. (m2 /jaar) weekend]]/Ruimtestaat[[#This Row],[Norm (m2/uur) weekend]],0)</f>
        <v>0</v>
      </c>
      <c r="AD1270" s="91">
        <f>Ruimtestaat[[#This Row],[uren / jaar weekend]]*Tariefsopbouw!$D$40</f>
        <v>0</v>
      </c>
      <c r="AE1270" s="60">
        <f>Ruimtestaat[[#This Row],[Prest. (m2 /jaar) weekend]]+Ruimtestaat[[#This Row],[Prest. (m2 /jaar) werkdagen]]</f>
        <v>0</v>
      </c>
      <c r="AF1270" s="60">
        <f>Ruimtestaat[[#This Row],[uren / jaar weekend]]+Ruimtestaat[[#This Row],[uren / jaar werkdagen]]</f>
        <v>0</v>
      </c>
      <c r="AG1270" s="61">
        <f>Ruimtestaat[[#This Row],[kosten / jaar weekend]]+Ruimtestaat[[#This Row],[kosten / jaar werkdagen]]</f>
        <v>0</v>
      </c>
      <c r="AH1270" s="92"/>
      <c r="HL1270" s="59"/>
    </row>
    <row r="1271" spans="1:220">
      <c r="A1271" s="24">
        <v>7</v>
      </c>
      <c r="B1271" s="24" t="str">
        <f>VLOOKUP(Ruimtestaat[[#This Row],[Code]],Locaties[#All],2,FALSE)</f>
        <v>Het Vlier</v>
      </c>
      <c r="C1271" s="24" t="str">
        <f>VLOOKUP(Ruimtestaat[[#This Row],[Code]],Locaties[#All],4,FALSE)</f>
        <v>Het Vlier 1</v>
      </c>
      <c r="D1271" s="24" t="str">
        <f>VLOOKUP(Ruimtestaat[[#This Row],[Code]],Locaties[#All],5,FALSE)</f>
        <v>7414 AR</v>
      </c>
      <c r="E1271" s="24" t="str">
        <f>VLOOKUP(Ruimtestaat[[#This Row],[Code]],Locaties[#All],6,FALSE)</f>
        <v>Deventer</v>
      </c>
      <c r="F1271" s="54"/>
      <c r="G1271" s="24" t="s">
        <v>599</v>
      </c>
      <c r="H1271" s="24" t="s">
        <v>1700</v>
      </c>
      <c r="I1271" s="4" t="s">
        <v>1698</v>
      </c>
      <c r="J1271" s="24">
        <v>5</v>
      </c>
      <c r="K1271" s="54" t="str">
        <f>VLOOKUP(J1271,Ruimtegroepen[],2,FALSE)</f>
        <v>Sanitair</v>
      </c>
      <c r="L1271" s="24" t="s">
        <v>305</v>
      </c>
      <c r="M1271" s="24" t="s">
        <v>400</v>
      </c>
      <c r="N1271" s="83">
        <v>8.27</v>
      </c>
      <c r="O1271" s="83"/>
      <c r="P1271" s="93" t="str">
        <f>LEFT(VLOOKUP(Ruimtestaat[[#This Row],[Ruimte code]],Ruimtegroepen[#All],4,1),2)</f>
        <v>Sa</v>
      </c>
      <c r="Q1271" s="93"/>
      <c r="R1271" s="84">
        <v>42</v>
      </c>
      <c r="S1271" s="84" t="s">
        <v>316</v>
      </c>
      <c r="T1271" s="85">
        <f>IF(R1271&gt;0,IF(RIGHT(Ruimtestaat[[#This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71" s="85">
        <f>IF(T1271&gt;0,VLOOKUP($J1271,Ruimtegroepen[],3,FALSE)*VLOOKUP($L1271,Vloersoorten[],3,FALSE)*VLOOKUP($S1271,Frequenties[],3,FALSE)*VLOOKUP($A1271,Locaties[],3,FALSE),0)</f>
        <v>0</v>
      </c>
      <c r="V1271" s="86">
        <f>Ruimtestaat[[#This Row],[Uitvoeringen werkdagen]]*Ruimtestaat[[#This Row],[Oppervlak (netto)]]</f>
        <v>3473.3999999999996</v>
      </c>
      <c r="W1271" s="87">
        <f>IF(U1271&gt;0,Ruimtestaat[[#This Row],[Prest. (m2 /jaar) werkdagen]]/Ruimtestaat[[#This Row],[Norm (m2/uur) werkdagen]],0)</f>
        <v>0</v>
      </c>
      <c r="X1271" s="88">
        <f>Ruimtestaat[[#This Row],[uren / jaar werkdagen]]*Tariefsopbouw!$E$35</f>
        <v>0</v>
      </c>
      <c r="Y1271" s="85"/>
      <c r="Z1271" s="89">
        <f>IF(Ruimtestaat[[#This Row],[Frequentie weekend]]&gt;0,VALUE(LEFT(Y1271,1))*R1271,0)</f>
        <v>0</v>
      </c>
      <c r="AA1271" s="85">
        <f>IF($Z1271&gt;0,VLOOKUP($J1271,Ruimtegroepen[],3,FALSE)*VLOOKUP($L1271,Vloersoorten[],3,FALSE)*VLOOKUP($Y1271,Frequenties[],3,FALSE)*VLOOKUP(#REF!,Locaties[],3,FALSE),0)</f>
        <v>0</v>
      </c>
      <c r="AB1271" s="87">
        <f>Ruimtestaat[[#This Row],[Uitvoeringen weekend]]*Ruimtestaat[[#This Row],[Oppervlak (netto)]]</f>
        <v>0</v>
      </c>
      <c r="AC1271" s="90">
        <f>IF(AB1271&gt;0,Ruimtestaat[[#This Row],[Prest. (m2 /jaar) weekend]]/Ruimtestaat[[#This Row],[Norm (m2/uur) weekend]],0)</f>
        <v>0</v>
      </c>
      <c r="AD1271" s="91">
        <f>Ruimtestaat[[#This Row],[uren / jaar weekend]]*Tariefsopbouw!$D$40</f>
        <v>0</v>
      </c>
      <c r="AE1271" s="60">
        <f>Ruimtestaat[[#This Row],[Prest. (m2 /jaar) weekend]]+Ruimtestaat[[#This Row],[Prest. (m2 /jaar) werkdagen]]</f>
        <v>3473.3999999999996</v>
      </c>
      <c r="AF1271" s="60">
        <f>Ruimtestaat[[#This Row],[uren / jaar weekend]]+Ruimtestaat[[#This Row],[uren / jaar werkdagen]]</f>
        <v>0</v>
      </c>
      <c r="AG1271" s="61">
        <f>Ruimtestaat[[#This Row],[kosten / jaar weekend]]+Ruimtestaat[[#This Row],[kosten / jaar werkdagen]]</f>
        <v>0</v>
      </c>
      <c r="AH1271" s="92"/>
      <c r="HL1271" s="59"/>
    </row>
    <row r="1272" spans="1:220">
      <c r="A1272" s="24">
        <v>7</v>
      </c>
      <c r="B1272" s="24" t="str">
        <f>VLOOKUP(Ruimtestaat[[#This Row],[Code]],Locaties[#All],2,FALSE)</f>
        <v>Het Vlier</v>
      </c>
      <c r="C1272" s="24" t="str">
        <f>VLOOKUP(Ruimtestaat[[#This Row],[Code]],Locaties[#All],4,FALSE)</f>
        <v>Het Vlier 1</v>
      </c>
      <c r="D1272" s="24" t="str">
        <f>VLOOKUP(Ruimtestaat[[#This Row],[Code]],Locaties[#All],5,FALSE)</f>
        <v>7414 AR</v>
      </c>
      <c r="E1272" s="24" t="str">
        <f>VLOOKUP(Ruimtestaat[[#This Row],[Code]],Locaties[#All],6,FALSE)</f>
        <v>Deventer</v>
      </c>
      <c r="F1272" s="54"/>
      <c r="G1272" s="24" t="s">
        <v>569</v>
      </c>
      <c r="H1272" s="24" t="s">
        <v>1701</v>
      </c>
      <c r="I1272" s="4" t="s">
        <v>1702</v>
      </c>
      <c r="J1272" s="24">
        <v>10</v>
      </c>
      <c r="K1272" s="54" t="str">
        <f>VLOOKUP(J1272,Ruimtegroepen[],2,FALSE)</f>
        <v>Trappenhuizen/lift</v>
      </c>
      <c r="L1272" s="24" t="s">
        <v>305</v>
      </c>
      <c r="M1272" s="24" t="s">
        <v>400</v>
      </c>
      <c r="N1272" s="83">
        <v>9.61</v>
      </c>
      <c r="O1272" s="83"/>
      <c r="P1272" s="93" t="str">
        <f>LEFT(VLOOKUP(Ruimtestaat[[#This Row],[Ruimte code]],Ruimtegroepen[#All],4,1),2)</f>
        <v>Ve</v>
      </c>
      <c r="Q1272" s="93"/>
      <c r="R1272" s="84">
        <v>40</v>
      </c>
      <c r="S1272" s="84" t="s">
        <v>318</v>
      </c>
      <c r="T1272" s="85">
        <f>IF(R1272&gt;0,IF(RIGHT(Ruimtestaat[[#This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2" s="85">
        <f>IF(T1272&gt;0,VLOOKUP($J1272,Ruimtegroepen[],3,FALSE)*VLOOKUP($L1272,Vloersoorten[],3,FALSE)*VLOOKUP($S1272,Frequenties[],3,FALSE)*VLOOKUP($A1272,Locaties[],3,FALSE),0)</f>
        <v>0</v>
      </c>
      <c r="V1272" s="86">
        <f>Ruimtestaat[[#This Row],[Uitvoeringen werkdagen]]*Ruimtestaat[[#This Row],[Oppervlak (netto)]]</f>
        <v>1922</v>
      </c>
      <c r="W1272" s="87">
        <f>IF(U1272&gt;0,Ruimtestaat[[#This Row],[Prest. (m2 /jaar) werkdagen]]/Ruimtestaat[[#This Row],[Norm (m2/uur) werkdagen]],0)</f>
        <v>0</v>
      </c>
      <c r="X1272" s="88">
        <f>Ruimtestaat[[#This Row],[uren / jaar werkdagen]]*Tariefsopbouw!$E$35</f>
        <v>0</v>
      </c>
      <c r="Y1272" s="85"/>
      <c r="Z1272" s="89">
        <f>IF(Ruimtestaat[[#This Row],[Frequentie weekend]]&gt;0,VALUE(LEFT(Y1272,1))*R1272,0)</f>
        <v>0</v>
      </c>
      <c r="AA1272" s="85">
        <f>IF($Z1272&gt;0,VLOOKUP($J1272,Ruimtegroepen[],3,FALSE)*VLOOKUP($L1272,Vloersoorten[],3,FALSE)*VLOOKUP($Y1272,Frequenties[],3,FALSE)*VLOOKUP(#REF!,Locaties[],3,FALSE),0)</f>
        <v>0</v>
      </c>
      <c r="AB1272" s="87">
        <f>Ruimtestaat[[#This Row],[Uitvoeringen weekend]]*Ruimtestaat[[#This Row],[Oppervlak (netto)]]</f>
        <v>0</v>
      </c>
      <c r="AC1272" s="90">
        <f>IF(AB1272&gt;0,Ruimtestaat[[#This Row],[Prest. (m2 /jaar) weekend]]/Ruimtestaat[[#This Row],[Norm (m2/uur) weekend]],0)</f>
        <v>0</v>
      </c>
      <c r="AD1272" s="91">
        <f>Ruimtestaat[[#This Row],[uren / jaar weekend]]*Tariefsopbouw!$D$40</f>
        <v>0</v>
      </c>
      <c r="AE1272" s="60">
        <f>Ruimtestaat[[#This Row],[Prest. (m2 /jaar) weekend]]+Ruimtestaat[[#This Row],[Prest. (m2 /jaar) werkdagen]]</f>
        <v>1922</v>
      </c>
      <c r="AF1272" s="60">
        <f>Ruimtestaat[[#This Row],[uren / jaar weekend]]+Ruimtestaat[[#This Row],[uren / jaar werkdagen]]</f>
        <v>0</v>
      </c>
      <c r="AG1272" s="61">
        <f>Ruimtestaat[[#This Row],[kosten / jaar weekend]]+Ruimtestaat[[#This Row],[kosten / jaar werkdagen]]</f>
        <v>0</v>
      </c>
      <c r="AH1272" s="92"/>
      <c r="HL1272" s="59"/>
    </row>
    <row r="1273" spans="1:220">
      <c r="A1273" s="24">
        <v>7</v>
      </c>
      <c r="B1273" s="24" t="str">
        <f>VLOOKUP(Ruimtestaat[[#This Row],[Code]],Locaties[#All],2,FALSE)</f>
        <v>Het Vlier</v>
      </c>
      <c r="C1273" s="24" t="str">
        <f>VLOOKUP(Ruimtestaat[[#This Row],[Code]],Locaties[#All],4,FALSE)</f>
        <v>Het Vlier 1</v>
      </c>
      <c r="D1273" s="24" t="str">
        <f>VLOOKUP(Ruimtestaat[[#This Row],[Code]],Locaties[#All],5,FALSE)</f>
        <v>7414 AR</v>
      </c>
      <c r="E1273" s="24" t="str">
        <f>VLOOKUP(Ruimtestaat[[#This Row],[Code]],Locaties[#All],6,FALSE)</f>
        <v>Deventer</v>
      </c>
      <c r="F1273" s="54"/>
      <c r="G1273" s="24" t="s">
        <v>599</v>
      </c>
      <c r="H1273" s="24" t="s">
        <v>1703</v>
      </c>
      <c r="I1273" s="4" t="s">
        <v>289</v>
      </c>
      <c r="J1273" s="24">
        <v>18</v>
      </c>
      <c r="K1273" s="54" t="str">
        <f>VLOOKUP(J1273,Ruimtegroepen[],2,FALSE)</f>
        <v>Gymzaal</v>
      </c>
      <c r="L1273" s="24" t="s">
        <v>311</v>
      </c>
      <c r="M1273" s="24" t="s">
        <v>1676</v>
      </c>
      <c r="N1273" s="83">
        <v>257.16000000000003</v>
      </c>
      <c r="O1273" s="83"/>
      <c r="P1273" s="93" t="str">
        <f>LEFT(VLOOKUP(Ruimtestaat[[#This Row],[Ruimte code]],Ruimtegroepen[#All],4,1),2)</f>
        <v>Sp</v>
      </c>
      <c r="Q1273" s="93"/>
      <c r="R1273" s="84">
        <v>40</v>
      </c>
      <c r="S1273" s="84" t="s">
        <v>318</v>
      </c>
      <c r="T1273" s="85">
        <f>IF(R1273&gt;0,IF(RIGHT(Ruimtestaat[[#This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3" s="85">
        <f>IF(T1273&gt;0,VLOOKUP($J1273,Ruimtegroepen[],3,FALSE)*VLOOKUP($L1273,Vloersoorten[],3,FALSE)*VLOOKUP($S1273,Frequenties[],3,FALSE)*VLOOKUP($A1273,Locaties[],3,FALSE),0)</f>
        <v>0</v>
      </c>
      <c r="V1273" s="86">
        <f>Ruimtestaat[[#This Row],[Uitvoeringen werkdagen]]*Ruimtestaat[[#This Row],[Oppervlak (netto)]]</f>
        <v>51432.000000000007</v>
      </c>
      <c r="W1273" s="87">
        <f>IF(U1273&gt;0,Ruimtestaat[[#This Row],[Prest. (m2 /jaar) werkdagen]]/Ruimtestaat[[#This Row],[Norm (m2/uur) werkdagen]],0)</f>
        <v>0</v>
      </c>
      <c r="X1273" s="88">
        <f>Ruimtestaat[[#This Row],[uren / jaar werkdagen]]*Tariefsopbouw!$E$35</f>
        <v>0</v>
      </c>
      <c r="Y1273" s="85"/>
      <c r="Z1273" s="89">
        <f>IF(Ruimtestaat[[#This Row],[Frequentie weekend]]&gt;0,VALUE(LEFT(Y1273,1))*R1273,0)</f>
        <v>0</v>
      </c>
      <c r="AA1273" s="85">
        <f>IF($Z1273&gt;0,VLOOKUP($J1273,Ruimtegroepen[],3,FALSE)*VLOOKUP($L1273,Vloersoorten[],3,FALSE)*VLOOKUP($Y1273,Frequenties[],3,FALSE)*VLOOKUP(#REF!,Locaties[],3,FALSE),0)</f>
        <v>0</v>
      </c>
      <c r="AB1273" s="87">
        <f>Ruimtestaat[[#This Row],[Uitvoeringen weekend]]*Ruimtestaat[[#This Row],[Oppervlak (netto)]]</f>
        <v>0</v>
      </c>
      <c r="AC1273" s="90">
        <f>IF(AB1273&gt;0,Ruimtestaat[[#This Row],[Prest. (m2 /jaar) weekend]]/Ruimtestaat[[#This Row],[Norm (m2/uur) weekend]],0)</f>
        <v>0</v>
      </c>
      <c r="AD1273" s="91">
        <f>Ruimtestaat[[#This Row],[uren / jaar weekend]]*Tariefsopbouw!$D$40</f>
        <v>0</v>
      </c>
      <c r="AE1273" s="60">
        <f>Ruimtestaat[[#This Row],[Prest. (m2 /jaar) weekend]]+Ruimtestaat[[#This Row],[Prest. (m2 /jaar) werkdagen]]</f>
        <v>51432.000000000007</v>
      </c>
      <c r="AF1273" s="60">
        <f>Ruimtestaat[[#This Row],[uren / jaar weekend]]+Ruimtestaat[[#This Row],[uren / jaar werkdagen]]</f>
        <v>0</v>
      </c>
      <c r="AG1273" s="61">
        <f>Ruimtestaat[[#This Row],[kosten / jaar weekend]]+Ruimtestaat[[#This Row],[kosten / jaar werkdagen]]</f>
        <v>0</v>
      </c>
      <c r="AH1273" s="92"/>
      <c r="HL1273" s="59"/>
    </row>
    <row r="1274" spans="1:220">
      <c r="A1274" s="24">
        <v>7</v>
      </c>
      <c r="B1274" s="24" t="str">
        <f>VLOOKUP(Ruimtestaat[[#This Row],[Code]],Locaties[#All],2,FALSE)</f>
        <v>Het Vlier</v>
      </c>
      <c r="C1274" s="24" t="str">
        <f>VLOOKUP(Ruimtestaat[[#This Row],[Code]],Locaties[#All],4,FALSE)</f>
        <v>Het Vlier 1</v>
      </c>
      <c r="D1274" s="24" t="str">
        <f>VLOOKUP(Ruimtestaat[[#This Row],[Code]],Locaties[#All],5,FALSE)</f>
        <v>7414 AR</v>
      </c>
      <c r="E1274" s="24" t="str">
        <f>VLOOKUP(Ruimtestaat[[#This Row],[Code]],Locaties[#All],6,FALSE)</f>
        <v>Deventer</v>
      </c>
      <c r="F1274" s="54"/>
      <c r="G1274" s="24" t="s">
        <v>599</v>
      </c>
      <c r="H1274" s="24" t="s">
        <v>1704</v>
      </c>
      <c r="I1274" s="4" t="s">
        <v>1435</v>
      </c>
      <c r="J1274" s="24">
        <v>22</v>
      </c>
      <c r="K1274" s="54" t="str">
        <f>VLOOKUP(J1274,Ruimtegroepen[],2,FALSE)</f>
        <v>Niet in onderhoud</v>
      </c>
      <c r="L1274" s="24" t="s">
        <v>311</v>
      </c>
      <c r="M1274" s="24" t="s">
        <v>1676</v>
      </c>
      <c r="N1274" s="83"/>
      <c r="O1274" s="83">
        <v>26.51</v>
      </c>
      <c r="P1274" s="93" t="str">
        <f>LEFT(VLOOKUP(Ruimtestaat[[#This Row],[Ruimte code]],Ruimtegroepen[#All],4,1),2)</f>
        <v/>
      </c>
      <c r="Q1274" s="93"/>
      <c r="R1274" s="84"/>
      <c r="S1274" s="84"/>
      <c r="T1274" s="85">
        <f>IF(R1274&gt;0,IF(RIGHT(Ruimtestaat[[#This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4" s="85">
        <f>IF(T1274&gt;0,VLOOKUP($J1274,Ruimtegroepen[],3,FALSE)*VLOOKUP($L1274,Vloersoorten[],3,FALSE)*VLOOKUP($S1274,Frequenties[],3,FALSE)*VLOOKUP($A1274,Locaties[],3,FALSE),0)</f>
        <v>0</v>
      </c>
      <c r="V1274" s="86">
        <f>Ruimtestaat[[#This Row],[Uitvoeringen werkdagen]]*Ruimtestaat[[#This Row],[Oppervlak (netto)]]</f>
        <v>0</v>
      </c>
      <c r="W1274" s="87">
        <f>IF(U1274&gt;0,Ruimtestaat[[#This Row],[Prest. (m2 /jaar) werkdagen]]/Ruimtestaat[[#This Row],[Norm (m2/uur) werkdagen]],0)</f>
        <v>0</v>
      </c>
      <c r="X1274" s="88">
        <f>Ruimtestaat[[#This Row],[uren / jaar werkdagen]]*Tariefsopbouw!$E$35</f>
        <v>0</v>
      </c>
      <c r="Y1274" s="85"/>
      <c r="Z1274" s="89">
        <f>IF(Ruimtestaat[[#This Row],[Frequentie weekend]]&gt;0,VALUE(LEFT(Y1274,1))*R1274,0)</f>
        <v>0</v>
      </c>
      <c r="AA1274" s="85">
        <f>IF($Z1274&gt;0,VLOOKUP($J1274,Ruimtegroepen[],3,FALSE)*VLOOKUP($L1274,Vloersoorten[],3,FALSE)*VLOOKUP($Y1274,Frequenties[],3,FALSE)*VLOOKUP(#REF!,Locaties[],3,FALSE),0)</f>
        <v>0</v>
      </c>
      <c r="AB1274" s="87">
        <f>Ruimtestaat[[#This Row],[Uitvoeringen weekend]]*Ruimtestaat[[#This Row],[Oppervlak (netto)]]</f>
        <v>0</v>
      </c>
      <c r="AC1274" s="90">
        <f>IF(AB1274&gt;0,Ruimtestaat[[#This Row],[Prest. (m2 /jaar) weekend]]/Ruimtestaat[[#This Row],[Norm (m2/uur) weekend]],0)</f>
        <v>0</v>
      </c>
      <c r="AD1274" s="91">
        <f>Ruimtestaat[[#This Row],[uren / jaar weekend]]*Tariefsopbouw!$D$40</f>
        <v>0</v>
      </c>
      <c r="AE1274" s="60">
        <f>Ruimtestaat[[#This Row],[Prest. (m2 /jaar) weekend]]+Ruimtestaat[[#This Row],[Prest. (m2 /jaar) werkdagen]]</f>
        <v>0</v>
      </c>
      <c r="AF1274" s="60">
        <f>Ruimtestaat[[#This Row],[uren / jaar weekend]]+Ruimtestaat[[#This Row],[uren / jaar werkdagen]]</f>
        <v>0</v>
      </c>
      <c r="AG1274" s="61">
        <f>Ruimtestaat[[#This Row],[kosten / jaar weekend]]+Ruimtestaat[[#This Row],[kosten / jaar werkdagen]]</f>
        <v>0</v>
      </c>
      <c r="AH1274" s="92"/>
      <c r="HL1274" s="59"/>
    </row>
    <row r="1275" spans="1:220">
      <c r="A1275" s="24">
        <v>7</v>
      </c>
      <c r="B1275" s="24" t="str">
        <f>VLOOKUP(Ruimtestaat[[#This Row],[Code]],Locaties[#All],2,FALSE)</f>
        <v>Het Vlier</v>
      </c>
      <c r="C1275" s="24" t="str">
        <f>VLOOKUP(Ruimtestaat[[#This Row],[Code]],Locaties[#All],4,FALSE)</f>
        <v>Het Vlier 1</v>
      </c>
      <c r="D1275" s="24" t="str">
        <f>VLOOKUP(Ruimtestaat[[#This Row],[Code]],Locaties[#All],5,FALSE)</f>
        <v>7414 AR</v>
      </c>
      <c r="E1275" s="24" t="str">
        <f>VLOOKUP(Ruimtestaat[[#This Row],[Code]],Locaties[#All],6,FALSE)</f>
        <v>Deventer</v>
      </c>
      <c r="F1275" s="54"/>
      <c r="G1275" s="24" t="s">
        <v>599</v>
      </c>
      <c r="H1275" s="24" t="s">
        <v>1705</v>
      </c>
      <c r="I1275" s="4" t="s">
        <v>394</v>
      </c>
      <c r="J1275" s="24">
        <v>22</v>
      </c>
      <c r="K1275" s="54" t="str">
        <f>VLOOKUP(J1275,Ruimtegroepen[],2,FALSE)</f>
        <v>Niet in onderhoud</v>
      </c>
      <c r="L1275" s="24" t="s">
        <v>311</v>
      </c>
      <c r="M1275" s="24" t="s">
        <v>1676</v>
      </c>
      <c r="N1275" s="83"/>
      <c r="O1275" s="83">
        <v>4.63</v>
      </c>
      <c r="P1275" s="93" t="str">
        <f>LEFT(VLOOKUP(Ruimtestaat[[#This Row],[Ruimte code]],Ruimtegroepen[#All],4,1),2)</f>
        <v/>
      </c>
      <c r="Q1275" s="93"/>
      <c r="R1275" s="84"/>
      <c r="S1275" s="84"/>
      <c r="T1275" s="85">
        <f>IF(R1275&gt;0,IF(RIGHT(Ruimtestaat[[#This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5" s="85">
        <f>IF(T1275&gt;0,VLOOKUP($J1275,Ruimtegroepen[],3,FALSE)*VLOOKUP($L1275,Vloersoorten[],3,FALSE)*VLOOKUP($S1275,Frequenties[],3,FALSE)*VLOOKUP($A1275,Locaties[],3,FALSE),0)</f>
        <v>0</v>
      </c>
      <c r="V1275" s="86">
        <f>Ruimtestaat[[#This Row],[Uitvoeringen werkdagen]]*Ruimtestaat[[#This Row],[Oppervlak (netto)]]</f>
        <v>0</v>
      </c>
      <c r="W1275" s="87">
        <f>IF(U1275&gt;0,Ruimtestaat[[#This Row],[Prest. (m2 /jaar) werkdagen]]/Ruimtestaat[[#This Row],[Norm (m2/uur) werkdagen]],0)</f>
        <v>0</v>
      </c>
      <c r="X1275" s="88">
        <f>Ruimtestaat[[#This Row],[uren / jaar werkdagen]]*Tariefsopbouw!$E$35</f>
        <v>0</v>
      </c>
      <c r="Y1275" s="85"/>
      <c r="Z1275" s="89">
        <f>IF(Ruimtestaat[[#This Row],[Frequentie weekend]]&gt;0,VALUE(LEFT(Y1275,1))*R1275,0)</f>
        <v>0</v>
      </c>
      <c r="AA1275" s="85">
        <f>IF($Z1275&gt;0,VLOOKUP($J1275,Ruimtegroepen[],3,FALSE)*VLOOKUP($L1275,Vloersoorten[],3,FALSE)*VLOOKUP($Y1275,Frequenties[],3,FALSE)*VLOOKUP(#REF!,Locaties[],3,FALSE),0)</f>
        <v>0</v>
      </c>
      <c r="AB1275" s="87">
        <f>Ruimtestaat[[#This Row],[Uitvoeringen weekend]]*Ruimtestaat[[#This Row],[Oppervlak (netto)]]</f>
        <v>0</v>
      </c>
      <c r="AC1275" s="90">
        <f>IF(AB1275&gt;0,Ruimtestaat[[#This Row],[Prest. (m2 /jaar) weekend]]/Ruimtestaat[[#This Row],[Norm (m2/uur) weekend]],0)</f>
        <v>0</v>
      </c>
      <c r="AD1275" s="91">
        <f>Ruimtestaat[[#This Row],[uren / jaar weekend]]*Tariefsopbouw!$D$40</f>
        <v>0</v>
      </c>
      <c r="AE1275" s="60">
        <f>Ruimtestaat[[#This Row],[Prest. (m2 /jaar) weekend]]+Ruimtestaat[[#This Row],[Prest. (m2 /jaar) werkdagen]]</f>
        <v>0</v>
      </c>
      <c r="AF1275" s="60">
        <f>Ruimtestaat[[#This Row],[uren / jaar weekend]]+Ruimtestaat[[#This Row],[uren / jaar werkdagen]]</f>
        <v>0</v>
      </c>
      <c r="AG1275" s="61">
        <f>Ruimtestaat[[#This Row],[kosten / jaar weekend]]+Ruimtestaat[[#This Row],[kosten / jaar werkdagen]]</f>
        <v>0</v>
      </c>
      <c r="AH1275" s="92"/>
      <c r="HL1275" s="59"/>
    </row>
    <row r="1276" spans="1:220">
      <c r="A1276" s="24">
        <v>7</v>
      </c>
      <c r="B1276" s="24" t="str">
        <f>VLOOKUP(Ruimtestaat[[#This Row],[Code]],Locaties[#All],2,FALSE)</f>
        <v>Het Vlier</v>
      </c>
      <c r="C1276" s="24" t="str">
        <f>VLOOKUP(Ruimtestaat[[#This Row],[Code]],Locaties[#All],4,FALSE)</f>
        <v>Het Vlier 1</v>
      </c>
      <c r="D1276" s="24" t="str">
        <f>VLOOKUP(Ruimtestaat[[#This Row],[Code]],Locaties[#All],5,FALSE)</f>
        <v>7414 AR</v>
      </c>
      <c r="E1276" s="24" t="str">
        <f>VLOOKUP(Ruimtestaat[[#This Row],[Code]],Locaties[#All],6,FALSE)</f>
        <v>Deventer</v>
      </c>
      <c r="F1276" s="54"/>
      <c r="G1276" s="24" t="s">
        <v>599</v>
      </c>
      <c r="H1276" s="24" t="s">
        <v>1706</v>
      </c>
      <c r="I1276" s="4" t="s">
        <v>1707</v>
      </c>
      <c r="J1276" s="24">
        <v>16</v>
      </c>
      <c r="K1276" s="54" t="str">
        <f>VLOOKUP(J1276,Ruimtegroepen[],2,FALSE)</f>
        <v>Leslokalen theorie</v>
      </c>
      <c r="L1276" s="24" t="s">
        <v>305</v>
      </c>
      <c r="M1276" s="24" t="s">
        <v>400</v>
      </c>
      <c r="N1276" s="83">
        <v>215.83</v>
      </c>
      <c r="O1276" s="83"/>
      <c r="P1276" s="93" t="str">
        <f>LEFT(VLOOKUP(Ruimtestaat[[#This Row],[Ruimte code]],Ruimtegroepen[#All],4,1),2)</f>
        <v>Le</v>
      </c>
      <c r="Q1276" s="93"/>
      <c r="R1276" s="84">
        <v>40</v>
      </c>
      <c r="S1276" s="84" t="s">
        <v>318</v>
      </c>
      <c r="T1276" s="85">
        <f>IF(R1276&gt;0,IF(RIGHT(Ruimtestaat[[#This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6" s="85">
        <f>IF(T1276&gt;0,VLOOKUP($J1276,Ruimtegroepen[],3,FALSE)*VLOOKUP($L1276,Vloersoorten[],3,FALSE)*VLOOKUP($S1276,Frequenties[],3,FALSE)*VLOOKUP($A1276,Locaties[],3,FALSE),0)</f>
        <v>0</v>
      </c>
      <c r="V1276" s="86">
        <f>Ruimtestaat[[#This Row],[Uitvoeringen werkdagen]]*Ruimtestaat[[#This Row],[Oppervlak (netto)]]</f>
        <v>43166</v>
      </c>
      <c r="W1276" s="87">
        <f>IF(U1276&gt;0,Ruimtestaat[[#This Row],[Prest. (m2 /jaar) werkdagen]]/Ruimtestaat[[#This Row],[Norm (m2/uur) werkdagen]],0)</f>
        <v>0</v>
      </c>
      <c r="X1276" s="88">
        <f>Ruimtestaat[[#This Row],[uren / jaar werkdagen]]*Tariefsopbouw!$E$35</f>
        <v>0</v>
      </c>
      <c r="Y1276" s="85"/>
      <c r="Z1276" s="89">
        <f>IF(Ruimtestaat[[#This Row],[Frequentie weekend]]&gt;0,VALUE(LEFT(Y1276,1))*R1276,0)</f>
        <v>0</v>
      </c>
      <c r="AA1276" s="85">
        <f>IF($Z1276&gt;0,VLOOKUP($J1276,Ruimtegroepen[],3,FALSE)*VLOOKUP($L1276,Vloersoorten[],3,FALSE)*VLOOKUP($Y1276,Frequenties[],3,FALSE)*VLOOKUP(#REF!,Locaties[],3,FALSE),0)</f>
        <v>0</v>
      </c>
      <c r="AB1276" s="87">
        <f>Ruimtestaat[[#This Row],[Uitvoeringen weekend]]*Ruimtestaat[[#This Row],[Oppervlak (netto)]]</f>
        <v>0</v>
      </c>
      <c r="AC1276" s="90">
        <f>IF(AB1276&gt;0,Ruimtestaat[[#This Row],[Prest. (m2 /jaar) weekend]]/Ruimtestaat[[#This Row],[Norm (m2/uur) weekend]],0)</f>
        <v>0</v>
      </c>
      <c r="AD1276" s="91">
        <f>Ruimtestaat[[#This Row],[uren / jaar weekend]]*Tariefsopbouw!$D$40</f>
        <v>0</v>
      </c>
      <c r="AE1276" s="60">
        <f>Ruimtestaat[[#This Row],[Prest. (m2 /jaar) weekend]]+Ruimtestaat[[#This Row],[Prest. (m2 /jaar) werkdagen]]</f>
        <v>43166</v>
      </c>
      <c r="AF1276" s="60">
        <f>Ruimtestaat[[#This Row],[uren / jaar weekend]]+Ruimtestaat[[#This Row],[uren / jaar werkdagen]]</f>
        <v>0</v>
      </c>
      <c r="AG1276" s="61">
        <f>Ruimtestaat[[#This Row],[kosten / jaar weekend]]+Ruimtestaat[[#This Row],[kosten / jaar werkdagen]]</f>
        <v>0</v>
      </c>
      <c r="AH1276" s="92"/>
      <c r="HL1276" s="59"/>
    </row>
    <row r="1277" spans="1:220">
      <c r="A1277" s="24">
        <v>7</v>
      </c>
      <c r="B1277" s="24" t="str">
        <f>VLOOKUP(Ruimtestaat[[#This Row],[Code]],Locaties[#All],2,FALSE)</f>
        <v>Het Vlier</v>
      </c>
      <c r="C1277" s="24" t="str">
        <f>VLOOKUP(Ruimtestaat[[#This Row],[Code]],Locaties[#All],4,FALSE)</f>
        <v>Het Vlier 1</v>
      </c>
      <c r="D1277" s="24" t="str">
        <f>VLOOKUP(Ruimtestaat[[#This Row],[Code]],Locaties[#All],5,FALSE)</f>
        <v>7414 AR</v>
      </c>
      <c r="E1277" s="24" t="str">
        <f>VLOOKUP(Ruimtestaat[[#This Row],[Code]],Locaties[#All],6,FALSE)</f>
        <v>Deventer</v>
      </c>
      <c r="F1277" s="54"/>
      <c r="G1277" s="24" t="s">
        <v>599</v>
      </c>
      <c r="H1277" s="24" t="s">
        <v>1708</v>
      </c>
      <c r="I1277" s="4" t="s">
        <v>1435</v>
      </c>
      <c r="J1277" s="24">
        <v>22</v>
      </c>
      <c r="K1277" s="54" t="str">
        <f>VLOOKUP(J1277,Ruimtegroepen[],2,FALSE)</f>
        <v>Niet in onderhoud</v>
      </c>
      <c r="M1277" s="24"/>
      <c r="N1277" s="83"/>
      <c r="O1277" s="83">
        <v>31.2</v>
      </c>
      <c r="P1277" s="93" t="str">
        <f>LEFT(VLOOKUP(Ruimtestaat[[#This Row],[Ruimte code]],Ruimtegroepen[#All],4,1),2)</f>
        <v/>
      </c>
      <c r="Q1277" s="93"/>
      <c r="R1277" s="84"/>
      <c r="S1277" s="84"/>
      <c r="T1277" s="85">
        <f>IF(R1277&gt;0,IF(RIGHT(Ruimtestaat[[#This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7" s="85">
        <f>IF(T1277&gt;0,VLOOKUP($J1277,Ruimtegroepen[],3,FALSE)*VLOOKUP($L1277,Vloersoorten[],3,FALSE)*VLOOKUP($S1277,Frequenties[],3,FALSE)*VLOOKUP($A1277,Locaties[],3,FALSE),0)</f>
        <v>0</v>
      </c>
      <c r="V1277" s="86">
        <f>Ruimtestaat[[#This Row],[Uitvoeringen werkdagen]]*Ruimtestaat[[#This Row],[Oppervlak (netto)]]</f>
        <v>0</v>
      </c>
      <c r="W1277" s="87">
        <f>IF(U1277&gt;0,Ruimtestaat[[#This Row],[Prest. (m2 /jaar) werkdagen]]/Ruimtestaat[[#This Row],[Norm (m2/uur) werkdagen]],0)</f>
        <v>0</v>
      </c>
      <c r="X1277" s="88">
        <f>Ruimtestaat[[#This Row],[uren / jaar werkdagen]]*Tariefsopbouw!$E$35</f>
        <v>0</v>
      </c>
      <c r="Y1277" s="85"/>
      <c r="Z1277" s="89">
        <f>IF(Ruimtestaat[[#This Row],[Frequentie weekend]]&gt;0,VALUE(LEFT(Y1277,1))*R1277,0)</f>
        <v>0</v>
      </c>
      <c r="AA1277" s="85">
        <f>IF($Z1277&gt;0,VLOOKUP($J1277,Ruimtegroepen[],3,FALSE)*VLOOKUP($L1277,Vloersoorten[],3,FALSE)*VLOOKUP($Y1277,Frequenties[],3,FALSE)*VLOOKUP(#REF!,Locaties[],3,FALSE),0)</f>
        <v>0</v>
      </c>
      <c r="AB1277" s="87">
        <f>Ruimtestaat[[#This Row],[Uitvoeringen weekend]]*Ruimtestaat[[#This Row],[Oppervlak (netto)]]</f>
        <v>0</v>
      </c>
      <c r="AC1277" s="90">
        <f>IF(AB1277&gt;0,Ruimtestaat[[#This Row],[Prest. (m2 /jaar) weekend]]/Ruimtestaat[[#This Row],[Norm (m2/uur) weekend]],0)</f>
        <v>0</v>
      </c>
      <c r="AD1277" s="91">
        <f>Ruimtestaat[[#This Row],[uren / jaar weekend]]*Tariefsopbouw!$D$40</f>
        <v>0</v>
      </c>
      <c r="AE1277" s="60">
        <f>Ruimtestaat[[#This Row],[Prest. (m2 /jaar) weekend]]+Ruimtestaat[[#This Row],[Prest. (m2 /jaar) werkdagen]]</f>
        <v>0</v>
      </c>
      <c r="AF1277" s="60">
        <f>Ruimtestaat[[#This Row],[uren / jaar weekend]]+Ruimtestaat[[#This Row],[uren / jaar werkdagen]]</f>
        <v>0</v>
      </c>
      <c r="AG1277" s="61">
        <f>Ruimtestaat[[#This Row],[kosten / jaar weekend]]+Ruimtestaat[[#This Row],[kosten / jaar werkdagen]]</f>
        <v>0</v>
      </c>
      <c r="AH1277" s="92"/>
      <c r="HL1277" s="59"/>
    </row>
    <row r="1278" spans="1:220">
      <c r="A1278" s="24">
        <v>7</v>
      </c>
      <c r="B1278" s="24" t="str">
        <f>VLOOKUP(Ruimtestaat[[#This Row],[Code]],Locaties[#All],2,FALSE)</f>
        <v>Het Vlier</v>
      </c>
      <c r="C1278" s="24" t="str">
        <f>VLOOKUP(Ruimtestaat[[#This Row],[Code]],Locaties[#All],4,FALSE)</f>
        <v>Het Vlier 1</v>
      </c>
      <c r="D1278" s="24" t="str">
        <f>VLOOKUP(Ruimtestaat[[#This Row],[Code]],Locaties[#All],5,FALSE)</f>
        <v>7414 AR</v>
      </c>
      <c r="E1278" s="24" t="str">
        <f>VLOOKUP(Ruimtestaat[[#This Row],[Code]],Locaties[#All],6,FALSE)</f>
        <v>Deventer</v>
      </c>
      <c r="F1278" s="54"/>
      <c r="G1278" s="24" t="s">
        <v>512</v>
      </c>
      <c r="H1278" s="24" t="s">
        <v>1709</v>
      </c>
      <c r="I1278" s="4" t="s">
        <v>1710</v>
      </c>
      <c r="J1278" s="24">
        <v>6</v>
      </c>
      <c r="K1278" s="54" t="str">
        <f>VLOOKUP(J1278,Ruimtegroepen[],2,FALSE)</f>
        <v>Gangen/hallen</v>
      </c>
      <c r="L1278" s="24" t="s">
        <v>305</v>
      </c>
      <c r="M1278" s="24" t="s">
        <v>400</v>
      </c>
      <c r="N1278" s="83">
        <v>28.21</v>
      </c>
      <c r="O1278" s="83"/>
      <c r="P1278" s="93" t="str">
        <f>LEFT(VLOOKUP(Ruimtestaat[[#This Row],[Ruimte code]],Ruimtegroepen[#All],4,1),2)</f>
        <v>Ve</v>
      </c>
      <c r="Q1278" s="93"/>
      <c r="R1278" s="84">
        <v>40</v>
      </c>
      <c r="S1278" s="84" t="s">
        <v>318</v>
      </c>
      <c r="T1278" s="85">
        <f>IF(R1278&gt;0,IF(RIGHT(Ruimtestaat[[#This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8" s="85">
        <f>IF(T1278&gt;0,VLOOKUP($J1278,Ruimtegroepen[],3,FALSE)*VLOOKUP($L1278,Vloersoorten[],3,FALSE)*VLOOKUP($S1278,Frequenties[],3,FALSE)*VLOOKUP($A1278,Locaties[],3,FALSE),0)</f>
        <v>0</v>
      </c>
      <c r="V1278" s="86">
        <f>Ruimtestaat[[#This Row],[Uitvoeringen werkdagen]]*Ruimtestaat[[#This Row],[Oppervlak (netto)]]</f>
        <v>5642</v>
      </c>
      <c r="W1278" s="87">
        <f>IF(U1278&gt;0,Ruimtestaat[[#This Row],[Prest. (m2 /jaar) werkdagen]]/Ruimtestaat[[#This Row],[Norm (m2/uur) werkdagen]],0)</f>
        <v>0</v>
      </c>
      <c r="X1278" s="88">
        <f>Ruimtestaat[[#This Row],[uren / jaar werkdagen]]*Tariefsopbouw!$E$35</f>
        <v>0</v>
      </c>
      <c r="Y1278" s="85"/>
      <c r="Z1278" s="89">
        <f>IF(Ruimtestaat[[#This Row],[Frequentie weekend]]&gt;0,VALUE(LEFT(Y1278,1))*R1278,0)</f>
        <v>0</v>
      </c>
      <c r="AA1278" s="85">
        <f>IF($Z1278&gt;0,VLOOKUP($J1278,Ruimtegroepen[],3,FALSE)*VLOOKUP($L1278,Vloersoorten[],3,FALSE)*VLOOKUP($Y1278,Frequenties[],3,FALSE)*VLOOKUP(#REF!,Locaties[],3,FALSE),0)</f>
        <v>0</v>
      </c>
      <c r="AB1278" s="87">
        <f>Ruimtestaat[[#This Row],[Uitvoeringen weekend]]*Ruimtestaat[[#This Row],[Oppervlak (netto)]]</f>
        <v>0</v>
      </c>
      <c r="AC1278" s="90">
        <f>IF(AB1278&gt;0,Ruimtestaat[[#This Row],[Prest. (m2 /jaar) weekend]]/Ruimtestaat[[#This Row],[Norm (m2/uur) weekend]],0)</f>
        <v>0</v>
      </c>
      <c r="AD1278" s="91">
        <f>Ruimtestaat[[#This Row],[uren / jaar weekend]]*Tariefsopbouw!$D$40</f>
        <v>0</v>
      </c>
      <c r="AE1278" s="60">
        <f>Ruimtestaat[[#This Row],[Prest. (m2 /jaar) weekend]]+Ruimtestaat[[#This Row],[Prest. (m2 /jaar) werkdagen]]</f>
        <v>5642</v>
      </c>
      <c r="AF1278" s="60">
        <f>Ruimtestaat[[#This Row],[uren / jaar weekend]]+Ruimtestaat[[#This Row],[uren / jaar werkdagen]]</f>
        <v>0</v>
      </c>
      <c r="AG1278" s="61">
        <f>Ruimtestaat[[#This Row],[kosten / jaar weekend]]+Ruimtestaat[[#This Row],[kosten / jaar werkdagen]]</f>
        <v>0</v>
      </c>
      <c r="AH1278" s="92"/>
      <c r="HL1278" s="59"/>
    </row>
    <row r="1279" spans="1:220">
      <c r="A1279" s="24">
        <v>7</v>
      </c>
      <c r="B1279" s="24" t="str">
        <f>VLOOKUP(Ruimtestaat[[#This Row],[Code]],Locaties[#All],2,FALSE)</f>
        <v>Het Vlier</v>
      </c>
      <c r="C1279" s="24" t="str">
        <f>VLOOKUP(Ruimtestaat[[#This Row],[Code]],Locaties[#All],4,FALSE)</f>
        <v>Het Vlier 1</v>
      </c>
      <c r="D1279" s="24" t="str">
        <f>VLOOKUP(Ruimtestaat[[#This Row],[Code]],Locaties[#All],5,FALSE)</f>
        <v>7414 AR</v>
      </c>
      <c r="E1279" s="24" t="str">
        <f>VLOOKUP(Ruimtestaat[[#This Row],[Code]],Locaties[#All],6,FALSE)</f>
        <v>Deventer</v>
      </c>
      <c r="F1279" s="54"/>
      <c r="G1279" s="24" t="s">
        <v>512</v>
      </c>
      <c r="H1279" s="24" t="s">
        <v>1711</v>
      </c>
      <c r="I1279" s="4" t="s">
        <v>1687</v>
      </c>
      <c r="J1279" s="24">
        <v>19</v>
      </c>
      <c r="K1279" s="54" t="str">
        <f>VLOOKUP(J1279,Ruimtegroepen[],2,FALSE)</f>
        <v>Kleedruimten</v>
      </c>
      <c r="L1279" s="24" t="s">
        <v>305</v>
      </c>
      <c r="M1279" s="24" t="s">
        <v>400</v>
      </c>
      <c r="N1279" s="83">
        <v>27.31</v>
      </c>
      <c r="O1279" s="83"/>
      <c r="P1279" s="93" t="str">
        <f>LEFT(VLOOKUP(Ruimtestaat[[#This Row],[Ruimte code]],Ruimtegroepen[#All],4,1),2)</f>
        <v>Ve</v>
      </c>
      <c r="Q1279" s="93"/>
      <c r="R1279" s="84">
        <v>40</v>
      </c>
      <c r="S1279" s="84" t="s">
        <v>318</v>
      </c>
      <c r="T1279" s="85">
        <f>IF(R1279&gt;0,IF(RIGHT(Ruimtestaat[[#This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9" s="85">
        <f>IF(T1279&gt;0,VLOOKUP($J1279,Ruimtegroepen[],3,FALSE)*VLOOKUP($L1279,Vloersoorten[],3,FALSE)*VLOOKUP($S1279,Frequenties[],3,FALSE)*VLOOKUP($A1279,Locaties[],3,FALSE),0)</f>
        <v>0</v>
      </c>
      <c r="V1279" s="86">
        <f>Ruimtestaat[[#This Row],[Uitvoeringen werkdagen]]*Ruimtestaat[[#This Row],[Oppervlak (netto)]]</f>
        <v>5462</v>
      </c>
      <c r="W1279" s="87">
        <f>IF(U1279&gt;0,Ruimtestaat[[#This Row],[Prest. (m2 /jaar) werkdagen]]/Ruimtestaat[[#This Row],[Norm (m2/uur) werkdagen]],0)</f>
        <v>0</v>
      </c>
      <c r="X1279" s="88">
        <f>Ruimtestaat[[#This Row],[uren / jaar werkdagen]]*Tariefsopbouw!$E$35</f>
        <v>0</v>
      </c>
      <c r="Y1279" s="85"/>
      <c r="Z1279" s="89">
        <f>IF(Ruimtestaat[[#This Row],[Frequentie weekend]]&gt;0,VALUE(LEFT(Y1279,1))*R1279,0)</f>
        <v>0</v>
      </c>
      <c r="AA1279" s="85">
        <f>IF($Z1279&gt;0,VLOOKUP($J1279,Ruimtegroepen[],3,FALSE)*VLOOKUP($L1279,Vloersoorten[],3,FALSE)*VLOOKUP($Y1279,Frequenties[],3,FALSE)*VLOOKUP(#REF!,Locaties[],3,FALSE),0)</f>
        <v>0</v>
      </c>
      <c r="AB1279" s="87">
        <f>Ruimtestaat[[#This Row],[Uitvoeringen weekend]]*Ruimtestaat[[#This Row],[Oppervlak (netto)]]</f>
        <v>0</v>
      </c>
      <c r="AC1279" s="90">
        <f>IF(AB1279&gt;0,Ruimtestaat[[#This Row],[Prest. (m2 /jaar) weekend]]/Ruimtestaat[[#This Row],[Norm (m2/uur) weekend]],0)</f>
        <v>0</v>
      </c>
      <c r="AD1279" s="91">
        <f>Ruimtestaat[[#This Row],[uren / jaar weekend]]*Tariefsopbouw!$D$40</f>
        <v>0</v>
      </c>
      <c r="AE1279" s="60">
        <f>Ruimtestaat[[#This Row],[Prest. (m2 /jaar) weekend]]+Ruimtestaat[[#This Row],[Prest. (m2 /jaar) werkdagen]]</f>
        <v>5462</v>
      </c>
      <c r="AF1279" s="60">
        <f>Ruimtestaat[[#This Row],[uren / jaar weekend]]+Ruimtestaat[[#This Row],[uren / jaar werkdagen]]</f>
        <v>0</v>
      </c>
      <c r="AG1279" s="61">
        <f>Ruimtestaat[[#This Row],[kosten / jaar weekend]]+Ruimtestaat[[#This Row],[kosten / jaar werkdagen]]</f>
        <v>0</v>
      </c>
      <c r="AH1279" s="92"/>
      <c r="HL1279" s="59"/>
    </row>
    <row r="1280" spans="1:220">
      <c r="A1280" s="24">
        <v>7</v>
      </c>
      <c r="B1280" s="24" t="str">
        <f>VLOOKUP(Ruimtestaat[[#This Row],[Code]],Locaties[#All],2,FALSE)</f>
        <v>Het Vlier</v>
      </c>
      <c r="C1280" s="24" t="str">
        <f>VLOOKUP(Ruimtestaat[[#This Row],[Code]],Locaties[#All],4,FALSE)</f>
        <v>Het Vlier 1</v>
      </c>
      <c r="D1280" s="24" t="str">
        <f>VLOOKUP(Ruimtestaat[[#This Row],[Code]],Locaties[#All],5,FALSE)</f>
        <v>7414 AR</v>
      </c>
      <c r="E1280" s="24" t="str">
        <f>VLOOKUP(Ruimtestaat[[#This Row],[Code]],Locaties[#All],6,FALSE)</f>
        <v>Deventer</v>
      </c>
      <c r="F1280" s="54"/>
      <c r="G1280" s="24" t="s">
        <v>512</v>
      </c>
      <c r="H1280" s="24" t="s">
        <v>1712</v>
      </c>
      <c r="I1280" s="4" t="s">
        <v>1010</v>
      </c>
      <c r="J1280" s="24">
        <v>5</v>
      </c>
      <c r="K1280" s="54" t="str">
        <f>VLOOKUP(J1280,Ruimtegroepen[],2,FALSE)</f>
        <v>Sanitair</v>
      </c>
      <c r="L1280" s="24" t="s">
        <v>305</v>
      </c>
      <c r="M1280" s="24" t="s">
        <v>400</v>
      </c>
      <c r="N1280" s="83">
        <v>1.84</v>
      </c>
      <c r="O1280" s="83"/>
      <c r="P1280" s="93" t="str">
        <f>LEFT(VLOOKUP(Ruimtestaat[[#This Row],[Ruimte code]],Ruimtegroepen[#All],4,1),2)</f>
        <v>Sa</v>
      </c>
      <c r="Q1280" s="93"/>
      <c r="R1280" s="84">
        <v>42</v>
      </c>
      <c r="S1280" s="84" t="s">
        <v>316</v>
      </c>
      <c r="T1280" s="85">
        <f>IF(R1280&gt;0,IF(RIGHT(Ruimtestaat[[#This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80" s="85">
        <f>IF(T1280&gt;0,VLOOKUP($J1280,Ruimtegroepen[],3,FALSE)*VLOOKUP($L1280,Vloersoorten[],3,FALSE)*VLOOKUP($S1280,Frequenties[],3,FALSE)*VLOOKUP($A1280,Locaties[],3,FALSE),0)</f>
        <v>0</v>
      </c>
      <c r="V1280" s="86">
        <f>Ruimtestaat[[#This Row],[Uitvoeringen werkdagen]]*Ruimtestaat[[#This Row],[Oppervlak (netto)]]</f>
        <v>772.80000000000007</v>
      </c>
      <c r="W1280" s="87">
        <f>IF(U1280&gt;0,Ruimtestaat[[#This Row],[Prest. (m2 /jaar) werkdagen]]/Ruimtestaat[[#This Row],[Norm (m2/uur) werkdagen]],0)</f>
        <v>0</v>
      </c>
      <c r="X1280" s="88">
        <f>Ruimtestaat[[#This Row],[uren / jaar werkdagen]]*Tariefsopbouw!$E$35</f>
        <v>0</v>
      </c>
      <c r="Y1280" s="85"/>
      <c r="Z1280" s="89">
        <f>IF(Ruimtestaat[[#This Row],[Frequentie weekend]]&gt;0,VALUE(LEFT(Y1280,1))*R1280,0)</f>
        <v>0</v>
      </c>
      <c r="AA1280" s="85">
        <f>IF($Z1280&gt;0,VLOOKUP($J1280,Ruimtegroepen[],3,FALSE)*VLOOKUP($L1280,Vloersoorten[],3,FALSE)*VLOOKUP($Y1280,Frequenties[],3,FALSE)*VLOOKUP(#REF!,Locaties[],3,FALSE),0)</f>
        <v>0</v>
      </c>
      <c r="AB1280" s="87">
        <f>Ruimtestaat[[#This Row],[Uitvoeringen weekend]]*Ruimtestaat[[#This Row],[Oppervlak (netto)]]</f>
        <v>0</v>
      </c>
      <c r="AC1280" s="90">
        <f>IF(AB1280&gt;0,Ruimtestaat[[#This Row],[Prest. (m2 /jaar) weekend]]/Ruimtestaat[[#This Row],[Norm (m2/uur) weekend]],0)</f>
        <v>0</v>
      </c>
      <c r="AD1280" s="91">
        <f>Ruimtestaat[[#This Row],[uren / jaar weekend]]*Tariefsopbouw!$D$40</f>
        <v>0</v>
      </c>
      <c r="AE1280" s="60">
        <f>Ruimtestaat[[#This Row],[Prest. (m2 /jaar) weekend]]+Ruimtestaat[[#This Row],[Prest. (m2 /jaar) werkdagen]]</f>
        <v>772.80000000000007</v>
      </c>
      <c r="AF1280" s="60">
        <f>Ruimtestaat[[#This Row],[uren / jaar weekend]]+Ruimtestaat[[#This Row],[uren / jaar werkdagen]]</f>
        <v>0</v>
      </c>
      <c r="AG1280" s="61">
        <f>Ruimtestaat[[#This Row],[kosten / jaar weekend]]+Ruimtestaat[[#This Row],[kosten / jaar werkdagen]]</f>
        <v>0</v>
      </c>
      <c r="AH1280" s="92"/>
      <c r="HL1280" s="59"/>
    </row>
    <row r="1281" spans="1:220">
      <c r="A1281" s="24">
        <v>7</v>
      </c>
      <c r="B1281" s="24" t="str">
        <f>VLOOKUP(Ruimtestaat[[#This Row],[Code]],Locaties[#All],2,FALSE)</f>
        <v>Het Vlier</v>
      </c>
      <c r="C1281" s="24" t="str">
        <f>VLOOKUP(Ruimtestaat[[#This Row],[Code]],Locaties[#All],4,FALSE)</f>
        <v>Het Vlier 1</v>
      </c>
      <c r="D1281" s="24" t="str">
        <f>VLOOKUP(Ruimtestaat[[#This Row],[Code]],Locaties[#All],5,FALSE)</f>
        <v>7414 AR</v>
      </c>
      <c r="E1281" s="24" t="str">
        <f>VLOOKUP(Ruimtestaat[[#This Row],[Code]],Locaties[#All],6,FALSE)</f>
        <v>Deventer</v>
      </c>
      <c r="F1281" s="54"/>
      <c r="G1281" s="24" t="s">
        <v>512</v>
      </c>
      <c r="H1281" s="24" t="s">
        <v>1713</v>
      </c>
      <c r="I1281" s="4" t="s">
        <v>1687</v>
      </c>
      <c r="J1281" s="24">
        <v>19</v>
      </c>
      <c r="K1281" s="54" t="str">
        <f>VLOOKUP(J1281,Ruimtegroepen[],2,FALSE)</f>
        <v>Kleedruimten</v>
      </c>
      <c r="L1281" s="24" t="s">
        <v>305</v>
      </c>
      <c r="M1281" s="24" t="s">
        <v>400</v>
      </c>
      <c r="N1281" s="83">
        <v>30.64</v>
      </c>
      <c r="O1281" s="83"/>
      <c r="P1281" s="93" t="str">
        <f>LEFT(VLOOKUP(Ruimtestaat[[#This Row],[Ruimte code]],Ruimtegroepen[#All],4,1),2)</f>
        <v>Ve</v>
      </c>
      <c r="Q1281" s="93"/>
      <c r="R1281" s="84">
        <v>40</v>
      </c>
      <c r="S1281" s="84" t="s">
        <v>318</v>
      </c>
      <c r="T1281" s="85">
        <f>IF(R1281&gt;0,IF(RIGHT(Ruimtestaat[[#This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1" s="85">
        <f>IF(T1281&gt;0,VLOOKUP($J1281,Ruimtegroepen[],3,FALSE)*VLOOKUP($L1281,Vloersoorten[],3,FALSE)*VLOOKUP($S1281,Frequenties[],3,FALSE)*VLOOKUP($A1281,Locaties[],3,FALSE),0)</f>
        <v>0</v>
      </c>
      <c r="V1281" s="86">
        <f>Ruimtestaat[[#This Row],[Uitvoeringen werkdagen]]*Ruimtestaat[[#This Row],[Oppervlak (netto)]]</f>
        <v>6128</v>
      </c>
      <c r="W1281" s="87">
        <f>IF(U1281&gt;0,Ruimtestaat[[#This Row],[Prest. (m2 /jaar) werkdagen]]/Ruimtestaat[[#This Row],[Norm (m2/uur) werkdagen]],0)</f>
        <v>0</v>
      </c>
      <c r="X1281" s="88">
        <f>Ruimtestaat[[#This Row],[uren / jaar werkdagen]]*Tariefsopbouw!$E$35</f>
        <v>0</v>
      </c>
      <c r="Y1281" s="85"/>
      <c r="Z1281" s="89">
        <f>IF(Ruimtestaat[[#This Row],[Frequentie weekend]]&gt;0,VALUE(LEFT(Y1281,1))*R1281,0)</f>
        <v>0</v>
      </c>
      <c r="AA1281" s="85">
        <f>IF($Z1281&gt;0,VLOOKUP($J1281,Ruimtegroepen[],3,FALSE)*VLOOKUP($L1281,Vloersoorten[],3,FALSE)*VLOOKUP($Y1281,Frequenties[],3,FALSE)*VLOOKUP(#REF!,Locaties[],3,FALSE),0)</f>
        <v>0</v>
      </c>
      <c r="AB1281" s="87">
        <f>Ruimtestaat[[#This Row],[Uitvoeringen weekend]]*Ruimtestaat[[#This Row],[Oppervlak (netto)]]</f>
        <v>0</v>
      </c>
      <c r="AC1281" s="90">
        <f>IF(AB1281&gt;0,Ruimtestaat[[#This Row],[Prest. (m2 /jaar) weekend]]/Ruimtestaat[[#This Row],[Norm (m2/uur) weekend]],0)</f>
        <v>0</v>
      </c>
      <c r="AD1281" s="91">
        <f>Ruimtestaat[[#This Row],[uren / jaar weekend]]*Tariefsopbouw!$D$40</f>
        <v>0</v>
      </c>
      <c r="AE1281" s="60">
        <f>Ruimtestaat[[#This Row],[Prest. (m2 /jaar) weekend]]+Ruimtestaat[[#This Row],[Prest. (m2 /jaar) werkdagen]]</f>
        <v>6128</v>
      </c>
      <c r="AF1281" s="60">
        <f>Ruimtestaat[[#This Row],[uren / jaar weekend]]+Ruimtestaat[[#This Row],[uren / jaar werkdagen]]</f>
        <v>0</v>
      </c>
      <c r="AG1281" s="61">
        <f>Ruimtestaat[[#This Row],[kosten / jaar weekend]]+Ruimtestaat[[#This Row],[kosten / jaar werkdagen]]</f>
        <v>0</v>
      </c>
      <c r="AH1281" s="92"/>
      <c r="HL1281" s="59"/>
    </row>
    <row r="1282" spans="1:220">
      <c r="A1282" s="24">
        <v>7</v>
      </c>
      <c r="B1282" s="24" t="str">
        <f>VLOOKUP(Ruimtestaat[[#This Row],[Code]],Locaties[#All],2,FALSE)</f>
        <v>Het Vlier</v>
      </c>
      <c r="C1282" s="24" t="str">
        <f>VLOOKUP(Ruimtestaat[[#This Row],[Code]],Locaties[#All],4,FALSE)</f>
        <v>Het Vlier 1</v>
      </c>
      <c r="D1282" s="24" t="str">
        <f>VLOOKUP(Ruimtestaat[[#This Row],[Code]],Locaties[#All],5,FALSE)</f>
        <v>7414 AR</v>
      </c>
      <c r="E1282" s="24" t="str">
        <f>VLOOKUP(Ruimtestaat[[#This Row],[Code]],Locaties[#All],6,FALSE)</f>
        <v>Deventer</v>
      </c>
      <c r="F1282" s="54"/>
      <c r="G1282" s="24" t="s">
        <v>512</v>
      </c>
      <c r="H1282" s="24" t="s">
        <v>1714</v>
      </c>
      <c r="I1282" s="4" t="s">
        <v>1010</v>
      </c>
      <c r="J1282" s="24">
        <v>5</v>
      </c>
      <c r="K1282" s="54" t="str">
        <f>VLOOKUP(J1282,Ruimtegroepen[],2,FALSE)</f>
        <v>Sanitair</v>
      </c>
      <c r="L1282" s="24" t="s">
        <v>305</v>
      </c>
      <c r="M1282" s="24" t="s">
        <v>400</v>
      </c>
      <c r="N1282" s="83">
        <v>1.52</v>
      </c>
      <c r="O1282" s="83"/>
      <c r="P1282" s="93" t="str">
        <f>LEFT(VLOOKUP(Ruimtestaat[[#This Row],[Ruimte code]],Ruimtegroepen[#All],4,1),2)</f>
        <v>Sa</v>
      </c>
      <c r="Q1282" s="93"/>
      <c r="R1282" s="84">
        <v>42</v>
      </c>
      <c r="S1282" s="84" t="s">
        <v>316</v>
      </c>
      <c r="T1282" s="85">
        <f>IF(R1282&gt;0,IF(RIGHT(Ruimtestaat[[#This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82" s="85">
        <f>IF(T1282&gt;0,VLOOKUP($J1282,Ruimtegroepen[],3,FALSE)*VLOOKUP($L1282,Vloersoorten[],3,FALSE)*VLOOKUP($S1282,Frequenties[],3,FALSE)*VLOOKUP($A1282,Locaties[],3,FALSE),0)</f>
        <v>0</v>
      </c>
      <c r="V1282" s="86">
        <f>Ruimtestaat[[#This Row],[Uitvoeringen werkdagen]]*Ruimtestaat[[#This Row],[Oppervlak (netto)]]</f>
        <v>638.4</v>
      </c>
      <c r="W1282" s="87">
        <f>IF(U1282&gt;0,Ruimtestaat[[#This Row],[Prest. (m2 /jaar) werkdagen]]/Ruimtestaat[[#This Row],[Norm (m2/uur) werkdagen]],0)</f>
        <v>0</v>
      </c>
      <c r="X1282" s="88">
        <f>Ruimtestaat[[#This Row],[uren / jaar werkdagen]]*Tariefsopbouw!$E$35</f>
        <v>0</v>
      </c>
      <c r="Y1282" s="85"/>
      <c r="Z1282" s="89">
        <f>IF(Ruimtestaat[[#This Row],[Frequentie weekend]]&gt;0,VALUE(LEFT(Y1282,1))*R1282,0)</f>
        <v>0</v>
      </c>
      <c r="AA1282" s="85">
        <f>IF($Z1282&gt;0,VLOOKUP($J1282,Ruimtegroepen[],3,FALSE)*VLOOKUP($L1282,Vloersoorten[],3,FALSE)*VLOOKUP($Y1282,Frequenties[],3,FALSE)*VLOOKUP(#REF!,Locaties[],3,FALSE),0)</f>
        <v>0</v>
      </c>
      <c r="AB1282" s="87">
        <f>Ruimtestaat[[#This Row],[Uitvoeringen weekend]]*Ruimtestaat[[#This Row],[Oppervlak (netto)]]</f>
        <v>0</v>
      </c>
      <c r="AC1282" s="90">
        <f>IF(AB1282&gt;0,Ruimtestaat[[#This Row],[Prest. (m2 /jaar) weekend]]/Ruimtestaat[[#This Row],[Norm (m2/uur) weekend]],0)</f>
        <v>0</v>
      </c>
      <c r="AD1282" s="91">
        <f>Ruimtestaat[[#This Row],[uren / jaar weekend]]*Tariefsopbouw!$D$40</f>
        <v>0</v>
      </c>
      <c r="AE1282" s="60">
        <f>Ruimtestaat[[#This Row],[Prest. (m2 /jaar) weekend]]+Ruimtestaat[[#This Row],[Prest. (m2 /jaar) werkdagen]]</f>
        <v>638.4</v>
      </c>
      <c r="AF1282" s="60">
        <f>Ruimtestaat[[#This Row],[uren / jaar weekend]]+Ruimtestaat[[#This Row],[uren / jaar werkdagen]]</f>
        <v>0</v>
      </c>
      <c r="AG1282" s="61">
        <f>Ruimtestaat[[#This Row],[kosten / jaar weekend]]+Ruimtestaat[[#This Row],[kosten / jaar werkdagen]]</f>
        <v>0</v>
      </c>
      <c r="AH1282" s="92"/>
      <c r="HL1282" s="59"/>
    </row>
    <row r="1283" spans="1:220">
      <c r="A1283" s="24">
        <v>7</v>
      </c>
      <c r="B1283" s="24" t="str">
        <f>VLOOKUP(Ruimtestaat[[#This Row],[Code]],Locaties[#All],2,FALSE)</f>
        <v>Het Vlier</v>
      </c>
      <c r="C1283" s="24" t="str">
        <f>VLOOKUP(Ruimtestaat[[#This Row],[Code]],Locaties[#All],4,FALSE)</f>
        <v>Het Vlier 1</v>
      </c>
      <c r="D1283" s="24" t="str">
        <f>VLOOKUP(Ruimtestaat[[#This Row],[Code]],Locaties[#All],5,FALSE)</f>
        <v>7414 AR</v>
      </c>
      <c r="E1283" s="24" t="str">
        <f>VLOOKUP(Ruimtestaat[[#This Row],[Code]],Locaties[#All],6,FALSE)</f>
        <v>Deventer</v>
      </c>
      <c r="F1283" s="54"/>
      <c r="G1283" s="24" t="s">
        <v>512</v>
      </c>
      <c r="H1283" s="24" t="s">
        <v>1715</v>
      </c>
      <c r="I1283" s="4" t="s">
        <v>1435</v>
      </c>
      <c r="J1283" s="24">
        <v>22</v>
      </c>
      <c r="K1283" s="54" t="str">
        <f>VLOOKUP(J1283,Ruimtegroepen[],2,FALSE)</f>
        <v>Niet in onderhoud</v>
      </c>
      <c r="M1283" s="24"/>
      <c r="N1283" s="83"/>
      <c r="O1283" s="83">
        <v>1.47</v>
      </c>
      <c r="P1283" s="93" t="str">
        <f>LEFT(VLOOKUP(Ruimtestaat[[#This Row],[Ruimte code]],Ruimtegroepen[#All],4,1),2)</f>
        <v/>
      </c>
      <c r="Q1283" s="93"/>
      <c r="R1283" s="84"/>
      <c r="S1283" s="84"/>
      <c r="T1283" s="85">
        <f>IF(R1283&gt;0,IF(RIGHT(Ruimtestaat[[#This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83" s="85">
        <f>IF(T1283&gt;0,VLOOKUP($J1283,Ruimtegroepen[],3,FALSE)*VLOOKUP($L1283,Vloersoorten[],3,FALSE)*VLOOKUP($S1283,Frequenties[],3,FALSE)*VLOOKUP($A1283,Locaties[],3,FALSE),0)</f>
        <v>0</v>
      </c>
      <c r="V1283" s="86">
        <f>Ruimtestaat[[#This Row],[Uitvoeringen werkdagen]]*Ruimtestaat[[#This Row],[Oppervlak (netto)]]</f>
        <v>0</v>
      </c>
      <c r="W1283" s="87">
        <f>IF(U1283&gt;0,Ruimtestaat[[#This Row],[Prest. (m2 /jaar) werkdagen]]/Ruimtestaat[[#This Row],[Norm (m2/uur) werkdagen]],0)</f>
        <v>0</v>
      </c>
      <c r="X1283" s="88">
        <f>Ruimtestaat[[#This Row],[uren / jaar werkdagen]]*Tariefsopbouw!$E$35</f>
        <v>0</v>
      </c>
      <c r="Y1283" s="85"/>
      <c r="Z1283" s="89">
        <f>IF(Ruimtestaat[[#This Row],[Frequentie weekend]]&gt;0,VALUE(LEFT(Y1283,1))*R1283,0)</f>
        <v>0</v>
      </c>
      <c r="AA1283" s="85">
        <f>IF($Z1283&gt;0,VLOOKUP($J1283,Ruimtegroepen[],3,FALSE)*VLOOKUP($L1283,Vloersoorten[],3,FALSE)*VLOOKUP($Y1283,Frequenties[],3,FALSE)*VLOOKUP(#REF!,Locaties[],3,FALSE),0)</f>
        <v>0</v>
      </c>
      <c r="AB1283" s="87">
        <f>Ruimtestaat[[#This Row],[Uitvoeringen weekend]]*Ruimtestaat[[#This Row],[Oppervlak (netto)]]</f>
        <v>0</v>
      </c>
      <c r="AC1283" s="90">
        <f>IF(AB1283&gt;0,Ruimtestaat[[#This Row],[Prest. (m2 /jaar) weekend]]/Ruimtestaat[[#This Row],[Norm (m2/uur) weekend]],0)</f>
        <v>0</v>
      </c>
      <c r="AD1283" s="91">
        <f>Ruimtestaat[[#This Row],[uren / jaar weekend]]*Tariefsopbouw!$D$40</f>
        <v>0</v>
      </c>
      <c r="AE1283" s="60">
        <f>Ruimtestaat[[#This Row],[Prest. (m2 /jaar) weekend]]+Ruimtestaat[[#This Row],[Prest. (m2 /jaar) werkdagen]]</f>
        <v>0</v>
      </c>
      <c r="AF1283" s="60">
        <f>Ruimtestaat[[#This Row],[uren / jaar weekend]]+Ruimtestaat[[#This Row],[uren / jaar werkdagen]]</f>
        <v>0</v>
      </c>
      <c r="AG1283" s="61">
        <f>Ruimtestaat[[#This Row],[kosten / jaar weekend]]+Ruimtestaat[[#This Row],[kosten / jaar werkdagen]]</f>
        <v>0</v>
      </c>
      <c r="AH1283" s="92"/>
      <c r="HL1283" s="59"/>
    </row>
    <row r="1284" spans="1:220">
      <c r="A1284" s="24">
        <v>7</v>
      </c>
      <c r="B1284" s="24" t="str">
        <f>VLOOKUP(Ruimtestaat[[#This Row],[Code]],Locaties[#All],2,FALSE)</f>
        <v>Het Vlier</v>
      </c>
      <c r="C1284" s="24" t="str">
        <f>VLOOKUP(Ruimtestaat[[#This Row],[Code]],Locaties[#All],4,FALSE)</f>
        <v>Het Vlier 1</v>
      </c>
      <c r="D1284" s="24" t="str">
        <f>VLOOKUP(Ruimtestaat[[#This Row],[Code]],Locaties[#All],5,FALSE)</f>
        <v>7414 AR</v>
      </c>
      <c r="E1284" s="24" t="str">
        <f>VLOOKUP(Ruimtestaat[[#This Row],[Code]],Locaties[#All],6,FALSE)</f>
        <v>Deventer</v>
      </c>
      <c r="F1284" s="54"/>
      <c r="G1284" s="24" t="s">
        <v>512</v>
      </c>
      <c r="H1284" s="24" t="s">
        <v>1716</v>
      </c>
      <c r="I1284" s="4" t="s">
        <v>1717</v>
      </c>
      <c r="J1284" s="24">
        <v>2</v>
      </c>
      <c r="K1284" s="54" t="str">
        <f>VLOOKUP(J1284,Ruimtegroepen[],2,FALSE)</f>
        <v>Kantoren</v>
      </c>
      <c r="L1284" s="24" t="s">
        <v>305</v>
      </c>
      <c r="M1284" s="24" t="s">
        <v>400</v>
      </c>
      <c r="N1284" s="83">
        <v>6.69</v>
      </c>
      <c r="O1284" s="83"/>
      <c r="P1284" s="93" t="str">
        <f>LEFT(VLOOKUP(Ruimtestaat[[#This Row],[Ruimte code]],Ruimtegroepen[#All],4,1),2)</f>
        <v>Bu</v>
      </c>
      <c r="Q1284" s="93"/>
      <c r="R1284" s="84">
        <v>42</v>
      </c>
      <c r="S1284" s="84" t="s">
        <v>322</v>
      </c>
      <c r="T1284" s="85">
        <f>IF(R1284&gt;0,IF(RIGHT(Ruimtestaat[[#This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284" s="85">
        <f>IF(T1284&gt;0,VLOOKUP($J1284,Ruimtegroepen[],3,FALSE)*VLOOKUP($L1284,Vloersoorten[],3,FALSE)*VLOOKUP($S1284,Frequenties[],3,FALSE)*VLOOKUP($A1284,Locaties[],3,FALSE),0)</f>
        <v>0</v>
      </c>
      <c r="V1284" s="86">
        <f>Ruimtestaat[[#This Row],[Uitvoeringen werkdagen]]*Ruimtestaat[[#This Row],[Oppervlak (netto)]]</f>
        <v>842.94</v>
      </c>
      <c r="W1284" s="87">
        <f>IF(U1284&gt;0,Ruimtestaat[[#This Row],[Prest. (m2 /jaar) werkdagen]]/Ruimtestaat[[#This Row],[Norm (m2/uur) werkdagen]],0)</f>
        <v>0</v>
      </c>
      <c r="X1284" s="88">
        <f>Ruimtestaat[[#This Row],[uren / jaar werkdagen]]*Tariefsopbouw!$E$35</f>
        <v>0</v>
      </c>
      <c r="Y1284" s="85"/>
      <c r="Z1284" s="89">
        <f>IF(Ruimtestaat[[#This Row],[Frequentie weekend]]&gt;0,VALUE(LEFT(Y1284,1))*R1284,0)</f>
        <v>0</v>
      </c>
      <c r="AA1284" s="85">
        <f>IF($Z1284&gt;0,VLOOKUP($J1284,Ruimtegroepen[],3,FALSE)*VLOOKUP($L1284,Vloersoorten[],3,FALSE)*VLOOKUP($Y1284,Frequenties[],3,FALSE)*VLOOKUP(#REF!,Locaties[],3,FALSE),0)</f>
        <v>0</v>
      </c>
      <c r="AB1284" s="87">
        <f>Ruimtestaat[[#This Row],[Uitvoeringen weekend]]*Ruimtestaat[[#This Row],[Oppervlak (netto)]]</f>
        <v>0</v>
      </c>
      <c r="AC1284" s="90">
        <f>IF(AB1284&gt;0,Ruimtestaat[[#This Row],[Prest. (m2 /jaar) weekend]]/Ruimtestaat[[#This Row],[Norm (m2/uur) weekend]],0)</f>
        <v>0</v>
      </c>
      <c r="AD1284" s="91">
        <f>Ruimtestaat[[#This Row],[uren / jaar weekend]]*Tariefsopbouw!$D$40</f>
        <v>0</v>
      </c>
      <c r="AE1284" s="60">
        <f>Ruimtestaat[[#This Row],[Prest. (m2 /jaar) weekend]]+Ruimtestaat[[#This Row],[Prest. (m2 /jaar) werkdagen]]</f>
        <v>842.94</v>
      </c>
      <c r="AF1284" s="60">
        <f>Ruimtestaat[[#This Row],[uren / jaar weekend]]+Ruimtestaat[[#This Row],[uren / jaar werkdagen]]</f>
        <v>0</v>
      </c>
      <c r="AG1284" s="61">
        <f>Ruimtestaat[[#This Row],[kosten / jaar weekend]]+Ruimtestaat[[#This Row],[kosten / jaar werkdagen]]</f>
        <v>0</v>
      </c>
      <c r="AH1284" s="92"/>
      <c r="HL1284" s="59"/>
    </row>
    <row r="1285" spans="1:220">
      <c r="A1285" s="24">
        <v>7</v>
      </c>
      <c r="B1285" s="24" t="str">
        <f>VLOOKUP(Ruimtestaat[[#This Row],[Code]],Locaties[#All],2,FALSE)</f>
        <v>Het Vlier</v>
      </c>
      <c r="C1285" s="24" t="str">
        <f>VLOOKUP(Ruimtestaat[[#This Row],[Code]],Locaties[#All],4,FALSE)</f>
        <v>Het Vlier 1</v>
      </c>
      <c r="D1285" s="24" t="str">
        <f>VLOOKUP(Ruimtestaat[[#This Row],[Code]],Locaties[#All],5,FALSE)</f>
        <v>7414 AR</v>
      </c>
      <c r="E1285" s="24" t="str">
        <f>VLOOKUP(Ruimtestaat[[#This Row],[Code]],Locaties[#All],6,FALSE)</f>
        <v>Deventer</v>
      </c>
      <c r="F1285" s="54"/>
      <c r="G1285" s="24" t="s">
        <v>512</v>
      </c>
      <c r="H1285" s="24" t="s">
        <v>1718</v>
      </c>
      <c r="I1285" s="4" t="s">
        <v>1435</v>
      </c>
      <c r="J1285" s="24">
        <v>22</v>
      </c>
      <c r="K1285" s="54" t="str">
        <f>VLOOKUP(J1285,Ruimtegroepen[],2,FALSE)</f>
        <v>Niet in onderhoud</v>
      </c>
      <c r="L1285" s="24" t="s">
        <v>305</v>
      </c>
      <c r="M1285" s="24" t="s">
        <v>400</v>
      </c>
      <c r="N1285" s="83"/>
      <c r="O1285" s="83">
        <v>1.45</v>
      </c>
      <c r="P1285" s="93" t="str">
        <f>LEFT(VLOOKUP(Ruimtestaat[[#This Row],[Ruimte code]],Ruimtegroepen[#All],4,1),2)</f>
        <v/>
      </c>
      <c r="Q1285" s="93"/>
      <c r="R1285" s="84"/>
      <c r="S1285" s="84"/>
      <c r="T1285" s="85">
        <f>IF(R1285&gt;0,IF(RIGHT(Ruimtestaat[[#This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85" s="85">
        <f>IF(T1285&gt;0,VLOOKUP($J1285,Ruimtegroepen[],3,FALSE)*VLOOKUP($L1285,Vloersoorten[],3,FALSE)*VLOOKUP($S1285,Frequenties[],3,FALSE)*VLOOKUP($A1285,Locaties[],3,FALSE),0)</f>
        <v>0</v>
      </c>
      <c r="V1285" s="86">
        <f>Ruimtestaat[[#This Row],[Uitvoeringen werkdagen]]*Ruimtestaat[[#This Row],[Oppervlak (netto)]]</f>
        <v>0</v>
      </c>
      <c r="W1285" s="87">
        <f>IF(U1285&gt;0,Ruimtestaat[[#This Row],[Prest. (m2 /jaar) werkdagen]]/Ruimtestaat[[#This Row],[Norm (m2/uur) werkdagen]],0)</f>
        <v>0</v>
      </c>
      <c r="X1285" s="88">
        <f>Ruimtestaat[[#This Row],[uren / jaar werkdagen]]*Tariefsopbouw!$E$35</f>
        <v>0</v>
      </c>
      <c r="Y1285" s="85"/>
      <c r="Z1285" s="89">
        <f>IF(Ruimtestaat[[#This Row],[Frequentie weekend]]&gt;0,VALUE(LEFT(Y1285,1))*R1285,0)</f>
        <v>0</v>
      </c>
      <c r="AA1285" s="85">
        <f>IF($Z1285&gt;0,VLOOKUP($J1285,Ruimtegroepen[],3,FALSE)*VLOOKUP($L1285,Vloersoorten[],3,FALSE)*VLOOKUP($Y1285,Frequenties[],3,FALSE)*VLOOKUP(#REF!,Locaties[],3,FALSE),0)</f>
        <v>0</v>
      </c>
      <c r="AB1285" s="87">
        <f>Ruimtestaat[[#This Row],[Uitvoeringen weekend]]*Ruimtestaat[[#This Row],[Oppervlak (netto)]]</f>
        <v>0</v>
      </c>
      <c r="AC1285" s="90">
        <f>IF(AB1285&gt;0,Ruimtestaat[[#This Row],[Prest. (m2 /jaar) weekend]]/Ruimtestaat[[#This Row],[Norm (m2/uur) weekend]],0)</f>
        <v>0</v>
      </c>
      <c r="AD1285" s="91">
        <f>Ruimtestaat[[#This Row],[uren / jaar weekend]]*Tariefsopbouw!$D$40</f>
        <v>0</v>
      </c>
      <c r="AE1285" s="60">
        <f>Ruimtestaat[[#This Row],[Prest. (m2 /jaar) weekend]]+Ruimtestaat[[#This Row],[Prest. (m2 /jaar) werkdagen]]</f>
        <v>0</v>
      </c>
      <c r="AF1285" s="60">
        <f>Ruimtestaat[[#This Row],[uren / jaar weekend]]+Ruimtestaat[[#This Row],[uren / jaar werkdagen]]</f>
        <v>0</v>
      </c>
      <c r="AG1285" s="61">
        <f>Ruimtestaat[[#This Row],[kosten / jaar weekend]]+Ruimtestaat[[#This Row],[kosten / jaar werkdagen]]</f>
        <v>0</v>
      </c>
      <c r="AH1285" s="92"/>
      <c r="HL1285" s="59"/>
    </row>
    <row r="1286" spans="1:220">
      <c r="A1286" s="24">
        <v>7</v>
      </c>
      <c r="B1286" s="24" t="str">
        <f>VLOOKUP(Ruimtestaat[[#This Row],[Code]],Locaties[#All],2,FALSE)</f>
        <v>Het Vlier</v>
      </c>
      <c r="C1286" s="24" t="str">
        <f>VLOOKUP(Ruimtestaat[[#This Row],[Code]],Locaties[#All],4,FALSE)</f>
        <v>Het Vlier 1</v>
      </c>
      <c r="D1286" s="24" t="str">
        <f>VLOOKUP(Ruimtestaat[[#This Row],[Code]],Locaties[#All],5,FALSE)</f>
        <v>7414 AR</v>
      </c>
      <c r="E1286" s="24" t="str">
        <f>VLOOKUP(Ruimtestaat[[#This Row],[Code]],Locaties[#All],6,FALSE)</f>
        <v>Deventer</v>
      </c>
      <c r="F1286" s="54"/>
      <c r="G1286" s="24" t="s">
        <v>512</v>
      </c>
      <c r="H1286" s="24" t="s">
        <v>1719</v>
      </c>
      <c r="I1286" s="4" t="s">
        <v>1720</v>
      </c>
      <c r="J1286" s="24">
        <v>6</v>
      </c>
      <c r="K1286" s="54" t="str">
        <f>VLOOKUP(J1286,Ruimtegroepen[],2,FALSE)</f>
        <v>Gangen/hallen</v>
      </c>
      <c r="L1286" s="24" t="s">
        <v>305</v>
      </c>
      <c r="M1286" s="24" t="s">
        <v>400</v>
      </c>
      <c r="N1286" s="83">
        <v>8.76</v>
      </c>
      <c r="O1286" s="83"/>
      <c r="P1286" s="93" t="str">
        <f>LEFT(VLOOKUP(Ruimtestaat[[#This Row],[Ruimte code]],Ruimtegroepen[#All],4,1),2)</f>
        <v>Ve</v>
      </c>
      <c r="Q1286" s="93"/>
      <c r="R1286" s="84">
        <v>40</v>
      </c>
      <c r="S1286" s="84" t="s">
        <v>318</v>
      </c>
      <c r="T1286" s="85">
        <f>IF(R1286&gt;0,IF(RIGHT(Ruimtestaat[[#This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6" s="85">
        <f>IF(T1286&gt;0,VLOOKUP($J1286,Ruimtegroepen[],3,FALSE)*VLOOKUP($L1286,Vloersoorten[],3,FALSE)*VLOOKUP($S1286,Frequenties[],3,FALSE)*VLOOKUP($A1286,Locaties[],3,FALSE),0)</f>
        <v>0</v>
      </c>
      <c r="V1286" s="86">
        <f>Ruimtestaat[[#This Row],[Uitvoeringen werkdagen]]*Ruimtestaat[[#This Row],[Oppervlak (netto)]]</f>
        <v>1752</v>
      </c>
      <c r="W1286" s="87">
        <f>IF(U1286&gt;0,Ruimtestaat[[#This Row],[Prest. (m2 /jaar) werkdagen]]/Ruimtestaat[[#This Row],[Norm (m2/uur) werkdagen]],0)</f>
        <v>0</v>
      </c>
      <c r="X1286" s="88">
        <f>Ruimtestaat[[#This Row],[uren / jaar werkdagen]]*Tariefsopbouw!$E$35</f>
        <v>0</v>
      </c>
      <c r="Y1286" s="85"/>
      <c r="Z1286" s="89">
        <f>IF(Ruimtestaat[[#This Row],[Frequentie weekend]]&gt;0,VALUE(LEFT(Y1286,1))*R1286,0)</f>
        <v>0</v>
      </c>
      <c r="AA1286" s="85">
        <f>IF($Z1286&gt;0,VLOOKUP($J1286,Ruimtegroepen[],3,FALSE)*VLOOKUP($L1286,Vloersoorten[],3,FALSE)*VLOOKUP($Y1286,Frequenties[],3,FALSE)*VLOOKUP(#REF!,Locaties[],3,FALSE),0)</f>
        <v>0</v>
      </c>
      <c r="AB1286" s="87">
        <f>Ruimtestaat[[#This Row],[Uitvoeringen weekend]]*Ruimtestaat[[#This Row],[Oppervlak (netto)]]</f>
        <v>0</v>
      </c>
      <c r="AC1286" s="90">
        <f>IF(AB1286&gt;0,Ruimtestaat[[#This Row],[Prest. (m2 /jaar) weekend]]/Ruimtestaat[[#This Row],[Norm (m2/uur) weekend]],0)</f>
        <v>0</v>
      </c>
      <c r="AD1286" s="91">
        <f>Ruimtestaat[[#This Row],[uren / jaar weekend]]*Tariefsopbouw!$D$40</f>
        <v>0</v>
      </c>
      <c r="AE1286" s="60">
        <f>Ruimtestaat[[#This Row],[Prest. (m2 /jaar) weekend]]+Ruimtestaat[[#This Row],[Prest. (m2 /jaar) werkdagen]]</f>
        <v>1752</v>
      </c>
      <c r="AF1286" s="60">
        <f>Ruimtestaat[[#This Row],[uren / jaar weekend]]+Ruimtestaat[[#This Row],[uren / jaar werkdagen]]</f>
        <v>0</v>
      </c>
      <c r="AG1286" s="61">
        <f>Ruimtestaat[[#This Row],[kosten / jaar weekend]]+Ruimtestaat[[#This Row],[kosten / jaar werkdagen]]</f>
        <v>0</v>
      </c>
      <c r="AH1286" s="92"/>
      <c r="HL1286" s="59"/>
    </row>
    <row r="1287" spans="1:220">
      <c r="A1287" s="24">
        <v>7</v>
      </c>
      <c r="B1287" s="24" t="str">
        <f>VLOOKUP(Ruimtestaat[[#This Row],[Code]],Locaties[#All],2,FALSE)</f>
        <v>Het Vlier</v>
      </c>
      <c r="C1287" s="24" t="str">
        <f>VLOOKUP(Ruimtestaat[[#This Row],[Code]],Locaties[#All],4,FALSE)</f>
        <v>Het Vlier 1</v>
      </c>
      <c r="D1287" s="24" t="str">
        <f>VLOOKUP(Ruimtestaat[[#This Row],[Code]],Locaties[#All],5,FALSE)</f>
        <v>7414 AR</v>
      </c>
      <c r="E1287" s="24" t="str">
        <f>VLOOKUP(Ruimtestaat[[#This Row],[Code]],Locaties[#All],6,FALSE)</f>
        <v>Deventer</v>
      </c>
      <c r="F1287" s="54"/>
      <c r="G1287" s="24" t="s">
        <v>367</v>
      </c>
      <c r="H1287" s="24" t="s">
        <v>1721</v>
      </c>
      <c r="I1287" s="4" t="s">
        <v>716</v>
      </c>
      <c r="J1287" s="24">
        <v>10</v>
      </c>
      <c r="K1287" s="54" t="str">
        <f>VLOOKUP(J1287,Ruimtegroepen[],2,FALSE)</f>
        <v>Trappenhuizen/lift</v>
      </c>
      <c r="L1287" s="24" t="s">
        <v>303</v>
      </c>
      <c r="M1287" s="24" t="s">
        <v>1722</v>
      </c>
      <c r="N1287" s="83">
        <v>26.38</v>
      </c>
      <c r="O1287" s="83"/>
      <c r="P1287" s="93" t="str">
        <f>LEFT(VLOOKUP(Ruimtestaat[[#This Row],[Ruimte code]],Ruimtegroepen[#All],4,1),2)</f>
        <v>Ve</v>
      </c>
      <c r="Q1287" s="93"/>
      <c r="R1287" s="84">
        <v>40</v>
      </c>
      <c r="S1287" s="84" t="s">
        <v>318</v>
      </c>
      <c r="T1287" s="85">
        <f>IF(R1287&gt;0,IF(RIGHT(Ruimtestaat[[#This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7" s="85">
        <f>IF(T1287&gt;0,VLOOKUP($J1287,Ruimtegroepen[],3,FALSE)*VLOOKUP($L1287,Vloersoorten[],3,FALSE)*VLOOKUP($S1287,Frequenties[],3,FALSE)*VLOOKUP($A1287,Locaties[],3,FALSE),0)</f>
        <v>0</v>
      </c>
      <c r="V1287" s="86">
        <f>Ruimtestaat[[#This Row],[Uitvoeringen werkdagen]]*Ruimtestaat[[#This Row],[Oppervlak (netto)]]</f>
        <v>5276</v>
      </c>
      <c r="W1287" s="87">
        <f>IF(U1287&gt;0,Ruimtestaat[[#This Row],[Prest. (m2 /jaar) werkdagen]]/Ruimtestaat[[#This Row],[Norm (m2/uur) werkdagen]],0)</f>
        <v>0</v>
      </c>
      <c r="X1287" s="88">
        <f>Ruimtestaat[[#This Row],[uren / jaar werkdagen]]*Tariefsopbouw!$E$35</f>
        <v>0</v>
      </c>
      <c r="Y1287" s="85"/>
      <c r="Z1287" s="89">
        <f>IF(Ruimtestaat[[#This Row],[Frequentie weekend]]&gt;0,VALUE(LEFT(Y1287,1))*R1287,0)</f>
        <v>0</v>
      </c>
      <c r="AA1287" s="85">
        <f>IF($Z1287&gt;0,VLOOKUP($J1287,Ruimtegroepen[],3,FALSE)*VLOOKUP($L1287,Vloersoorten[],3,FALSE)*VLOOKUP($Y1287,Frequenties[],3,FALSE)*VLOOKUP(#REF!,Locaties[],3,FALSE),0)</f>
        <v>0</v>
      </c>
      <c r="AB1287" s="87">
        <f>Ruimtestaat[[#This Row],[Uitvoeringen weekend]]*Ruimtestaat[[#This Row],[Oppervlak (netto)]]</f>
        <v>0</v>
      </c>
      <c r="AC1287" s="90">
        <f>IF(AB1287&gt;0,Ruimtestaat[[#This Row],[Prest. (m2 /jaar) weekend]]/Ruimtestaat[[#This Row],[Norm (m2/uur) weekend]],0)</f>
        <v>0</v>
      </c>
      <c r="AD1287" s="91">
        <f>Ruimtestaat[[#This Row],[uren / jaar weekend]]*Tariefsopbouw!$D$40</f>
        <v>0</v>
      </c>
      <c r="AE1287" s="60">
        <f>Ruimtestaat[[#This Row],[Prest. (m2 /jaar) weekend]]+Ruimtestaat[[#This Row],[Prest. (m2 /jaar) werkdagen]]</f>
        <v>5276</v>
      </c>
      <c r="AF1287" s="60">
        <f>Ruimtestaat[[#This Row],[uren / jaar weekend]]+Ruimtestaat[[#This Row],[uren / jaar werkdagen]]</f>
        <v>0</v>
      </c>
      <c r="AG1287" s="61">
        <f>Ruimtestaat[[#This Row],[kosten / jaar weekend]]+Ruimtestaat[[#This Row],[kosten / jaar werkdagen]]</f>
        <v>0</v>
      </c>
      <c r="AH1287" s="92"/>
      <c r="HL1287" s="59"/>
    </row>
    <row r="1288" spans="1:220">
      <c r="A1288" s="24">
        <v>7</v>
      </c>
      <c r="B1288" s="24" t="str">
        <f>VLOOKUP(Ruimtestaat[[#This Row],[Code]],Locaties[#All],2,FALSE)</f>
        <v>Het Vlier</v>
      </c>
      <c r="C1288" s="24" t="str">
        <f>VLOOKUP(Ruimtestaat[[#This Row],[Code]],Locaties[#All],4,FALSE)</f>
        <v>Het Vlier 1</v>
      </c>
      <c r="D1288" s="24" t="str">
        <f>VLOOKUP(Ruimtestaat[[#This Row],[Code]],Locaties[#All],5,FALSE)</f>
        <v>7414 AR</v>
      </c>
      <c r="E1288" s="24" t="str">
        <f>VLOOKUP(Ruimtestaat[[#This Row],[Code]],Locaties[#All],6,FALSE)</f>
        <v>Deventer</v>
      </c>
      <c r="F1288" s="54"/>
      <c r="G1288" s="24" t="s">
        <v>367</v>
      </c>
      <c r="H1288" s="24" t="s">
        <v>1723</v>
      </c>
      <c r="I1288" s="4" t="s">
        <v>375</v>
      </c>
      <c r="J1288" s="24">
        <v>22</v>
      </c>
      <c r="K1288" s="54" t="str">
        <f>VLOOKUP(J1288,Ruimtegroepen[],2,FALSE)</f>
        <v>Niet in onderhoud</v>
      </c>
      <c r="M1288" s="24"/>
      <c r="N1288" s="83"/>
      <c r="O1288" s="83">
        <v>8.24</v>
      </c>
      <c r="P1288" s="93" t="str">
        <f>LEFT(VLOOKUP(Ruimtestaat[[#This Row],[Ruimte code]],Ruimtegroepen[#All],4,1),2)</f>
        <v/>
      </c>
      <c r="Q1288" s="93"/>
      <c r="R1288" s="84"/>
      <c r="S1288" s="84"/>
      <c r="T1288" s="85">
        <f>IF(R1288&gt;0,IF(RIGHT(Ruimtestaat[[#This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88" s="85">
        <f>IF(T1288&gt;0,VLOOKUP($J1288,Ruimtegroepen[],3,FALSE)*VLOOKUP($L1288,Vloersoorten[],3,FALSE)*VLOOKUP($S1288,Frequenties[],3,FALSE)*VLOOKUP($A1288,Locaties[],3,FALSE),0)</f>
        <v>0</v>
      </c>
      <c r="V1288" s="86">
        <f>Ruimtestaat[[#This Row],[Uitvoeringen werkdagen]]*Ruimtestaat[[#This Row],[Oppervlak (netto)]]</f>
        <v>0</v>
      </c>
      <c r="W1288" s="87">
        <f>IF(U1288&gt;0,Ruimtestaat[[#This Row],[Prest. (m2 /jaar) werkdagen]]/Ruimtestaat[[#This Row],[Norm (m2/uur) werkdagen]],0)</f>
        <v>0</v>
      </c>
      <c r="X1288" s="88">
        <f>Ruimtestaat[[#This Row],[uren / jaar werkdagen]]*Tariefsopbouw!$E$35</f>
        <v>0</v>
      </c>
      <c r="Y1288" s="85"/>
      <c r="Z1288" s="89">
        <f>IF(Ruimtestaat[[#This Row],[Frequentie weekend]]&gt;0,VALUE(LEFT(Y1288,1))*R1288,0)</f>
        <v>0</v>
      </c>
      <c r="AA1288" s="85">
        <f>IF($Z1288&gt;0,VLOOKUP($J1288,Ruimtegroepen[],3,FALSE)*VLOOKUP($L1288,Vloersoorten[],3,FALSE)*VLOOKUP($Y1288,Frequenties[],3,FALSE)*VLOOKUP(#REF!,Locaties[],3,FALSE),0)</f>
        <v>0</v>
      </c>
      <c r="AB1288" s="87">
        <f>Ruimtestaat[[#This Row],[Uitvoeringen weekend]]*Ruimtestaat[[#This Row],[Oppervlak (netto)]]</f>
        <v>0</v>
      </c>
      <c r="AC1288" s="90">
        <f>IF(AB1288&gt;0,Ruimtestaat[[#This Row],[Prest. (m2 /jaar) weekend]]/Ruimtestaat[[#This Row],[Norm (m2/uur) weekend]],0)</f>
        <v>0</v>
      </c>
      <c r="AD1288" s="91">
        <f>Ruimtestaat[[#This Row],[uren / jaar weekend]]*Tariefsopbouw!$D$40</f>
        <v>0</v>
      </c>
      <c r="AE1288" s="60">
        <f>Ruimtestaat[[#This Row],[Prest. (m2 /jaar) weekend]]+Ruimtestaat[[#This Row],[Prest. (m2 /jaar) werkdagen]]</f>
        <v>0</v>
      </c>
      <c r="AF1288" s="60">
        <f>Ruimtestaat[[#This Row],[uren / jaar weekend]]+Ruimtestaat[[#This Row],[uren / jaar werkdagen]]</f>
        <v>0</v>
      </c>
      <c r="AG1288" s="61">
        <f>Ruimtestaat[[#This Row],[kosten / jaar weekend]]+Ruimtestaat[[#This Row],[kosten / jaar werkdagen]]</f>
        <v>0</v>
      </c>
      <c r="AH1288" s="92"/>
      <c r="HL1288" s="59"/>
    </row>
    <row r="1289" spans="1:220">
      <c r="A1289" s="24">
        <v>7</v>
      </c>
      <c r="B1289" s="24" t="str">
        <f>VLOOKUP(Ruimtestaat[[#This Row],[Code]],Locaties[#All],2,FALSE)</f>
        <v>Het Vlier</v>
      </c>
      <c r="C1289" s="24" t="str">
        <f>VLOOKUP(Ruimtestaat[[#This Row],[Code]],Locaties[#All],4,FALSE)</f>
        <v>Het Vlier 1</v>
      </c>
      <c r="D1289" s="24" t="str">
        <f>VLOOKUP(Ruimtestaat[[#This Row],[Code]],Locaties[#All],5,FALSE)</f>
        <v>7414 AR</v>
      </c>
      <c r="E1289" s="24" t="str">
        <f>VLOOKUP(Ruimtestaat[[#This Row],[Code]],Locaties[#All],6,FALSE)</f>
        <v>Deventer</v>
      </c>
      <c r="F1289" s="54"/>
      <c r="G1289" s="24" t="s">
        <v>512</v>
      </c>
      <c r="H1289" s="24" t="s">
        <v>1723</v>
      </c>
      <c r="I1289" s="4" t="s">
        <v>1702</v>
      </c>
      <c r="J1289" s="24">
        <v>10</v>
      </c>
      <c r="K1289" s="54" t="str">
        <f>VLOOKUP(J1289,Ruimtegroepen[],2,FALSE)</f>
        <v>Trappenhuizen/lift</v>
      </c>
      <c r="L1289" s="24" t="s">
        <v>305</v>
      </c>
      <c r="M1289" s="24" t="s">
        <v>400</v>
      </c>
      <c r="N1289" s="83">
        <v>36.69</v>
      </c>
      <c r="O1289" s="83"/>
      <c r="P1289" s="93" t="str">
        <f>LEFT(VLOOKUP(Ruimtestaat[[#This Row],[Ruimte code]],Ruimtegroepen[#All],4,1),2)</f>
        <v>Ve</v>
      </c>
      <c r="Q1289" s="93"/>
      <c r="R1289" s="84">
        <v>40</v>
      </c>
      <c r="S1289" s="84" t="s">
        <v>318</v>
      </c>
      <c r="T1289" s="85">
        <f>IF(R1289&gt;0,IF(RIGHT(Ruimtestaat[[#This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9" s="85">
        <f>IF(T1289&gt;0,VLOOKUP($J1289,Ruimtegroepen[],3,FALSE)*VLOOKUP($L1289,Vloersoorten[],3,FALSE)*VLOOKUP($S1289,Frequenties[],3,FALSE)*VLOOKUP($A1289,Locaties[],3,FALSE),0)</f>
        <v>0</v>
      </c>
      <c r="V1289" s="86">
        <f>Ruimtestaat[[#This Row],[Uitvoeringen werkdagen]]*Ruimtestaat[[#This Row],[Oppervlak (netto)]]</f>
        <v>7338</v>
      </c>
      <c r="W1289" s="87">
        <f>IF(U1289&gt;0,Ruimtestaat[[#This Row],[Prest. (m2 /jaar) werkdagen]]/Ruimtestaat[[#This Row],[Norm (m2/uur) werkdagen]],0)</f>
        <v>0</v>
      </c>
      <c r="X1289" s="88">
        <f>Ruimtestaat[[#This Row],[uren / jaar werkdagen]]*Tariefsopbouw!$E$35</f>
        <v>0</v>
      </c>
      <c r="Y1289" s="85"/>
      <c r="Z1289" s="89">
        <f>IF(Ruimtestaat[[#This Row],[Frequentie weekend]]&gt;0,VALUE(LEFT(Y1289,1))*R1289,0)</f>
        <v>0</v>
      </c>
      <c r="AA1289" s="85">
        <f>IF($Z1289&gt;0,VLOOKUP($J1289,Ruimtegroepen[],3,FALSE)*VLOOKUP($L1289,Vloersoorten[],3,FALSE)*VLOOKUP($Y1289,Frequenties[],3,FALSE)*VLOOKUP(#REF!,Locaties[],3,FALSE),0)</f>
        <v>0</v>
      </c>
      <c r="AB1289" s="87">
        <f>Ruimtestaat[[#This Row],[Uitvoeringen weekend]]*Ruimtestaat[[#This Row],[Oppervlak (netto)]]</f>
        <v>0</v>
      </c>
      <c r="AC1289" s="90">
        <f>IF(AB1289&gt;0,Ruimtestaat[[#This Row],[Prest. (m2 /jaar) weekend]]/Ruimtestaat[[#This Row],[Norm (m2/uur) weekend]],0)</f>
        <v>0</v>
      </c>
      <c r="AD1289" s="91">
        <f>Ruimtestaat[[#This Row],[uren / jaar weekend]]*Tariefsopbouw!$D$40</f>
        <v>0</v>
      </c>
      <c r="AE1289" s="60">
        <f>Ruimtestaat[[#This Row],[Prest. (m2 /jaar) weekend]]+Ruimtestaat[[#This Row],[Prest. (m2 /jaar) werkdagen]]</f>
        <v>7338</v>
      </c>
      <c r="AF1289" s="60">
        <f>Ruimtestaat[[#This Row],[uren / jaar weekend]]+Ruimtestaat[[#This Row],[uren / jaar werkdagen]]</f>
        <v>0</v>
      </c>
      <c r="AG1289" s="61">
        <f>Ruimtestaat[[#This Row],[kosten / jaar weekend]]+Ruimtestaat[[#This Row],[kosten / jaar werkdagen]]</f>
        <v>0</v>
      </c>
      <c r="AH1289" s="92"/>
      <c r="HL1289" s="59"/>
    </row>
    <row r="1290" spans="1:220">
      <c r="A1290" s="24">
        <v>7</v>
      </c>
      <c r="B1290" s="24" t="str">
        <f>VLOOKUP(Ruimtestaat[[#This Row],[Code]],Locaties[#All],2,FALSE)</f>
        <v>Het Vlier</v>
      </c>
      <c r="C1290" s="24" t="str">
        <f>VLOOKUP(Ruimtestaat[[#This Row],[Code]],Locaties[#All],4,FALSE)</f>
        <v>Het Vlier 1</v>
      </c>
      <c r="D1290" s="24" t="str">
        <f>VLOOKUP(Ruimtestaat[[#This Row],[Code]],Locaties[#All],5,FALSE)</f>
        <v>7414 AR</v>
      </c>
      <c r="E1290" s="24" t="str">
        <f>VLOOKUP(Ruimtestaat[[#This Row],[Code]],Locaties[#All],6,FALSE)</f>
        <v>Deventer</v>
      </c>
      <c r="F1290" s="54"/>
      <c r="G1290" s="24" t="s">
        <v>569</v>
      </c>
      <c r="H1290" s="24" t="s">
        <v>1724</v>
      </c>
      <c r="I1290" s="4" t="s">
        <v>1702</v>
      </c>
      <c r="J1290" s="24">
        <v>10</v>
      </c>
      <c r="K1290" s="54" t="str">
        <f>VLOOKUP(J1290,Ruimtegroepen[],2,FALSE)</f>
        <v>Trappenhuizen/lift</v>
      </c>
      <c r="L1290" s="24" t="s">
        <v>305</v>
      </c>
      <c r="M1290" s="24" t="s">
        <v>400</v>
      </c>
      <c r="N1290" s="83">
        <v>35.9</v>
      </c>
      <c r="O1290" s="83"/>
      <c r="P1290" s="93" t="str">
        <f>LEFT(VLOOKUP(Ruimtestaat[[#This Row],[Ruimte code]],Ruimtegroepen[#All],4,1),2)</f>
        <v>Ve</v>
      </c>
      <c r="Q1290" s="93"/>
      <c r="R1290" s="84">
        <v>40</v>
      </c>
      <c r="S1290" s="84" t="s">
        <v>318</v>
      </c>
      <c r="T1290" s="85">
        <f>IF(R1290&gt;0,IF(RIGHT(Ruimtestaat[[#This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0" s="85">
        <f>IF(T1290&gt;0,VLOOKUP($J1290,Ruimtegroepen[],3,FALSE)*VLOOKUP($L1290,Vloersoorten[],3,FALSE)*VLOOKUP($S1290,Frequenties[],3,FALSE)*VLOOKUP($A1290,Locaties[],3,FALSE),0)</f>
        <v>0</v>
      </c>
      <c r="V1290" s="86">
        <f>Ruimtestaat[[#This Row],[Uitvoeringen werkdagen]]*Ruimtestaat[[#This Row],[Oppervlak (netto)]]</f>
        <v>7180</v>
      </c>
      <c r="W1290" s="87">
        <f>IF(U1290&gt;0,Ruimtestaat[[#This Row],[Prest. (m2 /jaar) werkdagen]]/Ruimtestaat[[#This Row],[Norm (m2/uur) werkdagen]],0)</f>
        <v>0</v>
      </c>
      <c r="X1290" s="88">
        <f>Ruimtestaat[[#This Row],[uren / jaar werkdagen]]*Tariefsopbouw!$E$35</f>
        <v>0</v>
      </c>
      <c r="Y1290" s="85"/>
      <c r="Z1290" s="89">
        <f>IF(Ruimtestaat[[#This Row],[Frequentie weekend]]&gt;0,VALUE(LEFT(Y1290,1))*R1290,0)</f>
        <v>0</v>
      </c>
      <c r="AA1290" s="85">
        <f>IF($Z1290&gt;0,VLOOKUP($J1290,Ruimtegroepen[],3,FALSE)*VLOOKUP($L1290,Vloersoorten[],3,FALSE)*VLOOKUP($Y1290,Frequenties[],3,FALSE)*VLOOKUP(#REF!,Locaties[],3,FALSE),0)</f>
        <v>0</v>
      </c>
      <c r="AB1290" s="87">
        <f>Ruimtestaat[[#This Row],[Uitvoeringen weekend]]*Ruimtestaat[[#This Row],[Oppervlak (netto)]]</f>
        <v>0</v>
      </c>
      <c r="AC1290" s="90">
        <f>IF(AB1290&gt;0,Ruimtestaat[[#This Row],[Prest. (m2 /jaar) weekend]]/Ruimtestaat[[#This Row],[Norm (m2/uur) weekend]],0)</f>
        <v>0</v>
      </c>
      <c r="AD1290" s="91">
        <f>Ruimtestaat[[#This Row],[uren / jaar weekend]]*Tariefsopbouw!$D$40</f>
        <v>0</v>
      </c>
      <c r="AE1290" s="60">
        <f>Ruimtestaat[[#This Row],[Prest. (m2 /jaar) weekend]]+Ruimtestaat[[#This Row],[Prest. (m2 /jaar) werkdagen]]</f>
        <v>7180</v>
      </c>
      <c r="AF1290" s="60">
        <f>Ruimtestaat[[#This Row],[uren / jaar weekend]]+Ruimtestaat[[#This Row],[uren / jaar werkdagen]]</f>
        <v>0</v>
      </c>
      <c r="AG1290" s="61">
        <f>Ruimtestaat[[#This Row],[kosten / jaar weekend]]+Ruimtestaat[[#This Row],[kosten / jaar werkdagen]]</f>
        <v>0</v>
      </c>
      <c r="AH1290" s="92"/>
      <c r="HL1290" s="59"/>
    </row>
    <row r="1291" spans="1:220">
      <c r="A1291" s="24">
        <v>7</v>
      </c>
      <c r="B1291" s="24" t="str">
        <f>VLOOKUP(Ruimtestaat[[#This Row],[Code]],Locaties[#All],2,FALSE)</f>
        <v>Het Vlier</v>
      </c>
      <c r="C1291" s="24" t="str">
        <f>VLOOKUP(Ruimtestaat[[#This Row],[Code]],Locaties[#All],4,FALSE)</f>
        <v>Het Vlier 1</v>
      </c>
      <c r="D1291" s="24" t="str">
        <f>VLOOKUP(Ruimtestaat[[#This Row],[Code]],Locaties[#All],5,FALSE)</f>
        <v>7414 AR</v>
      </c>
      <c r="E1291" s="24" t="str">
        <f>VLOOKUP(Ruimtestaat[[#This Row],[Code]],Locaties[#All],6,FALSE)</f>
        <v>Deventer</v>
      </c>
      <c r="F1291" s="54"/>
      <c r="G1291" s="24" t="s">
        <v>599</v>
      </c>
      <c r="H1291" s="24" t="s">
        <v>1725</v>
      </c>
      <c r="I1291" s="4" t="s">
        <v>716</v>
      </c>
      <c r="J1291" s="24">
        <v>10</v>
      </c>
      <c r="K1291" s="54" t="str">
        <f>VLOOKUP(J1291,Ruimtegroepen[],2,FALSE)</f>
        <v>Trappenhuizen/lift</v>
      </c>
      <c r="L1291" s="24" t="s">
        <v>305</v>
      </c>
      <c r="M1291" s="24" t="s">
        <v>400</v>
      </c>
      <c r="N1291" s="83">
        <v>36.19</v>
      </c>
      <c r="O1291" s="83"/>
      <c r="P1291" s="93" t="str">
        <f>LEFT(VLOOKUP(Ruimtestaat[[#This Row],[Ruimte code]],Ruimtegroepen[#All],4,1),2)</f>
        <v>Ve</v>
      </c>
      <c r="Q1291" s="93"/>
      <c r="R1291" s="84">
        <v>40</v>
      </c>
      <c r="S1291" s="84" t="s">
        <v>318</v>
      </c>
      <c r="T1291" s="85">
        <f>IF(R1291&gt;0,IF(RIGHT(Ruimtestaat[[#This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1" s="85">
        <f>IF(T1291&gt;0,VLOOKUP($J1291,Ruimtegroepen[],3,FALSE)*VLOOKUP($L1291,Vloersoorten[],3,FALSE)*VLOOKUP($S1291,Frequenties[],3,FALSE)*VLOOKUP($A1291,Locaties[],3,FALSE),0)</f>
        <v>0</v>
      </c>
      <c r="V1291" s="86">
        <f>Ruimtestaat[[#This Row],[Uitvoeringen werkdagen]]*Ruimtestaat[[#This Row],[Oppervlak (netto)]]</f>
        <v>7238</v>
      </c>
      <c r="W1291" s="87">
        <f>IF(U1291&gt;0,Ruimtestaat[[#This Row],[Prest. (m2 /jaar) werkdagen]]/Ruimtestaat[[#This Row],[Norm (m2/uur) werkdagen]],0)</f>
        <v>0</v>
      </c>
      <c r="X1291" s="88">
        <f>Ruimtestaat[[#This Row],[uren / jaar werkdagen]]*Tariefsopbouw!$E$35</f>
        <v>0</v>
      </c>
      <c r="Y1291" s="85"/>
      <c r="Z1291" s="89">
        <f>IF(Ruimtestaat[[#This Row],[Frequentie weekend]]&gt;0,VALUE(LEFT(Y1291,1))*R1291,0)</f>
        <v>0</v>
      </c>
      <c r="AA1291" s="85">
        <f>IF($Z1291&gt;0,VLOOKUP($J1291,Ruimtegroepen[],3,FALSE)*VLOOKUP($L1291,Vloersoorten[],3,FALSE)*VLOOKUP($Y1291,Frequenties[],3,FALSE)*VLOOKUP(#REF!,Locaties[],3,FALSE),0)</f>
        <v>0</v>
      </c>
      <c r="AB1291" s="87">
        <f>Ruimtestaat[[#This Row],[Uitvoeringen weekend]]*Ruimtestaat[[#This Row],[Oppervlak (netto)]]</f>
        <v>0</v>
      </c>
      <c r="AC1291" s="90">
        <f>IF(AB1291&gt;0,Ruimtestaat[[#This Row],[Prest. (m2 /jaar) weekend]]/Ruimtestaat[[#This Row],[Norm (m2/uur) weekend]],0)</f>
        <v>0</v>
      </c>
      <c r="AD1291" s="91">
        <f>Ruimtestaat[[#This Row],[uren / jaar weekend]]*Tariefsopbouw!$D$40</f>
        <v>0</v>
      </c>
      <c r="AE1291" s="60">
        <f>Ruimtestaat[[#This Row],[Prest. (m2 /jaar) weekend]]+Ruimtestaat[[#This Row],[Prest. (m2 /jaar) werkdagen]]</f>
        <v>7238</v>
      </c>
      <c r="AF1291" s="60">
        <f>Ruimtestaat[[#This Row],[uren / jaar weekend]]+Ruimtestaat[[#This Row],[uren / jaar werkdagen]]</f>
        <v>0</v>
      </c>
      <c r="AG1291" s="61">
        <f>Ruimtestaat[[#This Row],[kosten / jaar weekend]]+Ruimtestaat[[#This Row],[kosten / jaar werkdagen]]</f>
        <v>0</v>
      </c>
      <c r="AH1291" s="92"/>
      <c r="HL1291" s="59"/>
    </row>
    <row r="1292" spans="1:220">
      <c r="A1292" s="24">
        <v>7</v>
      </c>
      <c r="B1292" s="24" t="str">
        <f>VLOOKUP(Ruimtestaat[[#This Row],[Code]],Locaties[#All],2,FALSE)</f>
        <v>Het Vlier</v>
      </c>
      <c r="C1292" s="24" t="str">
        <f>VLOOKUP(Ruimtestaat[[#This Row],[Code]],Locaties[#All],4,FALSE)</f>
        <v>Het Vlier 1</v>
      </c>
      <c r="D1292" s="24" t="str">
        <f>VLOOKUP(Ruimtestaat[[#This Row],[Code]],Locaties[#All],5,FALSE)</f>
        <v>7414 AR</v>
      </c>
      <c r="E1292" s="24" t="str">
        <f>VLOOKUP(Ruimtestaat[[#This Row],[Code]],Locaties[#All],6,FALSE)</f>
        <v>Deventer</v>
      </c>
      <c r="F1292" s="54"/>
      <c r="G1292" s="24" t="s">
        <v>367</v>
      </c>
      <c r="H1292" s="24" t="s">
        <v>1726</v>
      </c>
      <c r="I1292" s="4" t="s">
        <v>716</v>
      </c>
      <c r="J1292" s="24">
        <v>10</v>
      </c>
      <c r="K1292" s="54" t="str">
        <f>VLOOKUP(J1292,Ruimtegroepen[],2,FALSE)</f>
        <v>Trappenhuizen/lift</v>
      </c>
      <c r="L1292" s="24" t="s">
        <v>303</v>
      </c>
      <c r="M1292" s="24" t="s">
        <v>1722</v>
      </c>
      <c r="N1292" s="83">
        <v>26.38</v>
      </c>
      <c r="O1292" s="83"/>
      <c r="P1292" s="93" t="str">
        <f>LEFT(VLOOKUP(Ruimtestaat[[#This Row],[Ruimte code]],Ruimtegroepen[#All],4,1),2)</f>
        <v>Ve</v>
      </c>
      <c r="Q1292" s="93"/>
      <c r="R1292" s="84">
        <v>40</v>
      </c>
      <c r="S1292" s="84" t="s">
        <v>318</v>
      </c>
      <c r="T1292" s="85">
        <f>IF(R1292&gt;0,IF(RIGHT(Ruimtestaat[[#This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2" s="85">
        <f>IF(T1292&gt;0,VLOOKUP($J1292,Ruimtegroepen[],3,FALSE)*VLOOKUP($L1292,Vloersoorten[],3,FALSE)*VLOOKUP($S1292,Frequenties[],3,FALSE)*VLOOKUP($A1292,Locaties[],3,FALSE),0)</f>
        <v>0</v>
      </c>
      <c r="V1292" s="86">
        <f>Ruimtestaat[[#This Row],[Uitvoeringen werkdagen]]*Ruimtestaat[[#This Row],[Oppervlak (netto)]]</f>
        <v>5276</v>
      </c>
      <c r="W1292" s="87">
        <f>IF(U1292&gt;0,Ruimtestaat[[#This Row],[Prest. (m2 /jaar) werkdagen]]/Ruimtestaat[[#This Row],[Norm (m2/uur) werkdagen]],0)</f>
        <v>0</v>
      </c>
      <c r="X1292" s="88">
        <f>Ruimtestaat[[#This Row],[uren / jaar werkdagen]]*Tariefsopbouw!$E$35</f>
        <v>0</v>
      </c>
      <c r="Y1292" s="85"/>
      <c r="Z1292" s="89">
        <f>IF(Ruimtestaat[[#This Row],[Frequentie weekend]]&gt;0,VALUE(LEFT(Y1292,1))*R1292,0)</f>
        <v>0</v>
      </c>
      <c r="AA1292" s="85">
        <f>IF($Z1292&gt;0,VLOOKUP($J1292,Ruimtegroepen[],3,FALSE)*VLOOKUP($L1292,Vloersoorten[],3,FALSE)*VLOOKUP($Y1292,Frequenties[],3,FALSE)*VLOOKUP(#REF!,Locaties[],3,FALSE),0)</f>
        <v>0</v>
      </c>
      <c r="AB1292" s="87">
        <f>Ruimtestaat[[#This Row],[Uitvoeringen weekend]]*Ruimtestaat[[#This Row],[Oppervlak (netto)]]</f>
        <v>0</v>
      </c>
      <c r="AC1292" s="90">
        <f>IF(AB1292&gt;0,Ruimtestaat[[#This Row],[Prest. (m2 /jaar) weekend]]/Ruimtestaat[[#This Row],[Norm (m2/uur) weekend]],0)</f>
        <v>0</v>
      </c>
      <c r="AD1292" s="91">
        <f>Ruimtestaat[[#This Row],[uren / jaar weekend]]*Tariefsopbouw!$D$40</f>
        <v>0</v>
      </c>
      <c r="AE1292" s="60">
        <f>Ruimtestaat[[#This Row],[Prest. (m2 /jaar) weekend]]+Ruimtestaat[[#This Row],[Prest. (m2 /jaar) werkdagen]]</f>
        <v>5276</v>
      </c>
      <c r="AF1292" s="60">
        <f>Ruimtestaat[[#This Row],[uren / jaar weekend]]+Ruimtestaat[[#This Row],[uren / jaar werkdagen]]</f>
        <v>0</v>
      </c>
      <c r="AG1292" s="61">
        <f>Ruimtestaat[[#This Row],[kosten / jaar weekend]]+Ruimtestaat[[#This Row],[kosten / jaar werkdagen]]</f>
        <v>0</v>
      </c>
      <c r="AH1292" s="92"/>
      <c r="HL1292" s="59"/>
    </row>
    <row r="1293" spans="1:220">
      <c r="A1293" s="24">
        <v>7</v>
      </c>
      <c r="B1293" s="24" t="str">
        <f>VLOOKUP(Ruimtestaat[[#This Row],[Code]],Locaties[#All],2,FALSE)</f>
        <v>Het Vlier</v>
      </c>
      <c r="C1293" s="24" t="str">
        <f>VLOOKUP(Ruimtestaat[[#This Row],[Code]],Locaties[#All],4,FALSE)</f>
        <v>Het Vlier 1</v>
      </c>
      <c r="D1293" s="24" t="str">
        <f>VLOOKUP(Ruimtestaat[[#This Row],[Code]],Locaties[#All],5,FALSE)</f>
        <v>7414 AR</v>
      </c>
      <c r="E1293" s="24" t="str">
        <f>VLOOKUP(Ruimtestaat[[#This Row],[Code]],Locaties[#All],6,FALSE)</f>
        <v>Deventer</v>
      </c>
      <c r="F1293" s="54"/>
      <c r="G1293" s="24" t="s">
        <v>367</v>
      </c>
      <c r="H1293" s="24" t="s">
        <v>1727</v>
      </c>
      <c r="I1293" s="4" t="s">
        <v>375</v>
      </c>
      <c r="J1293" s="24">
        <v>22</v>
      </c>
      <c r="K1293" s="54" t="str">
        <f>VLOOKUP(J1293,Ruimtegroepen[],2,FALSE)</f>
        <v>Niet in onderhoud</v>
      </c>
      <c r="M1293" s="24"/>
      <c r="N1293" s="83"/>
      <c r="O1293" s="83">
        <v>8.7899999999999991</v>
      </c>
      <c r="P1293" s="93" t="str">
        <f>LEFT(VLOOKUP(Ruimtestaat[[#This Row],[Ruimte code]],Ruimtegroepen[#All],4,1),2)</f>
        <v/>
      </c>
      <c r="Q1293" s="93"/>
      <c r="R1293" s="84"/>
      <c r="S1293" s="84"/>
      <c r="T1293" s="85">
        <f>IF(R1293&gt;0,IF(RIGHT(Ruimtestaat[[#This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93" s="85">
        <f>IF(T1293&gt;0,VLOOKUP($J1293,Ruimtegroepen[],3,FALSE)*VLOOKUP($L1293,Vloersoorten[],3,FALSE)*VLOOKUP($S1293,Frequenties[],3,FALSE)*VLOOKUP($A1293,Locaties[],3,FALSE),0)</f>
        <v>0</v>
      </c>
      <c r="V1293" s="86">
        <f>Ruimtestaat[[#This Row],[Uitvoeringen werkdagen]]*Ruimtestaat[[#This Row],[Oppervlak (netto)]]</f>
        <v>0</v>
      </c>
      <c r="W1293" s="87">
        <f>IF(U1293&gt;0,Ruimtestaat[[#This Row],[Prest. (m2 /jaar) werkdagen]]/Ruimtestaat[[#This Row],[Norm (m2/uur) werkdagen]],0)</f>
        <v>0</v>
      </c>
      <c r="X1293" s="88">
        <f>Ruimtestaat[[#This Row],[uren / jaar werkdagen]]*Tariefsopbouw!$E$35</f>
        <v>0</v>
      </c>
      <c r="Y1293" s="85"/>
      <c r="Z1293" s="89">
        <f>IF(Ruimtestaat[[#This Row],[Frequentie weekend]]&gt;0,VALUE(LEFT(Y1293,1))*R1293,0)</f>
        <v>0</v>
      </c>
      <c r="AA1293" s="85">
        <f>IF($Z1293&gt;0,VLOOKUP($J1293,Ruimtegroepen[],3,FALSE)*VLOOKUP($L1293,Vloersoorten[],3,FALSE)*VLOOKUP($Y1293,Frequenties[],3,FALSE)*VLOOKUP(#REF!,Locaties[],3,FALSE),0)</f>
        <v>0</v>
      </c>
      <c r="AB1293" s="87">
        <f>Ruimtestaat[[#This Row],[Uitvoeringen weekend]]*Ruimtestaat[[#This Row],[Oppervlak (netto)]]</f>
        <v>0</v>
      </c>
      <c r="AC1293" s="90">
        <f>IF(AB1293&gt;0,Ruimtestaat[[#This Row],[Prest. (m2 /jaar) weekend]]/Ruimtestaat[[#This Row],[Norm (m2/uur) weekend]],0)</f>
        <v>0</v>
      </c>
      <c r="AD1293" s="91">
        <f>Ruimtestaat[[#This Row],[uren / jaar weekend]]*Tariefsopbouw!$D$40</f>
        <v>0</v>
      </c>
      <c r="AE1293" s="60">
        <f>Ruimtestaat[[#This Row],[Prest. (m2 /jaar) weekend]]+Ruimtestaat[[#This Row],[Prest. (m2 /jaar) werkdagen]]</f>
        <v>0</v>
      </c>
      <c r="AF1293" s="60">
        <f>Ruimtestaat[[#This Row],[uren / jaar weekend]]+Ruimtestaat[[#This Row],[uren / jaar werkdagen]]</f>
        <v>0</v>
      </c>
      <c r="AG1293" s="61">
        <f>Ruimtestaat[[#This Row],[kosten / jaar weekend]]+Ruimtestaat[[#This Row],[kosten / jaar werkdagen]]</f>
        <v>0</v>
      </c>
      <c r="AH1293" s="92"/>
      <c r="HL1293" s="59"/>
    </row>
    <row r="1294" spans="1:220">
      <c r="A1294" s="24">
        <v>7</v>
      </c>
      <c r="B1294" s="24" t="str">
        <f>VLOOKUP(Ruimtestaat[[#This Row],[Code]],Locaties[#All],2,FALSE)</f>
        <v>Het Vlier</v>
      </c>
      <c r="C1294" s="24" t="str">
        <f>VLOOKUP(Ruimtestaat[[#This Row],[Code]],Locaties[#All],4,FALSE)</f>
        <v>Het Vlier 1</v>
      </c>
      <c r="D1294" s="24" t="str">
        <f>VLOOKUP(Ruimtestaat[[#This Row],[Code]],Locaties[#All],5,FALSE)</f>
        <v>7414 AR</v>
      </c>
      <c r="E1294" s="24" t="str">
        <f>VLOOKUP(Ruimtestaat[[#This Row],[Code]],Locaties[#All],6,FALSE)</f>
        <v>Deventer</v>
      </c>
      <c r="F1294" s="54"/>
      <c r="G1294" s="24" t="s">
        <v>512</v>
      </c>
      <c r="H1294" s="24" t="s">
        <v>1727</v>
      </c>
      <c r="I1294" s="4" t="s">
        <v>1702</v>
      </c>
      <c r="J1294" s="24">
        <v>10</v>
      </c>
      <c r="K1294" s="54" t="str">
        <f>VLOOKUP(J1294,Ruimtegroepen[],2,FALSE)</f>
        <v>Trappenhuizen/lift</v>
      </c>
      <c r="L1294" s="24" t="s">
        <v>305</v>
      </c>
      <c r="M1294" s="24" t="s">
        <v>400</v>
      </c>
      <c r="N1294" s="83">
        <v>37.159999999999997</v>
      </c>
      <c r="O1294" s="83"/>
      <c r="P1294" s="93" t="str">
        <f>LEFT(VLOOKUP(Ruimtestaat[[#This Row],[Ruimte code]],Ruimtegroepen[#All],4,1),2)</f>
        <v>Ve</v>
      </c>
      <c r="Q1294" s="93"/>
      <c r="R1294" s="84">
        <v>40</v>
      </c>
      <c r="S1294" s="84" t="s">
        <v>318</v>
      </c>
      <c r="T1294" s="85">
        <f>IF(R1294&gt;0,IF(RIGHT(Ruimtestaat[[#This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4" s="85">
        <f>IF(T1294&gt;0,VLOOKUP($J1294,Ruimtegroepen[],3,FALSE)*VLOOKUP($L1294,Vloersoorten[],3,FALSE)*VLOOKUP($S1294,Frequenties[],3,FALSE)*VLOOKUP($A1294,Locaties[],3,FALSE),0)</f>
        <v>0</v>
      </c>
      <c r="V1294" s="86">
        <f>Ruimtestaat[[#This Row],[Uitvoeringen werkdagen]]*Ruimtestaat[[#This Row],[Oppervlak (netto)]]</f>
        <v>7431.9999999999991</v>
      </c>
      <c r="W1294" s="87">
        <f>IF(U1294&gt;0,Ruimtestaat[[#This Row],[Prest. (m2 /jaar) werkdagen]]/Ruimtestaat[[#This Row],[Norm (m2/uur) werkdagen]],0)</f>
        <v>0</v>
      </c>
      <c r="X1294" s="88">
        <f>Ruimtestaat[[#This Row],[uren / jaar werkdagen]]*Tariefsopbouw!$E$35</f>
        <v>0</v>
      </c>
      <c r="Y1294" s="85"/>
      <c r="Z1294" s="89">
        <f>IF(Ruimtestaat[[#This Row],[Frequentie weekend]]&gt;0,VALUE(LEFT(Y1294,1))*R1294,0)</f>
        <v>0</v>
      </c>
      <c r="AA1294" s="85">
        <f>IF($Z1294&gt;0,VLOOKUP($J1294,Ruimtegroepen[],3,FALSE)*VLOOKUP($L1294,Vloersoorten[],3,FALSE)*VLOOKUP($Y1294,Frequenties[],3,FALSE)*VLOOKUP(#REF!,Locaties[],3,FALSE),0)</f>
        <v>0</v>
      </c>
      <c r="AB1294" s="87">
        <f>Ruimtestaat[[#This Row],[Uitvoeringen weekend]]*Ruimtestaat[[#This Row],[Oppervlak (netto)]]</f>
        <v>0</v>
      </c>
      <c r="AC1294" s="90">
        <f>IF(AB1294&gt;0,Ruimtestaat[[#This Row],[Prest. (m2 /jaar) weekend]]/Ruimtestaat[[#This Row],[Norm (m2/uur) weekend]],0)</f>
        <v>0</v>
      </c>
      <c r="AD1294" s="91">
        <f>Ruimtestaat[[#This Row],[uren / jaar weekend]]*Tariefsopbouw!$D$40</f>
        <v>0</v>
      </c>
      <c r="AE1294" s="60">
        <f>Ruimtestaat[[#This Row],[Prest. (m2 /jaar) weekend]]+Ruimtestaat[[#This Row],[Prest. (m2 /jaar) werkdagen]]</f>
        <v>7431.9999999999991</v>
      </c>
      <c r="AF1294" s="60">
        <f>Ruimtestaat[[#This Row],[uren / jaar weekend]]+Ruimtestaat[[#This Row],[uren / jaar werkdagen]]</f>
        <v>0</v>
      </c>
      <c r="AG1294" s="61">
        <f>Ruimtestaat[[#This Row],[kosten / jaar weekend]]+Ruimtestaat[[#This Row],[kosten / jaar werkdagen]]</f>
        <v>0</v>
      </c>
      <c r="AH1294" s="92"/>
      <c r="HL1294" s="59"/>
    </row>
    <row r="1295" spans="1:220">
      <c r="A1295" s="24">
        <v>7</v>
      </c>
      <c r="B1295" s="24" t="str">
        <f>VLOOKUP(Ruimtestaat[[#This Row],[Code]],Locaties[#All],2,FALSE)</f>
        <v>Het Vlier</v>
      </c>
      <c r="C1295" s="24" t="str">
        <f>VLOOKUP(Ruimtestaat[[#This Row],[Code]],Locaties[#All],4,FALSE)</f>
        <v>Het Vlier 1</v>
      </c>
      <c r="D1295" s="24" t="str">
        <f>VLOOKUP(Ruimtestaat[[#This Row],[Code]],Locaties[#All],5,FALSE)</f>
        <v>7414 AR</v>
      </c>
      <c r="E1295" s="24" t="str">
        <f>VLOOKUP(Ruimtestaat[[#This Row],[Code]],Locaties[#All],6,FALSE)</f>
        <v>Deventer</v>
      </c>
      <c r="F1295" s="54"/>
      <c r="G1295" s="24" t="s">
        <v>569</v>
      </c>
      <c r="H1295" s="24" t="s">
        <v>1728</v>
      </c>
      <c r="I1295" s="4" t="s">
        <v>1702</v>
      </c>
      <c r="J1295" s="24">
        <v>10</v>
      </c>
      <c r="K1295" s="54" t="str">
        <f>VLOOKUP(J1295,Ruimtegroepen[],2,FALSE)</f>
        <v>Trappenhuizen/lift</v>
      </c>
      <c r="L1295" s="24" t="s">
        <v>305</v>
      </c>
      <c r="M1295" s="24" t="s">
        <v>400</v>
      </c>
      <c r="N1295" s="83">
        <v>38.950000000000003</v>
      </c>
      <c r="O1295" s="83"/>
      <c r="P1295" s="93" t="str">
        <f>LEFT(VLOOKUP(Ruimtestaat[[#This Row],[Ruimte code]],Ruimtegroepen[#All],4,1),2)</f>
        <v>Ve</v>
      </c>
      <c r="Q1295" s="93"/>
      <c r="R1295" s="84">
        <v>40</v>
      </c>
      <c r="S1295" s="84" t="s">
        <v>318</v>
      </c>
      <c r="T1295" s="85">
        <f>IF(R1295&gt;0,IF(RIGHT(Ruimtestaat[[#This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5" s="85">
        <f>IF(T1295&gt;0,VLOOKUP($J1295,Ruimtegroepen[],3,FALSE)*VLOOKUP($L1295,Vloersoorten[],3,FALSE)*VLOOKUP($S1295,Frequenties[],3,FALSE)*VLOOKUP($A1295,Locaties[],3,FALSE),0)</f>
        <v>0</v>
      </c>
      <c r="V1295" s="86">
        <f>Ruimtestaat[[#This Row],[Uitvoeringen werkdagen]]*Ruimtestaat[[#This Row],[Oppervlak (netto)]]</f>
        <v>7790.0000000000009</v>
      </c>
      <c r="W1295" s="87">
        <f>IF(U1295&gt;0,Ruimtestaat[[#This Row],[Prest. (m2 /jaar) werkdagen]]/Ruimtestaat[[#This Row],[Norm (m2/uur) werkdagen]],0)</f>
        <v>0</v>
      </c>
      <c r="X1295" s="88">
        <f>Ruimtestaat[[#This Row],[uren / jaar werkdagen]]*Tariefsopbouw!$E$35</f>
        <v>0</v>
      </c>
      <c r="Y1295" s="85"/>
      <c r="Z1295" s="89">
        <f>IF(Ruimtestaat[[#This Row],[Frequentie weekend]]&gt;0,VALUE(LEFT(Y1295,1))*R1295,0)</f>
        <v>0</v>
      </c>
      <c r="AA1295" s="85">
        <f>IF($Z1295&gt;0,VLOOKUP($J1295,Ruimtegroepen[],3,FALSE)*VLOOKUP($L1295,Vloersoorten[],3,FALSE)*VLOOKUP($Y1295,Frequenties[],3,FALSE)*VLOOKUP(#REF!,Locaties[],3,FALSE),0)</f>
        <v>0</v>
      </c>
      <c r="AB1295" s="87">
        <f>Ruimtestaat[[#This Row],[Uitvoeringen weekend]]*Ruimtestaat[[#This Row],[Oppervlak (netto)]]</f>
        <v>0</v>
      </c>
      <c r="AC1295" s="90">
        <f>IF(AB1295&gt;0,Ruimtestaat[[#This Row],[Prest. (m2 /jaar) weekend]]/Ruimtestaat[[#This Row],[Norm (m2/uur) weekend]],0)</f>
        <v>0</v>
      </c>
      <c r="AD1295" s="91">
        <f>Ruimtestaat[[#This Row],[uren / jaar weekend]]*Tariefsopbouw!$D$40</f>
        <v>0</v>
      </c>
      <c r="AE1295" s="60">
        <f>Ruimtestaat[[#This Row],[Prest. (m2 /jaar) weekend]]+Ruimtestaat[[#This Row],[Prest. (m2 /jaar) werkdagen]]</f>
        <v>7790.0000000000009</v>
      </c>
      <c r="AF1295" s="60">
        <f>Ruimtestaat[[#This Row],[uren / jaar weekend]]+Ruimtestaat[[#This Row],[uren / jaar werkdagen]]</f>
        <v>0</v>
      </c>
      <c r="AG1295" s="61">
        <f>Ruimtestaat[[#This Row],[kosten / jaar weekend]]+Ruimtestaat[[#This Row],[kosten / jaar werkdagen]]</f>
        <v>0</v>
      </c>
      <c r="AH1295" s="92"/>
      <c r="HL1295" s="59"/>
    </row>
    <row r="1296" spans="1:220">
      <c r="A1296" s="24">
        <v>7</v>
      </c>
      <c r="B1296" s="24" t="str">
        <f>VLOOKUP(Ruimtestaat[[#This Row],[Code]],Locaties[#All],2,FALSE)</f>
        <v>Het Vlier</v>
      </c>
      <c r="C1296" s="24" t="str">
        <f>VLOOKUP(Ruimtestaat[[#This Row],[Code]],Locaties[#All],4,FALSE)</f>
        <v>Het Vlier 1</v>
      </c>
      <c r="D1296" s="24" t="str">
        <f>VLOOKUP(Ruimtestaat[[#This Row],[Code]],Locaties[#All],5,FALSE)</f>
        <v>7414 AR</v>
      </c>
      <c r="E1296" s="24" t="str">
        <f>VLOOKUP(Ruimtestaat[[#This Row],[Code]],Locaties[#All],6,FALSE)</f>
        <v>Deventer</v>
      </c>
      <c r="F1296" s="54"/>
      <c r="G1296" s="24" t="s">
        <v>599</v>
      </c>
      <c r="H1296" s="24" t="s">
        <v>1729</v>
      </c>
      <c r="I1296" s="4" t="s">
        <v>716</v>
      </c>
      <c r="J1296" s="24">
        <v>10</v>
      </c>
      <c r="K1296" s="54" t="str">
        <f>VLOOKUP(J1296,Ruimtegroepen[],2,FALSE)</f>
        <v>Trappenhuizen/lift</v>
      </c>
      <c r="L1296" s="24" t="s">
        <v>305</v>
      </c>
      <c r="M1296" s="24" t="s">
        <v>400</v>
      </c>
      <c r="N1296" s="83">
        <v>38.880000000000003</v>
      </c>
      <c r="O1296" s="83"/>
      <c r="P1296" s="93" t="str">
        <f>LEFT(VLOOKUP(Ruimtestaat[[#This Row],[Ruimte code]],Ruimtegroepen[#All],4,1),2)</f>
        <v>Ve</v>
      </c>
      <c r="Q1296" s="93"/>
      <c r="R1296" s="84">
        <v>40</v>
      </c>
      <c r="S1296" s="84" t="s">
        <v>318</v>
      </c>
      <c r="T1296" s="85">
        <f>IF(R1296&gt;0,IF(RIGHT(Ruimtestaat[[#This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6" s="85">
        <f>IF(T1296&gt;0,VLOOKUP($J1296,Ruimtegroepen[],3,FALSE)*VLOOKUP($L1296,Vloersoorten[],3,FALSE)*VLOOKUP($S1296,Frequenties[],3,FALSE)*VLOOKUP($A1296,Locaties[],3,FALSE),0)</f>
        <v>0</v>
      </c>
      <c r="V1296" s="86">
        <f>Ruimtestaat[[#This Row],[Uitvoeringen werkdagen]]*Ruimtestaat[[#This Row],[Oppervlak (netto)]]</f>
        <v>7776.0000000000009</v>
      </c>
      <c r="W1296" s="87">
        <f>IF(U1296&gt;0,Ruimtestaat[[#This Row],[Prest. (m2 /jaar) werkdagen]]/Ruimtestaat[[#This Row],[Norm (m2/uur) werkdagen]],0)</f>
        <v>0</v>
      </c>
      <c r="X1296" s="88">
        <f>Ruimtestaat[[#This Row],[uren / jaar werkdagen]]*Tariefsopbouw!$E$35</f>
        <v>0</v>
      </c>
      <c r="Y1296" s="85"/>
      <c r="Z1296" s="89">
        <f>IF(Ruimtestaat[[#This Row],[Frequentie weekend]]&gt;0,VALUE(LEFT(Y1296,1))*R1296,0)</f>
        <v>0</v>
      </c>
      <c r="AA1296" s="85">
        <f>IF($Z1296&gt;0,VLOOKUP($J1296,Ruimtegroepen[],3,FALSE)*VLOOKUP($L1296,Vloersoorten[],3,FALSE)*VLOOKUP($Y1296,Frequenties[],3,FALSE)*VLOOKUP(#REF!,Locaties[],3,FALSE),0)</f>
        <v>0</v>
      </c>
      <c r="AB1296" s="87">
        <f>Ruimtestaat[[#This Row],[Uitvoeringen weekend]]*Ruimtestaat[[#This Row],[Oppervlak (netto)]]</f>
        <v>0</v>
      </c>
      <c r="AC1296" s="90">
        <f>IF(AB1296&gt;0,Ruimtestaat[[#This Row],[Prest. (m2 /jaar) weekend]]/Ruimtestaat[[#This Row],[Norm (m2/uur) weekend]],0)</f>
        <v>0</v>
      </c>
      <c r="AD1296" s="91">
        <f>Ruimtestaat[[#This Row],[uren / jaar weekend]]*Tariefsopbouw!$D$40</f>
        <v>0</v>
      </c>
      <c r="AE1296" s="60">
        <f>Ruimtestaat[[#This Row],[Prest. (m2 /jaar) weekend]]+Ruimtestaat[[#This Row],[Prest. (m2 /jaar) werkdagen]]</f>
        <v>7776.0000000000009</v>
      </c>
      <c r="AF1296" s="60">
        <f>Ruimtestaat[[#This Row],[uren / jaar weekend]]+Ruimtestaat[[#This Row],[uren / jaar werkdagen]]</f>
        <v>0</v>
      </c>
      <c r="AG1296" s="61">
        <f>Ruimtestaat[[#This Row],[kosten / jaar weekend]]+Ruimtestaat[[#This Row],[kosten / jaar werkdagen]]</f>
        <v>0</v>
      </c>
      <c r="AH1296" s="92"/>
      <c r="HL1296" s="59"/>
    </row>
    <row r="1297" spans="1:220">
      <c r="A1297" s="24">
        <v>7</v>
      </c>
      <c r="B1297" s="24" t="str">
        <f>VLOOKUP(Ruimtestaat[[#This Row],[Code]],Locaties[#All],2,FALSE)</f>
        <v>Het Vlier</v>
      </c>
      <c r="C1297" s="24" t="str">
        <f>VLOOKUP(Ruimtestaat[[#This Row],[Code]],Locaties[#All],4,FALSE)</f>
        <v>Het Vlier 1</v>
      </c>
      <c r="D1297" s="24" t="str">
        <f>VLOOKUP(Ruimtestaat[[#This Row],[Code]],Locaties[#All],5,FALSE)</f>
        <v>7414 AR</v>
      </c>
      <c r="E1297" s="24" t="str">
        <f>VLOOKUP(Ruimtestaat[[#This Row],[Code]],Locaties[#All],6,FALSE)</f>
        <v>Deventer</v>
      </c>
      <c r="F1297" s="54"/>
      <c r="G1297" s="24" t="s">
        <v>367</v>
      </c>
      <c r="H1297" s="24" t="s">
        <v>1730</v>
      </c>
      <c r="I1297" s="4" t="s">
        <v>716</v>
      </c>
      <c r="J1297" s="24">
        <v>10</v>
      </c>
      <c r="K1297" s="54" t="str">
        <f>VLOOKUP(J1297,Ruimtegroepen[],2,FALSE)</f>
        <v>Trappenhuizen/lift</v>
      </c>
      <c r="L1297" s="24" t="s">
        <v>303</v>
      </c>
      <c r="M1297" s="24" t="s">
        <v>1722</v>
      </c>
      <c r="N1297" s="83">
        <v>26.37</v>
      </c>
      <c r="O1297" s="83"/>
      <c r="P1297" s="93" t="str">
        <f>LEFT(VLOOKUP(Ruimtestaat[[#This Row],[Ruimte code]],Ruimtegroepen[#All],4,1),2)</f>
        <v>Ve</v>
      </c>
      <c r="Q1297" s="93"/>
      <c r="R1297" s="84">
        <v>40</v>
      </c>
      <c r="S1297" s="84" t="s">
        <v>318</v>
      </c>
      <c r="T1297" s="85">
        <f>IF(R1297&gt;0,IF(RIGHT(Ruimtestaat[[#This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7" s="85">
        <f>IF(T1297&gt;0,VLOOKUP($J1297,Ruimtegroepen[],3,FALSE)*VLOOKUP($L1297,Vloersoorten[],3,FALSE)*VLOOKUP($S1297,Frequenties[],3,FALSE)*VLOOKUP($A1297,Locaties[],3,FALSE),0)</f>
        <v>0</v>
      </c>
      <c r="V1297" s="86">
        <f>Ruimtestaat[[#This Row],[Uitvoeringen werkdagen]]*Ruimtestaat[[#This Row],[Oppervlak (netto)]]</f>
        <v>5274</v>
      </c>
      <c r="W1297" s="87">
        <f>IF(U1297&gt;0,Ruimtestaat[[#This Row],[Prest. (m2 /jaar) werkdagen]]/Ruimtestaat[[#This Row],[Norm (m2/uur) werkdagen]],0)</f>
        <v>0</v>
      </c>
      <c r="X1297" s="88">
        <f>Ruimtestaat[[#This Row],[uren / jaar werkdagen]]*Tariefsopbouw!$E$35</f>
        <v>0</v>
      </c>
      <c r="Y1297" s="85"/>
      <c r="Z1297" s="89">
        <f>IF(Ruimtestaat[[#This Row],[Frequentie weekend]]&gt;0,VALUE(LEFT(Y1297,1))*R1297,0)</f>
        <v>0</v>
      </c>
      <c r="AA1297" s="85">
        <f>IF($Z1297&gt;0,VLOOKUP($J1297,Ruimtegroepen[],3,FALSE)*VLOOKUP($L1297,Vloersoorten[],3,FALSE)*VLOOKUP($Y1297,Frequenties[],3,FALSE)*VLOOKUP(#REF!,Locaties[],3,FALSE),0)</f>
        <v>0</v>
      </c>
      <c r="AB1297" s="87">
        <f>Ruimtestaat[[#This Row],[Uitvoeringen weekend]]*Ruimtestaat[[#This Row],[Oppervlak (netto)]]</f>
        <v>0</v>
      </c>
      <c r="AC1297" s="90">
        <f>IF(AB1297&gt;0,Ruimtestaat[[#This Row],[Prest. (m2 /jaar) weekend]]/Ruimtestaat[[#This Row],[Norm (m2/uur) weekend]],0)</f>
        <v>0</v>
      </c>
      <c r="AD1297" s="91">
        <f>Ruimtestaat[[#This Row],[uren / jaar weekend]]*Tariefsopbouw!$D$40</f>
        <v>0</v>
      </c>
      <c r="AE1297" s="60">
        <f>Ruimtestaat[[#This Row],[Prest. (m2 /jaar) weekend]]+Ruimtestaat[[#This Row],[Prest. (m2 /jaar) werkdagen]]</f>
        <v>5274</v>
      </c>
      <c r="AF1297" s="60">
        <f>Ruimtestaat[[#This Row],[uren / jaar weekend]]+Ruimtestaat[[#This Row],[uren / jaar werkdagen]]</f>
        <v>0</v>
      </c>
      <c r="AG1297" s="61">
        <f>Ruimtestaat[[#This Row],[kosten / jaar weekend]]+Ruimtestaat[[#This Row],[kosten / jaar werkdagen]]</f>
        <v>0</v>
      </c>
      <c r="AH1297" s="92"/>
      <c r="HL1297" s="59"/>
    </row>
    <row r="1298" spans="1:220">
      <c r="A1298" s="24">
        <v>7</v>
      </c>
      <c r="B1298" s="24" t="str">
        <f>VLOOKUP(Ruimtestaat[[#This Row],[Code]],Locaties[#All],2,FALSE)</f>
        <v>Het Vlier</v>
      </c>
      <c r="C1298" s="24" t="str">
        <f>VLOOKUP(Ruimtestaat[[#This Row],[Code]],Locaties[#All],4,FALSE)</f>
        <v>Het Vlier 1</v>
      </c>
      <c r="D1298" s="24" t="str">
        <f>VLOOKUP(Ruimtestaat[[#This Row],[Code]],Locaties[#All],5,FALSE)</f>
        <v>7414 AR</v>
      </c>
      <c r="E1298" s="24" t="str">
        <f>VLOOKUP(Ruimtestaat[[#This Row],[Code]],Locaties[#All],6,FALSE)</f>
        <v>Deventer</v>
      </c>
      <c r="F1298" s="54"/>
      <c r="G1298" s="24" t="s">
        <v>367</v>
      </c>
      <c r="H1298" s="24" t="s">
        <v>1731</v>
      </c>
      <c r="I1298" s="4" t="s">
        <v>375</v>
      </c>
      <c r="J1298" s="24">
        <v>22</v>
      </c>
      <c r="K1298" s="54" t="str">
        <f>VLOOKUP(J1298,Ruimtegroepen[],2,FALSE)</f>
        <v>Niet in onderhoud</v>
      </c>
      <c r="M1298" s="24"/>
      <c r="N1298" s="83"/>
      <c r="O1298" s="83">
        <v>8.1199999999999992</v>
      </c>
      <c r="P1298" s="93" t="str">
        <f>LEFT(VLOOKUP(Ruimtestaat[[#This Row],[Ruimte code]],Ruimtegroepen[#All],4,1),2)</f>
        <v/>
      </c>
      <c r="Q1298" s="93"/>
      <c r="R1298" s="84"/>
      <c r="S1298" s="84"/>
      <c r="T1298" s="85">
        <f>IF(R1298&gt;0,IF(RIGHT(Ruimtestaat[[#This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98" s="85">
        <f>IF(T1298&gt;0,VLOOKUP($J1298,Ruimtegroepen[],3,FALSE)*VLOOKUP($L1298,Vloersoorten[],3,FALSE)*VLOOKUP($S1298,Frequenties[],3,FALSE)*VLOOKUP($A1298,Locaties[],3,FALSE),0)</f>
        <v>0</v>
      </c>
      <c r="V1298" s="86">
        <f>Ruimtestaat[[#This Row],[Uitvoeringen werkdagen]]*Ruimtestaat[[#This Row],[Oppervlak (netto)]]</f>
        <v>0</v>
      </c>
      <c r="W1298" s="87">
        <f>IF(U1298&gt;0,Ruimtestaat[[#This Row],[Prest. (m2 /jaar) werkdagen]]/Ruimtestaat[[#This Row],[Norm (m2/uur) werkdagen]],0)</f>
        <v>0</v>
      </c>
      <c r="X1298" s="88">
        <f>Ruimtestaat[[#This Row],[uren / jaar werkdagen]]*Tariefsopbouw!$E$35</f>
        <v>0</v>
      </c>
      <c r="Y1298" s="85"/>
      <c r="Z1298" s="89">
        <f>IF(Ruimtestaat[[#This Row],[Frequentie weekend]]&gt;0,VALUE(LEFT(Y1298,1))*R1298,0)</f>
        <v>0</v>
      </c>
      <c r="AA1298" s="85">
        <f>IF($Z1298&gt;0,VLOOKUP($J1298,Ruimtegroepen[],3,FALSE)*VLOOKUP($L1298,Vloersoorten[],3,FALSE)*VLOOKUP($Y1298,Frequenties[],3,FALSE)*VLOOKUP(#REF!,Locaties[],3,FALSE),0)</f>
        <v>0</v>
      </c>
      <c r="AB1298" s="87">
        <f>Ruimtestaat[[#This Row],[Uitvoeringen weekend]]*Ruimtestaat[[#This Row],[Oppervlak (netto)]]</f>
        <v>0</v>
      </c>
      <c r="AC1298" s="90">
        <f>IF(AB1298&gt;0,Ruimtestaat[[#This Row],[Prest. (m2 /jaar) weekend]]/Ruimtestaat[[#This Row],[Norm (m2/uur) weekend]],0)</f>
        <v>0</v>
      </c>
      <c r="AD1298" s="91">
        <f>Ruimtestaat[[#This Row],[uren / jaar weekend]]*Tariefsopbouw!$D$40</f>
        <v>0</v>
      </c>
      <c r="AE1298" s="60">
        <f>Ruimtestaat[[#This Row],[Prest. (m2 /jaar) weekend]]+Ruimtestaat[[#This Row],[Prest. (m2 /jaar) werkdagen]]</f>
        <v>0</v>
      </c>
      <c r="AF1298" s="60">
        <f>Ruimtestaat[[#This Row],[uren / jaar weekend]]+Ruimtestaat[[#This Row],[uren / jaar werkdagen]]</f>
        <v>0</v>
      </c>
      <c r="AG1298" s="61">
        <f>Ruimtestaat[[#This Row],[kosten / jaar weekend]]+Ruimtestaat[[#This Row],[kosten / jaar werkdagen]]</f>
        <v>0</v>
      </c>
      <c r="AH1298" s="92"/>
      <c r="HL1298" s="59"/>
    </row>
    <row r="1299" spans="1:220">
      <c r="A1299" s="24">
        <v>7</v>
      </c>
      <c r="B1299" s="24" t="str">
        <f>VLOOKUP(Ruimtestaat[[#This Row],[Code]],Locaties[#All],2,FALSE)</f>
        <v>Het Vlier</v>
      </c>
      <c r="C1299" s="24" t="str">
        <f>VLOOKUP(Ruimtestaat[[#This Row],[Code]],Locaties[#All],4,FALSE)</f>
        <v>Het Vlier 1</v>
      </c>
      <c r="D1299" s="24" t="str">
        <f>VLOOKUP(Ruimtestaat[[#This Row],[Code]],Locaties[#All],5,FALSE)</f>
        <v>7414 AR</v>
      </c>
      <c r="E1299" s="24" t="str">
        <f>VLOOKUP(Ruimtestaat[[#This Row],[Code]],Locaties[#All],6,FALSE)</f>
        <v>Deventer</v>
      </c>
      <c r="F1299" s="54"/>
      <c r="G1299" s="24" t="s">
        <v>512</v>
      </c>
      <c r="H1299" s="24" t="s">
        <v>1731</v>
      </c>
      <c r="I1299" s="4" t="s">
        <v>1702</v>
      </c>
      <c r="J1299" s="24">
        <v>10</v>
      </c>
      <c r="K1299" s="54" t="str">
        <f>VLOOKUP(J1299,Ruimtegroepen[],2,FALSE)</f>
        <v>Trappenhuizen/lift</v>
      </c>
      <c r="L1299" s="24" t="s">
        <v>305</v>
      </c>
      <c r="M1299" s="24" t="s">
        <v>400</v>
      </c>
      <c r="N1299" s="83">
        <v>32.770000000000003</v>
      </c>
      <c r="O1299" s="83"/>
      <c r="P1299" s="93" t="str">
        <f>LEFT(VLOOKUP(Ruimtestaat[[#This Row],[Ruimte code]],Ruimtegroepen[#All],4,1),2)</f>
        <v>Ve</v>
      </c>
      <c r="Q1299" s="93"/>
      <c r="R1299" s="84">
        <v>40</v>
      </c>
      <c r="S1299" s="84" t="s">
        <v>318</v>
      </c>
      <c r="T1299" s="85">
        <f>IF(R1299&gt;0,IF(RIGHT(Ruimtestaat[[#This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9" s="85">
        <f>IF(T1299&gt;0,VLOOKUP($J1299,Ruimtegroepen[],3,FALSE)*VLOOKUP($L1299,Vloersoorten[],3,FALSE)*VLOOKUP($S1299,Frequenties[],3,FALSE)*VLOOKUP($A1299,Locaties[],3,FALSE),0)</f>
        <v>0</v>
      </c>
      <c r="V1299" s="86">
        <f>Ruimtestaat[[#This Row],[Uitvoeringen werkdagen]]*Ruimtestaat[[#This Row],[Oppervlak (netto)]]</f>
        <v>6554.0000000000009</v>
      </c>
      <c r="W1299" s="87">
        <f>IF(U1299&gt;0,Ruimtestaat[[#This Row],[Prest. (m2 /jaar) werkdagen]]/Ruimtestaat[[#This Row],[Norm (m2/uur) werkdagen]],0)</f>
        <v>0</v>
      </c>
      <c r="X1299" s="88">
        <f>Ruimtestaat[[#This Row],[uren / jaar werkdagen]]*Tariefsopbouw!$E$35</f>
        <v>0</v>
      </c>
      <c r="Y1299" s="85"/>
      <c r="Z1299" s="89">
        <f>IF(Ruimtestaat[[#This Row],[Frequentie weekend]]&gt;0,VALUE(LEFT(Y1299,1))*R1299,0)</f>
        <v>0</v>
      </c>
      <c r="AA1299" s="85">
        <f>IF($Z1299&gt;0,VLOOKUP($J1299,Ruimtegroepen[],3,FALSE)*VLOOKUP($L1299,Vloersoorten[],3,FALSE)*VLOOKUP($Y1299,Frequenties[],3,FALSE)*VLOOKUP(#REF!,Locaties[],3,FALSE),0)</f>
        <v>0</v>
      </c>
      <c r="AB1299" s="87">
        <f>Ruimtestaat[[#This Row],[Uitvoeringen weekend]]*Ruimtestaat[[#This Row],[Oppervlak (netto)]]</f>
        <v>0</v>
      </c>
      <c r="AC1299" s="90">
        <f>IF(AB1299&gt;0,Ruimtestaat[[#This Row],[Prest. (m2 /jaar) weekend]]/Ruimtestaat[[#This Row],[Norm (m2/uur) weekend]],0)</f>
        <v>0</v>
      </c>
      <c r="AD1299" s="91">
        <f>Ruimtestaat[[#This Row],[uren / jaar weekend]]*Tariefsopbouw!$D$40</f>
        <v>0</v>
      </c>
      <c r="AE1299" s="60">
        <f>Ruimtestaat[[#This Row],[Prest. (m2 /jaar) weekend]]+Ruimtestaat[[#This Row],[Prest. (m2 /jaar) werkdagen]]</f>
        <v>6554.0000000000009</v>
      </c>
      <c r="AF1299" s="60">
        <f>Ruimtestaat[[#This Row],[uren / jaar weekend]]+Ruimtestaat[[#This Row],[uren / jaar werkdagen]]</f>
        <v>0</v>
      </c>
      <c r="AG1299" s="61">
        <f>Ruimtestaat[[#This Row],[kosten / jaar weekend]]+Ruimtestaat[[#This Row],[kosten / jaar werkdagen]]</f>
        <v>0</v>
      </c>
      <c r="AH1299" s="92"/>
      <c r="HL1299" s="59"/>
    </row>
    <row r="1300" spans="1:220">
      <c r="A1300" s="24">
        <v>7</v>
      </c>
      <c r="B1300" s="24" t="str">
        <f>VLOOKUP(Ruimtestaat[[#This Row],[Code]],Locaties[#All],2,FALSE)</f>
        <v>Het Vlier</v>
      </c>
      <c r="C1300" s="24" t="str">
        <f>VLOOKUP(Ruimtestaat[[#This Row],[Code]],Locaties[#All],4,FALSE)</f>
        <v>Het Vlier 1</v>
      </c>
      <c r="D1300" s="24" t="str">
        <f>VLOOKUP(Ruimtestaat[[#This Row],[Code]],Locaties[#All],5,FALSE)</f>
        <v>7414 AR</v>
      </c>
      <c r="E1300" s="24" t="str">
        <f>VLOOKUP(Ruimtestaat[[#This Row],[Code]],Locaties[#All],6,FALSE)</f>
        <v>Deventer</v>
      </c>
      <c r="F1300" s="54"/>
      <c r="G1300" s="24" t="s">
        <v>569</v>
      </c>
      <c r="H1300" s="24" t="s">
        <v>1732</v>
      </c>
      <c r="I1300" s="4" t="s">
        <v>1702</v>
      </c>
      <c r="J1300" s="24">
        <v>10</v>
      </c>
      <c r="K1300" s="54" t="str">
        <f>VLOOKUP(J1300,Ruimtegroepen[],2,FALSE)</f>
        <v>Trappenhuizen/lift</v>
      </c>
      <c r="L1300" s="24" t="s">
        <v>305</v>
      </c>
      <c r="M1300" s="24" t="s">
        <v>400</v>
      </c>
      <c r="N1300" s="83">
        <v>34.47</v>
      </c>
      <c r="O1300" s="83"/>
      <c r="P1300" s="93" t="str">
        <f>LEFT(VLOOKUP(Ruimtestaat[[#This Row],[Ruimte code]],Ruimtegroepen[#All],4,1),2)</f>
        <v>Ve</v>
      </c>
      <c r="Q1300" s="93"/>
      <c r="R1300" s="84">
        <v>40</v>
      </c>
      <c r="S1300" s="84" t="s">
        <v>318</v>
      </c>
      <c r="T1300" s="85">
        <f>IF(R1300&gt;0,IF(RIGHT(Ruimtestaat[[#This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0" s="85">
        <f>IF(T1300&gt;0,VLOOKUP($J1300,Ruimtegroepen[],3,FALSE)*VLOOKUP($L1300,Vloersoorten[],3,FALSE)*VLOOKUP($S1300,Frequenties[],3,FALSE)*VLOOKUP($A1300,Locaties[],3,FALSE),0)</f>
        <v>0</v>
      </c>
      <c r="V1300" s="86">
        <f>Ruimtestaat[[#This Row],[Uitvoeringen werkdagen]]*Ruimtestaat[[#This Row],[Oppervlak (netto)]]</f>
        <v>6894</v>
      </c>
      <c r="W1300" s="87">
        <f>IF(U1300&gt;0,Ruimtestaat[[#This Row],[Prest. (m2 /jaar) werkdagen]]/Ruimtestaat[[#This Row],[Norm (m2/uur) werkdagen]],0)</f>
        <v>0</v>
      </c>
      <c r="X1300" s="88">
        <f>Ruimtestaat[[#This Row],[uren / jaar werkdagen]]*Tariefsopbouw!$E$35</f>
        <v>0</v>
      </c>
      <c r="Y1300" s="85"/>
      <c r="Z1300" s="89">
        <f>IF(Ruimtestaat[[#This Row],[Frequentie weekend]]&gt;0,VALUE(LEFT(Y1300,1))*R1300,0)</f>
        <v>0</v>
      </c>
      <c r="AA1300" s="85">
        <f>IF($Z1300&gt;0,VLOOKUP($J1300,Ruimtegroepen[],3,FALSE)*VLOOKUP($L1300,Vloersoorten[],3,FALSE)*VLOOKUP($Y1300,Frequenties[],3,FALSE)*VLOOKUP(#REF!,Locaties[],3,FALSE),0)</f>
        <v>0</v>
      </c>
      <c r="AB1300" s="87">
        <f>Ruimtestaat[[#This Row],[Uitvoeringen weekend]]*Ruimtestaat[[#This Row],[Oppervlak (netto)]]</f>
        <v>0</v>
      </c>
      <c r="AC1300" s="90">
        <f>IF(AB1300&gt;0,Ruimtestaat[[#This Row],[Prest. (m2 /jaar) weekend]]/Ruimtestaat[[#This Row],[Norm (m2/uur) weekend]],0)</f>
        <v>0</v>
      </c>
      <c r="AD1300" s="91">
        <f>Ruimtestaat[[#This Row],[uren / jaar weekend]]*Tariefsopbouw!$D$40</f>
        <v>0</v>
      </c>
      <c r="AE1300" s="60">
        <f>Ruimtestaat[[#This Row],[Prest. (m2 /jaar) weekend]]+Ruimtestaat[[#This Row],[Prest. (m2 /jaar) werkdagen]]</f>
        <v>6894</v>
      </c>
      <c r="AF1300" s="60">
        <f>Ruimtestaat[[#This Row],[uren / jaar weekend]]+Ruimtestaat[[#This Row],[uren / jaar werkdagen]]</f>
        <v>0</v>
      </c>
      <c r="AG1300" s="61">
        <f>Ruimtestaat[[#This Row],[kosten / jaar weekend]]+Ruimtestaat[[#This Row],[kosten / jaar werkdagen]]</f>
        <v>0</v>
      </c>
      <c r="AH1300" s="92"/>
      <c r="HL1300" s="59"/>
    </row>
    <row r="1301" spans="1:220">
      <c r="A1301" s="24">
        <v>7</v>
      </c>
      <c r="B1301" s="24" t="str">
        <f>VLOOKUP(Ruimtestaat[[#This Row],[Code]],Locaties[#All],2,FALSE)</f>
        <v>Het Vlier</v>
      </c>
      <c r="C1301" s="24" t="str">
        <f>VLOOKUP(Ruimtestaat[[#This Row],[Code]],Locaties[#All],4,FALSE)</f>
        <v>Het Vlier 1</v>
      </c>
      <c r="D1301" s="24" t="str">
        <f>VLOOKUP(Ruimtestaat[[#This Row],[Code]],Locaties[#All],5,FALSE)</f>
        <v>7414 AR</v>
      </c>
      <c r="E1301" s="24" t="str">
        <f>VLOOKUP(Ruimtestaat[[#This Row],[Code]],Locaties[#All],6,FALSE)</f>
        <v>Deventer</v>
      </c>
      <c r="F1301" s="54"/>
      <c r="G1301" s="24" t="s">
        <v>599</v>
      </c>
      <c r="H1301" s="24" t="s">
        <v>1733</v>
      </c>
      <c r="I1301" s="4" t="s">
        <v>716</v>
      </c>
      <c r="J1301" s="24">
        <v>10</v>
      </c>
      <c r="K1301" s="54" t="str">
        <f>VLOOKUP(J1301,Ruimtegroepen[],2,FALSE)</f>
        <v>Trappenhuizen/lift</v>
      </c>
      <c r="L1301" s="24" t="s">
        <v>305</v>
      </c>
      <c r="M1301" s="24" t="s">
        <v>400</v>
      </c>
      <c r="N1301" s="83">
        <v>34.42</v>
      </c>
      <c r="O1301" s="83"/>
      <c r="P1301" s="93" t="str">
        <f>LEFT(VLOOKUP(Ruimtestaat[[#This Row],[Ruimte code]],Ruimtegroepen[#All],4,1),2)</f>
        <v>Ve</v>
      </c>
      <c r="Q1301" s="93"/>
      <c r="R1301" s="84">
        <v>40</v>
      </c>
      <c r="S1301" s="84" t="s">
        <v>318</v>
      </c>
      <c r="T1301" s="85">
        <f>IF(R1301&gt;0,IF(RIGHT(Ruimtestaat[[#This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1" s="85">
        <f>IF(T1301&gt;0,VLOOKUP($J1301,Ruimtegroepen[],3,FALSE)*VLOOKUP($L1301,Vloersoorten[],3,FALSE)*VLOOKUP($S1301,Frequenties[],3,FALSE)*VLOOKUP($A1301,Locaties[],3,FALSE),0)</f>
        <v>0</v>
      </c>
      <c r="V1301" s="86">
        <f>Ruimtestaat[[#This Row],[Uitvoeringen werkdagen]]*Ruimtestaat[[#This Row],[Oppervlak (netto)]]</f>
        <v>6884</v>
      </c>
      <c r="W1301" s="87">
        <f>IF(U1301&gt;0,Ruimtestaat[[#This Row],[Prest. (m2 /jaar) werkdagen]]/Ruimtestaat[[#This Row],[Norm (m2/uur) werkdagen]],0)</f>
        <v>0</v>
      </c>
      <c r="X1301" s="88">
        <f>Ruimtestaat[[#This Row],[uren / jaar werkdagen]]*Tariefsopbouw!$E$35</f>
        <v>0</v>
      </c>
      <c r="Y1301" s="85"/>
      <c r="Z1301" s="89">
        <f>IF(Ruimtestaat[[#This Row],[Frequentie weekend]]&gt;0,VALUE(LEFT(Y1301,1))*R1301,0)</f>
        <v>0</v>
      </c>
      <c r="AA1301" s="85">
        <f>IF($Z1301&gt;0,VLOOKUP($J1301,Ruimtegroepen[],3,FALSE)*VLOOKUP($L1301,Vloersoorten[],3,FALSE)*VLOOKUP($Y1301,Frequenties[],3,FALSE)*VLOOKUP(#REF!,Locaties[],3,FALSE),0)</f>
        <v>0</v>
      </c>
      <c r="AB1301" s="87">
        <f>Ruimtestaat[[#This Row],[Uitvoeringen weekend]]*Ruimtestaat[[#This Row],[Oppervlak (netto)]]</f>
        <v>0</v>
      </c>
      <c r="AC1301" s="90">
        <f>IF(AB1301&gt;0,Ruimtestaat[[#This Row],[Prest. (m2 /jaar) weekend]]/Ruimtestaat[[#This Row],[Norm (m2/uur) weekend]],0)</f>
        <v>0</v>
      </c>
      <c r="AD1301" s="91">
        <f>Ruimtestaat[[#This Row],[uren / jaar weekend]]*Tariefsopbouw!$D$40</f>
        <v>0</v>
      </c>
      <c r="AE1301" s="60">
        <f>Ruimtestaat[[#This Row],[Prest. (m2 /jaar) weekend]]+Ruimtestaat[[#This Row],[Prest. (m2 /jaar) werkdagen]]</f>
        <v>6884</v>
      </c>
      <c r="AF1301" s="60">
        <f>Ruimtestaat[[#This Row],[uren / jaar weekend]]+Ruimtestaat[[#This Row],[uren / jaar werkdagen]]</f>
        <v>0</v>
      </c>
      <c r="AG1301" s="61">
        <f>Ruimtestaat[[#This Row],[kosten / jaar weekend]]+Ruimtestaat[[#This Row],[kosten / jaar werkdagen]]</f>
        <v>0</v>
      </c>
      <c r="AH1301" s="92"/>
      <c r="HL1301" s="59"/>
    </row>
    <row r="1302" spans="1:220">
      <c r="A1302" s="24">
        <v>7</v>
      </c>
      <c r="B1302" s="24" t="str">
        <f>VLOOKUP(Ruimtestaat[[#This Row],[Code]],Locaties[#All],2,FALSE)</f>
        <v>Het Vlier</v>
      </c>
      <c r="C1302" s="24" t="str">
        <f>VLOOKUP(Ruimtestaat[[#This Row],[Code]],Locaties[#All],4,FALSE)</f>
        <v>Het Vlier 1</v>
      </c>
      <c r="D1302" s="24" t="str">
        <f>VLOOKUP(Ruimtestaat[[#This Row],[Code]],Locaties[#All],5,FALSE)</f>
        <v>7414 AR</v>
      </c>
      <c r="E1302" s="24" t="str">
        <f>VLOOKUP(Ruimtestaat[[#This Row],[Code]],Locaties[#All],6,FALSE)</f>
        <v>Deventer</v>
      </c>
      <c r="F1302" s="54"/>
      <c r="G1302" s="24" t="s">
        <v>367</v>
      </c>
      <c r="H1302" s="24" t="s">
        <v>1734</v>
      </c>
      <c r="I1302" s="4" t="s">
        <v>716</v>
      </c>
      <c r="J1302" s="24">
        <v>10</v>
      </c>
      <c r="K1302" s="54" t="str">
        <f>VLOOKUP(J1302,Ruimtegroepen[],2,FALSE)</f>
        <v>Trappenhuizen/lift</v>
      </c>
      <c r="L1302" s="24" t="s">
        <v>305</v>
      </c>
      <c r="M1302" s="24" t="s">
        <v>400</v>
      </c>
      <c r="N1302" s="83">
        <v>26.36</v>
      </c>
      <c r="O1302" s="83"/>
      <c r="P1302" s="93" t="str">
        <f>LEFT(VLOOKUP(Ruimtestaat[[#This Row],[Ruimte code]],Ruimtegroepen[#All],4,1),2)</f>
        <v>Ve</v>
      </c>
      <c r="Q1302" s="93"/>
      <c r="R1302" s="84">
        <v>40</v>
      </c>
      <c r="S1302" s="84" t="s">
        <v>318</v>
      </c>
      <c r="T1302" s="85">
        <f>IF(R1302&gt;0,IF(RIGHT(Ruimtestaat[[#This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2" s="85">
        <f>IF(T1302&gt;0,VLOOKUP($J1302,Ruimtegroepen[],3,FALSE)*VLOOKUP($L1302,Vloersoorten[],3,FALSE)*VLOOKUP($S1302,Frequenties[],3,FALSE)*VLOOKUP($A1302,Locaties[],3,FALSE),0)</f>
        <v>0</v>
      </c>
      <c r="V1302" s="86">
        <f>Ruimtestaat[[#This Row],[Uitvoeringen werkdagen]]*Ruimtestaat[[#This Row],[Oppervlak (netto)]]</f>
        <v>5272</v>
      </c>
      <c r="W1302" s="87">
        <f>IF(U1302&gt;0,Ruimtestaat[[#This Row],[Prest. (m2 /jaar) werkdagen]]/Ruimtestaat[[#This Row],[Norm (m2/uur) werkdagen]],0)</f>
        <v>0</v>
      </c>
      <c r="X1302" s="88">
        <f>Ruimtestaat[[#This Row],[uren / jaar werkdagen]]*Tariefsopbouw!$E$35</f>
        <v>0</v>
      </c>
      <c r="Y1302" s="85"/>
      <c r="Z1302" s="89">
        <f>IF(Ruimtestaat[[#This Row],[Frequentie weekend]]&gt;0,VALUE(LEFT(Y1302,1))*R1302,0)</f>
        <v>0</v>
      </c>
      <c r="AA1302" s="85">
        <f>IF($Z1302&gt;0,VLOOKUP($J1302,Ruimtegroepen[],3,FALSE)*VLOOKUP($L1302,Vloersoorten[],3,FALSE)*VLOOKUP($Y1302,Frequenties[],3,FALSE)*VLOOKUP(#REF!,Locaties[],3,FALSE),0)</f>
        <v>0</v>
      </c>
      <c r="AB1302" s="87">
        <f>Ruimtestaat[[#This Row],[Uitvoeringen weekend]]*Ruimtestaat[[#This Row],[Oppervlak (netto)]]</f>
        <v>0</v>
      </c>
      <c r="AC1302" s="90">
        <f>IF(AB1302&gt;0,Ruimtestaat[[#This Row],[Prest. (m2 /jaar) weekend]]/Ruimtestaat[[#This Row],[Norm (m2/uur) weekend]],0)</f>
        <v>0</v>
      </c>
      <c r="AD1302" s="91">
        <f>Ruimtestaat[[#This Row],[uren / jaar weekend]]*Tariefsopbouw!$D$40</f>
        <v>0</v>
      </c>
      <c r="AE1302" s="60">
        <f>Ruimtestaat[[#This Row],[Prest. (m2 /jaar) weekend]]+Ruimtestaat[[#This Row],[Prest. (m2 /jaar) werkdagen]]</f>
        <v>5272</v>
      </c>
      <c r="AF1302" s="60">
        <f>Ruimtestaat[[#This Row],[uren / jaar weekend]]+Ruimtestaat[[#This Row],[uren / jaar werkdagen]]</f>
        <v>0</v>
      </c>
      <c r="AG1302" s="61">
        <f>Ruimtestaat[[#This Row],[kosten / jaar weekend]]+Ruimtestaat[[#This Row],[kosten / jaar werkdagen]]</f>
        <v>0</v>
      </c>
      <c r="AH1302" s="92"/>
      <c r="HL1302" s="59"/>
    </row>
    <row r="1303" spans="1:220">
      <c r="A1303" s="24">
        <v>7</v>
      </c>
      <c r="B1303" s="24" t="str">
        <f>VLOOKUP(Ruimtestaat[[#This Row],[Code]],Locaties[#All],2,FALSE)</f>
        <v>Het Vlier</v>
      </c>
      <c r="C1303" s="24" t="str">
        <f>VLOOKUP(Ruimtestaat[[#This Row],[Code]],Locaties[#All],4,FALSE)</f>
        <v>Het Vlier 1</v>
      </c>
      <c r="D1303" s="24" t="str">
        <f>VLOOKUP(Ruimtestaat[[#This Row],[Code]],Locaties[#All],5,FALSE)</f>
        <v>7414 AR</v>
      </c>
      <c r="E1303" s="24" t="str">
        <f>VLOOKUP(Ruimtestaat[[#This Row],[Code]],Locaties[#All],6,FALSE)</f>
        <v>Deventer</v>
      </c>
      <c r="F1303" s="54"/>
      <c r="G1303" s="24" t="s">
        <v>367</v>
      </c>
      <c r="H1303" s="24" t="s">
        <v>1735</v>
      </c>
      <c r="I1303" s="4" t="s">
        <v>375</v>
      </c>
      <c r="J1303" s="24">
        <v>22</v>
      </c>
      <c r="K1303" s="54" t="str">
        <f>VLOOKUP(J1303,Ruimtegroepen[],2,FALSE)</f>
        <v>Niet in onderhoud</v>
      </c>
      <c r="M1303" s="24"/>
      <c r="N1303" s="83"/>
      <c r="O1303" s="83">
        <v>8.1199999999999992</v>
      </c>
      <c r="P1303" s="93" t="str">
        <f>LEFT(VLOOKUP(Ruimtestaat[[#This Row],[Ruimte code]],Ruimtegroepen[#All],4,1),2)</f>
        <v/>
      </c>
      <c r="Q1303" s="93"/>
      <c r="R1303" s="84"/>
      <c r="S1303" s="84"/>
      <c r="T1303" s="85">
        <f>IF(R1303&gt;0,IF(RIGHT(Ruimtestaat[[#This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03" s="85">
        <f>IF(T1303&gt;0,VLOOKUP($J1303,Ruimtegroepen[],3,FALSE)*VLOOKUP($L1303,Vloersoorten[],3,FALSE)*VLOOKUP($S1303,Frequenties[],3,FALSE)*VLOOKUP($A1303,Locaties[],3,FALSE),0)</f>
        <v>0</v>
      </c>
      <c r="V1303" s="86">
        <f>Ruimtestaat[[#This Row],[Uitvoeringen werkdagen]]*Ruimtestaat[[#This Row],[Oppervlak (netto)]]</f>
        <v>0</v>
      </c>
      <c r="W1303" s="87">
        <f>IF(U1303&gt;0,Ruimtestaat[[#This Row],[Prest. (m2 /jaar) werkdagen]]/Ruimtestaat[[#This Row],[Norm (m2/uur) werkdagen]],0)</f>
        <v>0</v>
      </c>
      <c r="X1303" s="88">
        <f>Ruimtestaat[[#This Row],[uren / jaar werkdagen]]*Tariefsopbouw!$E$35</f>
        <v>0</v>
      </c>
      <c r="Y1303" s="85"/>
      <c r="Z1303" s="89">
        <f>IF(Ruimtestaat[[#This Row],[Frequentie weekend]]&gt;0,VALUE(LEFT(Y1303,1))*R1303,0)</f>
        <v>0</v>
      </c>
      <c r="AA1303" s="85">
        <f>IF($Z1303&gt;0,VLOOKUP($J1303,Ruimtegroepen[],3,FALSE)*VLOOKUP($L1303,Vloersoorten[],3,FALSE)*VLOOKUP($Y1303,Frequenties[],3,FALSE)*VLOOKUP(#REF!,Locaties[],3,FALSE),0)</f>
        <v>0</v>
      </c>
      <c r="AB1303" s="87">
        <f>Ruimtestaat[[#This Row],[Uitvoeringen weekend]]*Ruimtestaat[[#This Row],[Oppervlak (netto)]]</f>
        <v>0</v>
      </c>
      <c r="AC1303" s="90">
        <f>IF(AB1303&gt;0,Ruimtestaat[[#This Row],[Prest. (m2 /jaar) weekend]]/Ruimtestaat[[#This Row],[Norm (m2/uur) weekend]],0)</f>
        <v>0</v>
      </c>
      <c r="AD1303" s="91">
        <f>Ruimtestaat[[#This Row],[uren / jaar weekend]]*Tariefsopbouw!$D$40</f>
        <v>0</v>
      </c>
      <c r="AE1303" s="60">
        <f>Ruimtestaat[[#This Row],[Prest. (m2 /jaar) weekend]]+Ruimtestaat[[#This Row],[Prest. (m2 /jaar) werkdagen]]</f>
        <v>0</v>
      </c>
      <c r="AF1303" s="60">
        <f>Ruimtestaat[[#This Row],[uren / jaar weekend]]+Ruimtestaat[[#This Row],[uren / jaar werkdagen]]</f>
        <v>0</v>
      </c>
      <c r="AG1303" s="61">
        <f>Ruimtestaat[[#This Row],[kosten / jaar weekend]]+Ruimtestaat[[#This Row],[kosten / jaar werkdagen]]</f>
        <v>0</v>
      </c>
      <c r="AH1303" s="92"/>
      <c r="HL1303" s="59"/>
    </row>
    <row r="1304" spans="1:220">
      <c r="A1304" s="24">
        <v>7</v>
      </c>
      <c r="B1304" s="24" t="str">
        <f>VLOOKUP(Ruimtestaat[[#This Row],[Code]],Locaties[#All],2,FALSE)</f>
        <v>Het Vlier</v>
      </c>
      <c r="C1304" s="24" t="str">
        <f>VLOOKUP(Ruimtestaat[[#This Row],[Code]],Locaties[#All],4,FALSE)</f>
        <v>Het Vlier 1</v>
      </c>
      <c r="D1304" s="24" t="str">
        <f>VLOOKUP(Ruimtestaat[[#This Row],[Code]],Locaties[#All],5,FALSE)</f>
        <v>7414 AR</v>
      </c>
      <c r="E1304" s="24" t="str">
        <f>VLOOKUP(Ruimtestaat[[#This Row],[Code]],Locaties[#All],6,FALSE)</f>
        <v>Deventer</v>
      </c>
      <c r="F1304" s="54"/>
      <c r="G1304" s="24" t="s">
        <v>512</v>
      </c>
      <c r="H1304" s="24" t="s">
        <v>1735</v>
      </c>
      <c r="I1304" s="4" t="s">
        <v>1702</v>
      </c>
      <c r="J1304" s="24">
        <v>10</v>
      </c>
      <c r="K1304" s="54" t="str">
        <f>VLOOKUP(J1304,Ruimtegroepen[],2,FALSE)</f>
        <v>Trappenhuizen/lift</v>
      </c>
      <c r="L1304" s="24" t="s">
        <v>305</v>
      </c>
      <c r="M1304" s="24" t="s">
        <v>400</v>
      </c>
      <c r="N1304" s="83">
        <v>27.07</v>
      </c>
      <c r="O1304" s="83"/>
      <c r="P1304" s="93" t="str">
        <f>LEFT(VLOOKUP(Ruimtestaat[[#This Row],[Ruimte code]],Ruimtegroepen[#All],4,1),2)</f>
        <v>Ve</v>
      </c>
      <c r="Q1304" s="93"/>
      <c r="R1304" s="84">
        <v>40</v>
      </c>
      <c r="S1304" s="84" t="s">
        <v>318</v>
      </c>
      <c r="T1304" s="85">
        <f>IF(R1304&gt;0,IF(RIGHT(Ruimtestaat[[#This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4" s="85">
        <f>IF(T1304&gt;0,VLOOKUP($J1304,Ruimtegroepen[],3,FALSE)*VLOOKUP($L1304,Vloersoorten[],3,FALSE)*VLOOKUP($S1304,Frequenties[],3,FALSE)*VLOOKUP($A1304,Locaties[],3,FALSE),0)</f>
        <v>0</v>
      </c>
      <c r="V1304" s="86">
        <f>Ruimtestaat[[#This Row],[Uitvoeringen werkdagen]]*Ruimtestaat[[#This Row],[Oppervlak (netto)]]</f>
        <v>5414</v>
      </c>
      <c r="W1304" s="87">
        <f>IF(U1304&gt;0,Ruimtestaat[[#This Row],[Prest. (m2 /jaar) werkdagen]]/Ruimtestaat[[#This Row],[Norm (m2/uur) werkdagen]],0)</f>
        <v>0</v>
      </c>
      <c r="X1304" s="88">
        <f>Ruimtestaat[[#This Row],[uren / jaar werkdagen]]*Tariefsopbouw!$E$35</f>
        <v>0</v>
      </c>
      <c r="Y1304" s="85"/>
      <c r="Z1304" s="89">
        <f>IF(Ruimtestaat[[#This Row],[Frequentie weekend]]&gt;0,VALUE(LEFT(Y1304,1))*R1304,0)</f>
        <v>0</v>
      </c>
      <c r="AA1304" s="85">
        <f>IF($Z1304&gt;0,VLOOKUP($J1304,Ruimtegroepen[],3,FALSE)*VLOOKUP($L1304,Vloersoorten[],3,FALSE)*VLOOKUP($Y1304,Frequenties[],3,FALSE)*VLOOKUP(#REF!,Locaties[],3,FALSE),0)</f>
        <v>0</v>
      </c>
      <c r="AB1304" s="87">
        <f>Ruimtestaat[[#This Row],[Uitvoeringen weekend]]*Ruimtestaat[[#This Row],[Oppervlak (netto)]]</f>
        <v>0</v>
      </c>
      <c r="AC1304" s="90">
        <f>IF(AB1304&gt;0,Ruimtestaat[[#This Row],[Prest. (m2 /jaar) weekend]]/Ruimtestaat[[#This Row],[Norm (m2/uur) weekend]],0)</f>
        <v>0</v>
      </c>
      <c r="AD1304" s="91">
        <f>Ruimtestaat[[#This Row],[uren / jaar weekend]]*Tariefsopbouw!$D$40</f>
        <v>0</v>
      </c>
      <c r="AE1304" s="60">
        <f>Ruimtestaat[[#This Row],[Prest. (m2 /jaar) weekend]]+Ruimtestaat[[#This Row],[Prest. (m2 /jaar) werkdagen]]</f>
        <v>5414</v>
      </c>
      <c r="AF1304" s="60">
        <f>Ruimtestaat[[#This Row],[uren / jaar weekend]]+Ruimtestaat[[#This Row],[uren / jaar werkdagen]]</f>
        <v>0</v>
      </c>
      <c r="AG1304" s="61">
        <f>Ruimtestaat[[#This Row],[kosten / jaar weekend]]+Ruimtestaat[[#This Row],[kosten / jaar werkdagen]]</f>
        <v>0</v>
      </c>
      <c r="AH1304" s="92"/>
      <c r="HL1304" s="59"/>
    </row>
    <row r="1305" spans="1:220">
      <c r="A1305" s="24">
        <v>7</v>
      </c>
      <c r="B1305" s="24" t="str">
        <f>VLOOKUP(Ruimtestaat[[#This Row],[Code]],Locaties[#All],2,FALSE)</f>
        <v>Het Vlier</v>
      </c>
      <c r="C1305" s="24" t="str">
        <f>VLOOKUP(Ruimtestaat[[#This Row],[Code]],Locaties[#All],4,FALSE)</f>
        <v>Het Vlier 1</v>
      </c>
      <c r="D1305" s="24" t="str">
        <f>VLOOKUP(Ruimtestaat[[#This Row],[Code]],Locaties[#All],5,FALSE)</f>
        <v>7414 AR</v>
      </c>
      <c r="E1305" s="24" t="str">
        <f>VLOOKUP(Ruimtestaat[[#This Row],[Code]],Locaties[#All],6,FALSE)</f>
        <v>Deventer</v>
      </c>
      <c r="F1305" s="54"/>
      <c r="G1305" s="24" t="s">
        <v>367</v>
      </c>
      <c r="H1305" s="24" t="s">
        <v>1736</v>
      </c>
      <c r="I1305" s="4" t="s">
        <v>716</v>
      </c>
      <c r="J1305" s="24">
        <v>10</v>
      </c>
      <c r="K1305" s="54" t="str">
        <f>VLOOKUP(J1305,Ruimtegroepen[],2,FALSE)</f>
        <v>Trappenhuizen/lift</v>
      </c>
      <c r="L1305" s="24" t="s">
        <v>303</v>
      </c>
      <c r="M1305" s="24" t="s">
        <v>1722</v>
      </c>
      <c r="N1305" s="83">
        <v>27.5</v>
      </c>
      <c r="O1305" s="83"/>
      <c r="P1305" s="93" t="str">
        <f>LEFT(VLOOKUP(Ruimtestaat[[#This Row],[Ruimte code]],Ruimtegroepen[#All],4,1),2)</f>
        <v>Ve</v>
      </c>
      <c r="Q1305" s="93"/>
      <c r="R1305" s="84">
        <v>40</v>
      </c>
      <c r="S1305" s="84" t="s">
        <v>318</v>
      </c>
      <c r="T1305" s="85">
        <f>IF(R1305&gt;0,IF(RIGHT(Ruimtestaat[[#This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5" s="85">
        <f>IF(T1305&gt;0,VLOOKUP($J1305,Ruimtegroepen[],3,FALSE)*VLOOKUP($L1305,Vloersoorten[],3,FALSE)*VLOOKUP($S1305,Frequenties[],3,FALSE)*VLOOKUP($A1305,Locaties[],3,FALSE),0)</f>
        <v>0</v>
      </c>
      <c r="V1305" s="86">
        <f>Ruimtestaat[[#This Row],[Uitvoeringen werkdagen]]*Ruimtestaat[[#This Row],[Oppervlak (netto)]]</f>
        <v>5500</v>
      </c>
      <c r="W1305" s="87">
        <f>IF(U1305&gt;0,Ruimtestaat[[#This Row],[Prest. (m2 /jaar) werkdagen]]/Ruimtestaat[[#This Row],[Norm (m2/uur) werkdagen]],0)</f>
        <v>0</v>
      </c>
      <c r="X1305" s="88">
        <f>Ruimtestaat[[#This Row],[uren / jaar werkdagen]]*Tariefsopbouw!$E$35</f>
        <v>0</v>
      </c>
      <c r="Y1305" s="85"/>
      <c r="Z1305" s="89">
        <f>IF(Ruimtestaat[[#This Row],[Frequentie weekend]]&gt;0,VALUE(LEFT(Y1305,1))*R1305,0)</f>
        <v>0</v>
      </c>
      <c r="AA1305" s="85">
        <f>IF($Z1305&gt;0,VLOOKUP($J1305,Ruimtegroepen[],3,FALSE)*VLOOKUP($L1305,Vloersoorten[],3,FALSE)*VLOOKUP($Y1305,Frequenties[],3,FALSE)*VLOOKUP(#REF!,Locaties[],3,FALSE),0)</f>
        <v>0</v>
      </c>
      <c r="AB1305" s="87">
        <f>Ruimtestaat[[#This Row],[Uitvoeringen weekend]]*Ruimtestaat[[#This Row],[Oppervlak (netto)]]</f>
        <v>0</v>
      </c>
      <c r="AC1305" s="90">
        <f>IF(AB1305&gt;0,Ruimtestaat[[#This Row],[Prest. (m2 /jaar) weekend]]/Ruimtestaat[[#This Row],[Norm (m2/uur) weekend]],0)</f>
        <v>0</v>
      </c>
      <c r="AD1305" s="91">
        <f>Ruimtestaat[[#This Row],[uren / jaar weekend]]*Tariefsopbouw!$D$40</f>
        <v>0</v>
      </c>
      <c r="AE1305" s="60">
        <f>Ruimtestaat[[#This Row],[Prest. (m2 /jaar) weekend]]+Ruimtestaat[[#This Row],[Prest. (m2 /jaar) werkdagen]]</f>
        <v>5500</v>
      </c>
      <c r="AF1305" s="60">
        <f>Ruimtestaat[[#This Row],[uren / jaar weekend]]+Ruimtestaat[[#This Row],[uren / jaar werkdagen]]</f>
        <v>0</v>
      </c>
      <c r="AG1305" s="61">
        <f>Ruimtestaat[[#This Row],[kosten / jaar weekend]]+Ruimtestaat[[#This Row],[kosten / jaar werkdagen]]</f>
        <v>0</v>
      </c>
      <c r="AH1305" s="92"/>
      <c r="HL1305" s="59"/>
    </row>
    <row r="1306" spans="1:220">
      <c r="A1306" s="24">
        <v>7</v>
      </c>
      <c r="B1306" s="24" t="str">
        <f>VLOOKUP(Ruimtestaat[[#This Row],[Code]],Locaties[#All],2,FALSE)</f>
        <v>Het Vlier</v>
      </c>
      <c r="C1306" s="24" t="str">
        <f>VLOOKUP(Ruimtestaat[[#This Row],[Code]],Locaties[#All],4,FALSE)</f>
        <v>Het Vlier 1</v>
      </c>
      <c r="D1306" s="24" t="str">
        <f>VLOOKUP(Ruimtestaat[[#This Row],[Code]],Locaties[#All],5,FALSE)</f>
        <v>7414 AR</v>
      </c>
      <c r="E1306" s="24" t="str">
        <f>VLOOKUP(Ruimtestaat[[#This Row],[Code]],Locaties[#All],6,FALSE)</f>
        <v>Deventer</v>
      </c>
      <c r="F1306" s="54"/>
      <c r="G1306" s="24" t="s">
        <v>512</v>
      </c>
      <c r="H1306" s="24" t="s">
        <v>1737</v>
      </c>
      <c r="I1306" s="4" t="s">
        <v>1702</v>
      </c>
      <c r="J1306" s="24">
        <v>10</v>
      </c>
      <c r="K1306" s="54" t="str">
        <f>VLOOKUP(J1306,Ruimtegroepen[],2,FALSE)</f>
        <v>Trappenhuizen/lift</v>
      </c>
      <c r="L1306" s="24" t="s">
        <v>305</v>
      </c>
      <c r="M1306" s="24" t="s">
        <v>400</v>
      </c>
      <c r="N1306" s="83">
        <v>36.86</v>
      </c>
      <c r="O1306" s="83"/>
      <c r="P1306" s="93" t="str">
        <f>LEFT(VLOOKUP(Ruimtestaat[[#This Row],[Ruimte code]],Ruimtegroepen[#All],4,1),2)</f>
        <v>Ve</v>
      </c>
      <c r="Q1306" s="93"/>
      <c r="R1306" s="84">
        <v>40</v>
      </c>
      <c r="S1306" s="84" t="s">
        <v>318</v>
      </c>
      <c r="T1306" s="85">
        <f>IF(R1306&gt;0,IF(RIGHT(Ruimtestaat[[#This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6" s="85">
        <f>IF(T1306&gt;0,VLOOKUP($J1306,Ruimtegroepen[],3,FALSE)*VLOOKUP($L1306,Vloersoorten[],3,FALSE)*VLOOKUP($S1306,Frequenties[],3,FALSE)*VLOOKUP($A1306,Locaties[],3,FALSE),0)</f>
        <v>0</v>
      </c>
      <c r="V1306" s="86">
        <f>Ruimtestaat[[#This Row],[Uitvoeringen werkdagen]]*Ruimtestaat[[#This Row],[Oppervlak (netto)]]</f>
        <v>7372</v>
      </c>
      <c r="W1306" s="87">
        <f>IF(U1306&gt;0,Ruimtestaat[[#This Row],[Prest. (m2 /jaar) werkdagen]]/Ruimtestaat[[#This Row],[Norm (m2/uur) werkdagen]],0)</f>
        <v>0</v>
      </c>
      <c r="X1306" s="88">
        <f>Ruimtestaat[[#This Row],[uren / jaar werkdagen]]*Tariefsopbouw!$E$35</f>
        <v>0</v>
      </c>
      <c r="Y1306" s="85"/>
      <c r="Z1306" s="89">
        <f>IF(Ruimtestaat[[#This Row],[Frequentie weekend]]&gt;0,VALUE(LEFT(Y1306,1))*R1306,0)</f>
        <v>0</v>
      </c>
      <c r="AA1306" s="85">
        <f>IF($Z1306&gt;0,VLOOKUP($J1306,Ruimtegroepen[],3,FALSE)*VLOOKUP($L1306,Vloersoorten[],3,FALSE)*VLOOKUP($Y1306,Frequenties[],3,FALSE)*VLOOKUP(#REF!,Locaties[],3,FALSE),0)</f>
        <v>0</v>
      </c>
      <c r="AB1306" s="87">
        <f>Ruimtestaat[[#This Row],[Uitvoeringen weekend]]*Ruimtestaat[[#This Row],[Oppervlak (netto)]]</f>
        <v>0</v>
      </c>
      <c r="AC1306" s="90">
        <f>IF(AB1306&gt;0,Ruimtestaat[[#This Row],[Prest. (m2 /jaar) weekend]]/Ruimtestaat[[#This Row],[Norm (m2/uur) weekend]],0)</f>
        <v>0</v>
      </c>
      <c r="AD1306" s="91">
        <f>Ruimtestaat[[#This Row],[uren / jaar weekend]]*Tariefsopbouw!$D$40</f>
        <v>0</v>
      </c>
      <c r="AE1306" s="60">
        <f>Ruimtestaat[[#This Row],[Prest. (m2 /jaar) weekend]]+Ruimtestaat[[#This Row],[Prest. (m2 /jaar) werkdagen]]</f>
        <v>7372</v>
      </c>
      <c r="AF1306" s="60">
        <f>Ruimtestaat[[#This Row],[uren / jaar weekend]]+Ruimtestaat[[#This Row],[uren / jaar werkdagen]]</f>
        <v>0</v>
      </c>
      <c r="AG1306" s="61">
        <f>Ruimtestaat[[#This Row],[kosten / jaar weekend]]+Ruimtestaat[[#This Row],[kosten / jaar werkdagen]]</f>
        <v>0</v>
      </c>
      <c r="AH1306" s="92"/>
      <c r="HL1306" s="59"/>
    </row>
    <row r="1307" spans="1:220">
      <c r="A1307" s="24">
        <v>7</v>
      </c>
      <c r="B1307" s="24" t="str">
        <f>VLOOKUP(Ruimtestaat[[#This Row],[Code]],Locaties[#All],2,FALSE)</f>
        <v>Het Vlier</v>
      </c>
      <c r="C1307" s="24" t="str">
        <f>VLOOKUP(Ruimtestaat[[#This Row],[Code]],Locaties[#All],4,FALSE)</f>
        <v>Het Vlier 1</v>
      </c>
      <c r="D1307" s="24" t="str">
        <f>VLOOKUP(Ruimtestaat[[#This Row],[Code]],Locaties[#All],5,FALSE)</f>
        <v>7414 AR</v>
      </c>
      <c r="E1307" s="24" t="str">
        <f>VLOOKUP(Ruimtestaat[[#This Row],[Code]],Locaties[#All],6,FALSE)</f>
        <v>Deventer</v>
      </c>
      <c r="F1307" s="54"/>
      <c r="G1307" s="24" t="s">
        <v>569</v>
      </c>
      <c r="H1307" s="24" t="s">
        <v>1738</v>
      </c>
      <c r="I1307" s="4" t="s">
        <v>1702</v>
      </c>
      <c r="J1307" s="24">
        <v>10</v>
      </c>
      <c r="K1307" s="54" t="str">
        <f>VLOOKUP(J1307,Ruimtegroepen[],2,FALSE)</f>
        <v>Trappenhuizen/lift</v>
      </c>
      <c r="L1307" s="24" t="s">
        <v>305</v>
      </c>
      <c r="M1307" s="24" t="s">
        <v>400</v>
      </c>
      <c r="N1307" s="83">
        <v>27.8</v>
      </c>
      <c r="O1307" s="83"/>
      <c r="P1307" s="93" t="str">
        <f>LEFT(VLOOKUP(Ruimtestaat[[#This Row],[Ruimte code]],Ruimtegroepen[#All],4,1),2)</f>
        <v>Ve</v>
      </c>
      <c r="Q1307" s="93"/>
      <c r="R1307" s="84">
        <v>40</v>
      </c>
      <c r="S1307" s="84" t="s">
        <v>318</v>
      </c>
      <c r="T1307" s="85">
        <f>IF(R1307&gt;0,IF(RIGHT(Ruimtestaat[[#This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7" s="85">
        <f>IF(T1307&gt;0,VLOOKUP($J1307,Ruimtegroepen[],3,FALSE)*VLOOKUP($L1307,Vloersoorten[],3,FALSE)*VLOOKUP($S1307,Frequenties[],3,FALSE)*VLOOKUP($A1307,Locaties[],3,FALSE),0)</f>
        <v>0</v>
      </c>
      <c r="V1307" s="86">
        <f>Ruimtestaat[[#This Row],[Uitvoeringen werkdagen]]*Ruimtestaat[[#This Row],[Oppervlak (netto)]]</f>
        <v>5560</v>
      </c>
      <c r="W1307" s="87">
        <f>IF(U1307&gt;0,Ruimtestaat[[#This Row],[Prest. (m2 /jaar) werkdagen]]/Ruimtestaat[[#This Row],[Norm (m2/uur) werkdagen]],0)</f>
        <v>0</v>
      </c>
      <c r="X1307" s="88">
        <f>Ruimtestaat[[#This Row],[uren / jaar werkdagen]]*Tariefsopbouw!$E$35</f>
        <v>0</v>
      </c>
      <c r="Y1307" s="85"/>
      <c r="Z1307" s="89">
        <f>IF(Ruimtestaat[[#This Row],[Frequentie weekend]]&gt;0,VALUE(LEFT(Y1307,1))*R1307,0)</f>
        <v>0</v>
      </c>
      <c r="AA1307" s="85">
        <f>IF($Z1307&gt;0,VLOOKUP($J1307,Ruimtegroepen[],3,FALSE)*VLOOKUP($L1307,Vloersoorten[],3,FALSE)*VLOOKUP($Y1307,Frequenties[],3,FALSE)*VLOOKUP(#REF!,Locaties[],3,FALSE),0)</f>
        <v>0</v>
      </c>
      <c r="AB1307" s="87">
        <f>Ruimtestaat[[#This Row],[Uitvoeringen weekend]]*Ruimtestaat[[#This Row],[Oppervlak (netto)]]</f>
        <v>0</v>
      </c>
      <c r="AC1307" s="90">
        <f>IF(AB1307&gt;0,Ruimtestaat[[#This Row],[Prest. (m2 /jaar) weekend]]/Ruimtestaat[[#This Row],[Norm (m2/uur) weekend]],0)</f>
        <v>0</v>
      </c>
      <c r="AD1307" s="91">
        <f>Ruimtestaat[[#This Row],[uren / jaar weekend]]*Tariefsopbouw!$D$40</f>
        <v>0</v>
      </c>
      <c r="AE1307" s="60">
        <f>Ruimtestaat[[#This Row],[Prest. (m2 /jaar) weekend]]+Ruimtestaat[[#This Row],[Prest. (m2 /jaar) werkdagen]]</f>
        <v>5560</v>
      </c>
      <c r="AF1307" s="60">
        <f>Ruimtestaat[[#This Row],[uren / jaar weekend]]+Ruimtestaat[[#This Row],[uren / jaar werkdagen]]</f>
        <v>0</v>
      </c>
      <c r="AG1307" s="61">
        <f>Ruimtestaat[[#This Row],[kosten / jaar weekend]]+Ruimtestaat[[#This Row],[kosten / jaar werkdagen]]</f>
        <v>0</v>
      </c>
      <c r="AH1307" s="92"/>
      <c r="HL1307" s="59"/>
    </row>
    <row r="1308" spans="1:220">
      <c r="A1308" s="24">
        <v>7</v>
      </c>
      <c r="B1308" s="24" t="str">
        <f>VLOOKUP(Ruimtestaat[[#This Row],[Code]],Locaties[#All],2,FALSE)</f>
        <v>Het Vlier</v>
      </c>
      <c r="C1308" s="24" t="str">
        <f>VLOOKUP(Ruimtestaat[[#This Row],[Code]],Locaties[#All],4,FALSE)</f>
        <v>Het Vlier 1</v>
      </c>
      <c r="D1308" s="24" t="str">
        <f>VLOOKUP(Ruimtestaat[[#This Row],[Code]],Locaties[#All],5,FALSE)</f>
        <v>7414 AR</v>
      </c>
      <c r="E1308" s="24" t="str">
        <f>VLOOKUP(Ruimtestaat[[#This Row],[Code]],Locaties[#All],6,FALSE)</f>
        <v>Deventer</v>
      </c>
      <c r="F1308" s="54"/>
      <c r="G1308" s="24" t="s">
        <v>599</v>
      </c>
      <c r="H1308" s="24" t="s">
        <v>1739</v>
      </c>
      <c r="I1308" s="4" t="s">
        <v>716</v>
      </c>
      <c r="J1308" s="24">
        <v>10</v>
      </c>
      <c r="K1308" s="54" t="str">
        <f>VLOOKUP(J1308,Ruimtegroepen[],2,FALSE)</f>
        <v>Trappenhuizen/lift</v>
      </c>
      <c r="L1308" s="24" t="s">
        <v>305</v>
      </c>
      <c r="M1308" s="24" t="s">
        <v>400</v>
      </c>
      <c r="N1308" s="83">
        <v>24.55</v>
      </c>
      <c r="O1308" s="83"/>
      <c r="P1308" s="93" t="str">
        <f>LEFT(VLOOKUP(Ruimtestaat[[#This Row],[Ruimte code]],Ruimtegroepen[#All],4,1),2)</f>
        <v>Ve</v>
      </c>
      <c r="Q1308" s="93"/>
      <c r="R1308" s="84">
        <v>40</v>
      </c>
      <c r="S1308" s="84" t="s">
        <v>318</v>
      </c>
      <c r="T1308" s="85">
        <f>IF(R1308&gt;0,IF(RIGHT(Ruimtestaat[[#This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8" s="85">
        <f>IF(T1308&gt;0,VLOOKUP($J1308,Ruimtegroepen[],3,FALSE)*VLOOKUP($L1308,Vloersoorten[],3,FALSE)*VLOOKUP($S1308,Frequenties[],3,FALSE)*VLOOKUP($A1308,Locaties[],3,FALSE),0)</f>
        <v>0</v>
      </c>
      <c r="V1308" s="86">
        <f>Ruimtestaat[[#This Row],[Uitvoeringen werkdagen]]*Ruimtestaat[[#This Row],[Oppervlak (netto)]]</f>
        <v>4910</v>
      </c>
      <c r="W1308" s="87">
        <f>IF(U1308&gt;0,Ruimtestaat[[#This Row],[Prest. (m2 /jaar) werkdagen]]/Ruimtestaat[[#This Row],[Norm (m2/uur) werkdagen]],0)</f>
        <v>0</v>
      </c>
      <c r="X1308" s="88">
        <f>Ruimtestaat[[#This Row],[uren / jaar werkdagen]]*Tariefsopbouw!$E$35</f>
        <v>0</v>
      </c>
      <c r="Y1308" s="85"/>
      <c r="Z1308" s="89">
        <f>IF(Ruimtestaat[[#This Row],[Frequentie weekend]]&gt;0,VALUE(LEFT(Y1308,1))*R1308,0)</f>
        <v>0</v>
      </c>
      <c r="AA1308" s="85">
        <f>IF($Z1308&gt;0,VLOOKUP($J1308,Ruimtegroepen[],3,FALSE)*VLOOKUP($L1308,Vloersoorten[],3,FALSE)*VLOOKUP($Y1308,Frequenties[],3,FALSE)*VLOOKUP(#REF!,Locaties[],3,FALSE),0)</f>
        <v>0</v>
      </c>
      <c r="AB1308" s="87">
        <f>Ruimtestaat[[#This Row],[Uitvoeringen weekend]]*Ruimtestaat[[#This Row],[Oppervlak (netto)]]</f>
        <v>0</v>
      </c>
      <c r="AC1308" s="90">
        <f>IF(AB1308&gt;0,Ruimtestaat[[#This Row],[Prest. (m2 /jaar) weekend]]/Ruimtestaat[[#This Row],[Norm (m2/uur) weekend]],0)</f>
        <v>0</v>
      </c>
      <c r="AD1308" s="91">
        <f>Ruimtestaat[[#This Row],[uren / jaar weekend]]*Tariefsopbouw!$D$40</f>
        <v>0</v>
      </c>
      <c r="AE1308" s="60">
        <f>Ruimtestaat[[#This Row],[Prest. (m2 /jaar) weekend]]+Ruimtestaat[[#This Row],[Prest. (m2 /jaar) werkdagen]]</f>
        <v>4910</v>
      </c>
      <c r="AF1308" s="60">
        <f>Ruimtestaat[[#This Row],[uren / jaar weekend]]+Ruimtestaat[[#This Row],[uren / jaar werkdagen]]</f>
        <v>0</v>
      </c>
      <c r="AG1308" s="61">
        <f>Ruimtestaat[[#This Row],[kosten / jaar weekend]]+Ruimtestaat[[#This Row],[kosten / jaar werkdagen]]</f>
        <v>0</v>
      </c>
      <c r="AH1308" s="92"/>
      <c r="HL1308" s="59"/>
    </row>
    <row r="1309" spans="1:220">
      <c r="A1309" s="24">
        <v>7</v>
      </c>
      <c r="B1309" s="24" t="str">
        <f>VLOOKUP(Ruimtestaat[[#This Row],[Code]],Locaties[#All],2,FALSE)</f>
        <v>Het Vlier</v>
      </c>
      <c r="C1309" s="24" t="str">
        <f>VLOOKUP(Ruimtestaat[[#This Row],[Code]],Locaties[#All],4,FALSE)</f>
        <v>Het Vlier 1</v>
      </c>
      <c r="D1309" s="24" t="str">
        <f>VLOOKUP(Ruimtestaat[[#This Row],[Code]],Locaties[#All],5,FALSE)</f>
        <v>7414 AR</v>
      </c>
      <c r="E1309" s="24" t="str">
        <f>VLOOKUP(Ruimtestaat[[#This Row],[Code]],Locaties[#All],6,FALSE)</f>
        <v>Deventer</v>
      </c>
      <c r="F1309" s="54"/>
      <c r="G1309" s="24" t="s">
        <v>569</v>
      </c>
      <c r="H1309" s="24" t="s">
        <v>1740</v>
      </c>
      <c r="I1309" s="4" t="s">
        <v>1741</v>
      </c>
      <c r="J1309" s="24">
        <v>22</v>
      </c>
      <c r="K1309" s="54" t="str">
        <f>VLOOKUP(J1309,Ruimtegroepen[],2,FALSE)</f>
        <v>Niet in onderhoud</v>
      </c>
      <c r="M1309" s="24"/>
      <c r="N1309" s="83"/>
      <c r="O1309" s="83">
        <v>13.3</v>
      </c>
      <c r="P1309" s="93" t="str">
        <f>LEFT(VLOOKUP(Ruimtestaat[[#This Row],[Ruimte code]],Ruimtegroepen[#All],4,1),2)</f>
        <v/>
      </c>
      <c r="Q1309" s="93"/>
      <c r="R1309" s="84"/>
      <c r="S1309" s="84"/>
      <c r="T1309" s="85">
        <f>IF(R1309&gt;0,IF(RIGHT(Ruimtestaat[[#This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09" s="85">
        <f>IF(T1309&gt;0,VLOOKUP($J1309,Ruimtegroepen[],3,FALSE)*VLOOKUP($L1309,Vloersoorten[],3,FALSE)*VLOOKUP($S1309,Frequenties[],3,FALSE)*VLOOKUP($A1309,Locaties[],3,FALSE),0)</f>
        <v>0</v>
      </c>
      <c r="V1309" s="86">
        <f>Ruimtestaat[[#This Row],[Uitvoeringen werkdagen]]*Ruimtestaat[[#This Row],[Oppervlak (netto)]]</f>
        <v>0</v>
      </c>
      <c r="W1309" s="87">
        <f>IF(U1309&gt;0,Ruimtestaat[[#This Row],[Prest. (m2 /jaar) werkdagen]]/Ruimtestaat[[#This Row],[Norm (m2/uur) werkdagen]],0)</f>
        <v>0</v>
      </c>
      <c r="X1309" s="88">
        <f>Ruimtestaat[[#This Row],[uren / jaar werkdagen]]*Tariefsopbouw!$E$35</f>
        <v>0</v>
      </c>
      <c r="Y1309" s="85"/>
      <c r="Z1309" s="89">
        <f>IF(Ruimtestaat[[#This Row],[Frequentie weekend]]&gt;0,VALUE(LEFT(Y1309,1))*R1309,0)</f>
        <v>0</v>
      </c>
      <c r="AA1309" s="85">
        <f>IF($Z1309&gt;0,VLOOKUP($J1309,Ruimtegroepen[],3,FALSE)*VLOOKUP($L1309,Vloersoorten[],3,FALSE)*VLOOKUP($Y1309,Frequenties[],3,FALSE)*VLOOKUP(#REF!,Locaties[],3,FALSE),0)</f>
        <v>0</v>
      </c>
      <c r="AB1309" s="87">
        <f>Ruimtestaat[[#This Row],[Uitvoeringen weekend]]*Ruimtestaat[[#This Row],[Oppervlak (netto)]]</f>
        <v>0</v>
      </c>
      <c r="AC1309" s="90">
        <f>IF(AB1309&gt;0,Ruimtestaat[[#This Row],[Prest. (m2 /jaar) weekend]]/Ruimtestaat[[#This Row],[Norm (m2/uur) weekend]],0)</f>
        <v>0</v>
      </c>
      <c r="AD1309" s="91">
        <f>Ruimtestaat[[#This Row],[uren / jaar weekend]]*Tariefsopbouw!$D$40</f>
        <v>0</v>
      </c>
      <c r="AE1309" s="60">
        <f>Ruimtestaat[[#This Row],[Prest. (m2 /jaar) weekend]]+Ruimtestaat[[#This Row],[Prest. (m2 /jaar) werkdagen]]</f>
        <v>0</v>
      </c>
      <c r="AF1309" s="60">
        <f>Ruimtestaat[[#This Row],[uren / jaar weekend]]+Ruimtestaat[[#This Row],[uren / jaar werkdagen]]</f>
        <v>0</v>
      </c>
      <c r="AG1309" s="61">
        <f>Ruimtestaat[[#This Row],[kosten / jaar weekend]]+Ruimtestaat[[#This Row],[kosten / jaar werkdagen]]</f>
        <v>0</v>
      </c>
      <c r="AH1309" s="92"/>
      <c r="HL1309" s="59"/>
    </row>
    <row r="1310" spans="1:220">
      <c r="A1310" s="24">
        <v>8</v>
      </c>
      <c r="B1310" s="24" t="str">
        <f>VLOOKUP(Ruimtestaat[[#This Row],[Code]],Locaties[#All],2,FALSE)</f>
        <v>Arkelstijn</v>
      </c>
      <c r="C1310" s="24" t="str">
        <f>VLOOKUP(Ruimtestaat[[#This Row],[Code]],Locaties[#All],4,FALSE)</f>
        <v>Arkelstein 8</v>
      </c>
      <c r="D1310" s="24" t="str">
        <f>VLOOKUP(Ruimtestaat[[#This Row],[Code]],Locaties[#All],5,FALSE)</f>
        <v>7414 EP</v>
      </c>
      <c r="E1310" s="24" t="str">
        <f>VLOOKUP(Ruimtestaat[[#This Row],[Code]],Locaties[#All],6,FALSE)</f>
        <v>Deventer</v>
      </c>
      <c r="F1310" s="54"/>
      <c r="G1310" s="24" t="s">
        <v>367</v>
      </c>
      <c r="H1310" s="24" t="s">
        <v>1742</v>
      </c>
      <c r="I1310" s="4" t="s">
        <v>1098</v>
      </c>
      <c r="J1310" s="24">
        <v>16</v>
      </c>
      <c r="K1310" s="54" t="str">
        <f>VLOOKUP(J1310,Ruimtegroepen[],2,FALSE)</f>
        <v>Leslokalen theorie</v>
      </c>
      <c r="L1310" s="24" t="s">
        <v>300</v>
      </c>
      <c r="M1310" s="24" t="s">
        <v>1743</v>
      </c>
      <c r="N1310" s="83">
        <v>79.180000000000007</v>
      </c>
      <c r="O1310" s="83"/>
      <c r="P1310" s="93" t="str">
        <f>LEFT(VLOOKUP(Ruimtestaat[[#This Row],[Ruimte code]],Ruimtegroepen[#All],4,1),2)</f>
        <v>Le</v>
      </c>
      <c r="Q1310" s="93"/>
      <c r="R1310" s="84">
        <v>40</v>
      </c>
      <c r="S1310" s="84" t="s">
        <v>318</v>
      </c>
      <c r="T1310" s="85">
        <f>IF(R1310&gt;0,IF(RIGHT(Ruimtestaat[[#This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0" s="85">
        <f>IF(T1310&gt;0,VLOOKUP($J1310,Ruimtegroepen[],3,FALSE)*VLOOKUP($L1310,Vloersoorten[],3,FALSE)*VLOOKUP($S1310,Frequenties[],3,FALSE)*VLOOKUP($A1310,Locaties[],3,FALSE),0)</f>
        <v>0</v>
      </c>
      <c r="V1310" s="86">
        <f>Ruimtestaat[[#This Row],[Uitvoeringen werkdagen]]*Ruimtestaat[[#This Row],[Oppervlak (netto)]]</f>
        <v>15836.000000000002</v>
      </c>
      <c r="W1310" s="87">
        <f>IF(U1310&gt;0,Ruimtestaat[[#This Row],[Prest. (m2 /jaar) werkdagen]]/Ruimtestaat[[#This Row],[Norm (m2/uur) werkdagen]],0)</f>
        <v>0</v>
      </c>
      <c r="X1310" s="88">
        <f>Ruimtestaat[[#This Row],[uren / jaar werkdagen]]*Tariefsopbouw!$E$35</f>
        <v>0</v>
      </c>
      <c r="Y1310" s="85"/>
      <c r="Z1310" s="89">
        <f>IF(Ruimtestaat[[#This Row],[Frequentie weekend]]&gt;0,VALUE(LEFT(Y1310,1))*R1310,0)</f>
        <v>0</v>
      </c>
      <c r="AA1310" s="85">
        <f>IF($Z1310&gt;0,VLOOKUP($J1310,Ruimtegroepen[],3,FALSE)*VLOOKUP($L1310,Vloersoorten[],3,FALSE)*VLOOKUP($Y1310,Frequenties[],3,FALSE)*VLOOKUP(#REF!,Locaties[],3,FALSE),0)</f>
        <v>0</v>
      </c>
      <c r="AB1310" s="87">
        <f>Ruimtestaat[[#This Row],[Uitvoeringen weekend]]*Ruimtestaat[[#This Row],[Oppervlak (netto)]]</f>
        <v>0</v>
      </c>
      <c r="AC1310" s="90">
        <f>IF(AB1310&gt;0,Ruimtestaat[[#This Row],[Prest. (m2 /jaar) weekend]]/Ruimtestaat[[#This Row],[Norm (m2/uur) weekend]],0)</f>
        <v>0</v>
      </c>
      <c r="AD1310" s="91">
        <f>Ruimtestaat[[#This Row],[uren / jaar weekend]]*Tariefsopbouw!$D$40</f>
        <v>0</v>
      </c>
      <c r="AE1310" s="60">
        <f>Ruimtestaat[[#This Row],[Prest. (m2 /jaar) weekend]]+Ruimtestaat[[#This Row],[Prest. (m2 /jaar) werkdagen]]</f>
        <v>15836.000000000002</v>
      </c>
      <c r="AF1310" s="60">
        <f>Ruimtestaat[[#This Row],[uren / jaar weekend]]+Ruimtestaat[[#This Row],[uren / jaar werkdagen]]</f>
        <v>0</v>
      </c>
      <c r="AG1310" s="61">
        <f>Ruimtestaat[[#This Row],[kosten / jaar weekend]]+Ruimtestaat[[#This Row],[kosten / jaar werkdagen]]</f>
        <v>0</v>
      </c>
      <c r="AH1310" s="92"/>
      <c r="HL1310" s="59"/>
    </row>
    <row r="1311" spans="1:220">
      <c r="A1311" s="24">
        <v>8</v>
      </c>
      <c r="B1311" s="24" t="str">
        <f>VLOOKUP(Ruimtestaat[[#This Row],[Code]],Locaties[#All],2,FALSE)</f>
        <v>Arkelstijn</v>
      </c>
      <c r="C1311" s="24" t="str">
        <f>VLOOKUP(Ruimtestaat[[#This Row],[Code]],Locaties[#All],4,FALSE)</f>
        <v>Arkelstein 8</v>
      </c>
      <c r="D1311" s="24" t="str">
        <f>VLOOKUP(Ruimtestaat[[#This Row],[Code]],Locaties[#All],5,FALSE)</f>
        <v>7414 EP</v>
      </c>
      <c r="E1311" s="24" t="str">
        <f>VLOOKUP(Ruimtestaat[[#This Row],[Code]],Locaties[#All],6,FALSE)</f>
        <v>Deventer</v>
      </c>
      <c r="F1311" s="54"/>
      <c r="G1311" s="24" t="s">
        <v>367</v>
      </c>
      <c r="H1311" s="24" t="s">
        <v>1744</v>
      </c>
      <c r="I1311" s="4" t="s">
        <v>384</v>
      </c>
      <c r="J1311" s="24">
        <v>4</v>
      </c>
      <c r="K1311" s="54" t="str">
        <f>VLOOKUP(J1311,Ruimtegroepen[],2,FALSE)</f>
        <v>Vergader/spreekkamers</v>
      </c>
      <c r="L1311" s="24" t="s">
        <v>300</v>
      </c>
      <c r="M1311" s="24" t="s">
        <v>1743</v>
      </c>
      <c r="N1311" s="83">
        <v>18.8</v>
      </c>
      <c r="O1311" s="83"/>
      <c r="P1311" s="93" t="str">
        <f>LEFT(VLOOKUP(Ruimtestaat[[#This Row],[Ruimte code]],Ruimtegroepen[#All],4,1),2)</f>
        <v>Bu</v>
      </c>
      <c r="Q1311" s="93"/>
      <c r="R1311" s="84">
        <v>40</v>
      </c>
      <c r="S1311" s="84" t="s">
        <v>322</v>
      </c>
      <c r="T1311" s="85">
        <f>IF(R1311&gt;0,IF(RIGHT(Ruimtestaat[[#This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311" s="85">
        <f>IF(T1311&gt;0,VLOOKUP($J1311,Ruimtegroepen[],3,FALSE)*VLOOKUP($L1311,Vloersoorten[],3,FALSE)*VLOOKUP($S1311,Frequenties[],3,FALSE)*VLOOKUP($A1311,Locaties[],3,FALSE),0)</f>
        <v>0</v>
      </c>
      <c r="V1311" s="86">
        <f>Ruimtestaat[[#This Row],[Uitvoeringen werkdagen]]*Ruimtestaat[[#This Row],[Oppervlak (netto)]]</f>
        <v>2256</v>
      </c>
      <c r="W1311" s="87">
        <f>IF(U1311&gt;0,Ruimtestaat[[#This Row],[Prest. (m2 /jaar) werkdagen]]/Ruimtestaat[[#This Row],[Norm (m2/uur) werkdagen]],0)</f>
        <v>0</v>
      </c>
      <c r="X1311" s="88">
        <f>Ruimtestaat[[#This Row],[uren / jaar werkdagen]]*Tariefsopbouw!$E$35</f>
        <v>0</v>
      </c>
      <c r="Y1311" s="85"/>
      <c r="Z1311" s="89">
        <f>IF(Ruimtestaat[[#This Row],[Frequentie weekend]]&gt;0,VALUE(LEFT(Y1311,1))*R1311,0)</f>
        <v>0</v>
      </c>
      <c r="AA1311" s="85">
        <f>IF($Z1311&gt;0,VLOOKUP($J1311,Ruimtegroepen[],3,FALSE)*VLOOKUP($L1311,Vloersoorten[],3,FALSE)*VLOOKUP($Y1311,Frequenties[],3,FALSE)*VLOOKUP(#REF!,Locaties[],3,FALSE),0)</f>
        <v>0</v>
      </c>
      <c r="AB1311" s="87">
        <f>Ruimtestaat[[#This Row],[Uitvoeringen weekend]]*Ruimtestaat[[#This Row],[Oppervlak (netto)]]</f>
        <v>0</v>
      </c>
      <c r="AC1311" s="90">
        <f>IF(AB1311&gt;0,Ruimtestaat[[#This Row],[Prest. (m2 /jaar) weekend]]/Ruimtestaat[[#This Row],[Norm (m2/uur) weekend]],0)</f>
        <v>0</v>
      </c>
      <c r="AD1311" s="91">
        <f>Ruimtestaat[[#This Row],[uren / jaar weekend]]*Tariefsopbouw!$D$40</f>
        <v>0</v>
      </c>
      <c r="AE1311" s="60">
        <f>Ruimtestaat[[#This Row],[Prest. (m2 /jaar) weekend]]+Ruimtestaat[[#This Row],[Prest. (m2 /jaar) werkdagen]]</f>
        <v>2256</v>
      </c>
      <c r="AF1311" s="60">
        <f>Ruimtestaat[[#This Row],[uren / jaar weekend]]+Ruimtestaat[[#This Row],[uren / jaar werkdagen]]</f>
        <v>0</v>
      </c>
      <c r="AG1311" s="61">
        <f>Ruimtestaat[[#This Row],[kosten / jaar weekend]]+Ruimtestaat[[#This Row],[kosten / jaar werkdagen]]</f>
        <v>0</v>
      </c>
      <c r="AH1311" s="92"/>
      <c r="HL1311" s="59"/>
    </row>
    <row r="1312" spans="1:220">
      <c r="A1312" s="24">
        <v>8</v>
      </c>
      <c r="B1312" s="24" t="str">
        <f>VLOOKUP(Ruimtestaat[[#This Row],[Code]],Locaties[#All],2,FALSE)</f>
        <v>Arkelstijn</v>
      </c>
      <c r="C1312" s="24" t="str">
        <f>VLOOKUP(Ruimtestaat[[#This Row],[Code]],Locaties[#All],4,FALSE)</f>
        <v>Arkelstein 8</v>
      </c>
      <c r="D1312" s="24" t="str">
        <f>VLOOKUP(Ruimtestaat[[#This Row],[Code]],Locaties[#All],5,FALSE)</f>
        <v>7414 EP</v>
      </c>
      <c r="E1312" s="24" t="str">
        <f>VLOOKUP(Ruimtestaat[[#This Row],[Code]],Locaties[#All],6,FALSE)</f>
        <v>Deventer</v>
      </c>
      <c r="F1312" s="54"/>
      <c r="G1312" s="24" t="s">
        <v>367</v>
      </c>
      <c r="H1312" s="24" t="s">
        <v>1745</v>
      </c>
      <c r="I1312" s="4" t="s">
        <v>1746</v>
      </c>
      <c r="J1312" s="24">
        <v>2</v>
      </c>
      <c r="K1312" s="54" t="str">
        <f>VLOOKUP(J1312,Ruimtegroepen[],2,FALSE)</f>
        <v>Kantoren</v>
      </c>
      <c r="L1312" s="24" t="s">
        <v>300</v>
      </c>
      <c r="M1312" s="24" t="s">
        <v>1743</v>
      </c>
      <c r="N1312" s="83">
        <v>22</v>
      </c>
      <c r="O1312" s="83"/>
      <c r="P1312" s="93" t="str">
        <f>LEFT(VLOOKUP(Ruimtestaat[[#This Row],[Ruimte code]],Ruimtegroepen[#All],4,1),2)</f>
        <v>Bu</v>
      </c>
      <c r="Q1312" s="93"/>
      <c r="R1312" s="84">
        <v>42</v>
      </c>
      <c r="S1312" s="84" t="s">
        <v>322</v>
      </c>
      <c r="T1312" s="85">
        <f>IF(R1312&gt;0,IF(RIGHT(Ruimtestaat[[#This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12" s="85">
        <f>IF(T1312&gt;0,VLOOKUP($J1312,Ruimtegroepen[],3,FALSE)*VLOOKUP($L1312,Vloersoorten[],3,FALSE)*VLOOKUP($S1312,Frequenties[],3,FALSE)*VLOOKUP($A1312,Locaties[],3,FALSE),0)</f>
        <v>0</v>
      </c>
      <c r="V1312" s="86">
        <f>Ruimtestaat[[#This Row],[Uitvoeringen werkdagen]]*Ruimtestaat[[#This Row],[Oppervlak (netto)]]</f>
        <v>2772</v>
      </c>
      <c r="W1312" s="87">
        <f>IF(U1312&gt;0,Ruimtestaat[[#This Row],[Prest. (m2 /jaar) werkdagen]]/Ruimtestaat[[#This Row],[Norm (m2/uur) werkdagen]],0)</f>
        <v>0</v>
      </c>
      <c r="X1312" s="88">
        <f>Ruimtestaat[[#This Row],[uren / jaar werkdagen]]*Tariefsopbouw!$E$35</f>
        <v>0</v>
      </c>
      <c r="Y1312" s="85"/>
      <c r="Z1312" s="89">
        <f>IF(Ruimtestaat[[#This Row],[Frequentie weekend]]&gt;0,VALUE(LEFT(Y1312,1))*R1312,0)</f>
        <v>0</v>
      </c>
      <c r="AA1312" s="85">
        <f>IF($Z1312&gt;0,VLOOKUP($J1312,Ruimtegroepen[],3,FALSE)*VLOOKUP($L1312,Vloersoorten[],3,FALSE)*VLOOKUP($Y1312,Frequenties[],3,FALSE)*VLOOKUP(#REF!,Locaties[],3,FALSE),0)</f>
        <v>0</v>
      </c>
      <c r="AB1312" s="87">
        <f>Ruimtestaat[[#This Row],[Uitvoeringen weekend]]*Ruimtestaat[[#This Row],[Oppervlak (netto)]]</f>
        <v>0</v>
      </c>
      <c r="AC1312" s="90">
        <f>IF(AB1312&gt;0,Ruimtestaat[[#This Row],[Prest. (m2 /jaar) weekend]]/Ruimtestaat[[#This Row],[Norm (m2/uur) weekend]],0)</f>
        <v>0</v>
      </c>
      <c r="AD1312" s="91">
        <f>Ruimtestaat[[#This Row],[uren / jaar weekend]]*Tariefsopbouw!$D$40</f>
        <v>0</v>
      </c>
      <c r="AE1312" s="60">
        <f>Ruimtestaat[[#This Row],[Prest. (m2 /jaar) weekend]]+Ruimtestaat[[#This Row],[Prest. (m2 /jaar) werkdagen]]</f>
        <v>2772</v>
      </c>
      <c r="AF1312" s="60">
        <f>Ruimtestaat[[#This Row],[uren / jaar weekend]]+Ruimtestaat[[#This Row],[uren / jaar werkdagen]]</f>
        <v>0</v>
      </c>
      <c r="AG1312" s="61">
        <f>Ruimtestaat[[#This Row],[kosten / jaar weekend]]+Ruimtestaat[[#This Row],[kosten / jaar werkdagen]]</f>
        <v>0</v>
      </c>
      <c r="AH1312" s="92"/>
      <c r="HL1312" s="59"/>
    </row>
    <row r="1313" spans="1:220">
      <c r="A1313" s="24">
        <v>8</v>
      </c>
      <c r="B1313" s="24" t="str">
        <f>VLOOKUP(Ruimtestaat[[#This Row],[Code]],Locaties[#All],2,FALSE)</f>
        <v>Arkelstijn</v>
      </c>
      <c r="C1313" s="24" t="str">
        <f>VLOOKUP(Ruimtestaat[[#This Row],[Code]],Locaties[#All],4,FALSE)</f>
        <v>Arkelstein 8</v>
      </c>
      <c r="D1313" s="24" t="str">
        <f>VLOOKUP(Ruimtestaat[[#This Row],[Code]],Locaties[#All],5,FALSE)</f>
        <v>7414 EP</v>
      </c>
      <c r="E1313" s="24" t="str">
        <f>VLOOKUP(Ruimtestaat[[#This Row],[Code]],Locaties[#All],6,FALSE)</f>
        <v>Deventer</v>
      </c>
      <c r="F1313" s="54"/>
      <c r="G1313" s="24" t="s">
        <v>367</v>
      </c>
      <c r="H1313" s="24" t="s">
        <v>1747</v>
      </c>
      <c r="I1313" s="4" t="s">
        <v>1098</v>
      </c>
      <c r="J1313" s="24">
        <v>16</v>
      </c>
      <c r="K1313" s="54" t="str">
        <f>VLOOKUP(J1313,Ruimtegroepen[],2,FALSE)</f>
        <v>Leslokalen theorie</v>
      </c>
      <c r="L1313" s="24" t="s">
        <v>300</v>
      </c>
      <c r="M1313" s="24" t="s">
        <v>1743</v>
      </c>
      <c r="N1313" s="83">
        <v>83.65</v>
      </c>
      <c r="O1313" s="83"/>
      <c r="P1313" s="93" t="str">
        <f>LEFT(VLOOKUP(Ruimtestaat[[#This Row],[Ruimte code]],Ruimtegroepen[#All],4,1),2)</f>
        <v>Le</v>
      </c>
      <c r="Q1313" s="93"/>
      <c r="R1313" s="84">
        <v>40</v>
      </c>
      <c r="S1313" s="84" t="s">
        <v>318</v>
      </c>
      <c r="T1313" s="85">
        <f>IF(R1313&gt;0,IF(RIGHT(Ruimtestaat[[#This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3" s="85">
        <f>IF(T1313&gt;0,VLOOKUP($J1313,Ruimtegroepen[],3,FALSE)*VLOOKUP($L1313,Vloersoorten[],3,FALSE)*VLOOKUP($S1313,Frequenties[],3,FALSE)*VLOOKUP($A1313,Locaties[],3,FALSE),0)</f>
        <v>0</v>
      </c>
      <c r="V1313" s="86">
        <f>Ruimtestaat[[#This Row],[Uitvoeringen werkdagen]]*Ruimtestaat[[#This Row],[Oppervlak (netto)]]</f>
        <v>16730</v>
      </c>
      <c r="W1313" s="87">
        <f>IF(U1313&gt;0,Ruimtestaat[[#This Row],[Prest. (m2 /jaar) werkdagen]]/Ruimtestaat[[#This Row],[Norm (m2/uur) werkdagen]],0)</f>
        <v>0</v>
      </c>
      <c r="X1313" s="88">
        <f>Ruimtestaat[[#This Row],[uren / jaar werkdagen]]*Tariefsopbouw!$E$35</f>
        <v>0</v>
      </c>
      <c r="Y1313" s="85"/>
      <c r="Z1313" s="89">
        <f>IF(Ruimtestaat[[#This Row],[Frequentie weekend]]&gt;0,VALUE(LEFT(Y1313,1))*R1313,0)</f>
        <v>0</v>
      </c>
      <c r="AA1313" s="85">
        <f>IF($Z1313&gt;0,VLOOKUP($J1313,Ruimtegroepen[],3,FALSE)*VLOOKUP($L1313,Vloersoorten[],3,FALSE)*VLOOKUP($Y1313,Frequenties[],3,FALSE)*VLOOKUP(#REF!,Locaties[],3,FALSE),0)</f>
        <v>0</v>
      </c>
      <c r="AB1313" s="87">
        <f>Ruimtestaat[[#This Row],[Uitvoeringen weekend]]*Ruimtestaat[[#This Row],[Oppervlak (netto)]]</f>
        <v>0</v>
      </c>
      <c r="AC1313" s="90">
        <f>IF(AB1313&gt;0,Ruimtestaat[[#This Row],[Prest. (m2 /jaar) weekend]]/Ruimtestaat[[#This Row],[Norm (m2/uur) weekend]],0)</f>
        <v>0</v>
      </c>
      <c r="AD1313" s="91">
        <f>Ruimtestaat[[#This Row],[uren / jaar weekend]]*Tariefsopbouw!$D$40</f>
        <v>0</v>
      </c>
      <c r="AE1313" s="60">
        <f>Ruimtestaat[[#This Row],[Prest. (m2 /jaar) weekend]]+Ruimtestaat[[#This Row],[Prest. (m2 /jaar) werkdagen]]</f>
        <v>16730</v>
      </c>
      <c r="AF1313" s="60">
        <f>Ruimtestaat[[#This Row],[uren / jaar weekend]]+Ruimtestaat[[#This Row],[uren / jaar werkdagen]]</f>
        <v>0</v>
      </c>
      <c r="AG1313" s="61">
        <f>Ruimtestaat[[#This Row],[kosten / jaar weekend]]+Ruimtestaat[[#This Row],[kosten / jaar werkdagen]]</f>
        <v>0</v>
      </c>
      <c r="AH1313" s="92"/>
      <c r="HL1313" s="59"/>
    </row>
    <row r="1314" spans="1:220">
      <c r="A1314" s="24">
        <v>8</v>
      </c>
      <c r="B1314" s="24" t="str">
        <f>VLOOKUP(Ruimtestaat[[#This Row],[Code]],Locaties[#All],2,FALSE)</f>
        <v>Arkelstijn</v>
      </c>
      <c r="C1314" s="24" t="str">
        <f>VLOOKUP(Ruimtestaat[[#This Row],[Code]],Locaties[#All],4,FALSE)</f>
        <v>Arkelstein 8</v>
      </c>
      <c r="D1314" s="24" t="str">
        <f>VLOOKUP(Ruimtestaat[[#This Row],[Code]],Locaties[#All],5,FALSE)</f>
        <v>7414 EP</v>
      </c>
      <c r="E1314" s="24" t="str">
        <f>VLOOKUP(Ruimtestaat[[#This Row],[Code]],Locaties[#All],6,FALSE)</f>
        <v>Deventer</v>
      </c>
      <c r="F1314" s="54"/>
      <c r="G1314" s="24" t="s">
        <v>367</v>
      </c>
      <c r="H1314" s="24" t="s">
        <v>1748</v>
      </c>
      <c r="I1314" s="4" t="s">
        <v>1098</v>
      </c>
      <c r="J1314" s="24">
        <v>16</v>
      </c>
      <c r="K1314" s="54" t="str">
        <f>VLOOKUP(J1314,Ruimtegroepen[],2,FALSE)</f>
        <v>Leslokalen theorie</v>
      </c>
      <c r="L1314" s="24" t="s">
        <v>300</v>
      </c>
      <c r="M1314" s="24" t="s">
        <v>1743</v>
      </c>
      <c r="N1314" s="83">
        <v>60.65</v>
      </c>
      <c r="O1314" s="83"/>
      <c r="P1314" s="93" t="str">
        <f>LEFT(VLOOKUP(Ruimtestaat[[#This Row],[Ruimte code]],Ruimtegroepen[#All],4,1),2)</f>
        <v>Le</v>
      </c>
      <c r="Q1314" s="93"/>
      <c r="R1314" s="84">
        <v>40</v>
      </c>
      <c r="S1314" s="84" t="s">
        <v>318</v>
      </c>
      <c r="T1314" s="85">
        <f>IF(R1314&gt;0,IF(RIGHT(Ruimtestaat[[#This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4" s="85">
        <f>IF(T1314&gt;0,VLOOKUP($J1314,Ruimtegroepen[],3,FALSE)*VLOOKUP($L1314,Vloersoorten[],3,FALSE)*VLOOKUP($S1314,Frequenties[],3,FALSE)*VLOOKUP($A1314,Locaties[],3,FALSE),0)</f>
        <v>0</v>
      </c>
      <c r="V1314" s="86">
        <f>Ruimtestaat[[#This Row],[Uitvoeringen werkdagen]]*Ruimtestaat[[#This Row],[Oppervlak (netto)]]</f>
        <v>12130</v>
      </c>
      <c r="W1314" s="87">
        <f>IF(U1314&gt;0,Ruimtestaat[[#This Row],[Prest. (m2 /jaar) werkdagen]]/Ruimtestaat[[#This Row],[Norm (m2/uur) werkdagen]],0)</f>
        <v>0</v>
      </c>
      <c r="X1314" s="88">
        <f>Ruimtestaat[[#This Row],[uren / jaar werkdagen]]*Tariefsopbouw!$E$35</f>
        <v>0</v>
      </c>
      <c r="Y1314" s="85"/>
      <c r="Z1314" s="89">
        <f>IF(Ruimtestaat[[#This Row],[Frequentie weekend]]&gt;0,VALUE(LEFT(Y1314,1))*R1314,0)</f>
        <v>0</v>
      </c>
      <c r="AA1314" s="85">
        <f>IF($Z1314&gt;0,VLOOKUP($J1314,Ruimtegroepen[],3,FALSE)*VLOOKUP($L1314,Vloersoorten[],3,FALSE)*VLOOKUP($Y1314,Frequenties[],3,FALSE)*VLOOKUP(#REF!,Locaties[],3,FALSE),0)</f>
        <v>0</v>
      </c>
      <c r="AB1314" s="87">
        <f>Ruimtestaat[[#This Row],[Uitvoeringen weekend]]*Ruimtestaat[[#This Row],[Oppervlak (netto)]]</f>
        <v>0</v>
      </c>
      <c r="AC1314" s="90">
        <f>IF(AB1314&gt;0,Ruimtestaat[[#This Row],[Prest. (m2 /jaar) weekend]]/Ruimtestaat[[#This Row],[Norm (m2/uur) weekend]],0)</f>
        <v>0</v>
      </c>
      <c r="AD1314" s="91">
        <f>Ruimtestaat[[#This Row],[uren / jaar weekend]]*Tariefsopbouw!$D$40</f>
        <v>0</v>
      </c>
      <c r="AE1314" s="60">
        <f>Ruimtestaat[[#This Row],[Prest. (m2 /jaar) weekend]]+Ruimtestaat[[#This Row],[Prest. (m2 /jaar) werkdagen]]</f>
        <v>12130</v>
      </c>
      <c r="AF1314" s="60">
        <f>Ruimtestaat[[#This Row],[uren / jaar weekend]]+Ruimtestaat[[#This Row],[uren / jaar werkdagen]]</f>
        <v>0</v>
      </c>
      <c r="AG1314" s="61">
        <f>Ruimtestaat[[#This Row],[kosten / jaar weekend]]+Ruimtestaat[[#This Row],[kosten / jaar werkdagen]]</f>
        <v>0</v>
      </c>
      <c r="AH1314" s="92"/>
      <c r="HL1314" s="59"/>
    </row>
    <row r="1315" spans="1:220">
      <c r="A1315" s="24">
        <v>8</v>
      </c>
      <c r="B1315" s="24" t="str">
        <f>VLOOKUP(Ruimtestaat[[#This Row],[Code]],Locaties[#All],2,FALSE)</f>
        <v>Arkelstijn</v>
      </c>
      <c r="C1315" s="24" t="str">
        <f>VLOOKUP(Ruimtestaat[[#This Row],[Code]],Locaties[#All],4,FALSE)</f>
        <v>Arkelstein 8</v>
      </c>
      <c r="D1315" s="24" t="str">
        <f>VLOOKUP(Ruimtestaat[[#This Row],[Code]],Locaties[#All],5,FALSE)</f>
        <v>7414 EP</v>
      </c>
      <c r="E1315" s="24" t="str">
        <f>VLOOKUP(Ruimtestaat[[#This Row],[Code]],Locaties[#All],6,FALSE)</f>
        <v>Deventer</v>
      </c>
      <c r="F1315" s="54"/>
      <c r="G1315" s="24" t="s">
        <v>367</v>
      </c>
      <c r="H1315" s="24" t="s">
        <v>1749</v>
      </c>
      <c r="I1315" s="4" t="s">
        <v>1750</v>
      </c>
      <c r="J1315" s="24">
        <v>2</v>
      </c>
      <c r="K1315" s="54" t="str">
        <f>VLOOKUP(J1315,Ruimtegroepen[],2,FALSE)</f>
        <v>Kantoren</v>
      </c>
      <c r="L1315" s="24" t="s">
        <v>300</v>
      </c>
      <c r="M1315" s="24" t="s">
        <v>1743</v>
      </c>
      <c r="N1315" s="83">
        <v>42.64</v>
      </c>
      <c r="O1315" s="83"/>
      <c r="P1315" s="93" t="str">
        <f>LEFT(VLOOKUP(Ruimtestaat[[#This Row],[Ruimte code]],Ruimtegroepen[#All],4,1),2)</f>
        <v>Bu</v>
      </c>
      <c r="Q1315" s="93"/>
      <c r="R1315" s="84">
        <v>42</v>
      </c>
      <c r="S1315" s="84" t="s">
        <v>322</v>
      </c>
      <c r="T1315" s="85">
        <f>IF(R1315&gt;0,IF(RIGHT(Ruimtestaat[[#This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15" s="85">
        <f>IF(T1315&gt;0,VLOOKUP($J1315,Ruimtegroepen[],3,FALSE)*VLOOKUP($L1315,Vloersoorten[],3,FALSE)*VLOOKUP($S1315,Frequenties[],3,FALSE)*VLOOKUP($A1315,Locaties[],3,FALSE),0)</f>
        <v>0</v>
      </c>
      <c r="V1315" s="86">
        <f>Ruimtestaat[[#This Row],[Uitvoeringen werkdagen]]*Ruimtestaat[[#This Row],[Oppervlak (netto)]]</f>
        <v>5372.64</v>
      </c>
      <c r="W1315" s="87">
        <f>IF(U1315&gt;0,Ruimtestaat[[#This Row],[Prest. (m2 /jaar) werkdagen]]/Ruimtestaat[[#This Row],[Norm (m2/uur) werkdagen]],0)</f>
        <v>0</v>
      </c>
      <c r="X1315" s="88">
        <f>Ruimtestaat[[#This Row],[uren / jaar werkdagen]]*Tariefsopbouw!$E$35</f>
        <v>0</v>
      </c>
      <c r="Y1315" s="85"/>
      <c r="Z1315" s="89">
        <f>IF(Ruimtestaat[[#This Row],[Frequentie weekend]]&gt;0,VALUE(LEFT(Y1315,1))*R1315,0)</f>
        <v>0</v>
      </c>
      <c r="AA1315" s="85">
        <f>IF($Z1315&gt;0,VLOOKUP($J1315,Ruimtegroepen[],3,FALSE)*VLOOKUP($L1315,Vloersoorten[],3,FALSE)*VLOOKUP($Y1315,Frequenties[],3,FALSE)*VLOOKUP(#REF!,Locaties[],3,FALSE),0)</f>
        <v>0</v>
      </c>
      <c r="AB1315" s="87">
        <f>Ruimtestaat[[#This Row],[Uitvoeringen weekend]]*Ruimtestaat[[#This Row],[Oppervlak (netto)]]</f>
        <v>0</v>
      </c>
      <c r="AC1315" s="90">
        <f>IF(AB1315&gt;0,Ruimtestaat[[#This Row],[Prest. (m2 /jaar) weekend]]/Ruimtestaat[[#This Row],[Norm (m2/uur) weekend]],0)</f>
        <v>0</v>
      </c>
      <c r="AD1315" s="91">
        <f>Ruimtestaat[[#This Row],[uren / jaar weekend]]*Tariefsopbouw!$D$40</f>
        <v>0</v>
      </c>
      <c r="AE1315" s="60">
        <f>Ruimtestaat[[#This Row],[Prest. (m2 /jaar) weekend]]+Ruimtestaat[[#This Row],[Prest. (m2 /jaar) werkdagen]]</f>
        <v>5372.64</v>
      </c>
      <c r="AF1315" s="60">
        <f>Ruimtestaat[[#This Row],[uren / jaar weekend]]+Ruimtestaat[[#This Row],[uren / jaar werkdagen]]</f>
        <v>0</v>
      </c>
      <c r="AG1315" s="61">
        <f>Ruimtestaat[[#This Row],[kosten / jaar weekend]]+Ruimtestaat[[#This Row],[kosten / jaar werkdagen]]</f>
        <v>0</v>
      </c>
      <c r="AH1315" s="92"/>
      <c r="HL1315" s="59"/>
    </row>
    <row r="1316" spans="1:220">
      <c r="A1316" s="24">
        <v>8</v>
      </c>
      <c r="B1316" s="24" t="str">
        <f>VLOOKUP(Ruimtestaat[[#This Row],[Code]],Locaties[#All],2,FALSE)</f>
        <v>Arkelstijn</v>
      </c>
      <c r="C1316" s="24" t="str">
        <f>VLOOKUP(Ruimtestaat[[#This Row],[Code]],Locaties[#All],4,FALSE)</f>
        <v>Arkelstein 8</v>
      </c>
      <c r="D1316" s="24" t="str">
        <f>VLOOKUP(Ruimtestaat[[#This Row],[Code]],Locaties[#All],5,FALSE)</f>
        <v>7414 EP</v>
      </c>
      <c r="E1316" s="24" t="str">
        <f>VLOOKUP(Ruimtestaat[[#This Row],[Code]],Locaties[#All],6,FALSE)</f>
        <v>Deventer</v>
      </c>
      <c r="F1316" s="54"/>
      <c r="G1316" s="24" t="s">
        <v>367</v>
      </c>
      <c r="H1316" s="24" t="s">
        <v>1751</v>
      </c>
      <c r="I1316" s="4" t="s">
        <v>1752</v>
      </c>
      <c r="J1316" s="24">
        <v>2</v>
      </c>
      <c r="K1316" s="54" t="str">
        <f>VLOOKUP(J1316,Ruimtegroepen[],2,FALSE)</f>
        <v>Kantoren</v>
      </c>
      <c r="L1316" s="24" t="s">
        <v>300</v>
      </c>
      <c r="M1316" s="24" t="s">
        <v>1743</v>
      </c>
      <c r="N1316" s="83">
        <v>14.48</v>
      </c>
      <c r="O1316" s="83"/>
      <c r="P1316" s="93" t="str">
        <f>LEFT(VLOOKUP(Ruimtestaat[[#This Row],[Ruimte code]],Ruimtegroepen[#All],4,1),2)</f>
        <v>Bu</v>
      </c>
      <c r="Q1316" s="93"/>
      <c r="R1316" s="84">
        <v>42</v>
      </c>
      <c r="S1316" s="84" t="s">
        <v>322</v>
      </c>
      <c r="T1316" s="85">
        <f>IF(R1316&gt;0,IF(RIGHT(Ruimtestaat[[#This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16" s="85">
        <f>IF(T1316&gt;0,VLOOKUP($J1316,Ruimtegroepen[],3,FALSE)*VLOOKUP($L1316,Vloersoorten[],3,FALSE)*VLOOKUP($S1316,Frequenties[],3,FALSE)*VLOOKUP($A1316,Locaties[],3,FALSE),0)</f>
        <v>0</v>
      </c>
      <c r="V1316" s="86">
        <f>Ruimtestaat[[#This Row],[Uitvoeringen werkdagen]]*Ruimtestaat[[#This Row],[Oppervlak (netto)]]</f>
        <v>1824.48</v>
      </c>
      <c r="W1316" s="87">
        <f>IF(U1316&gt;0,Ruimtestaat[[#This Row],[Prest. (m2 /jaar) werkdagen]]/Ruimtestaat[[#This Row],[Norm (m2/uur) werkdagen]],0)</f>
        <v>0</v>
      </c>
      <c r="X1316" s="88">
        <f>Ruimtestaat[[#This Row],[uren / jaar werkdagen]]*Tariefsopbouw!$E$35</f>
        <v>0</v>
      </c>
      <c r="Y1316" s="85"/>
      <c r="Z1316" s="89">
        <f>IF(Ruimtestaat[[#This Row],[Frequentie weekend]]&gt;0,VALUE(LEFT(Y1316,1))*R1316,0)</f>
        <v>0</v>
      </c>
      <c r="AA1316" s="85">
        <f>IF($Z1316&gt;0,VLOOKUP($J1316,Ruimtegroepen[],3,FALSE)*VLOOKUP($L1316,Vloersoorten[],3,FALSE)*VLOOKUP($Y1316,Frequenties[],3,FALSE)*VLOOKUP(#REF!,Locaties[],3,FALSE),0)</f>
        <v>0</v>
      </c>
      <c r="AB1316" s="87">
        <f>Ruimtestaat[[#This Row],[Uitvoeringen weekend]]*Ruimtestaat[[#This Row],[Oppervlak (netto)]]</f>
        <v>0</v>
      </c>
      <c r="AC1316" s="90">
        <f>IF(AB1316&gt;0,Ruimtestaat[[#This Row],[Prest. (m2 /jaar) weekend]]/Ruimtestaat[[#This Row],[Norm (m2/uur) weekend]],0)</f>
        <v>0</v>
      </c>
      <c r="AD1316" s="91">
        <f>Ruimtestaat[[#This Row],[uren / jaar weekend]]*Tariefsopbouw!$D$40</f>
        <v>0</v>
      </c>
      <c r="AE1316" s="60">
        <f>Ruimtestaat[[#This Row],[Prest. (m2 /jaar) weekend]]+Ruimtestaat[[#This Row],[Prest. (m2 /jaar) werkdagen]]</f>
        <v>1824.48</v>
      </c>
      <c r="AF1316" s="60">
        <f>Ruimtestaat[[#This Row],[uren / jaar weekend]]+Ruimtestaat[[#This Row],[uren / jaar werkdagen]]</f>
        <v>0</v>
      </c>
      <c r="AG1316" s="61">
        <f>Ruimtestaat[[#This Row],[kosten / jaar weekend]]+Ruimtestaat[[#This Row],[kosten / jaar werkdagen]]</f>
        <v>0</v>
      </c>
      <c r="AH1316" s="92"/>
      <c r="HL1316" s="59"/>
    </row>
    <row r="1317" spans="1:220">
      <c r="A1317" s="24">
        <v>8</v>
      </c>
      <c r="B1317" s="24" t="str">
        <f>VLOOKUP(Ruimtestaat[[#This Row],[Code]],Locaties[#All],2,FALSE)</f>
        <v>Arkelstijn</v>
      </c>
      <c r="C1317" s="24" t="str">
        <f>VLOOKUP(Ruimtestaat[[#This Row],[Code]],Locaties[#All],4,FALSE)</f>
        <v>Arkelstein 8</v>
      </c>
      <c r="D1317" s="24" t="str">
        <f>VLOOKUP(Ruimtestaat[[#This Row],[Code]],Locaties[#All],5,FALSE)</f>
        <v>7414 EP</v>
      </c>
      <c r="E1317" s="24" t="str">
        <f>VLOOKUP(Ruimtestaat[[#This Row],[Code]],Locaties[#All],6,FALSE)</f>
        <v>Deventer</v>
      </c>
      <c r="F1317" s="54"/>
      <c r="G1317" s="24" t="s">
        <v>367</v>
      </c>
      <c r="H1317" s="24" t="s">
        <v>1753</v>
      </c>
      <c r="I1317" s="4" t="s">
        <v>1754</v>
      </c>
      <c r="J1317" s="24">
        <v>5</v>
      </c>
      <c r="K1317" s="54" t="str">
        <f>VLOOKUP(J1317,Ruimtegroepen[],2,FALSE)</f>
        <v>Sanitair</v>
      </c>
      <c r="L1317" s="24" t="s">
        <v>305</v>
      </c>
      <c r="M1317" s="24" t="s">
        <v>400</v>
      </c>
      <c r="N1317" s="83">
        <v>7.89</v>
      </c>
      <c r="O1317" s="83"/>
      <c r="P1317" s="93" t="str">
        <f>LEFT(VLOOKUP(Ruimtestaat[[#This Row],[Ruimte code]],Ruimtegroepen[#All],4,1),2)</f>
        <v>Sa</v>
      </c>
      <c r="Q1317" s="93"/>
      <c r="R1317" s="84">
        <v>42</v>
      </c>
      <c r="S1317" s="84" t="s">
        <v>316</v>
      </c>
      <c r="T1317" s="85">
        <f>IF(R1317&gt;0,IF(RIGHT(Ruimtestaat[[#This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17" s="85">
        <f>IF(T1317&gt;0,VLOOKUP($J1317,Ruimtegroepen[],3,FALSE)*VLOOKUP($L1317,Vloersoorten[],3,FALSE)*VLOOKUP($S1317,Frequenties[],3,FALSE)*VLOOKUP($A1317,Locaties[],3,FALSE),0)</f>
        <v>0</v>
      </c>
      <c r="V1317" s="86">
        <f>Ruimtestaat[[#This Row],[Uitvoeringen werkdagen]]*Ruimtestaat[[#This Row],[Oppervlak (netto)]]</f>
        <v>3313.7999999999997</v>
      </c>
      <c r="W1317" s="87">
        <f>IF(U1317&gt;0,Ruimtestaat[[#This Row],[Prest. (m2 /jaar) werkdagen]]/Ruimtestaat[[#This Row],[Norm (m2/uur) werkdagen]],0)</f>
        <v>0</v>
      </c>
      <c r="X1317" s="88">
        <f>Ruimtestaat[[#This Row],[uren / jaar werkdagen]]*Tariefsopbouw!$E$35</f>
        <v>0</v>
      </c>
      <c r="Y1317" s="85"/>
      <c r="Z1317" s="89">
        <f>IF(Ruimtestaat[[#This Row],[Frequentie weekend]]&gt;0,VALUE(LEFT(Y1317,1))*R1317,0)</f>
        <v>0</v>
      </c>
      <c r="AA1317" s="85">
        <f>IF($Z1317&gt;0,VLOOKUP($J1317,Ruimtegroepen[],3,FALSE)*VLOOKUP($L1317,Vloersoorten[],3,FALSE)*VLOOKUP($Y1317,Frequenties[],3,FALSE)*VLOOKUP(#REF!,Locaties[],3,FALSE),0)</f>
        <v>0</v>
      </c>
      <c r="AB1317" s="87">
        <f>Ruimtestaat[[#This Row],[Uitvoeringen weekend]]*Ruimtestaat[[#This Row],[Oppervlak (netto)]]</f>
        <v>0</v>
      </c>
      <c r="AC1317" s="90">
        <f>IF(AB1317&gt;0,Ruimtestaat[[#This Row],[Prest. (m2 /jaar) weekend]]/Ruimtestaat[[#This Row],[Norm (m2/uur) weekend]],0)</f>
        <v>0</v>
      </c>
      <c r="AD1317" s="91">
        <f>Ruimtestaat[[#This Row],[uren / jaar weekend]]*Tariefsopbouw!$D$40</f>
        <v>0</v>
      </c>
      <c r="AE1317" s="60">
        <f>Ruimtestaat[[#This Row],[Prest. (m2 /jaar) weekend]]+Ruimtestaat[[#This Row],[Prest. (m2 /jaar) werkdagen]]</f>
        <v>3313.7999999999997</v>
      </c>
      <c r="AF1317" s="60">
        <f>Ruimtestaat[[#This Row],[uren / jaar weekend]]+Ruimtestaat[[#This Row],[uren / jaar werkdagen]]</f>
        <v>0</v>
      </c>
      <c r="AG1317" s="61">
        <f>Ruimtestaat[[#This Row],[kosten / jaar weekend]]+Ruimtestaat[[#This Row],[kosten / jaar werkdagen]]</f>
        <v>0</v>
      </c>
      <c r="AH1317" s="92"/>
      <c r="HL1317" s="59"/>
    </row>
    <row r="1318" spans="1:220">
      <c r="A1318" s="24">
        <v>8</v>
      </c>
      <c r="B1318" s="24" t="str">
        <f>VLOOKUP(Ruimtestaat[[#This Row],[Code]],Locaties[#All],2,FALSE)</f>
        <v>Arkelstijn</v>
      </c>
      <c r="C1318" s="24" t="str">
        <f>VLOOKUP(Ruimtestaat[[#This Row],[Code]],Locaties[#All],4,FALSE)</f>
        <v>Arkelstein 8</v>
      </c>
      <c r="D1318" s="24" t="str">
        <f>VLOOKUP(Ruimtestaat[[#This Row],[Code]],Locaties[#All],5,FALSE)</f>
        <v>7414 EP</v>
      </c>
      <c r="E1318" s="24" t="str">
        <f>VLOOKUP(Ruimtestaat[[#This Row],[Code]],Locaties[#All],6,FALSE)</f>
        <v>Deventer</v>
      </c>
      <c r="F1318" s="54"/>
      <c r="G1318" s="24" t="s">
        <v>367</v>
      </c>
      <c r="H1318" s="24" t="s">
        <v>1755</v>
      </c>
      <c r="I1318" s="4" t="s">
        <v>1756</v>
      </c>
      <c r="J1318" s="24">
        <v>5</v>
      </c>
      <c r="K1318" s="54" t="str">
        <f>VLOOKUP(J1318,Ruimtegroepen[],2,FALSE)</f>
        <v>Sanitair</v>
      </c>
      <c r="L1318" s="24" t="s">
        <v>305</v>
      </c>
      <c r="M1318" s="24" t="s">
        <v>1757</v>
      </c>
      <c r="N1318" s="83">
        <v>2.02</v>
      </c>
      <c r="O1318" s="83"/>
      <c r="P1318" s="93" t="str">
        <f>LEFT(VLOOKUP(Ruimtestaat[[#This Row],[Ruimte code]],Ruimtegroepen[#All],4,1),2)</f>
        <v>Sa</v>
      </c>
      <c r="Q1318" s="93"/>
      <c r="R1318" s="84">
        <v>42</v>
      </c>
      <c r="S1318" s="84" t="s">
        <v>316</v>
      </c>
      <c r="T1318" s="85">
        <f>IF(R1318&gt;0,IF(RIGHT(Ruimtestaat[[#This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18" s="85">
        <f>IF(T1318&gt;0,VLOOKUP($J1318,Ruimtegroepen[],3,FALSE)*VLOOKUP($L1318,Vloersoorten[],3,FALSE)*VLOOKUP($S1318,Frequenties[],3,FALSE)*VLOOKUP($A1318,Locaties[],3,FALSE),0)</f>
        <v>0</v>
      </c>
      <c r="V1318" s="86">
        <f>Ruimtestaat[[#This Row],[Uitvoeringen werkdagen]]*Ruimtestaat[[#This Row],[Oppervlak (netto)]]</f>
        <v>848.4</v>
      </c>
      <c r="W1318" s="87">
        <f>IF(U1318&gt;0,Ruimtestaat[[#This Row],[Prest. (m2 /jaar) werkdagen]]/Ruimtestaat[[#This Row],[Norm (m2/uur) werkdagen]],0)</f>
        <v>0</v>
      </c>
      <c r="X1318" s="88">
        <f>Ruimtestaat[[#This Row],[uren / jaar werkdagen]]*Tariefsopbouw!$E$35</f>
        <v>0</v>
      </c>
      <c r="Y1318" s="85"/>
      <c r="Z1318" s="89">
        <f>IF(Ruimtestaat[[#This Row],[Frequentie weekend]]&gt;0,VALUE(LEFT(Y1318,1))*R1318,0)</f>
        <v>0</v>
      </c>
      <c r="AA1318" s="85">
        <f>IF($Z1318&gt;0,VLOOKUP($J1318,Ruimtegroepen[],3,FALSE)*VLOOKUP($L1318,Vloersoorten[],3,FALSE)*VLOOKUP($Y1318,Frequenties[],3,FALSE)*VLOOKUP(#REF!,Locaties[],3,FALSE),0)</f>
        <v>0</v>
      </c>
      <c r="AB1318" s="87">
        <f>Ruimtestaat[[#This Row],[Uitvoeringen weekend]]*Ruimtestaat[[#This Row],[Oppervlak (netto)]]</f>
        <v>0</v>
      </c>
      <c r="AC1318" s="90">
        <f>IF(AB1318&gt;0,Ruimtestaat[[#This Row],[Prest. (m2 /jaar) weekend]]/Ruimtestaat[[#This Row],[Norm (m2/uur) weekend]],0)</f>
        <v>0</v>
      </c>
      <c r="AD1318" s="91">
        <f>Ruimtestaat[[#This Row],[uren / jaar weekend]]*Tariefsopbouw!$D$40</f>
        <v>0</v>
      </c>
      <c r="AE1318" s="60">
        <f>Ruimtestaat[[#This Row],[Prest. (m2 /jaar) weekend]]+Ruimtestaat[[#This Row],[Prest. (m2 /jaar) werkdagen]]</f>
        <v>848.4</v>
      </c>
      <c r="AF1318" s="60">
        <f>Ruimtestaat[[#This Row],[uren / jaar weekend]]+Ruimtestaat[[#This Row],[uren / jaar werkdagen]]</f>
        <v>0</v>
      </c>
      <c r="AG1318" s="61">
        <f>Ruimtestaat[[#This Row],[kosten / jaar weekend]]+Ruimtestaat[[#This Row],[kosten / jaar werkdagen]]</f>
        <v>0</v>
      </c>
      <c r="AH1318" s="92"/>
      <c r="HL1318" s="59"/>
    </row>
    <row r="1319" spans="1:220">
      <c r="A1319" s="24">
        <v>8</v>
      </c>
      <c r="B1319" s="24" t="str">
        <f>VLOOKUP(Ruimtestaat[[#This Row],[Code]],Locaties[#All],2,FALSE)</f>
        <v>Arkelstijn</v>
      </c>
      <c r="C1319" s="24" t="str">
        <f>VLOOKUP(Ruimtestaat[[#This Row],[Code]],Locaties[#All],4,FALSE)</f>
        <v>Arkelstein 8</v>
      </c>
      <c r="D1319" s="24" t="str">
        <f>VLOOKUP(Ruimtestaat[[#This Row],[Code]],Locaties[#All],5,FALSE)</f>
        <v>7414 EP</v>
      </c>
      <c r="E1319" s="24" t="str">
        <f>VLOOKUP(Ruimtestaat[[#This Row],[Code]],Locaties[#All],6,FALSE)</f>
        <v>Deventer</v>
      </c>
      <c r="F1319" s="54"/>
      <c r="G1319" s="24" t="s">
        <v>367</v>
      </c>
      <c r="H1319" s="24" t="s">
        <v>1758</v>
      </c>
      <c r="I1319" s="4" t="s">
        <v>1754</v>
      </c>
      <c r="J1319" s="24">
        <v>5</v>
      </c>
      <c r="K1319" s="54" t="str">
        <f>VLOOKUP(J1319,Ruimtegroepen[],2,FALSE)</f>
        <v>Sanitair</v>
      </c>
      <c r="L1319" s="24" t="s">
        <v>305</v>
      </c>
      <c r="M1319" s="24" t="s">
        <v>400</v>
      </c>
      <c r="N1319" s="83">
        <v>7.87</v>
      </c>
      <c r="O1319" s="83"/>
      <c r="P1319" s="93" t="str">
        <f>LEFT(VLOOKUP(Ruimtestaat[[#This Row],[Ruimte code]],Ruimtegroepen[#All],4,1),2)</f>
        <v>Sa</v>
      </c>
      <c r="Q1319" s="93"/>
      <c r="R1319" s="84">
        <v>42</v>
      </c>
      <c r="S1319" s="84" t="s">
        <v>316</v>
      </c>
      <c r="T1319" s="85">
        <f>IF(R1319&gt;0,IF(RIGHT(Ruimtestaat[[#This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19" s="85">
        <f>IF(T1319&gt;0,VLOOKUP($J1319,Ruimtegroepen[],3,FALSE)*VLOOKUP($L1319,Vloersoorten[],3,FALSE)*VLOOKUP($S1319,Frequenties[],3,FALSE)*VLOOKUP($A1319,Locaties[],3,FALSE),0)</f>
        <v>0</v>
      </c>
      <c r="V1319" s="86">
        <f>Ruimtestaat[[#This Row],[Uitvoeringen werkdagen]]*Ruimtestaat[[#This Row],[Oppervlak (netto)]]</f>
        <v>3305.4</v>
      </c>
      <c r="W1319" s="87">
        <f>IF(U1319&gt;0,Ruimtestaat[[#This Row],[Prest. (m2 /jaar) werkdagen]]/Ruimtestaat[[#This Row],[Norm (m2/uur) werkdagen]],0)</f>
        <v>0</v>
      </c>
      <c r="X1319" s="88">
        <f>Ruimtestaat[[#This Row],[uren / jaar werkdagen]]*Tariefsopbouw!$E$35</f>
        <v>0</v>
      </c>
      <c r="Y1319" s="85"/>
      <c r="Z1319" s="89">
        <f>IF(Ruimtestaat[[#This Row],[Frequentie weekend]]&gt;0,VALUE(LEFT(Y1319,1))*R1319,0)</f>
        <v>0</v>
      </c>
      <c r="AA1319" s="85">
        <f>IF($Z1319&gt;0,VLOOKUP($J1319,Ruimtegroepen[],3,FALSE)*VLOOKUP($L1319,Vloersoorten[],3,FALSE)*VLOOKUP($Y1319,Frequenties[],3,FALSE)*VLOOKUP(#REF!,Locaties[],3,FALSE),0)</f>
        <v>0</v>
      </c>
      <c r="AB1319" s="87">
        <f>Ruimtestaat[[#This Row],[Uitvoeringen weekend]]*Ruimtestaat[[#This Row],[Oppervlak (netto)]]</f>
        <v>0</v>
      </c>
      <c r="AC1319" s="90">
        <f>IF(AB1319&gt;0,Ruimtestaat[[#This Row],[Prest. (m2 /jaar) weekend]]/Ruimtestaat[[#This Row],[Norm (m2/uur) weekend]],0)</f>
        <v>0</v>
      </c>
      <c r="AD1319" s="91">
        <f>Ruimtestaat[[#This Row],[uren / jaar weekend]]*Tariefsopbouw!$D$40</f>
        <v>0</v>
      </c>
      <c r="AE1319" s="60">
        <f>Ruimtestaat[[#This Row],[Prest. (m2 /jaar) weekend]]+Ruimtestaat[[#This Row],[Prest. (m2 /jaar) werkdagen]]</f>
        <v>3305.4</v>
      </c>
      <c r="AF1319" s="60">
        <f>Ruimtestaat[[#This Row],[uren / jaar weekend]]+Ruimtestaat[[#This Row],[uren / jaar werkdagen]]</f>
        <v>0</v>
      </c>
      <c r="AG1319" s="61">
        <f>Ruimtestaat[[#This Row],[kosten / jaar weekend]]+Ruimtestaat[[#This Row],[kosten / jaar werkdagen]]</f>
        <v>0</v>
      </c>
      <c r="AH1319" s="92"/>
      <c r="HL1319" s="59"/>
    </row>
    <row r="1320" spans="1:220">
      <c r="A1320" s="24">
        <v>8</v>
      </c>
      <c r="B1320" s="24" t="str">
        <f>VLOOKUP(Ruimtestaat[[#This Row],[Code]],Locaties[#All],2,FALSE)</f>
        <v>Arkelstijn</v>
      </c>
      <c r="C1320" s="24" t="str">
        <f>VLOOKUP(Ruimtestaat[[#This Row],[Code]],Locaties[#All],4,FALSE)</f>
        <v>Arkelstein 8</v>
      </c>
      <c r="D1320" s="24" t="str">
        <f>VLOOKUP(Ruimtestaat[[#This Row],[Code]],Locaties[#All],5,FALSE)</f>
        <v>7414 EP</v>
      </c>
      <c r="E1320" s="24" t="str">
        <f>VLOOKUP(Ruimtestaat[[#This Row],[Code]],Locaties[#All],6,FALSE)</f>
        <v>Deventer</v>
      </c>
      <c r="F1320" s="54"/>
      <c r="G1320" s="24" t="s">
        <v>367</v>
      </c>
      <c r="H1320" s="24" t="s">
        <v>1759</v>
      </c>
      <c r="I1320" s="4" t="s">
        <v>1754</v>
      </c>
      <c r="J1320" s="24">
        <v>5</v>
      </c>
      <c r="K1320" s="54" t="str">
        <f>VLOOKUP(J1320,Ruimtegroepen[],2,FALSE)</f>
        <v>Sanitair</v>
      </c>
      <c r="L1320" s="24" t="s">
        <v>305</v>
      </c>
      <c r="M1320" s="24" t="s">
        <v>400</v>
      </c>
      <c r="N1320" s="83">
        <v>4.55</v>
      </c>
      <c r="O1320" s="83"/>
      <c r="P1320" s="93" t="str">
        <f>LEFT(VLOOKUP(Ruimtestaat[[#This Row],[Ruimte code]],Ruimtegroepen[#All],4,1),2)</f>
        <v>Sa</v>
      </c>
      <c r="Q1320" s="93"/>
      <c r="R1320" s="84">
        <v>42</v>
      </c>
      <c r="S1320" s="84" t="s">
        <v>316</v>
      </c>
      <c r="T1320" s="85">
        <f>IF(R1320&gt;0,IF(RIGHT(Ruimtestaat[[#This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20" s="85">
        <f>IF(T1320&gt;0,VLOOKUP($J1320,Ruimtegroepen[],3,FALSE)*VLOOKUP($L1320,Vloersoorten[],3,FALSE)*VLOOKUP($S1320,Frequenties[],3,FALSE)*VLOOKUP($A1320,Locaties[],3,FALSE),0)</f>
        <v>0</v>
      </c>
      <c r="V1320" s="86">
        <f>Ruimtestaat[[#This Row],[Uitvoeringen werkdagen]]*Ruimtestaat[[#This Row],[Oppervlak (netto)]]</f>
        <v>1911</v>
      </c>
      <c r="W1320" s="87">
        <f>IF(U1320&gt;0,Ruimtestaat[[#This Row],[Prest. (m2 /jaar) werkdagen]]/Ruimtestaat[[#This Row],[Norm (m2/uur) werkdagen]],0)</f>
        <v>0</v>
      </c>
      <c r="X1320" s="88">
        <f>Ruimtestaat[[#This Row],[uren / jaar werkdagen]]*Tariefsopbouw!$E$35</f>
        <v>0</v>
      </c>
      <c r="Y1320" s="85"/>
      <c r="Z1320" s="89">
        <f>IF(Ruimtestaat[[#This Row],[Frequentie weekend]]&gt;0,VALUE(LEFT(Y1320,1))*R1320,0)</f>
        <v>0</v>
      </c>
      <c r="AA1320" s="85">
        <f>IF($Z1320&gt;0,VLOOKUP($J1320,Ruimtegroepen[],3,FALSE)*VLOOKUP($L1320,Vloersoorten[],3,FALSE)*VLOOKUP($Y1320,Frequenties[],3,FALSE)*VLOOKUP(#REF!,Locaties[],3,FALSE),0)</f>
        <v>0</v>
      </c>
      <c r="AB1320" s="87">
        <f>Ruimtestaat[[#This Row],[Uitvoeringen weekend]]*Ruimtestaat[[#This Row],[Oppervlak (netto)]]</f>
        <v>0</v>
      </c>
      <c r="AC1320" s="90">
        <f>IF(AB1320&gt;0,Ruimtestaat[[#This Row],[Prest. (m2 /jaar) weekend]]/Ruimtestaat[[#This Row],[Norm (m2/uur) weekend]],0)</f>
        <v>0</v>
      </c>
      <c r="AD1320" s="91">
        <f>Ruimtestaat[[#This Row],[uren / jaar weekend]]*Tariefsopbouw!$D$40</f>
        <v>0</v>
      </c>
      <c r="AE1320" s="60">
        <f>Ruimtestaat[[#This Row],[Prest. (m2 /jaar) weekend]]+Ruimtestaat[[#This Row],[Prest. (m2 /jaar) werkdagen]]</f>
        <v>1911</v>
      </c>
      <c r="AF1320" s="60">
        <f>Ruimtestaat[[#This Row],[uren / jaar weekend]]+Ruimtestaat[[#This Row],[uren / jaar werkdagen]]</f>
        <v>0</v>
      </c>
      <c r="AG1320" s="61">
        <f>Ruimtestaat[[#This Row],[kosten / jaar weekend]]+Ruimtestaat[[#This Row],[kosten / jaar werkdagen]]</f>
        <v>0</v>
      </c>
      <c r="AH1320" s="92"/>
      <c r="HL1320" s="59"/>
    </row>
    <row r="1321" spans="1:220">
      <c r="A1321" s="24">
        <v>8</v>
      </c>
      <c r="B1321" s="24" t="str">
        <f>VLOOKUP(Ruimtestaat[[#This Row],[Code]],Locaties[#All],2,FALSE)</f>
        <v>Arkelstijn</v>
      </c>
      <c r="C1321" s="24" t="str">
        <f>VLOOKUP(Ruimtestaat[[#This Row],[Code]],Locaties[#All],4,FALSE)</f>
        <v>Arkelstein 8</v>
      </c>
      <c r="D1321" s="24" t="str">
        <f>VLOOKUP(Ruimtestaat[[#This Row],[Code]],Locaties[#All],5,FALSE)</f>
        <v>7414 EP</v>
      </c>
      <c r="E1321" s="24" t="str">
        <f>VLOOKUP(Ruimtestaat[[#This Row],[Code]],Locaties[#All],6,FALSE)</f>
        <v>Deventer</v>
      </c>
      <c r="F1321" s="54"/>
      <c r="G1321" s="24" t="s">
        <v>367</v>
      </c>
      <c r="H1321" s="24" t="s">
        <v>1760</v>
      </c>
      <c r="I1321" s="4" t="s">
        <v>1754</v>
      </c>
      <c r="J1321" s="24">
        <v>5</v>
      </c>
      <c r="K1321" s="54" t="str">
        <f>VLOOKUP(J1321,Ruimtegroepen[],2,FALSE)</f>
        <v>Sanitair</v>
      </c>
      <c r="L1321" s="24" t="s">
        <v>305</v>
      </c>
      <c r="M1321" s="24" t="s">
        <v>400</v>
      </c>
      <c r="N1321" s="83">
        <v>4.5199999999999996</v>
      </c>
      <c r="O1321" s="83"/>
      <c r="P1321" s="93" t="str">
        <f>LEFT(VLOOKUP(Ruimtestaat[[#This Row],[Ruimte code]],Ruimtegroepen[#All],4,1),2)</f>
        <v>Sa</v>
      </c>
      <c r="Q1321" s="93"/>
      <c r="R1321" s="84">
        <v>42</v>
      </c>
      <c r="S1321" s="84" t="s">
        <v>316</v>
      </c>
      <c r="T1321" s="85">
        <f>IF(R1321&gt;0,IF(RIGHT(Ruimtestaat[[#This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21" s="85">
        <f>IF(T1321&gt;0,VLOOKUP($J1321,Ruimtegroepen[],3,FALSE)*VLOOKUP($L1321,Vloersoorten[],3,FALSE)*VLOOKUP($S1321,Frequenties[],3,FALSE)*VLOOKUP($A1321,Locaties[],3,FALSE),0)</f>
        <v>0</v>
      </c>
      <c r="V1321" s="86">
        <f>Ruimtestaat[[#This Row],[Uitvoeringen werkdagen]]*Ruimtestaat[[#This Row],[Oppervlak (netto)]]</f>
        <v>1898.3999999999999</v>
      </c>
      <c r="W1321" s="87">
        <f>IF(U1321&gt;0,Ruimtestaat[[#This Row],[Prest. (m2 /jaar) werkdagen]]/Ruimtestaat[[#This Row],[Norm (m2/uur) werkdagen]],0)</f>
        <v>0</v>
      </c>
      <c r="X1321" s="88">
        <f>Ruimtestaat[[#This Row],[uren / jaar werkdagen]]*Tariefsopbouw!$E$35</f>
        <v>0</v>
      </c>
      <c r="Y1321" s="85"/>
      <c r="Z1321" s="89">
        <f>IF(Ruimtestaat[[#This Row],[Frequentie weekend]]&gt;0,VALUE(LEFT(Y1321,1))*R1321,0)</f>
        <v>0</v>
      </c>
      <c r="AA1321" s="85">
        <f>IF($Z1321&gt;0,VLOOKUP($J1321,Ruimtegroepen[],3,FALSE)*VLOOKUP($L1321,Vloersoorten[],3,FALSE)*VLOOKUP($Y1321,Frequenties[],3,FALSE)*VLOOKUP(#REF!,Locaties[],3,FALSE),0)</f>
        <v>0</v>
      </c>
      <c r="AB1321" s="87">
        <f>Ruimtestaat[[#This Row],[Uitvoeringen weekend]]*Ruimtestaat[[#This Row],[Oppervlak (netto)]]</f>
        <v>0</v>
      </c>
      <c r="AC1321" s="90">
        <f>IF(AB1321&gt;0,Ruimtestaat[[#This Row],[Prest. (m2 /jaar) weekend]]/Ruimtestaat[[#This Row],[Norm (m2/uur) weekend]],0)</f>
        <v>0</v>
      </c>
      <c r="AD1321" s="91">
        <f>Ruimtestaat[[#This Row],[uren / jaar weekend]]*Tariefsopbouw!$D$40</f>
        <v>0</v>
      </c>
      <c r="AE1321" s="60">
        <f>Ruimtestaat[[#This Row],[Prest. (m2 /jaar) weekend]]+Ruimtestaat[[#This Row],[Prest. (m2 /jaar) werkdagen]]</f>
        <v>1898.3999999999999</v>
      </c>
      <c r="AF1321" s="60">
        <f>Ruimtestaat[[#This Row],[uren / jaar weekend]]+Ruimtestaat[[#This Row],[uren / jaar werkdagen]]</f>
        <v>0</v>
      </c>
      <c r="AG1321" s="61">
        <f>Ruimtestaat[[#This Row],[kosten / jaar weekend]]+Ruimtestaat[[#This Row],[kosten / jaar werkdagen]]</f>
        <v>0</v>
      </c>
      <c r="AH1321" s="92"/>
      <c r="HL1321" s="59"/>
    </row>
    <row r="1322" spans="1:220">
      <c r="A1322" s="24">
        <v>8</v>
      </c>
      <c r="B1322" s="24" t="str">
        <f>VLOOKUP(Ruimtestaat[[#This Row],[Code]],Locaties[#All],2,FALSE)</f>
        <v>Arkelstijn</v>
      </c>
      <c r="C1322" s="24" t="str">
        <f>VLOOKUP(Ruimtestaat[[#This Row],[Code]],Locaties[#All],4,FALSE)</f>
        <v>Arkelstein 8</v>
      </c>
      <c r="D1322" s="24" t="str">
        <f>VLOOKUP(Ruimtestaat[[#This Row],[Code]],Locaties[#All],5,FALSE)</f>
        <v>7414 EP</v>
      </c>
      <c r="E1322" s="24" t="str">
        <f>VLOOKUP(Ruimtestaat[[#This Row],[Code]],Locaties[#All],6,FALSE)</f>
        <v>Deventer</v>
      </c>
      <c r="F1322" s="54"/>
      <c r="G1322" s="24" t="s">
        <v>367</v>
      </c>
      <c r="H1322" s="24" t="s">
        <v>1761</v>
      </c>
      <c r="I1322" s="4" t="s">
        <v>1762</v>
      </c>
      <c r="J1322" s="24">
        <v>22</v>
      </c>
      <c r="K1322" s="54" t="str">
        <f>VLOOKUP(J1322,Ruimtegroepen[],2,FALSE)</f>
        <v>Niet in onderhoud</v>
      </c>
      <c r="L1322" s="24" t="s">
        <v>305</v>
      </c>
      <c r="M1322" s="24" t="s">
        <v>1338</v>
      </c>
      <c r="N1322" s="83"/>
      <c r="O1322" s="83">
        <v>0.95</v>
      </c>
      <c r="P1322" s="93" t="str">
        <f>LEFT(VLOOKUP(Ruimtestaat[[#This Row],[Ruimte code]],Ruimtegroepen[#All],4,1),2)</f>
        <v/>
      </c>
      <c r="Q1322" s="93"/>
      <c r="R1322" s="84"/>
      <c r="S1322" s="84"/>
      <c r="T1322" s="85">
        <f>IF(R1322&gt;0,IF(RIGHT(Ruimtestaat[[#This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22" s="85">
        <f>IF(T1322&gt;0,VLOOKUP($J1322,Ruimtegroepen[],3,FALSE)*VLOOKUP($L1322,Vloersoorten[],3,FALSE)*VLOOKUP($S1322,Frequenties[],3,FALSE)*VLOOKUP($A1322,Locaties[],3,FALSE),0)</f>
        <v>0</v>
      </c>
      <c r="V1322" s="86">
        <f>Ruimtestaat[[#This Row],[Uitvoeringen werkdagen]]*Ruimtestaat[[#This Row],[Oppervlak (netto)]]</f>
        <v>0</v>
      </c>
      <c r="W1322" s="87">
        <f>IF(U1322&gt;0,Ruimtestaat[[#This Row],[Prest. (m2 /jaar) werkdagen]]/Ruimtestaat[[#This Row],[Norm (m2/uur) werkdagen]],0)</f>
        <v>0</v>
      </c>
      <c r="X1322" s="88">
        <f>Ruimtestaat[[#This Row],[uren / jaar werkdagen]]*Tariefsopbouw!$E$35</f>
        <v>0</v>
      </c>
      <c r="Y1322" s="85"/>
      <c r="Z1322" s="89">
        <f>IF(Ruimtestaat[[#This Row],[Frequentie weekend]]&gt;0,VALUE(LEFT(Y1322,1))*R1322,0)</f>
        <v>0</v>
      </c>
      <c r="AA1322" s="85">
        <f>IF($Z1322&gt;0,VLOOKUP($J1322,Ruimtegroepen[],3,FALSE)*VLOOKUP($L1322,Vloersoorten[],3,FALSE)*VLOOKUP($Y1322,Frequenties[],3,FALSE)*VLOOKUP(#REF!,Locaties[],3,FALSE),0)</f>
        <v>0</v>
      </c>
      <c r="AB1322" s="87">
        <f>Ruimtestaat[[#This Row],[Uitvoeringen weekend]]*Ruimtestaat[[#This Row],[Oppervlak (netto)]]</f>
        <v>0</v>
      </c>
      <c r="AC1322" s="90">
        <f>IF(AB1322&gt;0,Ruimtestaat[[#This Row],[Prest. (m2 /jaar) weekend]]/Ruimtestaat[[#This Row],[Norm (m2/uur) weekend]],0)</f>
        <v>0</v>
      </c>
      <c r="AD1322" s="91">
        <f>Ruimtestaat[[#This Row],[uren / jaar weekend]]*Tariefsopbouw!$D$40</f>
        <v>0</v>
      </c>
      <c r="AE1322" s="60">
        <f>Ruimtestaat[[#This Row],[Prest. (m2 /jaar) weekend]]+Ruimtestaat[[#This Row],[Prest. (m2 /jaar) werkdagen]]</f>
        <v>0</v>
      </c>
      <c r="AF1322" s="60">
        <f>Ruimtestaat[[#This Row],[uren / jaar weekend]]+Ruimtestaat[[#This Row],[uren / jaar werkdagen]]</f>
        <v>0</v>
      </c>
      <c r="AG1322" s="61">
        <f>Ruimtestaat[[#This Row],[kosten / jaar weekend]]+Ruimtestaat[[#This Row],[kosten / jaar werkdagen]]</f>
        <v>0</v>
      </c>
      <c r="AH1322" s="92"/>
      <c r="HL1322" s="59"/>
    </row>
    <row r="1323" spans="1:220">
      <c r="A1323" s="24">
        <v>8</v>
      </c>
      <c r="B1323" s="24" t="str">
        <f>VLOOKUP(Ruimtestaat[[#This Row],[Code]],Locaties[#All],2,FALSE)</f>
        <v>Arkelstijn</v>
      </c>
      <c r="C1323" s="24" t="str">
        <f>VLOOKUP(Ruimtestaat[[#This Row],[Code]],Locaties[#All],4,FALSE)</f>
        <v>Arkelstein 8</v>
      </c>
      <c r="D1323" s="24" t="str">
        <f>VLOOKUP(Ruimtestaat[[#This Row],[Code]],Locaties[#All],5,FALSE)</f>
        <v>7414 EP</v>
      </c>
      <c r="E1323" s="24" t="str">
        <f>VLOOKUP(Ruimtestaat[[#This Row],[Code]],Locaties[#All],6,FALSE)</f>
        <v>Deventer</v>
      </c>
      <c r="F1323" s="54"/>
      <c r="G1323" s="24" t="s">
        <v>367</v>
      </c>
      <c r="H1323" s="24" t="s">
        <v>1763</v>
      </c>
      <c r="I1323" s="4" t="s">
        <v>1764</v>
      </c>
      <c r="J1323" s="24">
        <v>3</v>
      </c>
      <c r="K1323" s="54" t="str">
        <f>VLOOKUP(J1323,Ruimtegroepen[],2,FALSE)</f>
        <v>Reproruimte</v>
      </c>
      <c r="L1323" s="24" t="s">
        <v>300</v>
      </c>
      <c r="M1323" s="24" t="s">
        <v>1765</v>
      </c>
      <c r="N1323" s="83">
        <v>7.61</v>
      </c>
      <c r="O1323" s="83"/>
      <c r="P1323" s="93" t="str">
        <f>LEFT(VLOOKUP(Ruimtestaat[[#This Row],[Ruimte code]],Ruimtegroepen[#All],4,1),2)</f>
        <v>Ve</v>
      </c>
      <c r="Q1323" s="93"/>
      <c r="R1323" s="84">
        <v>40</v>
      </c>
      <c r="S1323" s="84" t="s">
        <v>318</v>
      </c>
      <c r="T1323" s="85">
        <f>IF(R1323&gt;0,IF(RIGHT(Ruimtestaat[[#This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3" s="85">
        <f>IF(T1323&gt;0,VLOOKUP($J1323,Ruimtegroepen[],3,FALSE)*VLOOKUP($L1323,Vloersoorten[],3,FALSE)*VLOOKUP($S1323,Frequenties[],3,FALSE)*VLOOKUP($A1323,Locaties[],3,FALSE),0)</f>
        <v>0</v>
      </c>
      <c r="V1323" s="86">
        <f>Ruimtestaat[[#This Row],[Uitvoeringen werkdagen]]*Ruimtestaat[[#This Row],[Oppervlak (netto)]]</f>
        <v>1522</v>
      </c>
      <c r="W1323" s="87">
        <f>IF(U1323&gt;0,Ruimtestaat[[#This Row],[Prest. (m2 /jaar) werkdagen]]/Ruimtestaat[[#This Row],[Norm (m2/uur) werkdagen]],0)</f>
        <v>0</v>
      </c>
      <c r="X1323" s="88">
        <f>Ruimtestaat[[#This Row],[uren / jaar werkdagen]]*Tariefsopbouw!$E$35</f>
        <v>0</v>
      </c>
      <c r="Y1323" s="85"/>
      <c r="Z1323" s="89">
        <f>IF(Ruimtestaat[[#This Row],[Frequentie weekend]]&gt;0,VALUE(LEFT(Y1323,1))*R1323,0)</f>
        <v>0</v>
      </c>
      <c r="AA1323" s="85">
        <f>IF($Z1323&gt;0,VLOOKUP($J1323,Ruimtegroepen[],3,FALSE)*VLOOKUP($L1323,Vloersoorten[],3,FALSE)*VLOOKUP($Y1323,Frequenties[],3,FALSE)*VLOOKUP(#REF!,Locaties[],3,FALSE),0)</f>
        <v>0</v>
      </c>
      <c r="AB1323" s="87">
        <f>Ruimtestaat[[#This Row],[Uitvoeringen weekend]]*Ruimtestaat[[#This Row],[Oppervlak (netto)]]</f>
        <v>0</v>
      </c>
      <c r="AC1323" s="90">
        <f>IF(AB1323&gt;0,Ruimtestaat[[#This Row],[Prest. (m2 /jaar) weekend]]/Ruimtestaat[[#This Row],[Norm (m2/uur) weekend]],0)</f>
        <v>0</v>
      </c>
      <c r="AD1323" s="91">
        <f>Ruimtestaat[[#This Row],[uren / jaar weekend]]*Tariefsopbouw!$D$40</f>
        <v>0</v>
      </c>
      <c r="AE1323" s="60">
        <f>Ruimtestaat[[#This Row],[Prest. (m2 /jaar) weekend]]+Ruimtestaat[[#This Row],[Prest. (m2 /jaar) werkdagen]]</f>
        <v>1522</v>
      </c>
      <c r="AF1323" s="60">
        <f>Ruimtestaat[[#This Row],[uren / jaar weekend]]+Ruimtestaat[[#This Row],[uren / jaar werkdagen]]</f>
        <v>0</v>
      </c>
      <c r="AG1323" s="61">
        <f>Ruimtestaat[[#This Row],[kosten / jaar weekend]]+Ruimtestaat[[#This Row],[kosten / jaar werkdagen]]</f>
        <v>0</v>
      </c>
      <c r="AH1323" s="92"/>
      <c r="HL1323" s="59"/>
    </row>
    <row r="1324" spans="1:220">
      <c r="A1324" s="24">
        <v>8</v>
      </c>
      <c r="B1324" s="24" t="str">
        <f>VLOOKUP(Ruimtestaat[[#This Row],[Code]],Locaties[#All],2,FALSE)</f>
        <v>Arkelstijn</v>
      </c>
      <c r="C1324" s="24" t="str">
        <f>VLOOKUP(Ruimtestaat[[#This Row],[Code]],Locaties[#All],4,FALSE)</f>
        <v>Arkelstein 8</v>
      </c>
      <c r="D1324" s="24" t="str">
        <f>VLOOKUP(Ruimtestaat[[#This Row],[Code]],Locaties[#All],5,FALSE)</f>
        <v>7414 EP</v>
      </c>
      <c r="E1324" s="24" t="str">
        <f>VLOOKUP(Ruimtestaat[[#This Row],[Code]],Locaties[#All],6,FALSE)</f>
        <v>Deventer</v>
      </c>
      <c r="F1324" s="54"/>
      <c r="G1324" s="24" t="s">
        <v>367</v>
      </c>
      <c r="H1324" s="24" t="s">
        <v>1766</v>
      </c>
      <c r="I1324" s="4" t="s">
        <v>1767</v>
      </c>
      <c r="J1324" s="24">
        <v>15</v>
      </c>
      <c r="K1324" s="54" t="str">
        <f>VLOOKUP(J1324,Ruimtegroepen[],2,FALSE)</f>
        <v>Keuken/pantry</v>
      </c>
      <c r="L1324" s="24" t="s">
        <v>300</v>
      </c>
      <c r="M1324" s="24" t="s">
        <v>1743</v>
      </c>
      <c r="N1324" s="83">
        <v>4.1900000000000004</v>
      </c>
      <c r="O1324" s="83"/>
      <c r="P1324" s="93" t="str">
        <f>LEFT(VLOOKUP(Ruimtestaat[[#This Row],[Ruimte code]],Ruimtegroepen[#All],4,1),2)</f>
        <v>Ve</v>
      </c>
      <c r="Q1324" s="93"/>
      <c r="R1324" s="84">
        <v>40</v>
      </c>
      <c r="S1324" s="84" t="s">
        <v>318</v>
      </c>
      <c r="T1324" s="85">
        <f>IF(R1324&gt;0,IF(RIGHT(Ruimtestaat[[#This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4" s="85">
        <f>IF(T1324&gt;0,VLOOKUP($J1324,Ruimtegroepen[],3,FALSE)*VLOOKUP($L1324,Vloersoorten[],3,FALSE)*VLOOKUP($S1324,Frequenties[],3,FALSE)*VLOOKUP($A1324,Locaties[],3,FALSE),0)</f>
        <v>0</v>
      </c>
      <c r="V1324" s="86">
        <f>Ruimtestaat[[#This Row],[Uitvoeringen werkdagen]]*Ruimtestaat[[#This Row],[Oppervlak (netto)]]</f>
        <v>838.00000000000011</v>
      </c>
      <c r="W1324" s="87">
        <f>IF(U1324&gt;0,Ruimtestaat[[#This Row],[Prest. (m2 /jaar) werkdagen]]/Ruimtestaat[[#This Row],[Norm (m2/uur) werkdagen]],0)</f>
        <v>0</v>
      </c>
      <c r="X1324" s="88">
        <f>Ruimtestaat[[#This Row],[uren / jaar werkdagen]]*Tariefsopbouw!$E$35</f>
        <v>0</v>
      </c>
      <c r="Y1324" s="85"/>
      <c r="Z1324" s="89">
        <f>IF(Ruimtestaat[[#This Row],[Frequentie weekend]]&gt;0,VALUE(LEFT(Y1324,1))*R1324,0)</f>
        <v>0</v>
      </c>
      <c r="AA1324" s="85">
        <f>IF($Z1324&gt;0,VLOOKUP($J1324,Ruimtegroepen[],3,FALSE)*VLOOKUP($L1324,Vloersoorten[],3,FALSE)*VLOOKUP($Y1324,Frequenties[],3,FALSE)*VLOOKUP(#REF!,Locaties[],3,FALSE),0)</f>
        <v>0</v>
      </c>
      <c r="AB1324" s="87">
        <f>Ruimtestaat[[#This Row],[Uitvoeringen weekend]]*Ruimtestaat[[#This Row],[Oppervlak (netto)]]</f>
        <v>0</v>
      </c>
      <c r="AC1324" s="90">
        <f>IF(AB1324&gt;0,Ruimtestaat[[#This Row],[Prest. (m2 /jaar) weekend]]/Ruimtestaat[[#This Row],[Norm (m2/uur) weekend]],0)</f>
        <v>0</v>
      </c>
      <c r="AD1324" s="91">
        <f>Ruimtestaat[[#This Row],[uren / jaar weekend]]*Tariefsopbouw!$D$40</f>
        <v>0</v>
      </c>
      <c r="AE1324" s="60">
        <f>Ruimtestaat[[#This Row],[Prest. (m2 /jaar) weekend]]+Ruimtestaat[[#This Row],[Prest. (m2 /jaar) werkdagen]]</f>
        <v>838.00000000000011</v>
      </c>
      <c r="AF1324" s="60">
        <f>Ruimtestaat[[#This Row],[uren / jaar weekend]]+Ruimtestaat[[#This Row],[uren / jaar werkdagen]]</f>
        <v>0</v>
      </c>
      <c r="AG1324" s="61">
        <f>Ruimtestaat[[#This Row],[kosten / jaar weekend]]+Ruimtestaat[[#This Row],[kosten / jaar werkdagen]]</f>
        <v>0</v>
      </c>
      <c r="AH1324" s="92"/>
      <c r="HL1324" s="59"/>
    </row>
    <row r="1325" spans="1:220">
      <c r="A1325" s="24">
        <v>8</v>
      </c>
      <c r="B1325" s="24" t="str">
        <f>VLOOKUP(Ruimtestaat[[#This Row],[Code]],Locaties[#All],2,FALSE)</f>
        <v>Arkelstijn</v>
      </c>
      <c r="C1325" s="24" t="str">
        <f>VLOOKUP(Ruimtestaat[[#This Row],[Code]],Locaties[#All],4,FALSE)</f>
        <v>Arkelstein 8</v>
      </c>
      <c r="D1325" s="24" t="str">
        <f>VLOOKUP(Ruimtestaat[[#This Row],[Code]],Locaties[#All],5,FALSE)</f>
        <v>7414 EP</v>
      </c>
      <c r="E1325" s="24" t="str">
        <f>VLOOKUP(Ruimtestaat[[#This Row],[Code]],Locaties[#All],6,FALSE)</f>
        <v>Deventer</v>
      </c>
      <c r="F1325" s="54"/>
      <c r="G1325" s="24" t="s">
        <v>367</v>
      </c>
      <c r="H1325" s="24" t="s">
        <v>1768</v>
      </c>
      <c r="I1325" s="4" t="s">
        <v>1769</v>
      </c>
      <c r="J1325" s="24">
        <v>22</v>
      </c>
      <c r="K1325" s="54" t="str">
        <f>VLOOKUP(J1325,Ruimtegroepen[],2,FALSE)</f>
        <v>Niet in onderhoud</v>
      </c>
      <c r="L1325" s="24" t="s">
        <v>300</v>
      </c>
      <c r="M1325" s="24" t="s">
        <v>1743</v>
      </c>
      <c r="N1325" s="83"/>
      <c r="O1325" s="83">
        <v>5.6</v>
      </c>
      <c r="P1325" s="93" t="str">
        <f>LEFT(VLOOKUP(Ruimtestaat[[#This Row],[Ruimte code]],Ruimtegroepen[#All],4,1),2)</f>
        <v/>
      </c>
      <c r="Q1325" s="93"/>
      <c r="R1325" s="84"/>
      <c r="S1325" s="84"/>
      <c r="T1325" s="85">
        <f>IF(R1325&gt;0,IF(RIGHT(Ruimtestaat[[#This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25" s="85">
        <f>IF(T1325&gt;0,VLOOKUP($J1325,Ruimtegroepen[],3,FALSE)*VLOOKUP($L1325,Vloersoorten[],3,FALSE)*VLOOKUP($S1325,Frequenties[],3,FALSE)*VLOOKUP($A1325,Locaties[],3,FALSE),0)</f>
        <v>0</v>
      </c>
      <c r="V1325" s="86">
        <f>Ruimtestaat[[#This Row],[Uitvoeringen werkdagen]]*Ruimtestaat[[#This Row],[Oppervlak (netto)]]</f>
        <v>0</v>
      </c>
      <c r="W1325" s="87">
        <f>IF(U1325&gt;0,Ruimtestaat[[#This Row],[Prest. (m2 /jaar) werkdagen]]/Ruimtestaat[[#This Row],[Norm (m2/uur) werkdagen]],0)</f>
        <v>0</v>
      </c>
      <c r="X1325" s="88">
        <f>Ruimtestaat[[#This Row],[uren / jaar werkdagen]]*Tariefsopbouw!$E$35</f>
        <v>0</v>
      </c>
      <c r="Y1325" s="85"/>
      <c r="Z1325" s="89">
        <f>IF(Ruimtestaat[[#This Row],[Frequentie weekend]]&gt;0,VALUE(LEFT(Y1325,1))*R1325,0)</f>
        <v>0</v>
      </c>
      <c r="AA1325" s="85">
        <f>IF($Z1325&gt;0,VLOOKUP($J1325,Ruimtegroepen[],3,FALSE)*VLOOKUP($L1325,Vloersoorten[],3,FALSE)*VLOOKUP($Y1325,Frequenties[],3,FALSE)*VLOOKUP(#REF!,Locaties[],3,FALSE),0)</f>
        <v>0</v>
      </c>
      <c r="AB1325" s="87">
        <f>Ruimtestaat[[#This Row],[Uitvoeringen weekend]]*Ruimtestaat[[#This Row],[Oppervlak (netto)]]</f>
        <v>0</v>
      </c>
      <c r="AC1325" s="90">
        <f>IF(AB1325&gt;0,Ruimtestaat[[#This Row],[Prest. (m2 /jaar) weekend]]/Ruimtestaat[[#This Row],[Norm (m2/uur) weekend]],0)</f>
        <v>0</v>
      </c>
      <c r="AD1325" s="91">
        <f>Ruimtestaat[[#This Row],[uren / jaar weekend]]*Tariefsopbouw!$D$40</f>
        <v>0</v>
      </c>
      <c r="AE1325" s="60">
        <f>Ruimtestaat[[#This Row],[Prest. (m2 /jaar) weekend]]+Ruimtestaat[[#This Row],[Prest. (m2 /jaar) werkdagen]]</f>
        <v>0</v>
      </c>
      <c r="AF1325" s="60">
        <f>Ruimtestaat[[#This Row],[uren / jaar weekend]]+Ruimtestaat[[#This Row],[uren / jaar werkdagen]]</f>
        <v>0</v>
      </c>
      <c r="AG1325" s="61">
        <f>Ruimtestaat[[#This Row],[kosten / jaar weekend]]+Ruimtestaat[[#This Row],[kosten / jaar werkdagen]]</f>
        <v>0</v>
      </c>
      <c r="AH1325" s="92"/>
      <c r="HL1325" s="59"/>
    </row>
    <row r="1326" spans="1:220">
      <c r="A1326" s="24">
        <v>8</v>
      </c>
      <c r="B1326" s="24" t="str">
        <f>VLOOKUP(Ruimtestaat[[#This Row],[Code]],Locaties[#All],2,FALSE)</f>
        <v>Arkelstijn</v>
      </c>
      <c r="C1326" s="24" t="str">
        <f>VLOOKUP(Ruimtestaat[[#This Row],[Code]],Locaties[#All],4,FALSE)</f>
        <v>Arkelstein 8</v>
      </c>
      <c r="D1326" s="24" t="str">
        <f>VLOOKUP(Ruimtestaat[[#This Row],[Code]],Locaties[#All],5,FALSE)</f>
        <v>7414 EP</v>
      </c>
      <c r="E1326" s="24" t="str">
        <f>VLOOKUP(Ruimtestaat[[#This Row],[Code]],Locaties[#All],6,FALSE)</f>
        <v>Deventer</v>
      </c>
      <c r="F1326" s="54"/>
      <c r="G1326" s="24" t="s">
        <v>367</v>
      </c>
      <c r="H1326" s="24" t="s">
        <v>942</v>
      </c>
      <c r="I1326" s="4" t="s">
        <v>1770</v>
      </c>
      <c r="J1326" s="24">
        <v>13</v>
      </c>
      <c r="K1326" s="54" t="str">
        <f>VLOOKUP(J1326,Ruimtegroepen[],2,FALSE)</f>
        <v>HV/Technieklokaal</v>
      </c>
      <c r="L1326" s="24" t="s">
        <v>308</v>
      </c>
      <c r="M1326" s="24" t="s">
        <v>1771</v>
      </c>
      <c r="N1326" s="83">
        <v>59.08</v>
      </c>
      <c r="O1326" s="83"/>
      <c r="P1326" s="93" t="str">
        <f>LEFT(VLOOKUP(Ruimtestaat[[#This Row],[Ruimte code]],Ruimtegroepen[#All],4,1),2)</f>
        <v>Le</v>
      </c>
      <c r="Q1326" s="93"/>
      <c r="R1326" s="84">
        <v>40</v>
      </c>
      <c r="S1326" s="84" t="s">
        <v>318</v>
      </c>
      <c r="T1326" s="85">
        <f>IF(R1326&gt;0,IF(RIGHT(Ruimtestaat[[#This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6" s="85">
        <f>IF(T1326&gt;0,VLOOKUP($J1326,Ruimtegroepen[],3,FALSE)*VLOOKUP($L1326,Vloersoorten[],3,FALSE)*VLOOKUP($S1326,Frequenties[],3,FALSE)*VLOOKUP($A1326,Locaties[],3,FALSE),0)</f>
        <v>0</v>
      </c>
      <c r="V1326" s="86">
        <f>Ruimtestaat[[#This Row],[Uitvoeringen werkdagen]]*Ruimtestaat[[#This Row],[Oppervlak (netto)]]</f>
        <v>11816</v>
      </c>
      <c r="W1326" s="87">
        <f>IF(U1326&gt;0,Ruimtestaat[[#This Row],[Prest. (m2 /jaar) werkdagen]]/Ruimtestaat[[#This Row],[Norm (m2/uur) werkdagen]],0)</f>
        <v>0</v>
      </c>
      <c r="X1326" s="88">
        <f>Ruimtestaat[[#This Row],[uren / jaar werkdagen]]*Tariefsopbouw!$E$35</f>
        <v>0</v>
      </c>
      <c r="Y1326" s="85"/>
      <c r="Z1326" s="89">
        <f>IF(Ruimtestaat[[#This Row],[Frequentie weekend]]&gt;0,VALUE(LEFT(Y1326,1))*R1326,0)</f>
        <v>0</v>
      </c>
      <c r="AA1326" s="85">
        <f>IF($Z1326&gt;0,VLOOKUP($J1326,Ruimtegroepen[],3,FALSE)*VLOOKUP($L1326,Vloersoorten[],3,FALSE)*VLOOKUP($Y1326,Frequenties[],3,FALSE)*VLOOKUP(#REF!,Locaties[],3,FALSE),0)</f>
        <v>0</v>
      </c>
      <c r="AB1326" s="87">
        <f>Ruimtestaat[[#This Row],[Uitvoeringen weekend]]*Ruimtestaat[[#This Row],[Oppervlak (netto)]]</f>
        <v>0</v>
      </c>
      <c r="AC1326" s="90">
        <f>IF(AB1326&gt;0,Ruimtestaat[[#This Row],[Prest. (m2 /jaar) weekend]]/Ruimtestaat[[#This Row],[Norm (m2/uur) weekend]],0)</f>
        <v>0</v>
      </c>
      <c r="AD1326" s="91">
        <f>Ruimtestaat[[#This Row],[uren / jaar weekend]]*Tariefsopbouw!$D$40</f>
        <v>0</v>
      </c>
      <c r="AE1326" s="60">
        <f>Ruimtestaat[[#This Row],[Prest. (m2 /jaar) weekend]]+Ruimtestaat[[#This Row],[Prest. (m2 /jaar) werkdagen]]</f>
        <v>11816</v>
      </c>
      <c r="AF1326" s="60">
        <f>Ruimtestaat[[#This Row],[uren / jaar weekend]]+Ruimtestaat[[#This Row],[uren / jaar werkdagen]]</f>
        <v>0</v>
      </c>
      <c r="AG1326" s="61">
        <f>Ruimtestaat[[#This Row],[kosten / jaar weekend]]+Ruimtestaat[[#This Row],[kosten / jaar werkdagen]]</f>
        <v>0</v>
      </c>
      <c r="AH1326" s="92"/>
      <c r="HL1326" s="59"/>
    </row>
    <row r="1327" spans="1:220">
      <c r="A1327" s="24">
        <v>8</v>
      </c>
      <c r="B1327" s="24" t="str">
        <f>VLOOKUP(Ruimtestaat[[#This Row],[Code]],Locaties[#All],2,FALSE)</f>
        <v>Arkelstijn</v>
      </c>
      <c r="C1327" s="24" t="str">
        <f>VLOOKUP(Ruimtestaat[[#This Row],[Code]],Locaties[#All],4,FALSE)</f>
        <v>Arkelstein 8</v>
      </c>
      <c r="D1327" s="24" t="str">
        <f>VLOOKUP(Ruimtestaat[[#This Row],[Code]],Locaties[#All],5,FALSE)</f>
        <v>7414 EP</v>
      </c>
      <c r="E1327" s="24" t="str">
        <f>VLOOKUP(Ruimtestaat[[#This Row],[Code]],Locaties[#All],6,FALSE)</f>
        <v>Deventer</v>
      </c>
      <c r="F1327" s="54"/>
      <c r="G1327" s="24" t="s">
        <v>367</v>
      </c>
      <c r="H1327" s="24" t="s">
        <v>943</v>
      </c>
      <c r="I1327" s="4" t="s">
        <v>1772</v>
      </c>
      <c r="J1327" s="24">
        <v>13</v>
      </c>
      <c r="K1327" s="54" t="str">
        <f>VLOOKUP(J1327,Ruimtegroepen[],2,FALSE)</f>
        <v>HV/Technieklokaal</v>
      </c>
      <c r="L1327" s="24" t="s">
        <v>308</v>
      </c>
      <c r="M1327" s="24" t="s">
        <v>1771</v>
      </c>
      <c r="N1327" s="83">
        <v>98.17</v>
      </c>
      <c r="O1327" s="83"/>
      <c r="P1327" s="93" t="str">
        <f>LEFT(VLOOKUP(Ruimtestaat[[#This Row],[Ruimte code]],Ruimtegroepen[#All],4,1),2)</f>
        <v>Le</v>
      </c>
      <c r="Q1327" s="93"/>
      <c r="R1327" s="84">
        <v>40</v>
      </c>
      <c r="S1327" s="84" t="s">
        <v>318</v>
      </c>
      <c r="T1327" s="85">
        <f>IF(R1327&gt;0,IF(RIGHT(Ruimtestaat[[#This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7" s="85">
        <f>IF(T1327&gt;0,VLOOKUP($J1327,Ruimtegroepen[],3,FALSE)*VLOOKUP($L1327,Vloersoorten[],3,FALSE)*VLOOKUP($S1327,Frequenties[],3,FALSE)*VLOOKUP($A1327,Locaties[],3,FALSE),0)</f>
        <v>0</v>
      </c>
      <c r="V1327" s="86">
        <f>Ruimtestaat[[#This Row],[Uitvoeringen werkdagen]]*Ruimtestaat[[#This Row],[Oppervlak (netto)]]</f>
        <v>19634</v>
      </c>
      <c r="W1327" s="87">
        <f>IF(U1327&gt;0,Ruimtestaat[[#This Row],[Prest. (m2 /jaar) werkdagen]]/Ruimtestaat[[#This Row],[Norm (m2/uur) werkdagen]],0)</f>
        <v>0</v>
      </c>
      <c r="X1327" s="88">
        <f>Ruimtestaat[[#This Row],[uren / jaar werkdagen]]*Tariefsopbouw!$E$35</f>
        <v>0</v>
      </c>
      <c r="Y1327" s="85"/>
      <c r="Z1327" s="89">
        <f>IF(Ruimtestaat[[#This Row],[Frequentie weekend]]&gt;0,VALUE(LEFT(Y1327,1))*R1327,0)</f>
        <v>0</v>
      </c>
      <c r="AA1327" s="85">
        <f>IF($Z1327&gt;0,VLOOKUP($J1327,Ruimtegroepen[],3,FALSE)*VLOOKUP($L1327,Vloersoorten[],3,FALSE)*VLOOKUP($Y1327,Frequenties[],3,FALSE)*VLOOKUP(#REF!,Locaties[],3,FALSE),0)</f>
        <v>0</v>
      </c>
      <c r="AB1327" s="87">
        <f>Ruimtestaat[[#This Row],[Uitvoeringen weekend]]*Ruimtestaat[[#This Row],[Oppervlak (netto)]]</f>
        <v>0</v>
      </c>
      <c r="AC1327" s="90">
        <f>IF(AB1327&gt;0,Ruimtestaat[[#This Row],[Prest. (m2 /jaar) weekend]]/Ruimtestaat[[#This Row],[Norm (m2/uur) weekend]],0)</f>
        <v>0</v>
      </c>
      <c r="AD1327" s="91">
        <f>Ruimtestaat[[#This Row],[uren / jaar weekend]]*Tariefsopbouw!$D$40</f>
        <v>0</v>
      </c>
      <c r="AE1327" s="60">
        <f>Ruimtestaat[[#This Row],[Prest. (m2 /jaar) weekend]]+Ruimtestaat[[#This Row],[Prest. (m2 /jaar) werkdagen]]</f>
        <v>19634</v>
      </c>
      <c r="AF1327" s="60">
        <f>Ruimtestaat[[#This Row],[uren / jaar weekend]]+Ruimtestaat[[#This Row],[uren / jaar werkdagen]]</f>
        <v>0</v>
      </c>
      <c r="AG1327" s="61">
        <f>Ruimtestaat[[#This Row],[kosten / jaar weekend]]+Ruimtestaat[[#This Row],[kosten / jaar werkdagen]]</f>
        <v>0</v>
      </c>
      <c r="AH1327" s="92"/>
      <c r="HL1327" s="59"/>
    </row>
    <row r="1328" spans="1:220">
      <c r="A1328" s="24">
        <v>8</v>
      </c>
      <c r="B1328" s="24" t="str">
        <f>VLOOKUP(Ruimtestaat[[#This Row],[Code]],Locaties[#All],2,FALSE)</f>
        <v>Arkelstijn</v>
      </c>
      <c r="C1328" s="24" t="str">
        <f>VLOOKUP(Ruimtestaat[[#This Row],[Code]],Locaties[#All],4,FALSE)</f>
        <v>Arkelstein 8</v>
      </c>
      <c r="D1328" s="24" t="str">
        <f>VLOOKUP(Ruimtestaat[[#This Row],[Code]],Locaties[#All],5,FALSE)</f>
        <v>7414 EP</v>
      </c>
      <c r="E1328" s="24" t="str">
        <f>VLOOKUP(Ruimtestaat[[#This Row],[Code]],Locaties[#All],6,FALSE)</f>
        <v>Deventer</v>
      </c>
      <c r="F1328" s="54"/>
      <c r="G1328" s="24" t="s">
        <v>367</v>
      </c>
      <c r="H1328" s="24" t="s">
        <v>944</v>
      </c>
      <c r="I1328" s="4" t="s">
        <v>1773</v>
      </c>
      <c r="J1328" s="24">
        <v>7</v>
      </c>
      <c r="K1328" s="54" t="str">
        <f>VLOOKUP(J1328,Ruimtegroepen[],2,FALSE)</f>
        <v>Entree</v>
      </c>
      <c r="L1328" s="24" t="s">
        <v>311</v>
      </c>
      <c r="M1328" s="24" t="s">
        <v>1774</v>
      </c>
      <c r="N1328" s="83">
        <v>15.28</v>
      </c>
      <c r="O1328" s="83"/>
      <c r="P1328" s="93" t="str">
        <f>LEFT(VLOOKUP(Ruimtestaat[[#This Row],[Ruimte code]],Ruimtegroepen[#All],4,1),2)</f>
        <v>Ve</v>
      </c>
      <c r="Q1328" s="93"/>
      <c r="R1328" s="84">
        <v>40</v>
      </c>
      <c r="S1328" s="84" t="s">
        <v>318</v>
      </c>
      <c r="T1328" s="85">
        <f>IF(R1328&gt;0,IF(RIGHT(Ruimtestaat[[#This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8" s="85">
        <f>IF(T1328&gt;0,VLOOKUP($J1328,Ruimtegroepen[],3,FALSE)*VLOOKUP($L1328,Vloersoorten[],3,FALSE)*VLOOKUP($S1328,Frequenties[],3,FALSE)*VLOOKUP($A1328,Locaties[],3,FALSE),0)</f>
        <v>0</v>
      </c>
      <c r="V1328" s="86">
        <f>Ruimtestaat[[#This Row],[Uitvoeringen werkdagen]]*Ruimtestaat[[#This Row],[Oppervlak (netto)]]</f>
        <v>3056</v>
      </c>
      <c r="W1328" s="87">
        <f>IF(U1328&gt;0,Ruimtestaat[[#This Row],[Prest. (m2 /jaar) werkdagen]]/Ruimtestaat[[#This Row],[Norm (m2/uur) werkdagen]],0)</f>
        <v>0</v>
      </c>
      <c r="X1328" s="88">
        <f>Ruimtestaat[[#This Row],[uren / jaar werkdagen]]*Tariefsopbouw!$E$35</f>
        <v>0</v>
      </c>
      <c r="Y1328" s="85"/>
      <c r="Z1328" s="89">
        <f>IF(Ruimtestaat[[#This Row],[Frequentie weekend]]&gt;0,VALUE(LEFT(Y1328,1))*R1328,0)</f>
        <v>0</v>
      </c>
      <c r="AA1328" s="85">
        <f>IF($Z1328&gt;0,VLOOKUP($J1328,Ruimtegroepen[],3,FALSE)*VLOOKUP($L1328,Vloersoorten[],3,FALSE)*VLOOKUP($Y1328,Frequenties[],3,FALSE)*VLOOKUP(#REF!,Locaties[],3,FALSE),0)</f>
        <v>0</v>
      </c>
      <c r="AB1328" s="87">
        <f>Ruimtestaat[[#This Row],[Uitvoeringen weekend]]*Ruimtestaat[[#This Row],[Oppervlak (netto)]]</f>
        <v>0</v>
      </c>
      <c r="AC1328" s="90">
        <f>IF(AB1328&gt;0,Ruimtestaat[[#This Row],[Prest. (m2 /jaar) weekend]]/Ruimtestaat[[#This Row],[Norm (m2/uur) weekend]],0)</f>
        <v>0</v>
      </c>
      <c r="AD1328" s="91">
        <f>Ruimtestaat[[#This Row],[uren / jaar weekend]]*Tariefsopbouw!$D$40</f>
        <v>0</v>
      </c>
      <c r="AE1328" s="60">
        <f>Ruimtestaat[[#This Row],[Prest. (m2 /jaar) weekend]]+Ruimtestaat[[#This Row],[Prest. (m2 /jaar) werkdagen]]</f>
        <v>3056</v>
      </c>
      <c r="AF1328" s="60">
        <f>Ruimtestaat[[#This Row],[uren / jaar weekend]]+Ruimtestaat[[#This Row],[uren / jaar werkdagen]]</f>
        <v>0</v>
      </c>
      <c r="AG1328" s="61">
        <f>Ruimtestaat[[#This Row],[kosten / jaar weekend]]+Ruimtestaat[[#This Row],[kosten / jaar werkdagen]]</f>
        <v>0</v>
      </c>
      <c r="AH1328" s="92"/>
      <c r="HL1328" s="59"/>
    </row>
    <row r="1329" spans="1:220">
      <c r="A1329" s="24">
        <v>8</v>
      </c>
      <c r="B1329" s="24" t="str">
        <f>VLOOKUP(Ruimtestaat[[#This Row],[Code]],Locaties[#All],2,FALSE)</f>
        <v>Arkelstijn</v>
      </c>
      <c r="C1329" s="24" t="str">
        <f>VLOOKUP(Ruimtestaat[[#This Row],[Code]],Locaties[#All],4,FALSE)</f>
        <v>Arkelstein 8</v>
      </c>
      <c r="D1329" s="24" t="str">
        <f>VLOOKUP(Ruimtestaat[[#This Row],[Code]],Locaties[#All],5,FALSE)</f>
        <v>7414 EP</v>
      </c>
      <c r="E1329" s="24" t="str">
        <f>VLOOKUP(Ruimtestaat[[#This Row],[Code]],Locaties[#All],6,FALSE)</f>
        <v>Deventer</v>
      </c>
      <c r="F1329" s="54"/>
      <c r="G1329" s="24" t="s">
        <v>367</v>
      </c>
      <c r="H1329" s="24" t="s">
        <v>969</v>
      </c>
      <c r="I1329" s="4" t="s">
        <v>1775</v>
      </c>
      <c r="J1329" s="24">
        <v>13</v>
      </c>
      <c r="K1329" s="54" t="str">
        <f>VLOOKUP(J1329,Ruimtegroepen[],2,FALSE)</f>
        <v>HV/Technieklokaal</v>
      </c>
      <c r="L1329" s="24" t="s">
        <v>311</v>
      </c>
      <c r="M1329" s="24" t="s">
        <v>1774</v>
      </c>
      <c r="N1329" s="83">
        <v>29.27</v>
      </c>
      <c r="O1329" s="83"/>
      <c r="P1329" s="93" t="str">
        <f>LEFT(VLOOKUP(Ruimtestaat[[#This Row],[Ruimte code]],Ruimtegroepen[#All],4,1),2)</f>
        <v>Le</v>
      </c>
      <c r="Q1329" s="93"/>
      <c r="R1329" s="84">
        <v>40</v>
      </c>
      <c r="S1329" s="84" t="s">
        <v>318</v>
      </c>
      <c r="T1329" s="85">
        <f>IF(R1329&gt;0,IF(RIGHT(Ruimtestaat[[#This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9" s="85">
        <f>IF(T1329&gt;0,VLOOKUP($J1329,Ruimtegroepen[],3,FALSE)*VLOOKUP($L1329,Vloersoorten[],3,FALSE)*VLOOKUP($S1329,Frequenties[],3,FALSE)*VLOOKUP($A1329,Locaties[],3,FALSE),0)</f>
        <v>0</v>
      </c>
      <c r="V1329" s="86">
        <f>Ruimtestaat[[#This Row],[Uitvoeringen werkdagen]]*Ruimtestaat[[#This Row],[Oppervlak (netto)]]</f>
        <v>5854</v>
      </c>
      <c r="W1329" s="87">
        <f>IF(U1329&gt;0,Ruimtestaat[[#This Row],[Prest. (m2 /jaar) werkdagen]]/Ruimtestaat[[#This Row],[Norm (m2/uur) werkdagen]],0)</f>
        <v>0</v>
      </c>
      <c r="X1329" s="88">
        <f>Ruimtestaat[[#This Row],[uren / jaar werkdagen]]*Tariefsopbouw!$E$35</f>
        <v>0</v>
      </c>
      <c r="Y1329" s="85"/>
      <c r="Z1329" s="89">
        <f>IF(Ruimtestaat[[#This Row],[Frequentie weekend]]&gt;0,VALUE(LEFT(Y1329,1))*R1329,0)</f>
        <v>0</v>
      </c>
      <c r="AA1329" s="85">
        <f>IF($Z1329&gt;0,VLOOKUP($J1329,Ruimtegroepen[],3,FALSE)*VLOOKUP($L1329,Vloersoorten[],3,FALSE)*VLOOKUP($Y1329,Frequenties[],3,FALSE)*VLOOKUP(#REF!,Locaties[],3,FALSE),0)</f>
        <v>0</v>
      </c>
      <c r="AB1329" s="87">
        <f>Ruimtestaat[[#This Row],[Uitvoeringen weekend]]*Ruimtestaat[[#This Row],[Oppervlak (netto)]]</f>
        <v>0</v>
      </c>
      <c r="AC1329" s="90">
        <f>IF(AB1329&gt;0,Ruimtestaat[[#This Row],[Prest. (m2 /jaar) weekend]]/Ruimtestaat[[#This Row],[Norm (m2/uur) weekend]],0)</f>
        <v>0</v>
      </c>
      <c r="AD1329" s="91">
        <f>Ruimtestaat[[#This Row],[uren / jaar weekend]]*Tariefsopbouw!$D$40</f>
        <v>0</v>
      </c>
      <c r="AE1329" s="60">
        <f>Ruimtestaat[[#This Row],[Prest. (m2 /jaar) weekend]]+Ruimtestaat[[#This Row],[Prest. (m2 /jaar) werkdagen]]</f>
        <v>5854</v>
      </c>
      <c r="AF1329" s="60">
        <f>Ruimtestaat[[#This Row],[uren / jaar weekend]]+Ruimtestaat[[#This Row],[uren / jaar werkdagen]]</f>
        <v>0</v>
      </c>
      <c r="AG1329" s="61">
        <f>Ruimtestaat[[#This Row],[kosten / jaar weekend]]+Ruimtestaat[[#This Row],[kosten / jaar werkdagen]]</f>
        <v>0</v>
      </c>
      <c r="AH1329" s="92"/>
      <c r="HL1329" s="59"/>
    </row>
    <row r="1330" spans="1:220">
      <c r="A1330" s="24">
        <v>8</v>
      </c>
      <c r="B1330" s="24" t="str">
        <f>VLOOKUP(Ruimtestaat[[#This Row],[Code]],Locaties[#All],2,FALSE)</f>
        <v>Arkelstijn</v>
      </c>
      <c r="C1330" s="24" t="str">
        <f>VLOOKUP(Ruimtestaat[[#This Row],[Code]],Locaties[#All],4,FALSE)</f>
        <v>Arkelstein 8</v>
      </c>
      <c r="D1330" s="24" t="str">
        <f>VLOOKUP(Ruimtestaat[[#This Row],[Code]],Locaties[#All],5,FALSE)</f>
        <v>7414 EP</v>
      </c>
      <c r="E1330" s="24" t="str">
        <f>VLOOKUP(Ruimtestaat[[#This Row],[Code]],Locaties[#All],6,FALSE)</f>
        <v>Deventer</v>
      </c>
      <c r="F1330" s="54"/>
      <c r="G1330" s="24" t="s">
        <v>367</v>
      </c>
      <c r="H1330" s="24" t="s">
        <v>1776</v>
      </c>
      <c r="I1330" s="4" t="s">
        <v>1754</v>
      </c>
      <c r="J1330" s="24">
        <v>5</v>
      </c>
      <c r="K1330" s="54" t="str">
        <f>VLOOKUP(J1330,Ruimtegroepen[],2,FALSE)</f>
        <v>Sanitair</v>
      </c>
      <c r="L1330" s="24" t="s">
        <v>305</v>
      </c>
      <c r="M1330" s="24" t="s">
        <v>400</v>
      </c>
      <c r="N1330" s="83">
        <v>4.57</v>
      </c>
      <c r="O1330" s="83"/>
      <c r="P1330" s="93" t="str">
        <f>LEFT(VLOOKUP(Ruimtestaat[[#This Row],[Ruimte code]],Ruimtegroepen[#All],4,1),2)</f>
        <v>Sa</v>
      </c>
      <c r="Q1330" s="93"/>
      <c r="R1330" s="84">
        <v>42</v>
      </c>
      <c r="S1330" s="84" t="s">
        <v>316</v>
      </c>
      <c r="T1330" s="85">
        <f>IF(R1330&gt;0,IF(RIGHT(Ruimtestaat[[#This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30" s="85">
        <f>IF(T1330&gt;0,VLOOKUP($J1330,Ruimtegroepen[],3,FALSE)*VLOOKUP($L1330,Vloersoorten[],3,FALSE)*VLOOKUP($S1330,Frequenties[],3,FALSE)*VLOOKUP($A1330,Locaties[],3,FALSE),0)</f>
        <v>0</v>
      </c>
      <c r="V1330" s="86">
        <f>Ruimtestaat[[#This Row],[Uitvoeringen werkdagen]]*Ruimtestaat[[#This Row],[Oppervlak (netto)]]</f>
        <v>1919.4</v>
      </c>
      <c r="W1330" s="87">
        <f>IF(U1330&gt;0,Ruimtestaat[[#This Row],[Prest. (m2 /jaar) werkdagen]]/Ruimtestaat[[#This Row],[Norm (m2/uur) werkdagen]],0)</f>
        <v>0</v>
      </c>
      <c r="X1330" s="88">
        <f>Ruimtestaat[[#This Row],[uren / jaar werkdagen]]*Tariefsopbouw!$E$35</f>
        <v>0</v>
      </c>
      <c r="Y1330" s="85"/>
      <c r="Z1330" s="89">
        <f>IF(Ruimtestaat[[#This Row],[Frequentie weekend]]&gt;0,VALUE(LEFT(Y1330,1))*R1330,0)</f>
        <v>0</v>
      </c>
      <c r="AA1330" s="85">
        <f>IF($Z1330&gt;0,VLOOKUP($J1330,Ruimtegroepen[],3,FALSE)*VLOOKUP($L1330,Vloersoorten[],3,FALSE)*VLOOKUP($Y1330,Frequenties[],3,FALSE)*VLOOKUP(#REF!,Locaties[],3,FALSE),0)</f>
        <v>0</v>
      </c>
      <c r="AB1330" s="87">
        <f>Ruimtestaat[[#This Row],[Uitvoeringen weekend]]*Ruimtestaat[[#This Row],[Oppervlak (netto)]]</f>
        <v>0</v>
      </c>
      <c r="AC1330" s="90">
        <f>IF(AB1330&gt;0,Ruimtestaat[[#This Row],[Prest. (m2 /jaar) weekend]]/Ruimtestaat[[#This Row],[Norm (m2/uur) weekend]],0)</f>
        <v>0</v>
      </c>
      <c r="AD1330" s="91">
        <f>Ruimtestaat[[#This Row],[uren / jaar weekend]]*Tariefsopbouw!$D$40</f>
        <v>0</v>
      </c>
      <c r="AE1330" s="60">
        <f>Ruimtestaat[[#This Row],[Prest. (m2 /jaar) weekend]]+Ruimtestaat[[#This Row],[Prest. (m2 /jaar) werkdagen]]</f>
        <v>1919.4</v>
      </c>
      <c r="AF1330" s="60">
        <f>Ruimtestaat[[#This Row],[uren / jaar weekend]]+Ruimtestaat[[#This Row],[uren / jaar werkdagen]]</f>
        <v>0</v>
      </c>
      <c r="AG1330" s="61">
        <f>Ruimtestaat[[#This Row],[kosten / jaar weekend]]+Ruimtestaat[[#This Row],[kosten / jaar werkdagen]]</f>
        <v>0</v>
      </c>
      <c r="AH1330" s="92"/>
      <c r="HL1330" s="59"/>
    </row>
    <row r="1331" spans="1:220">
      <c r="A1331" s="24">
        <v>8</v>
      </c>
      <c r="B1331" s="24" t="str">
        <f>VLOOKUP(Ruimtestaat[[#This Row],[Code]],Locaties[#All],2,FALSE)</f>
        <v>Arkelstijn</v>
      </c>
      <c r="C1331" s="24" t="str">
        <f>VLOOKUP(Ruimtestaat[[#This Row],[Code]],Locaties[#All],4,FALSE)</f>
        <v>Arkelstein 8</v>
      </c>
      <c r="D1331" s="24" t="str">
        <f>VLOOKUP(Ruimtestaat[[#This Row],[Code]],Locaties[#All],5,FALSE)</f>
        <v>7414 EP</v>
      </c>
      <c r="E1331" s="24" t="str">
        <f>VLOOKUP(Ruimtestaat[[#This Row],[Code]],Locaties[#All],6,FALSE)</f>
        <v>Deventer</v>
      </c>
      <c r="F1331" s="54"/>
      <c r="G1331" s="24" t="s">
        <v>367</v>
      </c>
      <c r="H1331" s="24" t="s">
        <v>1777</v>
      </c>
      <c r="I1331" s="4" t="s">
        <v>1754</v>
      </c>
      <c r="J1331" s="24">
        <v>5</v>
      </c>
      <c r="K1331" s="54" t="str">
        <f>VLOOKUP(J1331,Ruimtegroepen[],2,FALSE)</f>
        <v>Sanitair</v>
      </c>
      <c r="L1331" s="24" t="s">
        <v>305</v>
      </c>
      <c r="M1331" s="24" t="s">
        <v>400</v>
      </c>
      <c r="N1331" s="83">
        <v>3.85</v>
      </c>
      <c r="O1331" s="83"/>
      <c r="P1331" s="93" t="str">
        <f>LEFT(VLOOKUP(Ruimtestaat[[#This Row],[Ruimte code]],Ruimtegroepen[#All],4,1),2)</f>
        <v>Sa</v>
      </c>
      <c r="Q1331" s="93"/>
      <c r="R1331" s="84">
        <v>42</v>
      </c>
      <c r="S1331" s="84" t="s">
        <v>316</v>
      </c>
      <c r="T1331" s="85">
        <f>IF(R1331&gt;0,IF(RIGHT(Ruimtestaat[[#This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31" s="85">
        <f>IF(T1331&gt;0,VLOOKUP($J1331,Ruimtegroepen[],3,FALSE)*VLOOKUP($L1331,Vloersoorten[],3,FALSE)*VLOOKUP($S1331,Frequenties[],3,FALSE)*VLOOKUP($A1331,Locaties[],3,FALSE),0)</f>
        <v>0</v>
      </c>
      <c r="V1331" s="86">
        <f>Ruimtestaat[[#This Row],[Uitvoeringen werkdagen]]*Ruimtestaat[[#This Row],[Oppervlak (netto)]]</f>
        <v>1617</v>
      </c>
      <c r="W1331" s="87">
        <f>IF(U1331&gt;0,Ruimtestaat[[#This Row],[Prest. (m2 /jaar) werkdagen]]/Ruimtestaat[[#This Row],[Norm (m2/uur) werkdagen]],0)</f>
        <v>0</v>
      </c>
      <c r="X1331" s="88">
        <f>Ruimtestaat[[#This Row],[uren / jaar werkdagen]]*Tariefsopbouw!$E$35</f>
        <v>0</v>
      </c>
      <c r="Y1331" s="85"/>
      <c r="Z1331" s="89">
        <f>IF(Ruimtestaat[[#This Row],[Frequentie weekend]]&gt;0,VALUE(LEFT(Y1331,1))*R1331,0)</f>
        <v>0</v>
      </c>
      <c r="AA1331" s="85">
        <f>IF($Z1331&gt;0,VLOOKUP($J1331,Ruimtegroepen[],3,FALSE)*VLOOKUP($L1331,Vloersoorten[],3,FALSE)*VLOOKUP($Y1331,Frequenties[],3,FALSE)*VLOOKUP(#REF!,Locaties[],3,FALSE),0)</f>
        <v>0</v>
      </c>
      <c r="AB1331" s="87">
        <f>Ruimtestaat[[#This Row],[Uitvoeringen weekend]]*Ruimtestaat[[#This Row],[Oppervlak (netto)]]</f>
        <v>0</v>
      </c>
      <c r="AC1331" s="90">
        <f>IF(AB1331&gt;0,Ruimtestaat[[#This Row],[Prest. (m2 /jaar) weekend]]/Ruimtestaat[[#This Row],[Norm (m2/uur) weekend]],0)</f>
        <v>0</v>
      </c>
      <c r="AD1331" s="91">
        <f>Ruimtestaat[[#This Row],[uren / jaar weekend]]*Tariefsopbouw!$D$40</f>
        <v>0</v>
      </c>
      <c r="AE1331" s="60">
        <f>Ruimtestaat[[#This Row],[Prest. (m2 /jaar) weekend]]+Ruimtestaat[[#This Row],[Prest. (m2 /jaar) werkdagen]]</f>
        <v>1617</v>
      </c>
      <c r="AF1331" s="60">
        <f>Ruimtestaat[[#This Row],[uren / jaar weekend]]+Ruimtestaat[[#This Row],[uren / jaar werkdagen]]</f>
        <v>0</v>
      </c>
      <c r="AG1331" s="61">
        <f>Ruimtestaat[[#This Row],[kosten / jaar weekend]]+Ruimtestaat[[#This Row],[kosten / jaar werkdagen]]</f>
        <v>0</v>
      </c>
      <c r="AH1331" s="92"/>
      <c r="HL1331" s="59"/>
    </row>
    <row r="1332" spans="1:220">
      <c r="A1332" s="24">
        <v>8</v>
      </c>
      <c r="B1332" s="24" t="str">
        <f>VLOOKUP(Ruimtestaat[[#This Row],[Code]],Locaties[#All],2,FALSE)</f>
        <v>Arkelstijn</v>
      </c>
      <c r="C1332" s="24" t="str">
        <f>VLOOKUP(Ruimtestaat[[#This Row],[Code]],Locaties[#All],4,FALSE)</f>
        <v>Arkelstein 8</v>
      </c>
      <c r="D1332" s="24" t="str">
        <f>VLOOKUP(Ruimtestaat[[#This Row],[Code]],Locaties[#All],5,FALSE)</f>
        <v>7414 EP</v>
      </c>
      <c r="E1332" s="24" t="str">
        <f>VLOOKUP(Ruimtestaat[[#This Row],[Code]],Locaties[#All],6,FALSE)</f>
        <v>Deventer</v>
      </c>
      <c r="F1332" s="54"/>
      <c r="G1332" s="24" t="s">
        <v>367</v>
      </c>
      <c r="H1332" s="24" t="s">
        <v>1778</v>
      </c>
      <c r="I1332" s="4" t="s">
        <v>1779</v>
      </c>
      <c r="J1332" s="24">
        <v>22</v>
      </c>
      <c r="K1332" s="54" t="str">
        <f>VLOOKUP(J1332,Ruimtegroepen[],2,FALSE)</f>
        <v>Niet in onderhoud</v>
      </c>
      <c r="L1332" s="24" t="s">
        <v>300</v>
      </c>
      <c r="M1332" s="24" t="s">
        <v>1765</v>
      </c>
      <c r="N1332" s="83"/>
      <c r="O1332" s="83">
        <v>1.91</v>
      </c>
      <c r="P1332" s="93" t="str">
        <f>LEFT(VLOOKUP(Ruimtestaat[[#This Row],[Ruimte code]],Ruimtegroepen[#All],4,1),2)</f>
        <v/>
      </c>
      <c r="Q1332" s="93"/>
      <c r="R1332" s="84"/>
      <c r="S1332" s="84"/>
      <c r="T1332" s="85">
        <f>IF(R1332&gt;0,IF(RIGHT(Ruimtestaat[[#This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2" s="85">
        <f>IF(T1332&gt;0,VLOOKUP($J1332,Ruimtegroepen[],3,FALSE)*VLOOKUP($L1332,Vloersoorten[],3,FALSE)*VLOOKUP($S1332,Frequenties[],3,FALSE)*VLOOKUP($A1332,Locaties[],3,FALSE),0)</f>
        <v>0</v>
      </c>
      <c r="V1332" s="86">
        <f>Ruimtestaat[[#This Row],[Uitvoeringen werkdagen]]*Ruimtestaat[[#This Row],[Oppervlak (netto)]]</f>
        <v>0</v>
      </c>
      <c r="W1332" s="87">
        <f>IF(U1332&gt;0,Ruimtestaat[[#This Row],[Prest. (m2 /jaar) werkdagen]]/Ruimtestaat[[#This Row],[Norm (m2/uur) werkdagen]],0)</f>
        <v>0</v>
      </c>
      <c r="X1332" s="88">
        <f>Ruimtestaat[[#This Row],[uren / jaar werkdagen]]*Tariefsopbouw!$E$35</f>
        <v>0</v>
      </c>
      <c r="Y1332" s="85"/>
      <c r="Z1332" s="89">
        <f>IF(Ruimtestaat[[#This Row],[Frequentie weekend]]&gt;0,VALUE(LEFT(Y1332,1))*R1332,0)</f>
        <v>0</v>
      </c>
      <c r="AA1332" s="85">
        <f>IF($Z1332&gt;0,VLOOKUP($J1332,Ruimtegroepen[],3,FALSE)*VLOOKUP($L1332,Vloersoorten[],3,FALSE)*VLOOKUP($Y1332,Frequenties[],3,FALSE)*VLOOKUP(#REF!,Locaties[],3,FALSE),0)</f>
        <v>0</v>
      </c>
      <c r="AB1332" s="87">
        <f>Ruimtestaat[[#This Row],[Uitvoeringen weekend]]*Ruimtestaat[[#This Row],[Oppervlak (netto)]]</f>
        <v>0</v>
      </c>
      <c r="AC1332" s="90">
        <f>IF(AB1332&gt;0,Ruimtestaat[[#This Row],[Prest. (m2 /jaar) weekend]]/Ruimtestaat[[#This Row],[Norm (m2/uur) weekend]],0)</f>
        <v>0</v>
      </c>
      <c r="AD1332" s="91">
        <f>Ruimtestaat[[#This Row],[uren / jaar weekend]]*Tariefsopbouw!$D$40</f>
        <v>0</v>
      </c>
      <c r="AE1332" s="60">
        <f>Ruimtestaat[[#This Row],[Prest. (m2 /jaar) weekend]]+Ruimtestaat[[#This Row],[Prest. (m2 /jaar) werkdagen]]</f>
        <v>0</v>
      </c>
      <c r="AF1332" s="60">
        <f>Ruimtestaat[[#This Row],[uren / jaar weekend]]+Ruimtestaat[[#This Row],[uren / jaar werkdagen]]</f>
        <v>0</v>
      </c>
      <c r="AG1332" s="61">
        <f>Ruimtestaat[[#This Row],[kosten / jaar weekend]]+Ruimtestaat[[#This Row],[kosten / jaar werkdagen]]</f>
        <v>0</v>
      </c>
      <c r="AH1332" s="92"/>
      <c r="HL1332" s="59"/>
    </row>
    <row r="1333" spans="1:220">
      <c r="A1333" s="24">
        <v>8</v>
      </c>
      <c r="B1333" s="24" t="str">
        <f>VLOOKUP(Ruimtestaat[[#This Row],[Code]],Locaties[#All],2,FALSE)</f>
        <v>Arkelstijn</v>
      </c>
      <c r="C1333" s="24" t="str">
        <f>VLOOKUP(Ruimtestaat[[#This Row],[Code]],Locaties[#All],4,FALSE)</f>
        <v>Arkelstein 8</v>
      </c>
      <c r="D1333" s="24" t="str">
        <f>VLOOKUP(Ruimtestaat[[#This Row],[Code]],Locaties[#All],5,FALSE)</f>
        <v>7414 EP</v>
      </c>
      <c r="E1333" s="24" t="str">
        <f>VLOOKUP(Ruimtestaat[[#This Row],[Code]],Locaties[#All],6,FALSE)</f>
        <v>Deventer</v>
      </c>
      <c r="F1333" s="54"/>
      <c r="G1333" s="24" t="s">
        <v>367</v>
      </c>
      <c r="H1333" s="24" t="s">
        <v>1780</v>
      </c>
      <c r="I1333" s="4" t="s">
        <v>1754</v>
      </c>
      <c r="J1333" s="24">
        <v>5</v>
      </c>
      <c r="K1333" s="54" t="str">
        <f>VLOOKUP(J1333,Ruimtegroepen[],2,FALSE)</f>
        <v>Sanitair</v>
      </c>
      <c r="L1333" s="24" t="s">
        <v>305</v>
      </c>
      <c r="M1333" s="24" t="s">
        <v>400</v>
      </c>
      <c r="N1333" s="83">
        <v>9.01</v>
      </c>
      <c r="O1333" s="83"/>
      <c r="P1333" s="93" t="str">
        <f>LEFT(VLOOKUP(Ruimtestaat[[#This Row],[Ruimte code]],Ruimtegroepen[#All],4,1),2)</f>
        <v>Sa</v>
      </c>
      <c r="Q1333" s="93"/>
      <c r="R1333" s="84">
        <v>42</v>
      </c>
      <c r="S1333" s="84" t="s">
        <v>316</v>
      </c>
      <c r="T1333" s="85">
        <f>IF(R1333&gt;0,IF(RIGHT(Ruimtestaat[[#This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33" s="85">
        <f>IF(T1333&gt;0,VLOOKUP($J1333,Ruimtegroepen[],3,FALSE)*VLOOKUP($L1333,Vloersoorten[],3,FALSE)*VLOOKUP($S1333,Frequenties[],3,FALSE)*VLOOKUP($A1333,Locaties[],3,FALSE),0)</f>
        <v>0</v>
      </c>
      <c r="V1333" s="86">
        <f>Ruimtestaat[[#This Row],[Uitvoeringen werkdagen]]*Ruimtestaat[[#This Row],[Oppervlak (netto)]]</f>
        <v>3784.2</v>
      </c>
      <c r="W1333" s="87">
        <f>IF(U1333&gt;0,Ruimtestaat[[#This Row],[Prest. (m2 /jaar) werkdagen]]/Ruimtestaat[[#This Row],[Norm (m2/uur) werkdagen]],0)</f>
        <v>0</v>
      </c>
      <c r="X1333" s="88">
        <f>Ruimtestaat[[#This Row],[uren / jaar werkdagen]]*Tariefsopbouw!$E$35</f>
        <v>0</v>
      </c>
      <c r="Y1333" s="85"/>
      <c r="Z1333" s="89">
        <f>IF(Ruimtestaat[[#This Row],[Frequentie weekend]]&gt;0,VALUE(LEFT(Y1333,1))*R1333,0)</f>
        <v>0</v>
      </c>
      <c r="AA1333" s="85">
        <f>IF($Z1333&gt;0,VLOOKUP($J1333,Ruimtegroepen[],3,FALSE)*VLOOKUP($L1333,Vloersoorten[],3,FALSE)*VLOOKUP($Y1333,Frequenties[],3,FALSE)*VLOOKUP(#REF!,Locaties[],3,FALSE),0)</f>
        <v>0</v>
      </c>
      <c r="AB1333" s="87">
        <f>Ruimtestaat[[#This Row],[Uitvoeringen weekend]]*Ruimtestaat[[#This Row],[Oppervlak (netto)]]</f>
        <v>0</v>
      </c>
      <c r="AC1333" s="90">
        <f>IF(AB1333&gt;0,Ruimtestaat[[#This Row],[Prest. (m2 /jaar) weekend]]/Ruimtestaat[[#This Row],[Norm (m2/uur) weekend]],0)</f>
        <v>0</v>
      </c>
      <c r="AD1333" s="91">
        <f>Ruimtestaat[[#This Row],[uren / jaar weekend]]*Tariefsopbouw!$D$40</f>
        <v>0</v>
      </c>
      <c r="AE1333" s="60">
        <f>Ruimtestaat[[#This Row],[Prest. (m2 /jaar) weekend]]+Ruimtestaat[[#This Row],[Prest. (m2 /jaar) werkdagen]]</f>
        <v>3784.2</v>
      </c>
      <c r="AF1333" s="60">
        <f>Ruimtestaat[[#This Row],[uren / jaar weekend]]+Ruimtestaat[[#This Row],[uren / jaar werkdagen]]</f>
        <v>0</v>
      </c>
      <c r="AG1333" s="61">
        <f>Ruimtestaat[[#This Row],[kosten / jaar weekend]]+Ruimtestaat[[#This Row],[kosten / jaar werkdagen]]</f>
        <v>0</v>
      </c>
      <c r="AH1333" s="92"/>
      <c r="HL1333" s="59"/>
    </row>
    <row r="1334" spans="1:220">
      <c r="A1334" s="24">
        <v>8</v>
      </c>
      <c r="B1334" s="24" t="str">
        <f>VLOOKUP(Ruimtestaat[[#This Row],[Code]],Locaties[#All],2,FALSE)</f>
        <v>Arkelstijn</v>
      </c>
      <c r="C1334" s="24" t="str">
        <f>VLOOKUP(Ruimtestaat[[#This Row],[Code]],Locaties[#All],4,FALSE)</f>
        <v>Arkelstein 8</v>
      </c>
      <c r="D1334" s="24" t="str">
        <f>VLOOKUP(Ruimtestaat[[#This Row],[Code]],Locaties[#All],5,FALSE)</f>
        <v>7414 EP</v>
      </c>
      <c r="E1334" s="24" t="str">
        <f>VLOOKUP(Ruimtestaat[[#This Row],[Code]],Locaties[#All],6,FALSE)</f>
        <v>Deventer</v>
      </c>
      <c r="F1334" s="54"/>
      <c r="G1334" s="24" t="s">
        <v>367</v>
      </c>
      <c r="H1334" s="24" t="s">
        <v>1781</v>
      </c>
      <c r="I1334" s="4" t="s">
        <v>1782</v>
      </c>
      <c r="J1334" s="24">
        <v>22</v>
      </c>
      <c r="K1334" s="54" t="str">
        <f>VLOOKUP(J1334,Ruimtegroepen[],2,FALSE)</f>
        <v>Niet in onderhoud</v>
      </c>
      <c r="L1334" s="24" t="s">
        <v>303</v>
      </c>
      <c r="M1334" s="24" t="s">
        <v>767</v>
      </c>
      <c r="N1334" s="83"/>
      <c r="O1334" s="83">
        <v>7.97</v>
      </c>
      <c r="P1334" s="93" t="str">
        <f>LEFT(VLOOKUP(Ruimtestaat[[#This Row],[Ruimte code]],Ruimtegroepen[#All],4,1),2)</f>
        <v/>
      </c>
      <c r="Q1334" s="93"/>
      <c r="R1334" s="84"/>
      <c r="S1334" s="84"/>
      <c r="T1334" s="85">
        <f>IF(R1334&gt;0,IF(RIGHT(Ruimtestaat[[#This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4" s="85">
        <f>IF(T1334&gt;0,VLOOKUP($J1334,Ruimtegroepen[],3,FALSE)*VLOOKUP($L1334,Vloersoorten[],3,FALSE)*VLOOKUP($S1334,Frequenties[],3,FALSE)*VLOOKUP($A1334,Locaties[],3,FALSE),0)</f>
        <v>0</v>
      </c>
      <c r="V1334" s="86">
        <f>Ruimtestaat[[#This Row],[Uitvoeringen werkdagen]]*Ruimtestaat[[#This Row],[Oppervlak (netto)]]</f>
        <v>0</v>
      </c>
      <c r="W1334" s="87">
        <f>IF(U1334&gt;0,Ruimtestaat[[#This Row],[Prest. (m2 /jaar) werkdagen]]/Ruimtestaat[[#This Row],[Norm (m2/uur) werkdagen]],0)</f>
        <v>0</v>
      </c>
      <c r="X1334" s="88">
        <f>Ruimtestaat[[#This Row],[uren / jaar werkdagen]]*Tariefsopbouw!$E$35</f>
        <v>0</v>
      </c>
      <c r="Y1334" s="85"/>
      <c r="Z1334" s="89">
        <f>IF(Ruimtestaat[[#This Row],[Frequentie weekend]]&gt;0,VALUE(LEFT(Y1334,1))*R1334,0)</f>
        <v>0</v>
      </c>
      <c r="AA1334" s="85">
        <f>IF($Z1334&gt;0,VLOOKUP($J1334,Ruimtegroepen[],3,FALSE)*VLOOKUP($L1334,Vloersoorten[],3,FALSE)*VLOOKUP($Y1334,Frequenties[],3,FALSE)*VLOOKUP(#REF!,Locaties[],3,FALSE),0)</f>
        <v>0</v>
      </c>
      <c r="AB1334" s="87">
        <f>Ruimtestaat[[#This Row],[Uitvoeringen weekend]]*Ruimtestaat[[#This Row],[Oppervlak (netto)]]</f>
        <v>0</v>
      </c>
      <c r="AC1334" s="90">
        <f>IF(AB1334&gt;0,Ruimtestaat[[#This Row],[Prest. (m2 /jaar) weekend]]/Ruimtestaat[[#This Row],[Norm (m2/uur) weekend]],0)</f>
        <v>0</v>
      </c>
      <c r="AD1334" s="91">
        <f>Ruimtestaat[[#This Row],[uren / jaar weekend]]*Tariefsopbouw!$D$40</f>
        <v>0</v>
      </c>
      <c r="AE1334" s="60">
        <f>Ruimtestaat[[#This Row],[Prest. (m2 /jaar) weekend]]+Ruimtestaat[[#This Row],[Prest. (m2 /jaar) werkdagen]]</f>
        <v>0</v>
      </c>
      <c r="AF1334" s="60">
        <f>Ruimtestaat[[#This Row],[uren / jaar weekend]]+Ruimtestaat[[#This Row],[uren / jaar werkdagen]]</f>
        <v>0</v>
      </c>
      <c r="AG1334" s="61">
        <f>Ruimtestaat[[#This Row],[kosten / jaar weekend]]+Ruimtestaat[[#This Row],[kosten / jaar werkdagen]]</f>
        <v>0</v>
      </c>
      <c r="AH1334" s="92"/>
      <c r="HL1334" s="59"/>
    </row>
    <row r="1335" spans="1:220">
      <c r="A1335" s="24">
        <v>8</v>
      </c>
      <c r="B1335" s="24" t="str">
        <f>VLOOKUP(Ruimtestaat[[#This Row],[Code]],Locaties[#All],2,FALSE)</f>
        <v>Arkelstijn</v>
      </c>
      <c r="C1335" s="24" t="str">
        <f>VLOOKUP(Ruimtestaat[[#This Row],[Code]],Locaties[#All],4,FALSE)</f>
        <v>Arkelstein 8</v>
      </c>
      <c r="D1335" s="24" t="str">
        <f>VLOOKUP(Ruimtestaat[[#This Row],[Code]],Locaties[#All],5,FALSE)</f>
        <v>7414 EP</v>
      </c>
      <c r="E1335" s="24" t="str">
        <f>VLOOKUP(Ruimtestaat[[#This Row],[Code]],Locaties[#All],6,FALSE)</f>
        <v>Deventer</v>
      </c>
      <c r="F1335" s="54"/>
      <c r="G1335" s="24" t="s">
        <v>367</v>
      </c>
      <c r="H1335" s="24" t="s">
        <v>1783</v>
      </c>
      <c r="I1335" s="4" t="s">
        <v>1784</v>
      </c>
      <c r="J1335" s="24">
        <v>6</v>
      </c>
      <c r="K1335" s="54" t="str">
        <f>VLOOKUP(J1335,Ruimtegroepen[],2,FALSE)</f>
        <v>Gangen/hallen</v>
      </c>
      <c r="L1335" s="24" t="s">
        <v>300</v>
      </c>
      <c r="M1335" s="24" t="s">
        <v>1765</v>
      </c>
      <c r="N1335" s="83">
        <v>5.04</v>
      </c>
      <c r="O1335" s="83"/>
      <c r="P1335" s="93" t="str">
        <f>LEFT(VLOOKUP(Ruimtestaat[[#This Row],[Ruimte code]],Ruimtegroepen[#All],4,1),2)</f>
        <v>Ve</v>
      </c>
      <c r="Q1335" s="93"/>
      <c r="R1335" s="84">
        <v>40</v>
      </c>
      <c r="S1335" s="84" t="s">
        <v>318</v>
      </c>
      <c r="T1335" s="85">
        <f>IF(R1335&gt;0,IF(RIGHT(Ruimtestaat[[#This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35" s="85">
        <f>IF(T1335&gt;0,VLOOKUP($J1335,Ruimtegroepen[],3,FALSE)*VLOOKUP($L1335,Vloersoorten[],3,FALSE)*VLOOKUP($S1335,Frequenties[],3,FALSE)*VLOOKUP($A1335,Locaties[],3,FALSE),0)</f>
        <v>0</v>
      </c>
      <c r="V1335" s="86">
        <f>Ruimtestaat[[#This Row],[Uitvoeringen werkdagen]]*Ruimtestaat[[#This Row],[Oppervlak (netto)]]</f>
        <v>1008</v>
      </c>
      <c r="W1335" s="87">
        <f>IF(U1335&gt;0,Ruimtestaat[[#This Row],[Prest. (m2 /jaar) werkdagen]]/Ruimtestaat[[#This Row],[Norm (m2/uur) werkdagen]],0)</f>
        <v>0</v>
      </c>
      <c r="X1335" s="88">
        <f>Ruimtestaat[[#This Row],[uren / jaar werkdagen]]*Tariefsopbouw!$E$35</f>
        <v>0</v>
      </c>
      <c r="Y1335" s="85"/>
      <c r="Z1335" s="89">
        <f>IF(Ruimtestaat[[#This Row],[Frequentie weekend]]&gt;0,VALUE(LEFT(Y1335,1))*R1335,0)</f>
        <v>0</v>
      </c>
      <c r="AA1335" s="85">
        <f>IF($Z1335&gt;0,VLOOKUP($J1335,Ruimtegroepen[],3,FALSE)*VLOOKUP($L1335,Vloersoorten[],3,FALSE)*VLOOKUP($Y1335,Frequenties[],3,FALSE)*VLOOKUP(#REF!,Locaties[],3,FALSE),0)</f>
        <v>0</v>
      </c>
      <c r="AB1335" s="87">
        <f>Ruimtestaat[[#This Row],[Uitvoeringen weekend]]*Ruimtestaat[[#This Row],[Oppervlak (netto)]]</f>
        <v>0</v>
      </c>
      <c r="AC1335" s="90">
        <f>IF(AB1335&gt;0,Ruimtestaat[[#This Row],[Prest. (m2 /jaar) weekend]]/Ruimtestaat[[#This Row],[Norm (m2/uur) weekend]],0)</f>
        <v>0</v>
      </c>
      <c r="AD1335" s="91">
        <f>Ruimtestaat[[#This Row],[uren / jaar weekend]]*Tariefsopbouw!$D$40</f>
        <v>0</v>
      </c>
      <c r="AE1335" s="60">
        <f>Ruimtestaat[[#This Row],[Prest. (m2 /jaar) weekend]]+Ruimtestaat[[#This Row],[Prest. (m2 /jaar) werkdagen]]</f>
        <v>1008</v>
      </c>
      <c r="AF1335" s="60">
        <f>Ruimtestaat[[#This Row],[uren / jaar weekend]]+Ruimtestaat[[#This Row],[uren / jaar werkdagen]]</f>
        <v>0</v>
      </c>
      <c r="AG1335" s="61">
        <f>Ruimtestaat[[#This Row],[kosten / jaar weekend]]+Ruimtestaat[[#This Row],[kosten / jaar werkdagen]]</f>
        <v>0</v>
      </c>
      <c r="AH1335" s="92"/>
      <c r="HL1335" s="59"/>
    </row>
    <row r="1336" spans="1:220">
      <c r="A1336" s="24">
        <v>8</v>
      </c>
      <c r="B1336" s="24" t="str">
        <f>VLOOKUP(Ruimtestaat[[#This Row],[Code]],Locaties[#All],2,FALSE)</f>
        <v>Arkelstijn</v>
      </c>
      <c r="C1336" s="24" t="str">
        <f>VLOOKUP(Ruimtestaat[[#This Row],[Code]],Locaties[#All],4,FALSE)</f>
        <v>Arkelstein 8</v>
      </c>
      <c r="D1336" s="24" t="str">
        <f>VLOOKUP(Ruimtestaat[[#This Row],[Code]],Locaties[#All],5,FALSE)</f>
        <v>7414 EP</v>
      </c>
      <c r="E1336" s="24" t="str">
        <f>VLOOKUP(Ruimtestaat[[#This Row],[Code]],Locaties[#All],6,FALSE)</f>
        <v>Deventer</v>
      </c>
      <c r="F1336" s="54"/>
      <c r="G1336" s="24" t="s">
        <v>367</v>
      </c>
      <c r="H1336" s="24" t="s">
        <v>1785</v>
      </c>
      <c r="I1336" s="4" t="s">
        <v>1786</v>
      </c>
      <c r="J1336" s="24">
        <v>22</v>
      </c>
      <c r="K1336" s="54" t="str">
        <f>VLOOKUP(J1336,Ruimtegroepen[],2,FALSE)</f>
        <v>Niet in onderhoud</v>
      </c>
      <c r="L1336" s="24" t="s">
        <v>305</v>
      </c>
      <c r="M1336" s="24" t="s">
        <v>1787</v>
      </c>
      <c r="N1336" s="83"/>
      <c r="O1336" s="83">
        <v>7.97</v>
      </c>
      <c r="P1336" s="93" t="str">
        <f>LEFT(VLOOKUP(Ruimtestaat[[#This Row],[Ruimte code]],Ruimtegroepen[#All],4,1),2)</f>
        <v/>
      </c>
      <c r="Q1336" s="93"/>
      <c r="R1336" s="84"/>
      <c r="S1336" s="84"/>
      <c r="T1336" s="85">
        <f>IF(R1336&gt;0,IF(RIGHT(Ruimtestaat[[#This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6" s="85">
        <f>IF(T1336&gt;0,VLOOKUP($J1336,Ruimtegroepen[],3,FALSE)*VLOOKUP($L1336,Vloersoorten[],3,FALSE)*VLOOKUP($S1336,Frequenties[],3,FALSE)*VLOOKUP($A1336,Locaties[],3,FALSE),0)</f>
        <v>0</v>
      </c>
      <c r="V1336" s="86">
        <f>Ruimtestaat[[#This Row],[Uitvoeringen werkdagen]]*Ruimtestaat[[#This Row],[Oppervlak (netto)]]</f>
        <v>0</v>
      </c>
      <c r="W1336" s="87">
        <f>IF(U1336&gt;0,Ruimtestaat[[#This Row],[Prest. (m2 /jaar) werkdagen]]/Ruimtestaat[[#This Row],[Norm (m2/uur) werkdagen]],0)</f>
        <v>0</v>
      </c>
      <c r="X1336" s="88">
        <f>Ruimtestaat[[#This Row],[uren / jaar werkdagen]]*Tariefsopbouw!$E$35</f>
        <v>0</v>
      </c>
      <c r="Y1336" s="85"/>
      <c r="Z1336" s="89">
        <f>IF(Ruimtestaat[[#This Row],[Frequentie weekend]]&gt;0,VALUE(LEFT(Y1336,1))*R1336,0)</f>
        <v>0</v>
      </c>
      <c r="AA1336" s="85">
        <f>IF($Z1336&gt;0,VLOOKUP($J1336,Ruimtegroepen[],3,FALSE)*VLOOKUP($L1336,Vloersoorten[],3,FALSE)*VLOOKUP($Y1336,Frequenties[],3,FALSE)*VLOOKUP(#REF!,Locaties[],3,FALSE),0)</f>
        <v>0</v>
      </c>
      <c r="AB1336" s="87">
        <f>Ruimtestaat[[#This Row],[Uitvoeringen weekend]]*Ruimtestaat[[#This Row],[Oppervlak (netto)]]</f>
        <v>0</v>
      </c>
      <c r="AC1336" s="90">
        <f>IF(AB1336&gt;0,Ruimtestaat[[#This Row],[Prest. (m2 /jaar) weekend]]/Ruimtestaat[[#This Row],[Norm (m2/uur) weekend]],0)</f>
        <v>0</v>
      </c>
      <c r="AD1336" s="91">
        <f>Ruimtestaat[[#This Row],[uren / jaar weekend]]*Tariefsopbouw!$D$40</f>
        <v>0</v>
      </c>
      <c r="AE1336" s="60">
        <f>Ruimtestaat[[#This Row],[Prest. (m2 /jaar) weekend]]+Ruimtestaat[[#This Row],[Prest. (m2 /jaar) werkdagen]]</f>
        <v>0</v>
      </c>
      <c r="AF1336" s="60">
        <f>Ruimtestaat[[#This Row],[uren / jaar weekend]]+Ruimtestaat[[#This Row],[uren / jaar werkdagen]]</f>
        <v>0</v>
      </c>
      <c r="AG1336" s="61">
        <f>Ruimtestaat[[#This Row],[kosten / jaar weekend]]+Ruimtestaat[[#This Row],[kosten / jaar werkdagen]]</f>
        <v>0</v>
      </c>
      <c r="AH1336" s="92"/>
      <c r="HL1336" s="59"/>
    </row>
    <row r="1337" spans="1:220">
      <c r="A1337" s="24">
        <v>8</v>
      </c>
      <c r="B1337" s="24" t="str">
        <f>VLOOKUP(Ruimtestaat[[#This Row],[Code]],Locaties[#All],2,FALSE)</f>
        <v>Arkelstijn</v>
      </c>
      <c r="C1337" s="24" t="str">
        <f>VLOOKUP(Ruimtestaat[[#This Row],[Code]],Locaties[#All],4,FALSE)</f>
        <v>Arkelstein 8</v>
      </c>
      <c r="D1337" s="24" t="str">
        <f>VLOOKUP(Ruimtestaat[[#This Row],[Code]],Locaties[#All],5,FALSE)</f>
        <v>7414 EP</v>
      </c>
      <c r="E1337" s="24" t="str">
        <f>VLOOKUP(Ruimtestaat[[#This Row],[Code]],Locaties[#All],6,FALSE)</f>
        <v>Deventer</v>
      </c>
      <c r="F1337" s="54"/>
      <c r="G1337" s="24" t="s">
        <v>367</v>
      </c>
      <c r="H1337" s="24" t="s">
        <v>1788</v>
      </c>
      <c r="I1337" s="4" t="s">
        <v>1789</v>
      </c>
      <c r="J1337" s="24">
        <v>22</v>
      </c>
      <c r="K1337" s="54" t="str">
        <f>VLOOKUP(J1337,Ruimtegroepen[],2,FALSE)</f>
        <v>Niet in onderhoud</v>
      </c>
      <c r="M1337" s="24"/>
      <c r="N1337" s="83"/>
      <c r="O1337" s="83">
        <v>1.18</v>
      </c>
      <c r="P1337" s="93" t="str">
        <f>LEFT(VLOOKUP(Ruimtestaat[[#This Row],[Ruimte code]],Ruimtegroepen[#All],4,1),2)</f>
        <v/>
      </c>
      <c r="Q1337" s="93"/>
      <c r="R1337" s="84"/>
      <c r="S1337" s="84"/>
      <c r="T1337" s="85">
        <f>IF(R1337&gt;0,IF(RIGHT(Ruimtestaat[[#This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7" s="85">
        <f>IF(T1337&gt;0,VLOOKUP($J1337,Ruimtegroepen[],3,FALSE)*VLOOKUP($L1337,Vloersoorten[],3,FALSE)*VLOOKUP($S1337,Frequenties[],3,FALSE)*VLOOKUP($A1337,Locaties[],3,FALSE),0)</f>
        <v>0</v>
      </c>
      <c r="V1337" s="86">
        <f>Ruimtestaat[[#This Row],[Uitvoeringen werkdagen]]*Ruimtestaat[[#This Row],[Oppervlak (netto)]]</f>
        <v>0</v>
      </c>
      <c r="W1337" s="87">
        <f>IF(U1337&gt;0,Ruimtestaat[[#This Row],[Prest. (m2 /jaar) werkdagen]]/Ruimtestaat[[#This Row],[Norm (m2/uur) werkdagen]],0)</f>
        <v>0</v>
      </c>
      <c r="X1337" s="88">
        <f>Ruimtestaat[[#This Row],[uren / jaar werkdagen]]*Tariefsopbouw!$E$35</f>
        <v>0</v>
      </c>
      <c r="Y1337" s="85"/>
      <c r="Z1337" s="89">
        <f>IF(Ruimtestaat[[#This Row],[Frequentie weekend]]&gt;0,VALUE(LEFT(Y1337,1))*R1337,0)</f>
        <v>0</v>
      </c>
      <c r="AA1337" s="85">
        <f>IF($Z1337&gt;0,VLOOKUP($J1337,Ruimtegroepen[],3,FALSE)*VLOOKUP($L1337,Vloersoorten[],3,FALSE)*VLOOKUP($Y1337,Frequenties[],3,FALSE)*VLOOKUP(#REF!,Locaties[],3,FALSE),0)</f>
        <v>0</v>
      </c>
      <c r="AB1337" s="87">
        <f>Ruimtestaat[[#This Row],[Uitvoeringen weekend]]*Ruimtestaat[[#This Row],[Oppervlak (netto)]]</f>
        <v>0</v>
      </c>
      <c r="AC1337" s="90">
        <f>IF(AB1337&gt;0,Ruimtestaat[[#This Row],[Prest. (m2 /jaar) weekend]]/Ruimtestaat[[#This Row],[Norm (m2/uur) weekend]],0)</f>
        <v>0</v>
      </c>
      <c r="AD1337" s="91">
        <f>Ruimtestaat[[#This Row],[uren / jaar weekend]]*Tariefsopbouw!$D$40</f>
        <v>0</v>
      </c>
      <c r="AE1337" s="60">
        <f>Ruimtestaat[[#This Row],[Prest. (m2 /jaar) weekend]]+Ruimtestaat[[#This Row],[Prest. (m2 /jaar) werkdagen]]</f>
        <v>0</v>
      </c>
      <c r="AF1337" s="60">
        <f>Ruimtestaat[[#This Row],[uren / jaar weekend]]+Ruimtestaat[[#This Row],[uren / jaar werkdagen]]</f>
        <v>0</v>
      </c>
      <c r="AG1337" s="61">
        <f>Ruimtestaat[[#This Row],[kosten / jaar weekend]]+Ruimtestaat[[#This Row],[kosten / jaar werkdagen]]</f>
        <v>0</v>
      </c>
      <c r="AH1337" s="92"/>
      <c r="HL1337" s="59"/>
    </row>
    <row r="1338" spans="1:220">
      <c r="A1338" s="24">
        <v>8</v>
      </c>
      <c r="B1338" s="24" t="str">
        <f>VLOOKUP(Ruimtestaat[[#This Row],[Code]],Locaties[#All],2,FALSE)</f>
        <v>Arkelstijn</v>
      </c>
      <c r="C1338" s="24" t="str">
        <f>VLOOKUP(Ruimtestaat[[#This Row],[Code]],Locaties[#All],4,FALSE)</f>
        <v>Arkelstein 8</v>
      </c>
      <c r="D1338" s="24" t="str">
        <f>VLOOKUP(Ruimtestaat[[#This Row],[Code]],Locaties[#All],5,FALSE)</f>
        <v>7414 EP</v>
      </c>
      <c r="E1338" s="24" t="str">
        <f>VLOOKUP(Ruimtestaat[[#This Row],[Code]],Locaties[#All],6,FALSE)</f>
        <v>Deventer</v>
      </c>
      <c r="F1338" s="54"/>
      <c r="G1338" s="24" t="s">
        <v>367</v>
      </c>
      <c r="H1338" s="24" t="s">
        <v>1790</v>
      </c>
      <c r="I1338" s="4" t="s">
        <v>667</v>
      </c>
      <c r="J1338" s="24">
        <v>22</v>
      </c>
      <c r="K1338" s="54" t="str">
        <f>VLOOKUP(J1338,Ruimtegroepen[],2,FALSE)</f>
        <v>Niet in onderhoud</v>
      </c>
      <c r="L1338" s="24" t="s">
        <v>305</v>
      </c>
      <c r="M1338" s="24" t="s">
        <v>1787</v>
      </c>
      <c r="N1338" s="83"/>
      <c r="O1338" s="83">
        <v>7.47</v>
      </c>
      <c r="P1338" s="93" t="str">
        <f>LEFT(VLOOKUP(Ruimtestaat[[#This Row],[Ruimte code]],Ruimtegroepen[#All],4,1),2)</f>
        <v/>
      </c>
      <c r="Q1338" s="93"/>
      <c r="R1338" s="84"/>
      <c r="S1338" s="84"/>
      <c r="T1338" s="85">
        <f>IF(R1338&gt;0,IF(RIGHT(Ruimtestaat[[#This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8" s="85">
        <f>IF(T1338&gt;0,VLOOKUP($J1338,Ruimtegroepen[],3,FALSE)*VLOOKUP($L1338,Vloersoorten[],3,FALSE)*VLOOKUP($S1338,Frequenties[],3,FALSE)*VLOOKUP($A1338,Locaties[],3,FALSE),0)</f>
        <v>0</v>
      </c>
      <c r="V1338" s="86">
        <f>Ruimtestaat[[#This Row],[Uitvoeringen werkdagen]]*Ruimtestaat[[#This Row],[Oppervlak (netto)]]</f>
        <v>0</v>
      </c>
      <c r="W1338" s="87">
        <f>IF(U1338&gt;0,Ruimtestaat[[#This Row],[Prest. (m2 /jaar) werkdagen]]/Ruimtestaat[[#This Row],[Norm (m2/uur) werkdagen]],0)</f>
        <v>0</v>
      </c>
      <c r="X1338" s="88">
        <f>Ruimtestaat[[#This Row],[uren / jaar werkdagen]]*Tariefsopbouw!$E$35</f>
        <v>0</v>
      </c>
      <c r="Y1338" s="85"/>
      <c r="Z1338" s="89">
        <f>IF(Ruimtestaat[[#This Row],[Frequentie weekend]]&gt;0,VALUE(LEFT(Y1338,1))*R1338,0)</f>
        <v>0</v>
      </c>
      <c r="AA1338" s="85">
        <f>IF($Z1338&gt;0,VLOOKUP($J1338,Ruimtegroepen[],3,FALSE)*VLOOKUP($L1338,Vloersoorten[],3,FALSE)*VLOOKUP($Y1338,Frequenties[],3,FALSE)*VLOOKUP(#REF!,Locaties[],3,FALSE),0)</f>
        <v>0</v>
      </c>
      <c r="AB1338" s="87">
        <f>Ruimtestaat[[#This Row],[Uitvoeringen weekend]]*Ruimtestaat[[#This Row],[Oppervlak (netto)]]</f>
        <v>0</v>
      </c>
      <c r="AC1338" s="90">
        <f>IF(AB1338&gt;0,Ruimtestaat[[#This Row],[Prest. (m2 /jaar) weekend]]/Ruimtestaat[[#This Row],[Norm (m2/uur) weekend]],0)</f>
        <v>0</v>
      </c>
      <c r="AD1338" s="91">
        <f>Ruimtestaat[[#This Row],[uren / jaar weekend]]*Tariefsopbouw!$D$40</f>
        <v>0</v>
      </c>
      <c r="AE1338" s="60">
        <f>Ruimtestaat[[#This Row],[Prest. (m2 /jaar) weekend]]+Ruimtestaat[[#This Row],[Prest. (m2 /jaar) werkdagen]]</f>
        <v>0</v>
      </c>
      <c r="AF1338" s="60">
        <f>Ruimtestaat[[#This Row],[uren / jaar weekend]]+Ruimtestaat[[#This Row],[uren / jaar werkdagen]]</f>
        <v>0</v>
      </c>
      <c r="AG1338" s="61">
        <f>Ruimtestaat[[#This Row],[kosten / jaar weekend]]+Ruimtestaat[[#This Row],[kosten / jaar werkdagen]]</f>
        <v>0</v>
      </c>
      <c r="AH1338" s="92"/>
      <c r="HL1338" s="59"/>
    </row>
    <row r="1339" spans="1:220">
      <c r="A1339" s="24">
        <v>8</v>
      </c>
      <c r="B1339" s="24" t="str">
        <f>VLOOKUP(Ruimtestaat[[#This Row],[Code]],Locaties[#All],2,FALSE)</f>
        <v>Arkelstijn</v>
      </c>
      <c r="C1339" s="24" t="str">
        <f>VLOOKUP(Ruimtestaat[[#This Row],[Code]],Locaties[#All],4,FALSE)</f>
        <v>Arkelstein 8</v>
      </c>
      <c r="D1339" s="24" t="str">
        <f>VLOOKUP(Ruimtestaat[[#This Row],[Code]],Locaties[#All],5,FALSE)</f>
        <v>7414 EP</v>
      </c>
      <c r="E1339" s="24" t="str">
        <f>VLOOKUP(Ruimtestaat[[#This Row],[Code]],Locaties[#All],6,FALSE)</f>
        <v>Deventer</v>
      </c>
      <c r="F1339" s="54"/>
      <c r="G1339" s="24" t="s">
        <v>367</v>
      </c>
      <c r="H1339" s="24" t="s">
        <v>1791</v>
      </c>
      <c r="I1339" s="4" t="s">
        <v>667</v>
      </c>
      <c r="J1339" s="24">
        <v>22</v>
      </c>
      <c r="K1339" s="54" t="str">
        <f>VLOOKUP(J1339,Ruimtegroepen[],2,FALSE)</f>
        <v>Niet in onderhoud</v>
      </c>
      <c r="M1339" s="24"/>
      <c r="N1339" s="83"/>
      <c r="O1339" s="83">
        <v>5.37</v>
      </c>
      <c r="P1339" s="93" t="str">
        <f>LEFT(VLOOKUP(Ruimtestaat[[#This Row],[Ruimte code]],Ruimtegroepen[#All],4,1),2)</f>
        <v/>
      </c>
      <c r="Q1339" s="93"/>
      <c r="R1339" s="84"/>
      <c r="S1339" s="84"/>
      <c r="T1339" s="85">
        <f>IF(R1339&gt;0,IF(RIGHT(Ruimtestaat[[#This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9" s="85">
        <f>IF(T1339&gt;0,VLOOKUP($J1339,Ruimtegroepen[],3,FALSE)*VLOOKUP($L1339,Vloersoorten[],3,FALSE)*VLOOKUP($S1339,Frequenties[],3,FALSE)*VLOOKUP($A1339,Locaties[],3,FALSE),0)</f>
        <v>0</v>
      </c>
      <c r="V1339" s="86">
        <f>Ruimtestaat[[#This Row],[Uitvoeringen werkdagen]]*Ruimtestaat[[#This Row],[Oppervlak (netto)]]</f>
        <v>0</v>
      </c>
      <c r="W1339" s="87">
        <f>IF(U1339&gt;0,Ruimtestaat[[#This Row],[Prest. (m2 /jaar) werkdagen]]/Ruimtestaat[[#This Row],[Norm (m2/uur) werkdagen]],0)</f>
        <v>0</v>
      </c>
      <c r="X1339" s="88">
        <f>Ruimtestaat[[#This Row],[uren / jaar werkdagen]]*Tariefsopbouw!$E$35</f>
        <v>0</v>
      </c>
      <c r="Y1339" s="85"/>
      <c r="Z1339" s="89">
        <f>IF(Ruimtestaat[[#This Row],[Frequentie weekend]]&gt;0,VALUE(LEFT(Y1339,1))*R1339,0)</f>
        <v>0</v>
      </c>
      <c r="AA1339" s="85">
        <f>IF($Z1339&gt;0,VLOOKUP($J1339,Ruimtegroepen[],3,FALSE)*VLOOKUP($L1339,Vloersoorten[],3,FALSE)*VLOOKUP($Y1339,Frequenties[],3,FALSE)*VLOOKUP(#REF!,Locaties[],3,FALSE),0)</f>
        <v>0</v>
      </c>
      <c r="AB1339" s="87">
        <f>Ruimtestaat[[#This Row],[Uitvoeringen weekend]]*Ruimtestaat[[#This Row],[Oppervlak (netto)]]</f>
        <v>0</v>
      </c>
      <c r="AC1339" s="90">
        <f>IF(AB1339&gt;0,Ruimtestaat[[#This Row],[Prest. (m2 /jaar) weekend]]/Ruimtestaat[[#This Row],[Norm (m2/uur) weekend]],0)</f>
        <v>0</v>
      </c>
      <c r="AD1339" s="91">
        <f>Ruimtestaat[[#This Row],[uren / jaar weekend]]*Tariefsopbouw!$D$40</f>
        <v>0</v>
      </c>
      <c r="AE1339" s="60">
        <f>Ruimtestaat[[#This Row],[Prest. (m2 /jaar) weekend]]+Ruimtestaat[[#This Row],[Prest. (m2 /jaar) werkdagen]]</f>
        <v>0</v>
      </c>
      <c r="AF1339" s="60">
        <f>Ruimtestaat[[#This Row],[uren / jaar weekend]]+Ruimtestaat[[#This Row],[uren / jaar werkdagen]]</f>
        <v>0</v>
      </c>
      <c r="AG1339" s="61">
        <f>Ruimtestaat[[#This Row],[kosten / jaar weekend]]+Ruimtestaat[[#This Row],[kosten / jaar werkdagen]]</f>
        <v>0</v>
      </c>
      <c r="AH1339" s="92"/>
      <c r="HL1339" s="59"/>
    </row>
    <row r="1340" spans="1:220">
      <c r="A1340" s="24">
        <v>8</v>
      </c>
      <c r="B1340" s="24" t="str">
        <f>VLOOKUP(Ruimtestaat[[#This Row],[Code]],Locaties[#All],2,FALSE)</f>
        <v>Arkelstijn</v>
      </c>
      <c r="C1340" s="24" t="str">
        <f>VLOOKUP(Ruimtestaat[[#This Row],[Code]],Locaties[#All],4,FALSE)</f>
        <v>Arkelstein 8</v>
      </c>
      <c r="D1340" s="24" t="str">
        <f>VLOOKUP(Ruimtestaat[[#This Row],[Code]],Locaties[#All],5,FALSE)</f>
        <v>7414 EP</v>
      </c>
      <c r="E1340" s="24" t="str">
        <f>VLOOKUP(Ruimtestaat[[#This Row],[Code]],Locaties[#All],6,FALSE)</f>
        <v>Deventer</v>
      </c>
      <c r="F1340" s="54"/>
      <c r="G1340" s="24" t="s">
        <v>367</v>
      </c>
      <c r="H1340" s="24" t="s">
        <v>1792</v>
      </c>
      <c r="I1340" s="4" t="s">
        <v>691</v>
      </c>
      <c r="J1340" s="24">
        <v>22</v>
      </c>
      <c r="K1340" s="54" t="str">
        <f>VLOOKUP(J1340,Ruimtegroepen[],2,FALSE)</f>
        <v>Niet in onderhoud</v>
      </c>
      <c r="M1340" s="24"/>
      <c r="N1340" s="83"/>
      <c r="O1340" s="83">
        <v>1.18</v>
      </c>
      <c r="P1340" s="93" t="str">
        <f>LEFT(VLOOKUP(Ruimtestaat[[#This Row],[Ruimte code]],Ruimtegroepen[#All],4,1),2)</f>
        <v/>
      </c>
      <c r="Q1340" s="93"/>
      <c r="R1340" s="84"/>
      <c r="S1340" s="84"/>
      <c r="T1340" s="85">
        <f>IF(R1340&gt;0,IF(RIGHT(Ruimtestaat[[#This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40" s="85">
        <f>IF(T1340&gt;0,VLOOKUP($J1340,Ruimtegroepen[],3,FALSE)*VLOOKUP($L1340,Vloersoorten[],3,FALSE)*VLOOKUP($S1340,Frequenties[],3,FALSE)*VLOOKUP($A1340,Locaties[],3,FALSE),0)</f>
        <v>0</v>
      </c>
      <c r="V1340" s="86">
        <f>Ruimtestaat[[#This Row],[Uitvoeringen werkdagen]]*Ruimtestaat[[#This Row],[Oppervlak (netto)]]</f>
        <v>0</v>
      </c>
      <c r="W1340" s="87">
        <f>IF(U1340&gt;0,Ruimtestaat[[#This Row],[Prest. (m2 /jaar) werkdagen]]/Ruimtestaat[[#This Row],[Norm (m2/uur) werkdagen]],0)</f>
        <v>0</v>
      </c>
      <c r="X1340" s="88">
        <f>Ruimtestaat[[#This Row],[uren / jaar werkdagen]]*Tariefsopbouw!$E$35</f>
        <v>0</v>
      </c>
      <c r="Y1340" s="85"/>
      <c r="Z1340" s="89">
        <f>IF(Ruimtestaat[[#This Row],[Frequentie weekend]]&gt;0,VALUE(LEFT(Y1340,1))*R1340,0)</f>
        <v>0</v>
      </c>
      <c r="AA1340" s="85">
        <f>IF($Z1340&gt;0,VLOOKUP($J1340,Ruimtegroepen[],3,FALSE)*VLOOKUP($L1340,Vloersoorten[],3,FALSE)*VLOOKUP($Y1340,Frequenties[],3,FALSE)*VLOOKUP(#REF!,Locaties[],3,FALSE),0)</f>
        <v>0</v>
      </c>
      <c r="AB1340" s="87">
        <f>Ruimtestaat[[#This Row],[Uitvoeringen weekend]]*Ruimtestaat[[#This Row],[Oppervlak (netto)]]</f>
        <v>0</v>
      </c>
      <c r="AC1340" s="90">
        <f>IF(AB1340&gt;0,Ruimtestaat[[#This Row],[Prest. (m2 /jaar) weekend]]/Ruimtestaat[[#This Row],[Norm (m2/uur) weekend]],0)</f>
        <v>0</v>
      </c>
      <c r="AD1340" s="91">
        <f>Ruimtestaat[[#This Row],[uren / jaar weekend]]*Tariefsopbouw!$D$40</f>
        <v>0</v>
      </c>
      <c r="AE1340" s="60">
        <f>Ruimtestaat[[#This Row],[Prest. (m2 /jaar) weekend]]+Ruimtestaat[[#This Row],[Prest. (m2 /jaar) werkdagen]]</f>
        <v>0</v>
      </c>
      <c r="AF1340" s="60">
        <f>Ruimtestaat[[#This Row],[uren / jaar weekend]]+Ruimtestaat[[#This Row],[uren / jaar werkdagen]]</f>
        <v>0</v>
      </c>
      <c r="AG1340" s="61">
        <f>Ruimtestaat[[#This Row],[kosten / jaar weekend]]+Ruimtestaat[[#This Row],[kosten / jaar werkdagen]]</f>
        <v>0</v>
      </c>
      <c r="AH1340" s="92"/>
      <c r="HL1340" s="59"/>
    </row>
    <row r="1341" spans="1:220">
      <c r="A1341" s="24">
        <v>8</v>
      </c>
      <c r="B1341" s="24" t="str">
        <f>VLOOKUP(Ruimtestaat[[#This Row],[Code]],Locaties[#All],2,FALSE)</f>
        <v>Arkelstijn</v>
      </c>
      <c r="C1341" s="24" t="str">
        <f>VLOOKUP(Ruimtestaat[[#This Row],[Code]],Locaties[#All],4,FALSE)</f>
        <v>Arkelstein 8</v>
      </c>
      <c r="D1341" s="24" t="str">
        <f>VLOOKUP(Ruimtestaat[[#This Row],[Code]],Locaties[#All],5,FALSE)</f>
        <v>7414 EP</v>
      </c>
      <c r="E1341" s="24" t="str">
        <f>VLOOKUP(Ruimtestaat[[#This Row],[Code]],Locaties[#All],6,FALSE)</f>
        <v>Deventer</v>
      </c>
      <c r="F1341" s="54"/>
      <c r="G1341" s="24" t="s">
        <v>367</v>
      </c>
      <c r="H1341" s="24" t="s">
        <v>1563</v>
      </c>
      <c r="I1341" s="4" t="s">
        <v>386</v>
      </c>
      <c r="J1341" s="24">
        <v>2</v>
      </c>
      <c r="K1341" s="54" t="str">
        <f>VLOOKUP(J1341,Ruimtegroepen[],2,FALSE)</f>
        <v>Kantoren</v>
      </c>
      <c r="L1341" s="24" t="s">
        <v>300</v>
      </c>
      <c r="M1341" s="24" t="s">
        <v>1765</v>
      </c>
      <c r="N1341" s="83">
        <v>18.05</v>
      </c>
      <c r="O1341" s="83"/>
      <c r="P1341" s="93" t="str">
        <f>LEFT(VLOOKUP(Ruimtestaat[[#This Row],[Ruimte code]],Ruimtegroepen[#All],4,1),2)</f>
        <v>Bu</v>
      </c>
      <c r="Q1341" s="93"/>
      <c r="R1341" s="84">
        <v>42</v>
      </c>
      <c r="S1341" s="84" t="s">
        <v>322</v>
      </c>
      <c r="T1341" s="85">
        <f>IF(R1341&gt;0,IF(RIGHT(Ruimtestaat[[#This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41" s="85">
        <f>IF(T1341&gt;0,VLOOKUP($J1341,Ruimtegroepen[],3,FALSE)*VLOOKUP($L1341,Vloersoorten[],3,FALSE)*VLOOKUP($S1341,Frequenties[],3,FALSE)*VLOOKUP($A1341,Locaties[],3,FALSE),0)</f>
        <v>0</v>
      </c>
      <c r="V1341" s="86">
        <f>Ruimtestaat[[#This Row],[Uitvoeringen werkdagen]]*Ruimtestaat[[#This Row],[Oppervlak (netto)]]</f>
        <v>2274.3000000000002</v>
      </c>
      <c r="W1341" s="87">
        <f>IF(U1341&gt;0,Ruimtestaat[[#This Row],[Prest. (m2 /jaar) werkdagen]]/Ruimtestaat[[#This Row],[Norm (m2/uur) werkdagen]],0)</f>
        <v>0</v>
      </c>
      <c r="X1341" s="88">
        <f>Ruimtestaat[[#This Row],[uren / jaar werkdagen]]*Tariefsopbouw!$E$35</f>
        <v>0</v>
      </c>
      <c r="Y1341" s="85"/>
      <c r="Z1341" s="89">
        <f>IF(Ruimtestaat[[#This Row],[Frequentie weekend]]&gt;0,VALUE(LEFT(Y1341,1))*R1341,0)</f>
        <v>0</v>
      </c>
      <c r="AA1341" s="85">
        <f>IF($Z1341&gt;0,VLOOKUP($J1341,Ruimtegroepen[],3,FALSE)*VLOOKUP($L1341,Vloersoorten[],3,FALSE)*VLOOKUP($Y1341,Frequenties[],3,FALSE)*VLOOKUP(#REF!,Locaties[],3,FALSE),0)</f>
        <v>0</v>
      </c>
      <c r="AB1341" s="87">
        <f>Ruimtestaat[[#This Row],[Uitvoeringen weekend]]*Ruimtestaat[[#This Row],[Oppervlak (netto)]]</f>
        <v>0</v>
      </c>
      <c r="AC1341" s="90">
        <f>IF(AB1341&gt;0,Ruimtestaat[[#This Row],[Prest. (m2 /jaar) weekend]]/Ruimtestaat[[#This Row],[Norm (m2/uur) weekend]],0)</f>
        <v>0</v>
      </c>
      <c r="AD1341" s="91">
        <f>Ruimtestaat[[#This Row],[uren / jaar weekend]]*Tariefsopbouw!$D$40</f>
        <v>0</v>
      </c>
      <c r="AE1341" s="60">
        <f>Ruimtestaat[[#This Row],[Prest. (m2 /jaar) weekend]]+Ruimtestaat[[#This Row],[Prest. (m2 /jaar) werkdagen]]</f>
        <v>2274.3000000000002</v>
      </c>
      <c r="AF1341" s="60">
        <f>Ruimtestaat[[#This Row],[uren / jaar weekend]]+Ruimtestaat[[#This Row],[uren / jaar werkdagen]]</f>
        <v>0</v>
      </c>
      <c r="AG1341" s="61">
        <f>Ruimtestaat[[#This Row],[kosten / jaar weekend]]+Ruimtestaat[[#This Row],[kosten / jaar werkdagen]]</f>
        <v>0</v>
      </c>
      <c r="AH1341" s="92"/>
      <c r="HL1341" s="59"/>
    </row>
    <row r="1342" spans="1:220">
      <c r="A1342" s="24">
        <v>8</v>
      </c>
      <c r="B1342" s="24" t="str">
        <f>VLOOKUP(Ruimtestaat[[#This Row],[Code]],Locaties[#All],2,FALSE)</f>
        <v>Arkelstijn</v>
      </c>
      <c r="C1342" s="24" t="str">
        <f>VLOOKUP(Ruimtestaat[[#This Row],[Code]],Locaties[#All],4,FALSE)</f>
        <v>Arkelstein 8</v>
      </c>
      <c r="D1342" s="24" t="str">
        <f>VLOOKUP(Ruimtestaat[[#This Row],[Code]],Locaties[#All],5,FALSE)</f>
        <v>7414 EP</v>
      </c>
      <c r="E1342" s="24" t="str">
        <f>VLOOKUP(Ruimtestaat[[#This Row],[Code]],Locaties[#All],6,FALSE)</f>
        <v>Deventer</v>
      </c>
      <c r="F1342" s="54"/>
      <c r="G1342" s="24" t="s">
        <v>367</v>
      </c>
      <c r="H1342" s="24" t="s">
        <v>1564</v>
      </c>
      <c r="I1342" s="4" t="s">
        <v>1793</v>
      </c>
      <c r="J1342" s="24">
        <v>13</v>
      </c>
      <c r="K1342" s="54" t="str">
        <f>VLOOKUP(J1342,Ruimtegroepen[],2,FALSE)</f>
        <v>HV/Technieklokaal</v>
      </c>
      <c r="L1342" s="24" t="s">
        <v>305</v>
      </c>
      <c r="M1342" s="24" t="s">
        <v>1757</v>
      </c>
      <c r="N1342" s="83">
        <v>121.35</v>
      </c>
      <c r="O1342" s="83"/>
      <c r="P1342" s="93" t="str">
        <f>LEFT(VLOOKUP(Ruimtestaat[[#This Row],[Ruimte code]],Ruimtegroepen[#All],4,1),2)</f>
        <v>Le</v>
      </c>
      <c r="Q1342" s="93"/>
      <c r="R1342" s="84">
        <v>40</v>
      </c>
      <c r="S1342" s="84" t="s">
        <v>318</v>
      </c>
      <c r="T1342" s="85">
        <f>IF(R1342&gt;0,IF(RIGHT(Ruimtestaat[[#This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2" s="85">
        <f>IF(T1342&gt;0,VLOOKUP($J1342,Ruimtegroepen[],3,FALSE)*VLOOKUP($L1342,Vloersoorten[],3,FALSE)*VLOOKUP($S1342,Frequenties[],3,FALSE)*VLOOKUP($A1342,Locaties[],3,FALSE),0)</f>
        <v>0</v>
      </c>
      <c r="V1342" s="86">
        <f>Ruimtestaat[[#This Row],[Uitvoeringen werkdagen]]*Ruimtestaat[[#This Row],[Oppervlak (netto)]]</f>
        <v>24270</v>
      </c>
      <c r="W1342" s="87">
        <f>IF(U1342&gt;0,Ruimtestaat[[#This Row],[Prest. (m2 /jaar) werkdagen]]/Ruimtestaat[[#This Row],[Norm (m2/uur) werkdagen]],0)</f>
        <v>0</v>
      </c>
      <c r="X1342" s="88">
        <f>Ruimtestaat[[#This Row],[uren / jaar werkdagen]]*Tariefsopbouw!$E$35</f>
        <v>0</v>
      </c>
      <c r="Y1342" s="85"/>
      <c r="Z1342" s="89">
        <f>IF(Ruimtestaat[[#This Row],[Frequentie weekend]]&gt;0,VALUE(LEFT(Y1342,1))*R1342,0)</f>
        <v>0</v>
      </c>
      <c r="AA1342" s="85">
        <f>IF($Z1342&gt;0,VLOOKUP($J1342,Ruimtegroepen[],3,FALSE)*VLOOKUP($L1342,Vloersoorten[],3,FALSE)*VLOOKUP($Y1342,Frequenties[],3,FALSE)*VLOOKUP(#REF!,Locaties[],3,FALSE),0)</f>
        <v>0</v>
      </c>
      <c r="AB1342" s="87">
        <f>Ruimtestaat[[#This Row],[Uitvoeringen weekend]]*Ruimtestaat[[#This Row],[Oppervlak (netto)]]</f>
        <v>0</v>
      </c>
      <c r="AC1342" s="90">
        <f>IF(AB1342&gt;0,Ruimtestaat[[#This Row],[Prest. (m2 /jaar) weekend]]/Ruimtestaat[[#This Row],[Norm (m2/uur) weekend]],0)</f>
        <v>0</v>
      </c>
      <c r="AD1342" s="91">
        <f>Ruimtestaat[[#This Row],[uren / jaar weekend]]*Tariefsopbouw!$D$40</f>
        <v>0</v>
      </c>
      <c r="AE1342" s="60">
        <f>Ruimtestaat[[#This Row],[Prest. (m2 /jaar) weekend]]+Ruimtestaat[[#This Row],[Prest. (m2 /jaar) werkdagen]]</f>
        <v>24270</v>
      </c>
      <c r="AF1342" s="60">
        <f>Ruimtestaat[[#This Row],[uren / jaar weekend]]+Ruimtestaat[[#This Row],[uren / jaar werkdagen]]</f>
        <v>0</v>
      </c>
      <c r="AG1342" s="61">
        <f>Ruimtestaat[[#This Row],[kosten / jaar weekend]]+Ruimtestaat[[#This Row],[kosten / jaar werkdagen]]</f>
        <v>0</v>
      </c>
      <c r="AH1342" s="92"/>
      <c r="HL1342" s="59"/>
    </row>
    <row r="1343" spans="1:220">
      <c r="A1343" s="24">
        <v>8</v>
      </c>
      <c r="B1343" s="24" t="str">
        <f>VLOOKUP(Ruimtestaat[[#This Row],[Code]],Locaties[#All],2,FALSE)</f>
        <v>Arkelstijn</v>
      </c>
      <c r="C1343" s="24" t="str">
        <f>VLOOKUP(Ruimtestaat[[#This Row],[Code]],Locaties[#All],4,FALSE)</f>
        <v>Arkelstein 8</v>
      </c>
      <c r="D1343" s="24" t="str">
        <f>VLOOKUP(Ruimtestaat[[#This Row],[Code]],Locaties[#All],5,FALSE)</f>
        <v>7414 EP</v>
      </c>
      <c r="E1343" s="24" t="str">
        <f>VLOOKUP(Ruimtestaat[[#This Row],[Code]],Locaties[#All],6,FALSE)</f>
        <v>Deventer</v>
      </c>
      <c r="F1343" s="54"/>
      <c r="G1343" s="24" t="s">
        <v>367</v>
      </c>
      <c r="H1343" s="24" t="s">
        <v>1794</v>
      </c>
      <c r="I1343" s="4" t="s">
        <v>375</v>
      </c>
      <c r="J1343" s="24">
        <v>22</v>
      </c>
      <c r="K1343" s="54" t="str">
        <f>VLOOKUP(J1343,Ruimtegroepen[],2,FALSE)</f>
        <v>Niet in onderhoud</v>
      </c>
      <c r="L1343" s="24" t="s">
        <v>300</v>
      </c>
      <c r="M1343" s="24" t="s">
        <v>1765</v>
      </c>
      <c r="N1343" s="83"/>
      <c r="O1343" s="83">
        <v>0.8</v>
      </c>
      <c r="P1343" s="93" t="str">
        <f>LEFT(VLOOKUP(Ruimtestaat[[#This Row],[Ruimte code]],Ruimtegroepen[#All],4,1),2)</f>
        <v/>
      </c>
      <c r="Q1343" s="93"/>
      <c r="R1343" s="84"/>
      <c r="S1343" s="84"/>
      <c r="T1343" s="85">
        <f>IF(R1343&gt;0,IF(RIGHT(Ruimtestaat[[#This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43" s="85">
        <f>IF(T1343&gt;0,VLOOKUP($J1343,Ruimtegroepen[],3,FALSE)*VLOOKUP($L1343,Vloersoorten[],3,FALSE)*VLOOKUP($S1343,Frequenties[],3,FALSE)*VLOOKUP($A1343,Locaties[],3,FALSE),0)</f>
        <v>0</v>
      </c>
      <c r="V1343" s="86">
        <f>Ruimtestaat[[#This Row],[Uitvoeringen werkdagen]]*Ruimtestaat[[#This Row],[Oppervlak (netto)]]</f>
        <v>0</v>
      </c>
      <c r="W1343" s="87">
        <f>IF(U1343&gt;0,Ruimtestaat[[#This Row],[Prest. (m2 /jaar) werkdagen]]/Ruimtestaat[[#This Row],[Norm (m2/uur) werkdagen]],0)</f>
        <v>0</v>
      </c>
      <c r="X1343" s="88">
        <f>Ruimtestaat[[#This Row],[uren / jaar werkdagen]]*Tariefsopbouw!$E$35</f>
        <v>0</v>
      </c>
      <c r="Y1343" s="85"/>
      <c r="Z1343" s="89">
        <f>IF(Ruimtestaat[[#This Row],[Frequentie weekend]]&gt;0,VALUE(LEFT(Y1343,1))*R1343,0)</f>
        <v>0</v>
      </c>
      <c r="AA1343" s="85">
        <f>IF($Z1343&gt;0,VLOOKUP($J1343,Ruimtegroepen[],3,FALSE)*VLOOKUP($L1343,Vloersoorten[],3,FALSE)*VLOOKUP($Y1343,Frequenties[],3,FALSE)*VLOOKUP(#REF!,Locaties[],3,FALSE),0)</f>
        <v>0</v>
      </c>
      <c r="AB1343" s="87">
        <f>Ruimtestaat[[#This Row],[Uitvoeringen weekend]]*Ruimtestaat[[#This Row],[Oppervlak (netto)]]</f>
        <v>0</v>
      </c>
      <c r="AC1343" s="90">
        <f>IF(AB1343&gt;0,Ruimtestaat[[#This Row],[Prest. (m2 /jaar) weekend]]/Ruimtestaat[[#This Row],[Norm (m2/uur) weekend]],0)</f>
        <v>0</v>
      </c>
      <c r="AD1343" s="91">
        <f>Ruimtestaat[[#This Row],[uren / jaar weekend]]*Tariefsopbouw!$D$40</f>
        <v>0</v>
      </c>
      <c r="AE1343" s="60">
        <f>Ruimtestaat[[#This Row],[Prest. (m2 /jaar) weekend]]+Ruimtestaat[[#This Row],[Prest. (m2 /jaar) werkdagen]]</f>
        <v>0</v>
      </c>
      <c r="AF1343" s="60">
        <f>Ruimtestaat[[#This Row],[uren / jaar weekend]]+Ruimtestaat[[#This Row],[uren / jaar werkdagen]]</f>
        <v>0</v>
      </c>
      <c r="AG1343" s="61">
        <f>Ruimtestaat[[#This Row],[kosten / jaar weekend]]+Ruimtestaat[[#This Row],[kosten / jaar werkdagen]]</f>
        <v>0</v>
      </c>
      <c r="AH1343" s="92"/>
      <c r="HL1343" s="59"/>
    </row>
    <row r="1344" spans="1:220">
      <c r="A1344" s="24">
        <v>8</v>
      </c>
      <c r="B1344" s="24" t="str">
        <f>VLOOKUP(Ruimtestaat[[#This Row],[Code]],Locaties[#All],2,FALSE)</f>
        <v>Arkelstijn</v>
      </c>
      <c r="C1344" s="24" t="str">
        <f>VLOOKUP(Ruimtestaat[[#This Row],[Code]],Locaties[#All],4,FALSE)</f>
        <v>Arkelstein 8</v>
      </c>
      <c r="D1344" s="24" t="str">
        <f>VLOOKUP(Ruimtestaat[[#This Row],[Code]],Locaties[#All],5,FALSE)</f>
        <v>7414 EP</v>
      </c>
      <c r="E1344" s="24" t="str">
        <f>VLOOKUP(Ruimtestaat[[#This Row],[Code]],Locaties[#All],6,FALSE)</f>
        <v>Deventer</v>
      </c>
      <c r="F1344" s="54"/>
      <c r="G1344" s="24" t="s">
        <v>367</v>
      </c>
      <c r="H1344" s="24" t="s">
        <v>1574</v>
      </c>
      <c r="I1344" s="4" t="s">
        <v>739</v>
      </c>
      <c r="J1344" s="24">
        <v>12</v>
      </c>
      <c r="K1344" s="54" t="str">
        <f>VLOOKUP(J1344,Ruimtegroepen[],2,FALSE)</f>
        <v>Kantine</v>
      </c>
      <c r="L1344" s="24" t="s">
        <v>300</v>
      </c>
      <c r="M1344" s="24" t="s">
        <v>1765</v>
      </c>
      <c r="N1344" s="83">
        <v>216.48</v>
      </c>
      <c r="O1344" s="83"/>
      <c r="P1344" s="93" t="str">
        <f>LEFT(VLOOKUP(Ruimtestaat[[#This Row],[Ruimte code]],Ruimtegroepen[#All],4,1),2)</f>
        <v>Ve</v>
      </c>
      <c r="Q1344" s="93"/>
      <c r="R1344" s="84">
        <v>40</v>
      </c>
      <c r="S1344" s="84" t="s">
        <v>318</v>
      </c>
      <c r="T1344" s="85">
        <f>IF(R1344&gt;0,IF(RIGHT(Ruimtestaat[[#This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4" s="85">
        <f>IF(T1344&gt;0,VLOOKUP($J1344,Ruimtegroepen[],3,FALSE)*VLOOKUP($L1344,Vloersoorten[],3,FALSE)*VLOOKUP($S1344,Frequenties[],3,FALSE)*VLOOKUP($A1344,Locaties[],3,FALSE),0)</f>
        <v>0</v>
      </c>
      <c r="V1344" s="86">
        <f>Ruimtestaat[[#This Row],[Uitvoeringen werkdagen]]*Ruimtestaat[[#This Row],[Oppervlak (netto)]]</f>
        <v>43296</v>
      </c>
      <c r="W1344" s="87">
        <f>IF(U1344&gt;0,Ruimtestaat[[#This Row],[Prest. (m2 /jaar) werkdagen]]/Ruimtestaat[[#This Row],[Norm (m2/uur) werkdagen]],0)</f>
        <v>0</v>
      </c>
      <c r="X1344" s="88">
        <f>Ruimtestaat[[#This Row],[uren / jaar werkdagen]]*Tariefsopbouw!$E$35</f>
        <v>0</v>
      </c>
      <c r="Y1344" s="85"/>
      <c r="Z1344" s="89">
        <f>IF(Ruimtestaat[[#This Row],[Frequentie weekend]]&gt;0,VALUE(LEFT(Y1344,1))*R1344,0)</f>
        <v>0</v>
      </c>
      <c r="AA1344" s="85">
        <f>IF($Z1344&gt;0,VLOOKUP($J1344,Ruimtegroepen[],3,FALSE)*VLOOKUP($L1344,Vloersoorten[],3,FALSE)*VLOOKUP($Y1344,Frequenties[],3,FALSE)*VLOOKUP(#REF!,Locaties[],3,FALSE),0)</f>
        <v>0</v>
      </c>
      <c r="AB1344" s="87">
        <f>Ruimtestaat[[#This Row],[Uitvoeringen weekend]]*Ruimtestaat[[#This Row],[Oppervlak (netto)]]</f>
        <v>0</v>
      </c>
      <c r="AC1344" s="90">
        <f>IF(AB1344&gt;0,Ruimtestaat[[#This Row],[Prest. (m2 /jaar) weekend]]/Ruimtestaat[[#This Row],[Norm (m2/uur) weekend]],0)</f>
        <v>0</v>
      </c>
      <c r="AD1344" s="91">
        <f>Ruimtestaat[[#This Row],[uren / jaar weekend]]*Tariefsopbouw!$D$40</f>
        <v>0</v>
      </c>
      <c r="AE1344" s="60">
        <f>Ruimtestaat[[#This Row],[Prest. (m2 /jaar) weekend]]+Ruimtestaat[[#This Row],[Prest. (m2 /jaar) werkdagen]]</f>
        <v>43296</v>
      </c>
      <c r="AF1344" s="60">
        <f>Ruimtestaat[[#This Row],[uren / jaar weekend]]+Ruimtestaat[[#This Row],[uren / jaar werkdagen]]</f>
        <v>0</v>
      </c>
      <c r="AG1344" s="61">
        <f>Ruimtestaat[[#This Row],[kosten / jaar weekend]]+Ruimtestaat[[#This Row],[kosten / jaar werkdagen]]</f>
        <v>0</v>
      </c>
      <c r="AH1344" s="92"/>
      <c r="HL1344" s="59"/>
    </row>
    <row r="1345" spans="1:220">
      <c r="A1345" s="24">
        <v>8</v>
      </c>
      <c r="B1345" s="24" t="str">
        <f>VLOOKUP(Ruimtestaat[[#This Row],[Code]],Locaties[#All],2,FALSE)</f>
        <v>Arkelstijn</v>
      </c>
      <c r="C1345" s="24" t="str">
        <f>VLOOKUP(Ruimtestaat[[#This Row],[Code]],Locaties[#All],4,FALSE)</f>
        <v>Arkelstein 8</v>
      </c>
      <c r="D1345" s="24" t="str">
        <f>VLOOKUP(Ruimtestaat[[#This Row],[Code]],Locaties[#All],5,FALSE)</f>
        <v>7414 EP</v>
      </c>
      <c r="E1345" s="24" t="str">
        <f>VLOOKUP(Ruimtestaat[[#This Row],[Code]],Locaties[#All],6,FALSE)</f>
        <v>Deventer</v>
      </c>
      <c r="F1345" s="54"/>
      <c r="G1345" s="24" t="s">
        <v>367</v>
      </c>
      <c r="H1345" s="24" t="s">
        <v>1577</v>
      </c>
      <c r="I1345" s="4" t="s">
        <v>759</v>
      </c>
      <c r="J1345" s="24">
        <v>15</v>
      </c>
      <c r="K1345" s="54" t="str">
        <f>VLOOKUP(J1345,Ruimtegroepen[],2,FALSE)</f>
        <v>Keuken/pantry</v>
      </c>
      <c r="L1345" s="24" t="s">
        <v>305</v>
      </c>
      <c r="M1345" s="24" t="s">
        <v>1757</v>
      </c>
      <c r="N1345" s="83">
        <v>23.22</v>
      </c>
      <c r="O1345" s="83"/>
      <c r="P1345" s="93" t="str">
        <f>LEFT(VLOOKUP(Ruimtestaat[[#This Row],[Ruimte code]],Ruimtegroepen[#All],4,1),2)</f>
        <v>Ve</v>
      </c>
      <c r="Q1345" s="93"/>
      <c r="R1345" s="84">
        <v>40</v>
      </c>
      <c r="S1345" s="84" t="s">
        <v>318</v>
      </c>
      <c r="T1345" s="85">
        <f>IF(R1345&gt;0,IF(RIGHT(Ruimtestaat[[#This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5" s="85">
        <f>IF(T1345&gt;0,VLOOKUP($J1345,Ruimtegroepen[],3,FALSE)*VLOOKUP($L1345,Vloersoorten[],3,FALSE)*VLOOKUP($S1345,Frequenties[],3,FALSE)*VLOOKUP($A1345,Locaties[],3,FALSE),0)</f>
        <v>0</v>
      </c>
      <c r="V1345" s="86">
        <f>Ruimtestaat[[#This Row],[Uitvoeringen werkdagen]]*Ruimtestaat[[#This Row],[Oppervlak (netto)]]</f>
        <v>4644</v>
      </c>
      <c r="W1345" s="87">
        <f>IF(U1345&gt;0,Ruimtestaat[[#This Row],[Prest. (m2 /jaar) werkdagen]]/Ruimtestaat[[#This Row],[Norm (m2/uur) werkdagen]],0)</f>
        <v>0</v>
      </c>
      <c r="X1345" s="88">
        <f>Ruimtestaat[[#This Row],[uren / jaar werkdagen]]*Tariefsopbouw!$E$35</f>
        <v>0</v>
      </c>
      <c r="Y1345" s="85"/>
      <c r="Z1345" s="89">
        <f>IF(Ruimtestaat[[#This Row],[Frequentie weekend]]&gt;0,VALUE(LEFT(Y1345,1))*R1345,0)</f>
        <v>0</v>
      </c>
      <c r="AA1345" s="85">
        <f>IF($Z1345&gt;0,VLOOKUP($J1345,Ruimtegroepen[],3,FALSE)*VLOOKUP($L1345,Vloersoorten[],3,FALSE)*VLOOKUP($Y1345,Frequenties[],3,FALSE)*VLOOKUP(#REF!,Locaties[],3,FALSE),0)</f>
        <v>0</v>
      </c>
      <c r="AB1345" s="87">
        <f>Ruimtestaat[[#This Row],[Uitvoeringen weekend]]*Ruimtestaat[[#This Row],[Oppervlak (netto)]]</f>
        <v>0</v>
      </c>
      <c r="AC1345" s="90">
        <f>IF(AB1345&gt;0,Ruimtestaat[[#This Row],[Prest. (m2 /jaar) weekend]]/Ruimtestaat[[#This Row],[Norm (m2/uur) weekend]],0)</f>
        <v>0</v>
      </c>
      <c r="AD1345" s="91">
        <f>Ruimtestaat[[#This Row],[uren / jaar weekend]]*Tariefsopbouw!$D$40</f>
        <v>0</v>
      </c>
      <c r="AE1345" s="60">
        <f>Ruimtestaat[[#This Row],[Prest. (m2 /jaar) weekend]]+Ruimtestaat[[#This Row],[Prest. (m2 /jaar) werkdagen]]</f>
        <v>4644</v>
      </c>
      <c r="AF1345" s="60">
        <f>Ruimtestaat[[#This Row],[uren / jaar weekend]]+Ruimtestaat[[#This Row],[uren / jaar werkdagen]]</f>
        <v>0</v>
      </c>
      <c r="AG1345" s="61">
        <f>Ruimtestaat[[#This Row],[kosten / jaar weekend]]+Ruimtestaat[[#This Row],[kosten / jaar werkdagen]]</f>
        <v>0</v>
      </c>
      <c r="AH1345" s="92"/>
      <c r="HL1345" s="59"/>
    </row>
    <row r="1346" spans="1:220">
      <c r="A1346" s="24">
        <v>8</v>
      </c>
      <c r="B1346" s="24" t="str">
        <f>VLOOKUP(Ruimtestaat[[#This Row],[Code]],Locaties[#All],2,FALSE)</f>
        <v>Arkelstijn</v>
      </c>
      <c r="C1346" s="24" t="str">
        <f>VLOOKUP(Ruimtestaat[[#This Row],[Code]],Locaties[#All],4,FALSE)</f>
        <v>Arkelstein 8</v>
      </c>
      <c r="D1346" s="24" t="str">
        <f>VLOOKUP(Ruimtestaat[[#This Row],[Code]],Locaties[#All],5,FALSE)</f>
        <v>7414 EP</v>
      </c>
      <c r="E1346" s="24" t="str">
        <f>VLOOKUP(Ruimtestaat[[#This Row],[Code]],Locaties[#All],6,FALSE)</f>
        <v>Deventer</v>
      </c>
      <c r="F1346" s="54"/>
      <c r="G1346" s="24" t="s">
        <v>367</v>
      </c>
      <c r="H1346" s="24" t="s">
        <v>1578</v>
      </c>
      <c r="I1346" s="4" t="s">
        <v>1795</v>
      </c>
      <c r="J1346" s="24">
        <v>14</v>
      </c>
      <c r="K1346" s="54" t="str">
        <f>VLOOKUP(J1346,Ruimtegroepen[],2,FALSE)</f>
        <v>Praktijklokalen binas/zorg</v>
      </c>
      <c r="L1346" s="24" t="s">
        <v>305</v>
      </c>
      <c r="M1346" s="24" t="s">
        <v>1796</v>
      </c>
      <c r="N1346" s="83">
        <v>43.33</v>
      </c>
      <c r="O1346" s="83"/>
      <c r="P1346" s="93" t="str">
        <f>LEFT(VLOOKUP(Ruimtestaat[[#This Row],[Ruimte code]],Ruimtegroepen[#All],4,1),2)</f>
        <v>Le</v>
      </c>
      <c r="Q1346" s="93"/>
      <c r="R1346" s="84">
        <v>40</v>
      </c>
      <c r="S1346" s="84" t="s">
        <v>318</v>
      </c>
      <c r="T1346" s="85">
        <f>IF(R1346&gt;0,IF(RIGHT(Ruimtestaat[[#This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6" s="85">
        <f>IF(T1346&gt;0,VLOOKUP($J1346,Ruimtegroepen[],3,FALSE)*VLOOKUP($L1346,Vloersoorten[],3,FALSE)*VLOOKUP($S1346,Frequenties[],3,FALSE)*VLOOKUP($A1346,Locaties[],3,FALSE),0)</f>
        <v>0</v>
      </c>
      <c r="V1346" s="86">
        <f>Ruimtestaat[[#This Row],[Uitvoeringen werkdagen]]*Ruimtestaat[[#This Row],[Oppervlak (netto)]]</f>
        <v>8666</v>
      </c>
      <c r="W1346" s="87">
        <f>IF(U1346&gt;0,Ruimtestaat[[#This Row],[Prest. (m2 /jaar) werkdagen]]/Ruimtestaat[[#This Row],[Norm (m2/uur) werkdagen]],0)</f>
        <v>0</v>
      </c>
      <c r="X1346" s="88">
        <f>Ruimtestaat[[#This Row],[uren / jaar werkdagen]]*Tariefsopbouw!$E$35</f>
        <v>0</v>
      </c>
      <c r="Y1346" s="85"/>
      <c r="Z1346" s="89">
        <f>IF(Ruimtestaat[[#This Row],[Frequentie weekend]]&gt;0,VALUE(LEFT(Y1346,1))*R1346,0)</f>
        <v>0</v>
      </c>
      <c r="AA1346" s="85">
        <f>IF($Z1346&gt;0,VLOOKUP($J1346,Ruimtegroepen[],3,FALSE)*VLOOKUP($L1346,Vloersoorten[],3,FALSE)*VLOOKUP($Y1346,Frequenties[],3,FALSE)*VLOOKUP(#REF!,Locaties[],3,FALSE),0)</f>
        <v>0</v>
      </c>
      <c r="AB1346" s="87">
        <f>Ruimtestaat[[#This Row],[Uitvoeringen weekend]]*Ruimtestaat[[#This Row],[Oppervlak (netto)]]</f>
        <v>0</v>
      </c>
      <c r="AC1346" s="90">
        <f>IF(AB1346&gt;0,Ruimtestaat[[#This Row],[Prest. (m2 /jaar) weekend]]/Ruimtestaat[[#This Row],[Norm (m2/uur) weekend]],0)</f>
        <v>0</v>
      </c>
      <c r="AD1346" s="91">
        <f>Ruimtestaat[[#This Row],[uren / jaar weekend]]*Tariefsopbouw!$D$40</f>
        <v>0</v>
      </c>
      <c r="AE1346" s="60">
        <f>Ruimtestaat[[#This Row],[Prest. (m2 /jaar) weekend]]+Ruimtestaat[[#This Row],[Prest. (m2 /jaar) werkdagen]]</f>
        <v>8666</v>
      </c>
      <c r="AF1346" s="60">
        <f>Ruimtestaat[[#This Row],[uren / jaar weekend]]+Ruimtestaat[[#This Row],[uren / jaar werkdagen]]</f>
        <v>0</v>
      </c>
      <c r="AG1346" s="61">
        <f>Ruimtestaat[[#This Row],[kosten / jaar weekend]]+Ruimtestaat[[#This Row],[kosten / jaar werkdagen]]</f>
        <v>0</v>
      </c>
      <c r="AH1346" s="92"/>
      <c r="HL1346" s="59"/>
    </row>
    <row r="1347" spans="1:220">
      <c r="A1347" s="24">
        <v>8</v>
      </c>
      <c r="B1347" s="24" t="str">
        <f>VLOOKUP(Ruimtestaat[[#This Row],[Code]],Locaties[#All],2,FALSE)</f>
        <v>Arkelstijn</v>
      </c>
      <c r="C1347" s="24" t="str">
        <f>VLOOKUP(Ruimtestaat[[#This Row],[Code]],Locaties[#All],4,FALSE)</f>
        <v>Arkelstein 8</v>
      </c>
      <c r="D1347" s="24" t="str">
        <f>VLOOKUP(Ruimtestaat[[#This Row],[Code]],Locaties[#All],5,FALSE)</f>
        <v>7414 EP</v>
      </c>
      <c r="E1347" s="24" t="str">
        <f>VLOOKUP(Ruimtestaat[[#This Row],[Code]],Locaties[#All],6,FALSE)</f>
        <v>Deventer</v>
      </c>
      <c r="F1347" s="54"/>
      <c r="G1347" s="24" t="s">
        <v>367</v>
      </c>
      <c r="H1347" s="24" t="s">
        <v>1797</v>
      </c>
      <c r="I1347" s="4" t="s">
        <v>1798</v>
      </c>
      <c r="J1347" s="24">
        <v>3</v>
      </c>
      <c r="K1347" s="54" t="str">
        <f>VLOOKUP(J1347,Ruimtegroepen[],2,FALSE)</f>
        <v>Reproruimte</v>
      </c>
      <c r="L1347" s="24" t="s">
        <v>305</v>
      </c>
      <c r="M1347" s="24" t="s">
        <v>1757</v>
      </c>
      <c r="N1347" s="83">
        <v>29.98</v>
      </c>
      <c r="O1347" s="83"/>
      <c r="P1347" s="93" t="str">
        <f>LEFT(VLOOKUP(Ruimtestaat[[#This Row],[Ruimte code]],Ruimtegroepen[#All],4,1),2)</f>
        <v>Ve</v>
      </c>
      <c r="Q1347" s="93"/>
      <c r="R1347" s="84">
        <v>40</v>
      </c>
      <c r="S1347" s="84" t="s">
        <v>318</v>
      </c>
      <c r="T1347" s="85">
        <f>IF(R1347&gt;0,IF(RIGHT(Ruimtestaat[[#This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7" s="85">
        <f>IF(T1347&gt;0,VLOOKUP($J1347,Ruimtegroepen[],3,FALSE)*VLOOKUP($L1347,Vloersoorten[],3,FALSE)*VLOOKUP($S1347,Frequenties[],3,FALSE)*VLOOKUP($A1347,Locaties[],3,FALSE),0)</f>
        <v>0</v>
      </c>
      <c r="V1347" s="86">
        <f>Ruimtestaat[[#This Row],[Uitvoeringen werkdagen]]*Ruimtestaat[[#This Row],[Oppervlak (netto)]]</f>
        <v>5996</v>
      </c>
      <c r="W1347" s="87">
        <f>IF(U1347&gt;0,Ruimtestaat[[#This Row],[Prest. (m2 /jaar) werkdagen]]/Ruimtestaat[[#This Row],[Norm (m2/uur) werkdagen]],0)</f>
        <v>0</v>
      </c>
      <c r="X1347" s="88">
        <f>Ruimtestaat[[#This Row],[uren / jaar werkdagen]]*Tariefsopbouw!$E$35</f>
        <v>0</v>
      </c>
      <c r="Y1347" s="85"/>
      <c r="Z1347" s="89">
        <f>IF(Ruimtestaat[[#This Row],[Frequentie weekend]]&gt;0,VALUE(LEFT(Y1347,1))*R1347,0)</f>
        <v>0</v>
      </c>
      <c r="AA1347" s="85">
        <f>IF($Z1347&gt;0,VLOOKUP($J1347,Ruimtegroepen[],3,FALSE)*VLOOKUP($L1347,Vloersoorten[],3,FALSE)*VLOOKUP($Y1347,Frequenties[],3,FALSE)*VLOOKUP(#REF!,Locaties[],3,FALSE),0)</f>
        <v>0</v>
      </c>
      <c r="AB1347" s="87">
        <f>Ruimtestaat[[#This Row],[Uitvoeringen weekend]]*Ruimtestaat[[#This Row],[Oppervlak (netto)]]</f>
        <v>0</v>
      </c>
      <c r="AC1347" s="90">
        <f>IF(AB1347&gt;0,Ruimtestaat[[#This Row],[Prest. (m2 /jaar) weekend]]/Ruimtestaat[[#This Row],[Norm (m2/uur) weekend]],0)</f>
        <v>0</v>
      </c>
      <c r="AD1347" s="91">
        <f>Ruimtestaat[[#This Row],[uren / jaar weekend]]*Tariefsopbouw!$D$40</f>
        <v>0</v>
      </c>
      <c r="AE1347" s="60">
        <f>Ruimtestaat[[#This Row],[Prest. (m2 /jaar) weekend]]+Ruimtestaat[[#This Row],[Prest. (m2 /jaar) werkdagen]]</f>
        <v>5996</v>
      </c>
      <c r="AF1347" s="60">
        <f>Ruimtestaat[[#This Row],[uren / jaar weekend]]+Ruimtestaat[[#This Row],[uren / jaar werkdagen]]</f>
        <v>0</v>
      </c>
      <c r="AG1347" s="61">
        <f>Ruimtestaat[[#This Row],[kosten / jaar weekend]]+Ruimtestaat[[#This Row],[kosten / jaar werkdagen]]</f>
        <v>0</v>
      </c>
      <c r="AH1347" s="92"/>
      <c r="HL1347" s="59"/>
    </row>
    <row r="1348" spans="1:220">
      <c r="A1348" s="24">
        <v>8</v>
      </c>
      <c r="B1348" s="24" t="str">
        <f>VLOOKUP(Ruimtestaat[[#This Row],[Code]],Locaties[#All],2,FALSE)</f>
        <v>Arkelstijn</v>
      </c>
      <c r="C1348" s="24" t="str">
        <f>VLOOKUP(Ruimtestaat[[#This Row],[Code]],Locaties[#All],4,FALSE)</f>
        <v>Arkelstein 8</v>
      </c>
      <c r="D1348" s="24" t="str">
        <f>VLOOKUP(Ruimtestaat[[#This Row],[Code]],Locaties[#All],5,FALSE)</f>
        <v>7414 EP</v>
      </c>
      <c r="E1348" s="24" t="str">
        <f>VLOOKUP(Ruimtestaat[[#This Row],[Code]],Locaties[#All],6,FALSE)</f>
        <v>Deventer</v>
      </c>
      <c r="F1348" s="54"/>
      <c r="G1348" s="24" t="s">
        <v>367</v>
      </c>
      <c r="H1348" s="24" t="s">
        <v>1579</v>
      </c>
      <c r="I1348" s="4" t="s">
        <v>1799</v>
      </c>
      <c r="J1348" s="24">
        <v>22</v>
      </c>
      <c r="K1348" s="54" t="str">
        <f>VLOOKUP(J1348,Ruimtegroepen[],2,FALSE)</f>
        <v>Niet in onderhoud</v>
      </c>
      <c r="L1348" s="24" t="s">
        <v>305</v>
      </c>
      <c r="M1348" s="24" t="s">
        <v>1757</v>
      </c>
      <c r="N1348" s="83"/>
      <c r="O1348" s="83">
        <v>5.17</v>
      </c>
      <c r="P1348" s="93" t="str">
        <f>LEFT(VLOOKUP(Ruimtestaat[[#This Row],[Ruimte code]],Ruimtegroepen[#All],4,1),2)</f>
        <v/>
      </c>
      <c r="Q1348" s="93"/>
      <c r="R1348" s="84"/>
      <c r="S1348" s="84"/>
      <c r="T1348" s="85">
        <f>IF(R1348&gt;0,IF(RIGHT(Ruimtestaat[[#This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48" s="85">
        <f>IF(T1348&gt;0,VLOOKUP($J1348,Ruimtegroepen[],3,FALSE)*VLOOKUP($L1348,Vloersoorten[],3,FALSE)*VLOOKUP($S1348,Frequenties[],3,FALSE)*VLOOKUP($A1348,Locaties[],3,FALSE),0)</f>
        <v>0</v>
      </c>
      <c r="V1348" s="86">
        <f>Ruimtestaat[[#This Row],[Uitvoeringen werkdagen]]*Ruimtestaat[[#This Row],[Oppervlak (netto)]]</f>
        <v>0</v>
      </c>
      <c r="W1348" s="87">
        <f>IF(U1348&gt;0,Ruimtestaat[[#This Row],[Prest. (m2 /jaar) werkdagen]]/Ruimtestaat[[#This Row],[Norm (m2/uur) werkdagen]],0)</f>
        <v>0</v>
      </c>
      <c r="X1348" s="88">
        <f>Ruimtestaat[[#This Row],[uren / jaar werkdagen]]*Tariefsopbouw!$E$35</f>
        <v>0</v>
      </c>
      <c r="Y1348" s="85"/>
      <c r="Z1348" s="89">
        <f>IF(Ruimtestaat[[#This Row],[Frequentie weekend]]&gt;0,VALUE(LEFT(Y1348,1))*R1348,0)</f>
        <v>0</v>
      </c>
      <c r="AA1348" s="85">
        <f>IF($Z1348&gt;0,VLOOKUP($J1348,Ruimtegroepen[],3,FALSE)*VLOOKUP($L1348,Vloersoorten[],3,FALSE)*VLOOKUP($Y1348,Frequenties[],3,FALSE)*VLOOKUP(#REF!,Locaties[],3,FALSE),0)</f>
        <v>0</v>
      </c>
      <c r="AB1348" s="87">
        <f>Ruimtestaat[[#This Row],[Uitvoeringen weekend]]*Ruimtestaat[[#This Row],[Oppervlak (netto)]]</f>
        <v>0</v>
      </c>
      <c r="AC1348" s="90">
        <f>IF(AB1348&gt;0,Ruimtestaat[[#This Row],[Prest. (m2 /jaar) weekend]]/Ruimtestaat[[#This Row],[Norm (m2/uur) weekend]],0)</f>
        <v>0</v>
      </c>
      <c r="AD1348" s="91">
        <f>Ruimtestaat[[#This Row],[uren / jaar weekend]]*Tariefsopbouw!$D$40</f>
        <v>0</v>
      </c>
      <c r="AE1348" s="60">
        <f>Ruimtestaat[[#This Row],[Prest. (m2 /jaar) weekend]]+Ruimtestaat[[#This Row],[Prest. (m2 /jaar) werkdagen]]</f>
        <v>0</v>
      </c>
      <c r="AF1348" s="60">
        <f>Ruimtestaat[[#This Row],[uren / jaar weekend]]+Ruimtestaat[[#This Row],[uren / jaar werkdagen]]</f>
        <v>0</v>
      </c>
      <c r="AG1348" s="61">
        <f>Ruimtestaat[[#This Row],[kosten / jaar weekend]]+Ruimtestaat[[#This Row],[kosten / jaar werkdagen]]</f>
        <v>0</v>
      </c>
      <c r="AH1348" s="92"/>
      <c r="HL1348" s="59"/>
    </row>
    <row r="1349" spans="1:220">
      <c r="A1349" s="24">
        <v>8</v>
      </c>
      <c r="B1349" s="24" t="str">
        <f>VLOOKUP(Ruimtestaat[[#This Row],[Code]],Locaties[#All],2,FALSE)</f>
        <v>Arkelstijn</v>
      </c>
      <c r="C1349" s="24" t="str">
        <f>VLOOKUP(Ruimtestaat[[#This Row],[Code]],Locaties[#All],4,FALSE)</f>
        <v>Arkelstein 8</v>
      </c>
      <c r="D1349" s="24" t="str">
        <f>VLOOKUP(Ruimtestaat[[#This Row],[Code]],Locaties[#All],5,FALSE)</f>
        <v>7414 EP</v>
      </c>
      <c r="E1349" s="24" t="str">
        <f>VLOOKUP(Ruimtestaat[[#This Row],[Code]],Locaties[#All],6,FALSE)</f>
        <v>Deventer</v>
      </c>
      <c r="F1349" s="54"/>
      <c r="G1349" s="24" t="s">
        <v>367</v>
      </c>
      <c r="H1349" s="24" t="s">
        <v>1800</v>
      </c>
      <c r="I1349" s="4" t="s">
        <v>1801</v>
      </c>
      <c r="J1349" s="24">
        <v>21</v>
      </c>
      <c r="K1349" s="54" t="str">
        <f>VLOOKUP(J1349,Ruimtegroepen[],2,FALSE)</f>
        <v>Personeelskamer</v>
      </c>
      <c r="L1349" s="24" t="s">
        <v>300</v>
      </c>
      <c r="M1349" s="24" t="s">
        <v>1765</v>
      </c>
      <c r="N1349" s="83">
        <v>48.91</v>
      </c>
      <c r="O1349" s="83"/>
      <c r="P1349" s="93" t="str">
        <f>LEFT(VLOOKUP(Ruimtestaat[[#This Row],[Ruimte code]],Ruimtegroepen[#All],4,1),2)</f>
        <v>Ve</v>
      </c>
      <c r="Q1349" s="93"/>
      <c r="R1349" s="84">
        <v>40</v>
      </c>
      <c r="S1349" s="84" t="s">
        <v>318</v>
      </c>
      <c r="T1349" s="85">
        <f>IF(R1349&gt;0,IF(RIGHT(Ruimtestaat[[#This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9" s="85">
        <f>IF(T1349&gt;0,VLOOKUP($J1349,Ruimtegroepen[],3,FALSE)*VLOOKUP($L1349,Vloersoorten[],3,FALSE)*VLOOKUP($S1349,Frequenties[],3,FALSE)*VLOOKUP($A1349,Locaties[],3,FALSE),0)</f>
        <v>0</v>
      </c>
      <c r="V1349" s="86">
        <f>Ruimtestaat[[#This Row],[Uitvoeringen werkdagen]]*Ruimtestaat[[#This Row],[Oppervlak (netto)]]</f>
        <v>9782</v>
      </c>
      <c r="W1349" s="87">
        <f>IF(U1349&gt;0,Ruimtestaat[[#This Row],[Prest. (m2 /jaar) werkdagen]]/Ruimtestaat[[#This Row],[Norm (m2/uur) werkdagen]],0)</f>
        <v>0</v>
      </c>
      <c r="X1349" s="88">
        <f>Ruimtestaat[[#This Row],[uren / jaar werkdagen]]*Tariefsopbouw!$E$35</f>
        <v>0</v>
      </c>
      <c r="Y1349" s="85"/>
      <c r="Z1349" s="89">
        <f>IF(Ruimtestaat[[#This Row],[Frequentie weekend]]&gt;0,VALUE(LEFT(Y1349,1))*R1349,0)</f>
        <v>0</v>
      </c>
      <c r="AA1349" s="85">
        <f>IF($Z1349&gt;0,VLOOKUP($J1349,Ruimtegroepen[],3,FALSE)*VLOOKUP($L1349,Vloersoorten[],3,FALSE)*VLOOKUP($Y1349,Frequenties[],3,FALSE)*VLOOKUP(#REF!,Locaties[],3,FALSE),0)</f>
        <v>0</v>
      </c>
      <c r="AB1349" s="87">
        <f>Ruimtestaat[[#This Row],[Uitvoeringen weekend]]*Ruimtestaat[[#This Row],[Oppervlak (netto)]]</f>
        <v>0</v>
      </c>
      <c r="AC1349" s="90">
        <f>IF(AB1349&gt;0,Ruimtestaat[[#This Row],[Prest. (m2 /jaar) weekend]]/Ruimtestaat[[#This Row],[Norm (m2/uur) weekend]],0)</f>
        <v>0</v>
      </c>
      <c r="AD1349" s="91">
        <f>Ruimtestaat[[#This Row],[uren / jaar weekend]]*Tariefsopbouw!$D$40</f>
        <v>0</v>
      </c>
      <c r="AE1349" s="60">
        <f>Ruimtestaat[[#This Row],[Prest. (m2 /jaar) weekend]]+Ruimtestaat[[#This Row],[Prest. (m2 /jaar) werkdagen]]</f>
        <v>9782</v>
      </c>
      <c r="AF1349" s="60">
        <f>Ruimtestaat[[#This Row],[uren / jaar weekend]]+Ruimtestaat[[#This Row],[uren / jaar werkdagen]]</f>
        <v>0</v>
      </c>
      <c r="AG1349" s="61">
        <f>Ruimtestaat[[#This Row],[kosten / jaar weekend]]+Ruimtestaat[[#This Row],[kosten / jaar werkdagen]]</f>
        <v>0</v>
      </c>
      <c r="AH1349" s="92"/>
      <c r="HL1349" s="59"/>
    </row>
    <row r="1350" spans="1:220">
      <c r="A1350" s="24">
        <v>8</v>
      </c>
      <c r="B1350" s="24" t="str">
        <f>VLOOKUP(Ruimtestaat[[#This Row],[Code]],Locaties[#All],2,FALSE)</f>
        <v>Arkelstijn</v>
      </c>
      <c r="C1350" s="24" t="str">
        <f>VLOOKUP(Ruimtestaat[[#This Row],[Code]],Locaties[#All],4,FALSE)</f>
        <v>Arkelstein 8</v>
      </c>
      <c r="D1350" s="24" t="str">
        <f>VLOOKUP(Ruimtestaat[[#This Row],[Code]],Locaties[#All],5,FALSE)</f>
        <v>7414 EP</v>
      </c>
      <c r="E1350" s="24" t="str">
        <f>VLOOKUP(Ruimtestaat[[#This Row],[Code]],Locaties[#All],6,FALSE)</f>
        <v>Deventer</v>
      </c>
      <c r="F1350" s="54"/>
      <c r="G1350" s="24" t="s">
        <v>367</v>
      </c>
      <c r="H1350" s="24" t="s">
        <v>1580</v>
      </c>
      <c r="I1350" s="4" t="s">
        <v>1802</v>
      </c>
      <c r="J1350" s="24">
        <v>2</v>
      </c>
      <c r="K1350" s="54" t="str">
        <f>VLOOKUP(J1350,Ruimtegroepen[],2,FALSE)</f>
        <v>Kantoren</v>
      </c>
      <c r="L1350" s="24" t="s">
        <v>300</v>
      </c>
      <c r="M1350" s="24" t="s">
        <v>1765</v>
      </c>
      <c r="N1350" s="83">
        <v>12.65</v>
      </c>
      <c r="O1350" s="83"/>
      <c r="P1350" s="93" t="str">
        <f>LEFT(VLOOKUP(Ruimtestaat[[#This Row],[Ruimte code]],Ruimtegroepen[#All],4,1),2)</f>
        <v>Bu</v>
      </c>
      <c r="Q1350" s="93"/>
      <c r="R1350" s="84">
        <v>42</v>
      </c>
      <c r="S1350" s="84" t="s">
        <v>322</v>
      </c>
      <c r="T1350" s="85">
        <f>IF(R1350&gt;0,IF(RIGHT(Ruimtestaat[[#This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50" s="85">
        <f>IF(T1350&gt;0,VLOOKUP($J1350,Ruimtegroepen[],3,FALSE)*VLOOKUP($L1350,Vloersoorten[],3,FALSE)*VLOOKUP($S1350,Frequenties[],3,FALSE)*VLOOKUP($A1350,Locaties[],3,FALSE),0)</f>
        <v>0</v>
      </c>
      <c r="V1350" s="86">
        <f>Ruimtestaat[[#This Row],[Uitvoeringen werkdagen]]*Ruimtestaat[[#This Row],[Oppervlak (netto)]]</f>
        <v>1593.9</v>
      </c>
      <c r="W1350" s="87">
        <f>IF(U1350&gt;0,Ruimtestaat[[#This Row],[Prest. (m2 /jaar) werkdagen]]/Ruimtestaat[[#This Row],[Norm (m2/uur) werkdagen]],0)</f>
        <v>0</v>
      </c>
      <c r="X1350" s="88">
        <f>Ruimtestaat[[#This Row],[uren / jaar werkdagen]]*Tariefsopbouw!$E$35</f>
        <v>0</v>
      </c>
      <c r="Y1350" s="85"/>
      <c r="Z1350" s="89">
        <f>IF(Ruimtestaat[[#This Row],[Frequentie weekend]]&gt;0,VALUE(LEFT(Y1350,1))*R1350,0)</f>
        <v>0</v>
      </c>
      <c r="AA1350" s="85">
        <f>IF($Z1350&gt;0,VLOOKUP($J1350,Ruimtegroepen[],3,FALSE)*VLOOKUP($L1350,Vloersoorten[],3,FALSE)*VLOOKUP($Y1350,Frequenties[],3,FALSE)*VLOOKUP(#REF!,Locaties[],3,FALSE),0)</f>
        <v>0</v>
      </c>
      <c r="AB1350" s="87">
        <f>Ruimtestaat[[#This Row],[Uitvoeringen weekend]]*Ruimtestaat[[#This Row],[Oppervlak (netto)]]</f>
        <v>0</v>
      </c>
      <c r="AC1350" s="90">
        <f>IF(AB1350&gt;0,Ruimtestaat[[#This Row],[Prest. (m2 /jaar) weekend]]/Ruimtestaat[[#This Row],[Norm (m2/uur) weekend]],0)</f>
        <v>0</v>
      </c>
      <c r="AD1350" s="91">
        <f>Ruimtestaat[[#This Row],[uren / jaar weekend]]*Tariefsopbouw!$D$40</f>
        <v>0</v>
      </c>
      <c r="AE1350" s="60">
        <f>Ruimtestaat[[#This Row],[Prest. (m2 /jaar) weekend]]+Ruimtestaat[[#This Row],[Prest. (m2 /jaar) werkdagen]]</f>
        <v>1593.9</v>
      </c>
      <c r="AF1350" s="60">
        <f>Ruimtestaat[[#This Row],[uren / jaar weekend]]+Ruimtestaat[[#This Row],[uren / jaar werkdagen]]</f>
        <v>0</v>
      </c>
      <c r="AG1350" s="61">
        <f>Ruimtestaat[[#This Row],[kosten / jaar weekend]]+Ruimtestaat[[#This Row],[kosten / jaar werkdagen]]</f>
        <v>0</v>
      </c>
      <c r="AH1350" s="92"/>
      <c r="HL1350" s="59"/>
    </row>
    <row r="1351" spans="1:220">
      <c r="A1351" s="24">
        <v>8</v>
      </c>
      <c r="B1351" s="24" t="str">
        <f>VLOOKUP(Ruimtestaat[[#This Row],[Code]],Locaties[#All],2,FALSE)</f>
        <v>Arkelstijn</v>
      </c>
      <c r="C1351" s="24" t="str">
        <f>VLOOKUP(Ruimtestaat[[#This Row],[Code]],Locaties[#All],4,FALSE)</f>
        <v>Arkelstein 8</v>
      </c>
      <c r="D1351" s="24" t="str">
        <f>VLOOKUP(Ruimtestaat[[#This Row],[Code]],Locaties[#All],5,FALSE)</f>
        <v>7414 EP</v>
      </c>
      <c r="E1351" s="24" t="str">
        <f>VLOOKUP(Ruimtestaat[[#This Row],[Code]],Locaties[#All],6,FALSE)</f>
        <v>Deventer</v>
      </c>
      <c r="F1351" s="54"/>
      <c r="G1351" s="24" t="s">
        <v>367</v>
      </c>
      <c r="H1351" s="24" t="s">
        <v>1581</v>
      </c>
      <c r="I1351" s="4" t="s">
        <v>667</v>
      </c>
      <c r="J1351" s="24">
        <v>22</v>
      </c>
      <c r="K1351" s="54" t="str">
        <f>VLOOKUP(J1351,Ruimtegroepen[],2,FALSE)</f>
        <v>Niet in onderhoud</v>
      </c>
      <c r="L1351" s="24" t="s">
        <v>300</v>
      </c>
      <c r="M1351" s="24" t="s">
        <v>1765</v>
      </c>
      <c r="N1351" s="83"/>
      <c r="O1351" s="83">
        <v>7.82</v>
      </c>
      <c r="P1351" s="93" t="str">
        <f>LEFT(VLOOKUP(Ruimtestaat[[#This Row],[Ruimte code]],Ruimtegroepen[#All],4,1),2)</f>
        <v/>
      </c>
      <c r="Q1351" s="93"/>
      <c r="R1351" s="84"/>
      <c r="S1351" s="84"/>
      <c r="T1351" s="85">
        <f>IF(R1351&gt;0,IF(RIGHT(Ruimtestaat[[#This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1" s="85">
        <f>IF(T1351&gt;0,VLOOKUP($J1351,Ruimtegroepen[],3,FALSE)*VLOOKUP($L1351,Vloersoorten[],3,FALSE)*VLOOKUP($S1351,Frequenties[],3,FALSE)*VLOOKUP($A1351,Locaties[],3,FALSE),0)</f>
        <v>0</v>
      </c>
      <c r="V1351" s="86">
        <f>Ruimtestaat[[#This Row],[Uitvoeringen werkdagen]]*Ruimtestaat[[#This Row],[Oppervlak (netto)]]</f>
        <v>0</v>
      </c>
      <c r="W1351" s="87">
        <f>IF(U1351&gt;0,Ruimtestaat[[#This Row],[Prest. (m2 /jaar) werkdagen]]/Ruimtestaat[[#This Row],[Norm (m2/uur) werkdagen]],0)</f>
        <v>0</v>
      </c>
      <c r="X1351" s="88">
        <f>Ruimtestaat[[#This Row],[uren / jaar werkdagen]]*Tariefsopbouw!$E$35</f>
        <v>0</v>
      </c>
      <c r="Y1351" s="85"/>
      <c r="Z1351" s="89">
        <f>IF(Ruimtestaat[[#This Row],[Frequentie weekend]]&gt;0,VALUE(LEFT(Y1351,1))*R1351,0)</f>
        <v>0</v>
      </c>
      <c r="AA1351" s="85">
        <f>IF($Z1351&gt;0,VLOOKUP($J1351,Ruimtegroepen[],3,FALSE)*VLOOKUP($L1351,Vloersoorten[],3,FALSE)*VLOOKUP($Y1351,Frequenties[],3,FALSE)*VLOOKUP(#REF!,Locaties[],3,FALSE),0)</f>
        <v>0</v>
      </c>
      <c r="AB1351" s="87">
        <f>Ruimtestaat[[#This Row],[Uitvoeringen weekend]]*Ruimtestaat[[#This Row],[Oppervlak (netto)]]</f>
        <v>0</v>
      </c>
      <c r="AC1351" s="90">
        <f>IF(AB1351&gt;0,Ruimtestaat[[#This Row],[Prest. (m2 /jaar) weekend]]/Ruimtestaat[[#This Row],[Norm (m2/uur) weekend]],0)</f>
        <v>0</v>
      </c>
      <c r="AD1351" s="91">
        <f>Ruimtestaat[[#This Row],[uren / jaar weekend]]*Tariefsopbouw!$D$40</f>
        <v>0</v>
      </c>
      <c r="AE1351" s="60">
        <f>Ruimtestaat[[#This Row],[Prest. (m2 /jaar) weekend]]+Ruimtestaat[[#This Row],[Prest. (m2 /jaar) werkdagen]]</f>
        <v>0</v>
      </c>
      <c r="AF1351" s="60">
        <f>Ruimtestaat[[#This Row],[uren / jaar weekend]]+Ruimtestaat[[#This Row],[uren / jaar werkdagen]]</f>
        <v>0</v>
      </c>
      <c r="AG1351" s="61">
        <f>Ruimtestaat[[#This Row],[kosten / jaar weekend]]+Ruimtestaat[[#This Row],[kosten / jaar werkdagen]]</f>
        <v>0</v>
      </c>
      <c r="AH1351" s="92"/>
      <c r="HL1351" s="59"/>
    </row>
    <row r="1352" spans="1:220">
      <c r="A1352" s="24">
        <v>8</v>
      </c>
      <c r="B1352" s="24" t="str">
        <f>VLOOKUP(Ruimtestaat[[#This Row],[Code]],Locaties[#All],2,FALSE)</f>
        <v>Arkelstijn</v>
      </c>
      <c r="C1352" s="24" t="str">
        <f>VLOOKUP(Ruimtestaat[[#This Row],[Code]],Locaties[#All],4,FALSE)</f>
        <v>Arkelstein 8</v>
      </c>
      <c r="D1352" s="24" t="str">
        <f>VLOOKUP(Ruimtestaat[[#This Row],[Code]],Locaties[#All],5,FALSE)</f>
        <v>7414 EP</v>
      </c>
      <c r="E1352" s="24" t="str">
        <f>VLOOKUP(Ruimtestaat[[#This Row],[Code]],Locaties[#All],6,FALSE)</f>
        <v>Deventer</v>
      </c>
      <c r="F1352" s="54"/>
      <c r="G1352" s="24" t="s">
        <v>367</v>
      </c>
      <c r="H1352" s="24" t="s">
        <v>1582</v>
      </c>
      <c r="I1352" s="4" t="s">
        <v>1803</v>
      </c>
      <c r="J1352" s="24">
        <v>13</v>
      </c>
      <c r="K1352" s="54" t="str">
        <f>VLOOKUP(J1352,Ruimtegroepen[],2,FALSE)</f>
        <v>HV/Technieklokaal</v>
      </c>
      <c r="L1352" s="24" t="s">
        <v>311</v>
      </c>
      <c r="M1352" s="24" t="s">
        <v>1804</v>
      </c>
      <c r="N1352" s="83">
        <v>144.81</v>
      </c>
      <c r="O1352" s="83"/>
      <c r="P1352" s="93" t="str">
        <f>LEFT(VLOOKUP(Ruimtestaat[[#This Row],[Ruimte code]],Ruimtegroepen[#All],4,1),2)</f>
        <v>Le</v>
      </c>
      <c r="Q1352" s="93"/>
      <c r="R1352" s="84">
        <v>40</v>
      </c>
      <c r="S1352" s="84" t="s">
        <v>318</v>
      </c>
      <c r="T1352" s="85">
        <f>IF(R1352&gt;0,IF(RIGHT(Ruimtestaat[[#This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52" s="85">
        <f>IF(T1352&gt;0,VLOOKUP($J1352,Ruimtegroepen[],3,FALSE)*VLOOKUP($L1352,Vloersoorten[],3,FALSE)*VLOOKUP($S1352,Frequenties[],3,FALSE)*VLOOKUP($A1352,Locaties[],3,FALSE),0)</f>
        <v>0</v>
      </c>
      <c r="V1352" s="86">
        <f>Ruimtestaat[[#This Row],[Uitvoeringen werkdagen]]*Ruimtestaat[[#This Row],[Oppervlak (netto)]]</f>
        <v>28962</v>
      </c>
      <c r="W1352" s="87">
        <f>IF(U1352&gt;0,Ruimtestaat[[#This Row],[Prest. (m2 /jaar) werkdagen]]/Ruimtestaat[[#This Row],[Norm (m2/uur) werkdagen]],0)</f>
        <v>0</v>
      </c>
      <c r="X1352" s="88">
        <f>Ruimtestaat[[#This Row],[uren / jaar werkdagen]]*Tariefsopbouw!$E$35</f>
        <v>0</v>
      </c>
      <c r="Y1352" s="85"/>
      <c r="Z1352" s="89">
        <f>IF(Ruimtestaat[[#This Row],[Frequentie weekend]]&gt;0,VALUE(LEFT(Y1352,1))*R1352,0)</f>
        <v>0</v>
      </c>
      <c r="AA1352" s="85">
        <f>IF($Z1352&gt;0,VLOOKUP($J1352,Ruimtegroepen[],3,FALSE)*VLOOKUP($L1352,Vloersoorten[],3,FALSE)*VLOOKUP($Y1352,Frequenties[],3,FALSE)*VLOOKUP(#REF!,Locaties[],3,FALSE),0)</f>
        <v>0</v>
      </c>
      <c r="AB1352" s="87">
        <f>Ruimtestaat[[#This Row],[Uitvoeringen weekend]]*Ruimtestaat[[#This Row],[Oppervlak (netto)]]</f>
        <v>0</v>
      </c>
      <c r="AC1352" s="90">
        <f>IF(AB1352&gt;0,Ruimtestaat[[#This Row],[Prest. (m2 /jaar) weekend]]/Ruimtestaat[[#This Row],[Norm (m2/uur) weekend]],0)</f>
        <v>0</v>
      </c>
      <c r="AD1352" s="91">
        <f>Ruimtestaat[[#This Row],[uren / jaar weekend]]*Tariefsopbouw!$D$40</f>
        <v>0</v>
      </c>
      <c r="AE1352" s="60">
        <f>Ruimtestaat[[#This Row],[Prest. (m2 /jaar) weekend]]+Ruimtestaat[[#This Row],[Prest. (m2 /jaar) werkdagen]]</f>
        <v>28962</v>
      </c>
      <c r="AF1352" s="60">
        <f>Ruimtestaat[[#This Row],[uren / jaar weekend]]+Ruimtestaat[[#This Row],[uren / jaar werkdagen]]</f>
        <v>0</v>
      </c>
      <c r="AG1352" s="61">
        <f>Ruimtestaat[[#This Row],[kosten / jaar weekend]]+Ruimtestaat[[#This Row],[kosten / jaar werkdagen]]</f>
        <v>0</v>
      </c>
      <c r="AH1352" s="92"/>
      <c r="HL1352" s="59"/>
    </row>
    <row r="1353" spans="1:220">
      <c r="A1353" s="24">
        <v>8</v>
      </c>
      <c r="B1353" s="24" t="str">
        <f>VLOOKUP(Ruimtestaat[[#This Row],[Code]],Locaties[#All],2,FALSE)</f>
        <v>Arkelstijn</v>
      </c>
      <c r="C1353" s="24" t="str">
        <f>VLOOKUP(Ruimtestaat[[#This Row],[Code]],Locaties[#All],4,FALSE)</f>
        <v>Arkelstein 8</v>
      </c>
      <c r="D1353" s="24" t="str">
        <f>VLOOKUP(Ruimtestaat[[#This Row],[Code]],Locaties[#All],5,FALSE)</f>
        <v>7414 EP</v>
      </c>
      <c r="E1353" s="24" t="str">
        <f>VLOOKUP(Ruimtestaat[[#This Row],[Code]],Locaties[#All],6,FALSE)</f>
        <v>Deventer</v>
      </c>
      <c r="F1353" s="54"/>
      <c r="G1353" s="24" t="s">
        <v>367</v>
      </c>
      <c r="H1353" s="24" t="s">
        <v>1805</v>
      </c>
      <c r="I1353" s="4" t="s">
        <v>1806</v>
      </c>
      <c r="J1353" s="24">
        <v>22</v>
      </c>
      <c r="K1353" s="54" t="str">
        <f>VLOOKUP(J1353,Ruimtegroepen[],2,FALSE)</f>
        <v>Niet in onderhoud</v>
      </c>
      <c r="L1353" s="24" t="s">
        <v>305</v>
      </c>
      <c r="M1353" s="24" t="s">
        <v>1807</v>
      </c>
      <c r="N1353" s="83"/>
      <c r="O1353" s="83">
        <v>1.1000000000000001</v>
      </c>
      <c r="P1353" s="93" t="str">
        <f>LEFT(VLOOKUP(Ruimtestaat[[#This Row],[Ruimte code]],Ruimtegroepen[#All],4,1),2)</f>
        <v/>
      </c>
      <c r="Q1353" s="93"/>
      <c r="R1353" s="84"/>
      <c r="S1353" s="84"/>
      <c r="T1353" s="85">
        <f>IF(R1353&gt;0,IF(RIGHT(Ruimtestaat[[#This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3" s="85">
        <f>IF(T1353&gt;0,VLOOKUP($J1353,Ruimtegroepen[],3,FALSE)*VLOOKUP($L1353,Vloersoorten[],3,FALSE)*VLOOKUP($S1353,Frequenties[],3,FALSE)*VLOOKUP($A1353,Locaties[],3,FALSE),0)</f>
        <v>0</v>
      </c>
      <c r="V1353" s="86">
        <f>Ruimtestaat[[#This Row],[Uitvoeringen werkdagen]]*Ruimtestaat[[#This Row],[Oppervlak (netto)]]</f>
        <v>0</v>
      </c>
      <c r="W1353" s="87">
        <f>IF(U1353&gt;0,Ruimtestaat[[#This Row],[Prest. (m2 /jaar) werkdagen]]/Ruimtestaat[[#This Row],[Norm (m2/uur) werkdagen]],0)</f>
        <v>0</v>
      </c>
      <c r="X1353" s="88">
        <f>Ruimtestaat[[#This Row],[uren / jaar werkdagen]]*Tariefsopbouw!$E$35</f>
        <v>0</v>
      </c>
      <c r="Y1353" s="85"/>
      <c r="Z1353" s="89">
        <f>IF(Ruimtestaat[[#This Row],[Frequentie weekend]]&gt;0,VALUE(LEFT(Y1353,1))*R1353,0)</f>
        <v>0</v>
      </c>
      <c r="AA1353" s="85">
        <f>IF($Z1353&gt;0,VLOOKUP($J1353,Ruimtegroepen[],3,FALSE)*VLOOKUP($L1353,Vloersoorten[],3,FALSE)*VLOOKUP($Y1353,Frequenties[],3,FALSE)*VLOOKUP(#REF!,Locaties[],3,FALSE),0)</f>
        <v>0</v>
      </c>
      <c r="AB1353" s="87">
        <f>Ruimtestaat[[#This Row],[Uitvoeringen weekend]]*Ruimtestaat[[#This Row],[Oppervlak (netto)]]</f>
        <v>0</v>
      </c>
      <c r="AC1353" s="90">
        <f>IF(AB1353&gt;0,Ruimtestaat[[#This Row],[Prest. (m2 /jaar) weekend]]/Ruimtestaat[[#This Row],[Norm (m2/uur) weekend]],0)</f>
        <v>0</v>
      </c>
      <c r="AD1353" s="91">
        <f>Ruimtestaat[[#This Row],[uren / jaar weekend]]*Tariefsopbouw!$D$40</f>
        <v>0</v>
      </c>
      <c r="AE1353" s="60">
        <f>Ruimtestaat[[#This Row],[Prest. (m2 /jaar) weekend]]+Ruimtestaat[[#This Row],[Prest. (m2 /jaar) werkdagen]]</f>
        <v>0</v>
      </c>
      <c r="AF1353" s="60">
        <f>Ruimtestaat[[#This Row],[uren / jaar weekend]]+Ruimtestaat[[#This Row],[uren / jaar werkdagen]]</f>
        <v>0</v>
      </c>
      <c r="AG1353" s="61">
        <f>Ruimtestaat[[#This Row],[kosten / jaar weekend]]+Ruimtestaat[[#This Row],[kosten / jaar werkdagen]]</f>
        <v>0</v>
      </c>
      <c r="AH1353" s="92"/>
      <c r="HL1353" s="59"/>
    </row>
    <row r="1354" spans="1:220">
      <c r="A1354" s="24">
        <v>8</v>
      </c>
      <c r="B1354" s="24" t="str">
        <f>VLOOKUP(Ruimtestaat[[#This Row],[Code]],Locaties[#All],2,FALSE)</f>
        <v>Arkelstijn</v>
      </c>
      <c r="C1354" s="24" t="str">
        <f>VLOOKUP(Ruimtestaat[[#This Row],[Code]],Locaties[#All],4,FALSE)</f>
        <v>Arkelstein 8</v>
      </c>
      <c r="D1354" s="24" t="str">
        <f>VLOOKUP(Ruimtestaat[[#This Row],[Code]],Locaties[#All],5,FALSE)</f>
        <v>7414 EP</v>
      </c>
      <c r="E1354" s="24" t="str">
        <f>VLOOKUP(Ruimtestaat[[#This Row],[Code]],Locaties[#All],6,FALSE)</f>
        <v>Deventer</v>
      </c>
      <c r="F1354" s="54"/>
      <c r="G1354" s="24" t="s">
        <v>367</v>
      </c>
      <c r="H1354" s="24" t="s">
        <v>1808</v>
      </c>
      <c r="I1354" s="4" t="s">
        <v>1809</v>
      </c>
      <c r="J1354" s="24">
        <v>22</v>
      </c>
      <c r="K1354" s="54" t="str">
        <f>VLOOKUP(J1354,Ruimtegroepen[],2,FALSE)</f>
        <v>Niet in onderhoud</v>
      </c>
      <c r="L1354" s="24" t="s">
        <v>305</v>
      </c>
      <c r="M1354" s="24" t="s">
        <v>1807</v>
      </c>
      <c r="N1354" s="83"/>
      <c r="O1354" s="83">
        <v>0.87</v>
      </c>
      <c r="P1354" s="93" t="str">
        <f>LEFT(VLOOKUP(Ruimtestaat[[#This Row],[Ruimte code]],Ruimtegroepen[#All],4,1),2)</f>
        <v/>
      </c>
      <c r="Q1354" s="93"/>
      <c r="R1354" s="84"/>
      <c r="S1354" s="84"/>
      <c r="T1354" s="85">
        <f>IF(R1354&gt;0,IF(RIGHT(Ruimtestaat[[#This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4" s="85">
        <f>IF(T1354&gt;0,VLOOKUP($J1354,Ruimtegroepen[],3,FALSE)*VLOOKUP($L1354,Vloersoorten[],3,FALSE)*VLOOKUP($S1354,Frequenties[],3,FALSE)*VLOOKUP($A1354,Locaties[],3,FALSE),0)</f>
        <v>0</v>
      </c>
      <c r="V1354" s="86">
        <f>Ruimtestaat[[#This Row],[Uitvoeringen werkdagen]]*Ruimtestaat[[#This Row],[Oppervlak (netto)]]</f>
        <v>0</v>
      </c>
      <c r="W1354" s="87">
        <f>IF(U1354&gt;0,Ruimtestaat[[#This Row],[Prest. (m2 /jaar) werkdagen]]/Ruimtestaat[[#This Row],[Norm (m2/uur) werkdagen]],0)</f>
        <v>0</v>
      </c>
      <c r="X1354" s="88">
        <f>Ruimtestaat[[#This Row],[uren / jaar werkdagen]]*Tariefsopbouw!$E$35</f>
        <v>0</v>
      </c>
      <c r="Y1354" s="85"/>
      <c r="Z1354" s="89">
        <f>IF(Ruimtestaat[[#This Row],[Frequentie weekend]]&gt;0,VALUE(LEFT(Y1354,1))*R1354,0)</f>
        <v>0</v>
      </c>
      <c r="AA1354" s="85">
        <f>IF($Z1354&gt;0,VLOOKUP($J1354,Ruimtegroepen[],3,FALSE)*VLOOKUP($L1354,Vloersoorten[],3,FALSE)*VLOOKUP($Y1354,Frequenties[],3,FALSE)*VLOOKUP(#REF!,Locaties[],3,FALSE),0)</f>
        <v>0</v>
      </c>
      <c r="AB1354" s="87">
        <f>Ruimtestaat[[#This Row],[Uitvoeringen weekend]]*Ruimtestaat[[#This Row],[Oppervlak (netto)]]</f>
        <v>0</v>
      </c>
      <c r="AC1354" s="90">
        <f>IF(AB1354&gt;0,Ruimtestaat[[#This Row],[Prest. (m2 /jaar) weekend]]/Ruimtestaat[[#This Row],[Norm (m2/uur) weekend]],0)</f>
        <v>0</v>
      </c>
      <c r="AD1354" s="91">
        <f>Ruimtestaat[[#This Row],[uren / jaar weekend]]*Tariefsopbouw!$D$40</f>
        <v>0</v>
      </c>
      <c r="AE1354" s="60">
        <f>Ruimtestaat[[#This Row],[Prest. (m2 /jaar) weekend]]+Ruimtestaat[[#This Row],[Prest. (m2 /jaar) werkdagen]]</f>
        <v>0</v>
      </c>
      <c r="AF1354" s="60">
        <f>Ruimtestaat[[#This Row],[uren / jaar weekend]]+Ruimtestaat[[#This Row],[uren / jaar werkdagen]]</f>
        <v>0</v>
      </c>
      <c r="AG1354" s="61">
        <f>Ruimtestaat[[#This Row],[kosten / jaar weekend]]+Ruimtestaat[[#This Row],[kosten / jaar werkdagen]]</f>
        <v>0</v>
      </c>
      <c r="AH1354" s="92"/>
      <c r="HL1354" s="59"/>
    </row>
    <row r="1355" spans="1:220">
      <c r="A1355" s="24">
        <v>8</v>
      </c>
      <c r="B1355" s="24" t="str">
        <f>VLOOKUP(Ruimtestaat[[#This Row],[Code]],Locaties[#All],2,FALSE)</f>
        <v>Arkelstijn</v>
      </c>
      <c r="C1355" s="24" t="str">
        <f>VLOOKUP(Ruimtestaat[[#This Row],[Code]],Locaties[#All],4,FALSE)</f>
        <v>Arkelstein 8</v>
      </c>
      <c r="D1355" s="24" t="str">
        <f>VLOOKUP(Ruimtestaat[[#This Row],[Code]],Locaties[#All],5,FALSE)</f>
        <v>7414 EP</v>
      </c>
      <c r="E1355" s="24" t="str">
        <f>VLOOKUP(Ruimtestaat[[#This Row],[Code]],Locaties[#All],6,FALSE)</f>
        <v>Deventer</v>
      </c>
      <c r="F1355" s="54"/>
      <c r="G1355" s="24" t="s">
        <v>367</v>
      </c>
      <c r="H1355" s="24" t="s">
        <v>1810</v>
      </c>
      <c r="I1355" s="4" t="s">
        <v>1811</v>
      </c>
      <c r="J1355" s="24">
        <v>22</v>
      </c>
      <c r="K1355" s="54" t="str">
        <f>VLOOKUP(J1355,Ruimtegroepen[],2,FALSE)</f>
        <v>Niet in onderhoud</v>
      </c>
      <c r="L1355" s="24" t="s">
        <v>305</v>
      </c>
      <c r="M1355" s="24" t="s">
        <v>376</v>
      </c>
      <c r="N1355" s="83"/>
      <c r="O1355" s="83">
        <v>20</v>
      </c>
      <c r="P1355" s="93" t="str">
        <f>LEFT(VLOOKUP(Ruimtestaat[[#This Row],[Ruimte code]],Ruimtegroepen[#All],4,1),2)</f>
        <v/>
      </c>
      <c r="Q1355" s="93"/>
      <c r="R1355" s="84"/>
      <c r="S1355" s="84"/>
      <c r="T1355" s="85">
        <f>IF(R1355&gt;0,IF(RIGHT(Ruimtestaat[[#This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5" s="85">
        <f>IF(T1355&gt;0,VLOOKUP($J1355,Ruimtegroepen[],3,FALSE)*VLOOKUP($L1355,Vloersoorten[],3,FALSE)*VLOOKUP($S1355,Frequenties[],3,FALSE)*VLOOKUP($A1355,Locaties[],3,FALSE),0)</f>
        <v>0</v>
      </c>
      <c r="V1355" s="86">
        <f>Ruimtestaat[[#This Row],[Uitvoeringen werkdagen]]*Ruimtestaat[[#This Row],[Oppervlak (netto)]]</f>
        <v>0</v>
      </c>
      <c r="W1355" s="87">
        <f>IF(U1355&gt;0,Ruimtestaat[[#This Row],[Prest. (m2 /jaar) werkdagen]]/Ruimtestaat[[#This Row],[Norm (m2/uur) werkdagen]],0)</f>
        <v>0</v>
      </c>
      <c r="X1355" s="88">
        <f>Ruimtestaat[[#This Row],[uren / jaar werkdagen]]*Tariefsopbouw!$E$35</f>
        <v>0</v>
      </c>
      <c r="Y1355" s="85"/>
      <c r="Z1355" s="89">
        <f>IF(Ruimtestaat[[#This Row],[Frequentie weekend]]&gt;0,VALUE(LEFT(Y1355,1))*R1355,0)</f>
        <v>0</v>
      </c>
      <c r="AA1355" s="85">
        <f>IF($Z1355&gt;0,VLOOKUP($J1355,Ruimtegroepen[],3,FALSE)*VLOOKUP($L1355,Vloersoorten[],3,FALSE)*VLOOKUP($Y1355,Frequenties[],3,FALSE)*VLOOKUP(#REF!,Locaties[],3,FALSE),0)</f>
        <v>0</v>
      </c>
      <c r="AB1355" s="87">
        <f>Ruimtestaat[[#This Row],[Uitvoeringen weekend]]*Ruimtestaat[[#This Row],[Oppervlak (netto)]]</f>
        <v>0</v>
      </c>
      <c r="AC1355" s="90">
        <f>IF(AB1355&gt;0,Ruimtestaat[[#This Row],[Prest. (m2 /jaar) weekend]]/Ruimtestaat[[#This Row],[Norm (m2/uur) weekend]],0)</f>
        <v>0</v>
      </c>
      <c r="AD1355" s="91">
        <f>Ruimtestaat[[#This Row],[uren / jaar weekend]]*Tariefsopbouw!$D$40</f>
        <v>0</v>
      </c>
      <c r="AE1355" s="60">
        <f>Ruimtestaat[[#This Row],[Prest. (m2 /jaar) weekend]]+Ruimtestaat[[#This Row],[Prest. (m2 /jaar) werkdagen]]</f>
        <v>0</v>
      </c>
      <c r="AF1355" s="60">
        <f>Ruimtestaat[[#This Row],[uren / jaar weekend]]+Ruimtestaat[[#This Row],[uren / jaar werkdagen]]</f>
        <v>0</v>
      </c>
      <c r="AG1355" s="61">
        <f>Ruimtestaat[[#This Row],[kosten / jaar weekend]]+Ruimtestaat[[#This Row],[kosten / jaar werkdagen]]</f>
        <v>0</v>
      </c>
      <c r="AH1355" s="92"/>
      <c r="HL1355" s="59"/>
    </row>
    <row r="1356" spans="1:220">
      <c r="A1356" s="24">
        <v>8</v>
      </c>
      <c r="B1356" s="24" t="str">
        <f>VLOOKUP(Ruimtestaat[[#This Row],[Code]],Locaties[#All],2,FALSE)</f>
        <v>Arkelstijn</v>
      </c>
      <c r="C1356" s="24" t="str">
        <f>VLOOKUP(Ruimtestaat[[#This Row],[Code]],Locaties[#All],4,FALSE)</f>
        <v>Arkelstein 8</v>
      </c>
      <c r="D1356" s="24" t="str">
        <f>VLOOKUP(Ruimtestaat[[#This Row],[Code]],Locaties[#All],5,FALSE)</f>
        <v>7414 EP</v>
      </c>
      <c r="E1356" s="24" t="str">
        <f>VLOOKUP(Ruimtestaat[[#This Row],[Code]],Locaties[#All],6,FALSE)</f>
        <v>Deventer</v>
      </c>
      <c r="F1356" s="54"/>
      <c r="G1356" s="24" t="s">
        <v>367</v>
      </c>
      <c r="H1356" s="24" t="s">
        <v>1812</v>
      </c>
      <c r="I1356" s="4" t="s">
        <v>691</v>
      </c>
      <c r="J1356" s="24">
        <v>22</v>
      </c>
      <c r="K1356" s="54" t="str">
        <f>VLOOKUP(J1356,Ruimtegroepen[],2,FALSE)</f>
        <v>Niet in onderhoud</v>
      </c>
      <c r="L1356" s="24" t="s">
        <v>305</v>
      </c>
      <c r="M1356" s="24" t="s">
        <v>1757</v>
      </c>
      <c r="N1356" s="83"/>
      <c r="O1356" s="83">
        <v>3.11</v>
      </c>
      <c r="P1356" s="93" t="str">
        <f>LEFT(VLOOKUP(Ruimtestaat[[#This Row],[Ruimte code]],Ruimtegroepen[#All],4,1),2)</f>
        <v/>
      </c>
      <c r="Q1356" s="93"/>
      <c r="R1356" s="84"/>
      <c r="S1356" s="84"/>
      <c r="T1356" s="85">
        <f>IF(R1356&gt;0,IF(RIGHT(Ruimtestaat[[#This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6" s="85">
        <f>IF(T1356&gt;0,VLOOKUP($J1356,Ruimtegroepen[],3,FALSE)*VLOOKUP($L1356,Vloersoorten[],3,FALSE)*VLOOKUP($S1356,Frequenties[],3,FALSE)*VLOOKUP($A1356,Locaties[],3,FALSE),0)</f>
        <v>0</v>
      </c>
      <c r="V1356" s="86">
        <f>Ruimtestaat[[#This Row],[Uitvoeringen werkdagen]]*Ruimtestaat[[#This Row],[Oppervlak (netto)]]</f>
        <v>0</v>
      </c>
      <c r="W1356" s="87">
        <f>IF(U1356&gt;0,Ruimtestaat[[#This Row],[Prest. (m2 /jaar) werkdagen]]/Ruimtestaat[[#This Row],[Norm (m2/uur) werkdagen]],0)</f>
        <v>0</v>
      </c>
      <c r="X1356" s="88">
        <f>Ruimtestaat[[#This Row],[uren / jaar werkdagen]]*Tariefsopbouw!$E$35</f>
        <v>0</v>
      </c>
      <c r="Y1356" s="85"/>
      <c r="Z1356" s="89">
        <f>IF(Ruimtestaat[[#This Row],[Frequentie weekend]]&gt;0,VALUE(LEFT(Y1356,1))*R1356,0)</f>
        <v>0</v>
      </c>
      <c r="AA1356" s="85">
        <f>IF($Z1356&gt;0,VLOOKUP($J1356,Ruimtegroepen[],3,FALSE)*VLOOKUP($L1356,Vloersoorten[],3,FALSE)*VLOOKUP($Y1356,Frequenties[],3,FALSE)*VLOOKUP(#REF!,Locaties[],3,FALSE),0)</f>
        <v>0</v>
      </c>
      <c r="AB1356" s="87">
        <f>Ruimtestaat[[#This Row],[Uitvoeringen weekend]]*Ruimtestaat[[#This Row],[Oppervlak (netto)]]</f>
        <v>0</v>
      </c>
      <c r="AC1356" s="90">
        <f>IF(AB1356&gt;0,Ruimtestaat[[#This Row],[Prest. (m2 /jaar) weekend]]/Ruimtestaat[[#This Row],[Norm (m2/uur) weekend]],0)</f>
        <v>0</v>
      </c>
      <c r="AD1356" s="91">
        <f>Ruimtestaat[[#This Row],[uren / jaar weekend]]*Tariefsopbouw!$D$40</f>
        <v>0</v>
      </c>
      <c r="AE1356" s="60">
        <f>Ruimtestaat[[#This Row],[Prest. (m2 /jaar) weekend]]+Ruimtestaat[[#This Row],[Prest. (m2 /jaar) werkdagen]]</f>
        <v>0</v>
      </c>
      <c r="AF1356" s="60">
        <f>Ruimtestaat[[#This Row],[uren / jaar weekend]]+Ruimtestaat[[#This Row],[uren / jaar werkdagen]]</f>
        <v>0</v>
      </c>
      <c r="AG1356" s="61">
        <f>Ruimtestaat[[#This Row],[kosten / jaar weekend]]+Ruimtestaat[[#This Row],[kosten / jaar werkdagen]]</f>
        <v>0</v>
      </c>
      <c r="AH1356" s="92"/>
      <c r="HL1356" s="59"/>
    </row>
    <row r="1357" spans="1:220">
      <c r="A1357" s="24">
        <v>8</v>
      </c>
      <c r="B1357" s="24" t="str">
        <f>VLOOKUP(Ruimtestaat[[#This Row],[Code]],Locaties[#All],2,FALSE)</f>
        <v>Arkelstijn</v>
      </c>
      <c r="C1357" s="24" t="str">
        <f>VLOOKUP(Ruimtestaat[[#This Row],[Code]],Locaties[#All],4,FALSE)</f>
        <v>Arkelstein 8</v>
      </c>
      <c r="D1357" s="24" t="str">
        <f>VLOOKUP(Ruimtestaat[[#This Row],[Code]],Locaties[#All],5,FALSE)</f>
        <v>7414 EP</v>
      </c>
      <c r="E1357" s="24" t="str">
        <f>VLOOKUP(Ruimtestaat[[#This Row],[Code]],Locaties[#All],6,FALSE)</f>
        <v>Deventer</v>
      </c>
      <c r="F1357" s="54"/>
      <c r="G1357" s="24" t="s">
        <v>367</v>
      </c>
      <c r="H1357" s="24" t="s">
        <v>1813</v>
      </c>
      <c r="I1357" s="4" t="s">
        <v>402</v>
      </c>
      <c r="J1357" s="24">
        <v>5</v>
      </c>
      <c r="K1357" s="54" t="str">
        <f>VLOOKUP(J1357,Ruimtegroepen[],2,FALSE)</f>
        <v>Sanitair</v>
      </c>
      <c r="L1357" s="24" t="s">
        <v>305</v>
      </c>
      <c r="M1357" s="24" t="s">
        <v>1757</v>
      </c>
      <c r="N1357" s="83">
        <v>1.88</v>
      </c>
      <c r="O1357" s="83"/>
      <c r="P1357" s="93" t="str">
        <f>LEFT(VLOOKUP(Ruimtestaat[[#This Row],[Ruimte code]],Ruimtegroepen[#All],4,1),2)</f>
        <v>Sa</v>
      </c>
      <c r="Q1357" s="93"/>
      <c r="R1357" s="84">
        <v>42</v>
      </c>
      <c r="S1357" s="84" t="s">
        <v>316</v>
      </c>
      <c r="T1357" s="85">
        <f>IF(R1357&gt;0,IF(RIGHT(Ruimtestaat[[#This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57" s="85">
        <f>IF(T1357&gt;0,VLOOKUP($J1357,Ruimtegroepen[],3,FALSE)*VLOOKUP($L1357,Vloersoorten[],3,FALSE)*VLOOKUP($S1357,Frequenties[],3,FALSE)*VLOOKUP($A1357,Locaties[],3,FALSE),0)</f>
        <v>0</v>
      </c>
      <c r="V1357" s="86">
        <f>Ruimtestaat[[#This Row],[Uitvoeringen werkdagen]]*Ruimtestaat[[#This Row],[Oppervlak (netto)]]</f>
        <v>789.59999999999991</v>
      </c>
      <c r="W1357" s="87">
        <f>IF(U1357&gt;0,Ruimtestaat[[#This Row],[Prest. (m2 /jaar) werkdagen]]/Ruimtestaat[[#This Row],[Norm (m2/uur) werkdagen]],0)</f>
        <v>0</v>
      </c>
      <c r="X1357" s="88">
        <f>Ruimtestaat[[#This Row],[uren / jaar werkdagen]]*Tariefsopbouw!$E$35</f>
        <v>0</v>
      </c>
      <c r="Y1357" s="85"/>
      <c r="Z1357" s="89">
        <f>IF(Ruimtestaat[[#This Row],[Frequentie weekend]]&gt;0,VALUE(LEFT(Y1357,1))*R1357,0)</f>
        <v>0</v>
      </c>
      <c r="AA1357" s="85">
        <f>IF($Z1357&gt;0,VLOOKUP($J1357,Ruimtegroepen[],3,FALSE)*VLOOKUP($L1357,Vloersoorten[],3,FALSE)*VLOOKUP($Y1357,Frequenties[],3,FALSE)*VLOOKUP(#REF!,Locaties[],3,FALSE),0)</f>
        <v>0</v>
      </c>
      <c r="AB1357" s="87">
        <f>Ruimtestaat[[#This Row],[Uitvoeringen weekend]]*Ruimtestaat[[#This Row],[Oppervlak (netto)]]</f>
        <v>0</v>
      </c>
      <c r="AC1357" s="90">
        <f>IF(AB1357&gt;0,Ruimtestaat[[#This Row],[Prest. (m2 /jaar) weekend]]/Ruimtestaat[[#This Row],[Norm (m2/uur) weekend]],0)</f>
        <v>0</v>
      </c>
      <c r="AD1357" s="91">
        <f>Ruimtestaat[[#This Row],[uren / jaar weekend]]*Tariefsopbouw!$D$40</f>
        <v>0</v>
      </c>
      <c r="AE1357" s="60">
        <f>Ruimtestaat[[#This Row],[Prest. (m2 /jaar) weekend]]+Ruimtestaat[[#This Row],[Prest. (m2 /jaar) werkdagen]]</f>
        <v>789.59999999999991</v>
      </c>
      <c r="AF1357" s="60">
        <f>Ruimtestaat[[#This Row],[uren / jaar weekend]]+Ruimtestaat[[#This Row],[uren / jaar werkdagen]]</f>
        <v>0</v>
      </c>
      <c r="AG1357" s="61">
        <f>Ruimtestaat[[#This Row],[kosten / jaar weekend]]+Ruimtestaat[[#This Row],[kosten / jaar werkdagen]]</f>
        <v>0</v>
      </c>
      <c r="AH1357" s="92"/>
      <c r="HL1357" s="59"/>
    </row>
    <row r="1358" spans="1:220">
      <c r="A1358" s="24">
        <v>8</v>
      </c>
      <c r="B1358" s="24" t="str">
        <f>VLOOKUP(Ruimtestaat[[#This Row],[Code]],Locaties[#All],2,FALSE)</f>
        <v>Arkelstijn</v>
      </c>
      <c r="C1358" s="24" t="str">
        <f>VLOOKUP(Ruimtestaat[[#This Row],[Code]],Locaties[#All],4,FALSE)</f>
        <v>Arkelstein 8</v>
      </c>
      <c r="D1358" s="24" t="str">
        <f>VLOOKUP(Ruimtestaat[[#This Row],[Code]],Locaties[#All],5,FALSE)</f>
        <v>7414 EP</v>
      </c>
      <c r="E1358" s="24" t="str">
        <f>VLOOKUP(Ruimtestaat[[#This Row],[Code]],Locaties[#All],6,FALSE)</f>
        <v>Deventer</v>
      </c>
      <c r="F1358" s="54"/>
      <c r="G1358" s="24" t="s">
        <v>367</v>
      </c>
      <c r="H1358" s="24" t="s">
        <v>1814</v>
      </c>
      <c r="I1358" s="4" t="s">
        <v>402</v>
      </c>
      <c r="J1358" s="24">
        <v>5</v>
      </c>
      <c r="K1358" s="54" t="str">
        <f>VLOOKUP(J1358,Ruimtegroepen[],2,FALSE)</f>
        <v>Sanitair</v>
      </c>
      <c r="L1358" s="24" t="s">
        <v>305</v>
      </c>
      <c r="M1358" s="24" t="s">
        <v>1757</v>
      </c>
      <c r="N1358" s="83">
        <v>2.0099999999999998</v>
      </c>
      <c r="O1358" s="83"/>
      <c r="P1358" s="93" t="str">
        <f>LEFT(VLOOKUP(Ruimtestaat[[#This Row],[Ruimte code]],Ruimtegroepen[#All],4,1),2)</f>
        <v>Sa</v>
      </c>
      <c r="Q1358" s="93"/>
      <c r="R1358" s="84">
        <v>42</v>
      </c>
      <c r="S1358" s="84" t="s">
        <v>316</v>
      </c>
      <c r="T1358" s="85">
        <f>IF(R1358&gt;0,IF(RIGHT(Ruimtestaat[[#This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58" s="85">
        <f>IF(T1358&gt;0,VLOOKUP($J1358,Ruimtegroepen[],3,FALSE)*VLOOKUP($L1358,Vloersoorten[],3,FALSE)*VLOOKUP($S1358,Frequenties[],3,FALSE)*VLOOKUP($A1358,Locaties[],3,FALSE),0)</f>
        <v>0</v>
      </c>
      <c r="V1358" s="86">
        <f>Ruimtestaat[[#This Row],[Uitvoeringen werkdagen]]*Ruimtestaat[[#This Row],[Oppervlak (netto)]]</f>
        <v>844.19999999999993</v>
      </c>
      <c r="W1358" s="87">
        <f>IF(U1358&gt;0,Ruimtestaat[[#This Row],[Prest. (m2 /jaar) werkdagen]]/Ruimtestaat[[#This Row],[Norm (m2/uur) werkdagen]],0)</f>
        <v>0</v>
      </c>
      <c r="X1358" s="88">
        <f>Ruimtestaat[[#This Row],[uren / jaar werkdagen]]*Tariefsopbouw!$E$35</f>
        <v>0</v>
      </c>
      <c r="Y1358" s="85"/>
      <c r="Z1358" s="89">
        <f>IF(Ruimtestaat[[#This Row],[Frequentie weekend]]&gt;0,VALUE(LEFT(Y1358,1))*R1358,0)</f>
        <v>0</v>
      </c>
      <c r="AA1358" s="85">
        <f>IF($Z1358&gt;0,VLOOKUP($J1358,Ruimtegroepen[],3,FALSE)*VLOOKUP($L1358,Vloersoorten[],3,FALSE)*VLOOKUP($Y1358,Frequenties[],3,FALSE)*VLOOKUP(#REF!,Locaties[],3,FALSE),0)</f>
        <v>0</v>
      </c>
      <c r="AB1358" s="87">
        <f>Ruimtestaat[[#This Row],[Uitvoeringen weekend]]*Ruimtestaat[[#This Row],[Oppervlak (netto)]]</f>
        <v>0</v>
      </c>
      <c r="AC1358" s="90">
        <f>IF(AB1358&gt;0,Ruimtestaat[[#This Row],[Prest. (m2 /jaar) weekend]]/Ruimtestaat[[#This Row],[Norm (m2/uur) weekend]],0)</f>
        <v>0</v>
      </c>
      <c r="AD1358" s="91">
        <f>Ruimtestaat[[#This Row],[uren / jaar weekend]]*Tariefsopbouw!$D$40</f>
        <v>0</v>
      </c>
      <c r="AE1358" s="60">
        <f>Ruimtestaat[[#This Row],[Prest. (m2 /jaar) weekend]]+Ruimtestaat[[#This Row],[Prest. (m2 /jaar) werkdagen]]</f>
        <v>844.19999999999993</v>
      </c>
      <c r="AF1358" s="60">
        <f>Ruimtestaat[[#This Row],[uren / jaar weekend]]+Ruimtestaat[[#This Row],[uren / jaar werkdagen]]</f>
        <v>0</v>
      </c>
      <c r="AG1358" s="61">
        <f>Ruimtestaat[[#This Row],[kosten / jaar weekend]]+Ruimtestaat[[#This Row],[kosten / jaar werkdagen]]</f>
        <v>0</v>
      </c>
      <c r="AH1358" s="92"/>
      <c r="HL1358" s="59"/>
    </row>
    <row r="1359" spans="1:220">
      <c r="A1359" s="24">
        <v>8</v>
      </c>
      <c r="B1359" s="24" t="str">
        <f>VLOOKUP(Ruimtestaat[[#This Row],[Code]],Locaties[#All],2,FALSE)</f>
        <v>Arkelstijn</v>
      </c>
      <c r="C1359" s="24" t="str">
        <f>VLOOKUP(Ruimtestaat[[#This Row],[Code]],Locaties[#All],4,FALSE)</f>
        <v>Arkelstein 8</v>
      </c>
      <c r="D1359" s="24" t="str">
        <f>VLOOKUP(Ruimtestaat[[#This Row],[Code]],Locaties[#All],5,FALSE)</f>
        <v>7414 EP</v>
      </c>
      <c r="E1359" s="24" t="str">
        <f>VLOOKUP(Ruimtestaat[[#This Row],[Code]],Locaties[#All],6,FALSE)</f>
        <v>Deventer</v>
      </c>
      <c r="F1359" s="54"/>
      <c r="G1359" s="24" t="s">
        <v>367</v>
      </c>
      <c r="H1359" s="24" t="s">
        <v>1815</v>
      </c>
      <c r="I1359" s="4" t="s">
        <v>402</v>
      </c>
      <c r="J1359" s="24">
        <v>5</v>
      </c>
      <c r="K1359" s="54" t="str">
        <f>VLOOKUP(J1359,Ruimtegroepen[],2,FALSE)</f>
        <v>Sanitair</v>
      </c>
      <c r="L1359" s="24" t="s">
        <v>305</v>
      </c>
      <c r="M1359" s="24" t="s">
        <v>1757</v>
      </c>
      <c r="N1359" s="83">
        <v>4.04</v>
      </c>
      <c r="O1359" s="83"/>
      <c r="P1359" s="93" t="str">
        <f>LEFT(VLOOKUP(Ruimtestaat[[#This Row],[Ruimte code]],Ruimtegroepen[#All],4,1),2)</f>
        <v>Sa</v>
      </c>
      <c r="Q1359" s="93"/>
      <c r="R1359" s="84">
        <v>42</v>
      </c>
      <c r="S1359" s="84" t="s">
        <v>316</v>
      </c>
      <c r="T1359" s="85">
        <f>IF(R1359&gt;0,IF(RIGHT(Ruimtestaat[[#This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59" s="85">
        <f>IF(T1359&gt;0,VLOOKUP($J1359,Ruimtegroepen[],3,FALSE)*VLOOKUP($L1359,Vloersoorten[],3,FALSE)*VLOOKUP($S1359,Frequenties[],3,FALSE)*VLOOKUP($A1359,Locaties[],3,FALSE),0)</f>
        <v>0</v>
      </c>
      <c r="V1359" s="86">
        <f>Ruimtestaat[[#This Row],[Uitvoeringen werkdagen]]*Ruimtestaat[[#This Row],[Oppervlak (netto)]]</f>
        <v>1696.8</v>
      </c>
      <c r="W1359" s="87">
        <f>IF(U1359&gt;0,Ruimtestaat[[#This Row],[Prest. (m2 /jaar) werkdagen]]/Ruimtestaat[[#This Row],[Norm (m2/uur) werkdagen]],0)</f>
        <v>0</v>
      </c>
      <c r="X1359" s="88">
        <f>Ruimtestaat[[#This Row],[uren / jaar werkdagen]]*Tariefsopbouw!$E$35</f>
        <v>0</v>
      </c>
      <c r="Y1359" s="85"/>
      <c r="Z1359" s="89">
        <f>IF(Ruimtestaat[[#This Row],[Frequentie weekend]]&gt;0,VALUE(LEFT(Y1359,1))*R1359,0)</f>
        <v>0</v>
      </c>
      <c r="AA1359" s="85">
        <f>IF($Z1359&gt;0,VLOOKUP($J1359,Ruimtegroepen[],3,FALSE)*VLOOKUP($L1359,Vloersoorten[],3,FALSE)*VLOOKUP($Y1359,Frequenties[],3,FALSE)*VLOOKUP(#REF!,Locaties[],3,FALSE),0)</f>
        <v>0</v>
      </c>
      <c r="AB1359" s="87">
        <f>Ruimtestaat[[#This Row],[Uitvoeringen weekend]]*Ruimtestaat[[#This Row],[Oppervlak (netto)]]</f>
        <v>0</v>
      </c>
      <c r="AC1359" s="90">
        <f>IF(AB1359&gt;0,Ruimtestaat[[#This Row],[Prest. (m2 /jaar) weekend]]/Ruimtestaat[[#This Row],[Norm (m2/uur) weekend]],0)</f>
        <v>0</v>
      </c>
      <c r="AD1359" s="91">
        <f>Ruimtestaat[[#This Row],[uren / jaar weekend]]*Tariefsopbouw!$D$40</f>
        <v>0</v>
      </c>
      <c r="AE1359" s="60">
        <f>Ruimtestaat[[#This Row],[Prest. (m2 /jaar) weekend]]+Ruimtestaat[[#This Row],[Prest. (m2 /jaar) werkdagen]]</f>
        <v>1696.8</v>
      </c>
      <c r="AF1359" s="60">
        <f>Ruimtestaat[[#This Row],[uren / jaar weekend]]+Ruimtestaat[[#This Row],[uren / jaar werkdagen]]</f>
        <v>0</v>
      </c>
      <c r="AG1359" s="61">
        <f>Ruimtestaat[[#This Row],[kosten / jaar weekend]]+Ruimtestaat[[#This Row],[kosten / jaar werkdagen]]</f>
        <v>0</v>
      </c>
      <c r="AH1359" s="92"/>
      <c r="HL1359" s="59"/>
    </row>
    <row r="1360" spans="1:220">
      <c r="A1360" s="24">
        <v>8</v>
      </c>
      <c r="B1360" s="24" t="str">
        <f>VLOOKUP(Ruimtestaat[[#This Row],[Code]],Locaties[#All],2,FALSE)</f>
        <v>Arkelstijn</v>
      </c>
      <c r="C1360" s="24" t="str">
        <f>VLOOKUP(Ruimtestaat[[#This Row],[Code]],Locaties[#All],4,FALSE)</f>
        <v>Arkelstein 8</v>
      </c>
      <c r="D1360" s="24" t="str">
        <f>VLOOKUP(Ruimtestaat[[#This Row],[Code]],Locaties[#All],5,FALSE)</f>
        <v>7414 EP</v>
      </c>
      <c r="E1360" s="24" t="str">
        <f>VLOOKUP(Ruimtestaat[[#This Row],[Code]],Locaties[#All],6,FALSE)</f>
        <v>Deventer</v>
      </c>
      <c r="F1360" s="54"/>
      <c r="G1360" s="24" t="s">
        <v>367</v>
      </c>
      <c r="H1360" s="24" t="s">
        <v>1816</v>
      </c>
      <c r="I1360" s="4" t="s">
        <v>1817</v>
      </c>
      <c r="J1360" s="24">
        <v>22</v>
      </c>
      <c r="K1360" s="54" t="str">
        <f>VLOOKUP(J1360,Ruimtegroepen[],2,FALSE)</f>
        <v>Niet in onderhoud</v>
      </c>
      <c r="L1360" s="24" t="s">
        <v>305</v>
      </c>
      <c r="M1360" s="24" t="s">
        <v>1757</v>
      </c>
      <c r="N1360" s="83"/>
      <c r="O1360" s="83">
        <v>5.66</v>
      </c>
      <c r="P1360" s="93" t="str">
        <f>LEFT(VLOOKUP(Ruimtestaat[[#This Row],[Ruimte code]],Ruimtegroepen[#All],4,1),2)</f>
        <v/>
      </c>
      <c r="Q1360" s="93"/>
      <c r="R1360" s="84"/>
      <c r="S1360" s="84"/>
      <c r="T1360" s="85">
        <f>IF(R1360&gt;0,IF(RIGHT(Ruimtestaat[[#This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60" s="85">
        <f>IF(T1360&gt;0,VLOOKUP($J1360,Ruimtegroepen[],3,FALSE)*VLOOKUP($L1360,Vloersoorten[],3,FALSE)*VLOOKUP($S1360,Frequenties[],3,FALSE)*VLOOKUP($A1360,Locaties[],3,FALSE),0)</f>
        <v>0</v>
      </c>
      <c r="V1360" s="86">
        <f>Ruimtestaat[[#This Row],[Uitvoeringen werkdagen]]*Ruimtestaat[[#This Row],[Oppervlak (netto)]]</f>
        <v>0</v>
      </c>
      <c r="W1360" s="87">
        <f>IF(U1360&gt;0,Ruimtestaat[[#This Row],[Prest. (m2 /jaar) werkdagen]]/Ruimtestaat[[#This Row],[Norm (m2/uur) werkdagen]],0)</f>
        <v>0</v>
      </c>
      <c r="X1360" s="88">
        <f>Ruimtestaat[[#This Row],[uren / jaar werkdagen]]*Tariefsopbouw!$E$35</f>
        <v>0</v>
      </c>
      <c r="Y1360" s="85"/>
      <c r="Z1360" s="89">
        <f>IF(Ruimtestaat[[#This Row],[Frequentie weekend]]&gt;0,VALUE(LEFT(Y1360,1))*R1360,0)</f>
        <v>0</v>
      </c>
      <c r="AA1360" s="85">
        <f>IF($Z1360&gt;0,VLOOKUP($J1360,Ruimtegroepen[],3,FALSE)*VLOOKUP($L1360,Vloersoorten[],3,FALSE)*VLOOKUP($Y1360,Frequenties[],3,FALSE)*VLOOKUP(#REF!,Locaties[],3,FALSE),0)</f>
        <v>0</v>
      </c>
      <c r="AB1360" s="87">
        <f>Ruimtestaat[[#This Row],[Uitvoeringen weekend]]*Ruimtestaat[[#This Row],[Oppervlak (netto)]]</f>
        <v>0</v>
      </c>
      <c r="AC1360" s="90">
        <f>IF(AB1360&gt;0,Ruimtestaat[[#This Row],[Prest. (m2 /jaar) weekend]]/Ruimtestaat[[#This Row],[Norm (m2/uur) weekend]],0)</f>
        <v>0</v>
      </c>
      <c r="AD1360" s="91">
        <f>Ruimtestaat[[#This Row],[uren / jaar weekend]]*Tariefsopbouw!$D$40</f>
        <v>0</v>
      </c>
      <c r="AE1360" s="60">
        <f>Ruimtestaat[[#This Row],[Prest. (m2 /jaar) weekend]]+Ruimtestaat[[#This Row],[Prest. (m2 /jaar) werkdagen]]</f>
        <v>0</v>
      </c>
      <c r="AF1360" s="60">
        <f>Ruimtestaat[[#This Row],[uren / jaar weekend]]+Ruimtestaat[[#This Row],[uren / jaar werkdagen]]</f>
        <v>0</v>
      </c>
      <c r="AG1360" s="61">
        <f>Ruimtestaat[[#This Row],[kosten / jaar weekend]]+Ruimtestaat[[#This Row],[kosten / jaar werkdagen]]</f>
        <v>0</v>
      </c>
      <c r="AH1360" s="92"/>
      <c r="HL1360" s="59"/>
    </row>
    <row r="1361" spans="1:220">
      <c r="A1361" s="24">
        <v>8</v>
      </c>
      <c r="B1361" s="24" t="str">
        <f>VLOOKUP(Ruimtestaat[[#This Row],[Code]],Locaties[#All],2,FALSE)</f>
        <v>Arkelstijn</v>
      </c>
      <c r="C1361" s="24" t="str">
        <f>VLOOKUP(Ruimtestaat[[#This Row],[Code]],Locaties[#All],4,FALSE)</f>
        <v>Arkelstein 8</v>
      </c>
      <c r="D1361" s="24" t="str">
        <f>VLOOKUP(Ruimtestaat[[#This Row],[Code]],Locaties[#All],5,FALSE)</f>
        <v>7414 EP</v>
      </c>
      <c r="E1361" s="24" t="str">
        <f>VLOOKUP(Ruimtestaat[[#This Row],[Code]],Locaties[#All],6,FALSE)</f>
        <v>Deventer</v>
      </c>
      <c r="F1361" s="54"/>
      <c r="G1361" s="24" t="s">
        <v>367</v>
      </c>
      <c r="H1361" s="24" t="s">
        <v>1818</v>
      </c>
      <c r="I1361" s="4" t="s">
        <v>667</v>
      </c>
      <c r="J1361" s="24">
        <v>22</v>
      </c>
      <c r="K1361" s="54" t="str">
        <f>VLOOKUP(J1361,Ruimtegroepen[],2,FALSE)</f>
        <v>Niet in onderhoud</v>
      </c>
      <c r="L1361" s="24" t="s">
        <v>305</v>
      </c>
      <c r="M1361" s="24" t="s">
        <v>1757</v>
      </c>
      <c r="N1361" s="83"/>
      <c r="O1361" s="83">
        <v>6.1</v>
      </c>
      <c r="P1361" s="93" t="str">
        <f>LEFT(VLOOKUP(Ruimtestaat[[#This Row],[Ruimte code]],Ruimtegroepen[#All],4,1),2)</f>
        <v/>
      </c>
      <c r="Q1361" s="93"/>
      <c r="R1361" s="84"/>
      <c r="S1361" s="84"/>
      <c r="T1361" s="85">
        <f>IF(R1361&gt;0,IF(RIGHT(Ruimtestaat[[#This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61" s="85">
        <f>IF(T1361&gt;0,VLOOKUP($J1361,Ruimtegroepen[],3,FALSE)*VLOOKUP($L1361,Vloersoorten[],3,FALSE)*VLOOKUP($S1361,Frequenties[],3,FALSE)*VLOOKUP($A1361,Locaties[],3,FALSE),0)</f>
        <v>0</v>
      </c>
      <c r="V1361" s="86">
        <f>Ruimtestaat[[#This Row],[Uitvoeringen werkdagen]]*Ruimtestaat[[#This Row],[Oppervlak (netto)]]</f>
        <v>0</v>
      </c>
      <c r="W1361" s="87">
        <f>IF(U1361&gt;0,Ruimtestaat[[#This Row],[Prest. (m2 /jaar) werkdagen]]/Ruimtestaat[[#This Row],[Norm (m2/uur) werkdagen]],0)</f>
        <v>0</v>
      </c>
      <c r="X1361" s="88">
        <f>Ruimtestaat[[#This Row],[uren / jaar werkdagen]]*Tariefsopbouw!$E$35</f>
        <v>0</v>
      </c>
      <c r="Y1361" s="85"/>
      <c r="Z1361" s="89">
        <f>IF(Ruimtestaat[[#This Row],[Frequentie weekend]]&gt;0,VALUE(LEFT(Y1361,1))*R1361,0)</f>
        <v>0</v>
      </c>
      <c r="AA1361" s="85">
        <f>IF($Z1361&gt;0,VLOOKUP($J1361,Ruimtegroepen[],3,FALSE)*VLOOKUP($L1361,Vloersoorten[],3,FALSE)*VLOOKUP($Y1361,Frequenties[],3,FALSE)*VLOOKUP(#REF!,Locaties[],3,FALSE),0)</f>
        <v>0</v>
      </c>
      <c r="AB1361" s="87">
        <f>Ruimtestaat[[#This Row],[Uitvoeringen weekend]]*Ruimtestaat[[#This Row],[Oppervlak (netto)]]</f>
        <v>0</v>
      </c>
      <c r="AC1361" s="90">
        <f>IF(AB1361&gt;0,Ruimtestaat[[#This Row],[Prest. (m2 /jaar) weekend]]/Ruimtestaat[[#This Row],[Norm (m2/uur) weekend]],0)</f>
        <v>0</v>
      </c>
      <c r="AD1361" s="91">
        <f>Ruimtestaat[[#This Row],[uren / jaar weekend]]*Tariefsopbouw!$D$40</f>
        <v>0</v>
      </c>
      <c r="AE1361" s="60">
        <f>Ruimtestaat[[#This Row],[Prest. (m2 /jaar) weekend]]+Ruimtestaat[[#This Row],[Prest. (m2 /jaar) werkdagen]]</f>
        <v>0</v>
      </c>
      <c r="AF1361" s="60">
        <f>Ruimtestaat[[#This Row],[uren / jaar weekend]]+Ruimtestaat[[#This Row],[uren / jaar werkdagen]]</f>
        <v>0</v>
      </c>
      <c r="AG1361" s="61">
        <f>Ruimtestaat[[#This Row],[kosten / jaar weekend]]+Ruimtestaat[[#This Row],[kosten / jaar werkdagen]]</f>
        <v>0</v>
      </c>
      <c r="AH1361" s="92"/>
      <c r="HL1361" s="59"/>
    </row>
    <row r="1362" spans="1:220">
      <c r="A1362" s="24">
        <v>8</v>
      </c>
      <c r="B1362" s="24" t="str">
        <f>VLOOKUP(Ruimtestaat[[#This Row],[Code]],Locaties[#All],2,FALSE)</f>
        <v>Arkelstijn</v>
      </c>
      <c r="C1362" s="24" t="str">
        <f>VLOOKUP(Ruimtestaat[[#This Row],[Code]],Locaties[#All],4,FALSE)</f>
        <v>Arkelstein 8</v>
      </c>
      <c r="D1362" s="24" t="str">
        <f>VLOOKUP(Ruimtestaat[[#This Row],[Code]],Locaties[#All],5,FALSE)</f>
        <v>7414 EP</v>
      </c>
      <c r="E1362" s="24" t="str">
        <f>VLOOKUP(Ruimtestaat[[#This Row],[Code]],Locaties[#All],6,FALSE)</f>
        <v>Deventer</v>
      </c>
      <c r="F1362" s="54"/>
      <c r="G1362" s="24" t="s">
        <v>367</v>
      </c>
      <c r="H1362" s="24" t="s">
        <v>1819</v>
      </c>
      <c r="I1362" s="4" t="s">
        <v>1820</v>
      </c>
      <c r="J1362" s="24">
        <v>19</v>
      </c>
      <c r="K1362" s="54" t="str">
        <f>VLOOKUP(J1362,Ruimtegroepen[],2,FALSE)</f>
        <v>Kleedruimten</v>
      </c>
      <c r="L1362" s="24" t="s">
        <v>305</v>
      </c>
      <c r="M1362" s="24" t="s">
        <v>1757</v>
      </c>
      <c r="N1362" s="83">
        <v>8</v>
      </c>
      <c r="O1362" s="83"/>
      <c r="P1362" s="93" t="str">
        <f>LEFT(VLOOKUP(Ruimtestaat[[#This Row],[Ruimte code]],Ruimtegroepen[#All],4,1),2)</f>
        <v>Ve</v>
      </c>
      <c r="Q1362" s="93"/>
      <c r="R1362" s="84">
        <v>40</v>
      </c>
      <c r="S1362" s="84" t="s">
        <v>318</v>
      </c>
      <c r="T1362" s="85">
        <f>IF(R1362&gt;0,IF(RIGHT(Ruimtestaat[[#This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62" s="85">
        <f>IF(T1362&gt;0,VLOOKUP($J1362,Ruimtegroepen[],3,FALSE)*VLOOKUP($L1362,Vloersoorten[],3,FALSE)*VLOOKUP($S1362,Frequenties[],3,FALSE)*VLOOKUP($A1362,Locaties[],3,FALSE),0)</f>
        <v>0</v>
      </c>
      <c r="V1362" s="86">
        <f>Ruimtestaat[[#This Row],[Uitvoeringen werkdagen]]*Ruimtestaat[[#This Row],[Oppervlak (netto)]]</f>
        <v>1600</v>
      </c>
      <c r="W1362" s="87">
        <f>IF(U1362&gt;0,Ruimtestaat[[#This Row],[Prest. (m2 /jaar) werkdagen]]/Ruimtestaat[[#This Row],[Norm (m2/uur) werkdagen]],0)</f>
        <v>0</v>
      </c>
      <c r="X1362" s="88">
        <f>Ruimtestaat[[#This Row],[uren / jaar werkdagen]]*Tariefsopbouw!$E$35</f>
        <v>0</v>
      </c>
      <c r="Y1362" s="85"/>
      <c r="Z1362" s="89">
        <f>IF(Ruimtestaat[[#This Row],[Frequentie weekend]]&gt;0,VALUE(LEFT(Y1362,1))*R1362,0)</f>
        <v>0</v>
      </c>
      <c r="AA1362" s="85">
        <f>IF($Z1362&gt;0,VLOOKUP($J1362,Ruimtegroepen[],3,FALSE)*VLOOKUP($L1362,Vloersoorten[],3,FALSE)*VLOOKUP($Y1362,Frequenties[],3,FALSE)*VLOOKUP(#REF!,Locaties[],3,FALSE),0)</f>
        <v>0</v>
      </c>
      <c r="AB1362" s="87">
        <f>Ruimtestaat[[#This Row],[Uitvoeringen weekend]]*Ruimtestaat[[#This Row],[Oppervlak (netto)]]</f>
        <v>0</v>
      </c>
      <c r="AC1362" s="90">
        <f>IF(AB1362&gt;0,Ruimtestaat[[#This Row],[Prest. (m2 /jaar) weekend]]/Ruimtestaat[[#This Row],[Norm (m2/uur) weekend]],0)</f>
        <v>0</v>
      </c>
      <c r="AD1362" s="91">
        <f>Ruimtestaat[[#This Row],[uren / jaar weekend]]*Tariefsopbouw!$D$40</f>
        <v>0</v>
      </c>
      <c r="AE1362" s="60">
        <f>Ruimtestaat[[#This Row],[Prest. (m2 /jaar) weekend]]+Ruimtestaat[[#This Row],[Prest. (m2 /jaar) werkdagen]]</f>
        <v>1600</v>
      </c>
      <c r="AF1362" s="60">
        <f>Ruimtestaat[[#This Row],[uren / jaar weekend]]+Ruimtestaat[[#This Row],[uren / jaar werkdagen]]</f>
        <v>0</v>
      </c>
      <c r="AG1362" s="61">
        <f>Ruimtestaat[[#This Row],[kosten / jaar weekend]]+Ruimtestaat[[#This Row],[kosten / jaar werkdagen]]</f>
        <v>0</v>
      </c>
      <c r="AH1362" s="92"/>
      <c r="HL1362" s="59"/>
    </row>
    <row r="1363" spans="1:220">
      <c r="A1363" s="24">
        <v>8</v>
      </c>
      <c r="B1363" s="24" t="str">
        <f>VLOOKUP(Ruimtestaat[[#This Row],[Code]],Locaties[#All],2,FALSE)</f>
        <v>Arkelstijn</v>
      </c>
      <c r="C1363" s="24" t="str">
        <f>VLOOKUP(Ruimtestaat[[#This Row],[Code]],Locaties[#All],4,FALSE)</f>
        <v>Arkelstein 8</v>
      </c>
      <c r="D1363" s="24" t="str">
        <f>VLOOKUP(Ruimtestaat[[#This Row],[Code]],Locaties[#All],5,FALSE)</f>
        <v>7414 EP</v>
      </c>
      <c r="E1363" s="24" t="str">
        <f>VLOOKUP(Ruimtestaat[[#This Row],[Code]],Locaties[#All],6,FALSE)</f>
        <v>Deventer</v>
      </c>
      <c r="F1363" s="54"/>
      <c r="G1363" s="24" t="s">
        <v>367</v>
      </c>
      <c r="H1363" s="24" t="s">
        <v>1821</v>
      </c>
      <c r="I1363" s="4" t="s">
        <v>402</v>
      </c>
      <c r="J1363" s="24">
        <v>5</v>
      </c>
      <c r="K1363" s="54" t="str">
        <f>VLOOKUP(J1363,Ruimtegroepen[],2,FALSE)</f>
        <v>Sanitair</v>
      </c>
      <c r="L1363" s="24" t="s">
        <v>305</v>
      </c>
      <c r="M1363" s="24" t="s">
        <v>1757</v>
      </c>
      <c r="N1363" s="83">
        <v>1.42</v>
      </c>
      <c r="O1363" s="83"/>
      <c r="P1363" s="93" t="str">
        <f>LEFT(VLOOKUP(Ruimtestaat[[#This Row],[Ruimte code]],Ruimtegroepen[#All],4,1),2)</f>
        <v>Sa</v>
      </c>
      <c r="Q1363" s="93"/>
      <c r="R1363" s="84">
        <v>42</v>
      </c>
      <c r="S1363" s="84" t="s">
        <v>316</v>
      </c>
      <c r="T1363" s="85">
        <f>IF(R1363&gt;0,IF(RIGHT(Ruimtestaat[[#This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63" s="85">
        <f>IF(T1363&gt;0,VLOOKUP($J1363,Ruimtegroepen[],3,FALSE)*VLOOKUP($L1363,Vloersoorten[],3,FALSE)*VLOOKUP($S1363,Frequenties[],3,FALSE)*VLOOKUP($A1363,Locaties[],3,FALSE),0)</f>
        <v>0</v>
      </c>
      <c r="V1363" s="86">
        <f>Ruimtestaat[[#This Row],[Uitvoeringen werkdagen]]*Ruimtestaat[[#This Row],[Oppervlak (netto)]]</f>
        <v>596.4</v>
      </c>
      <c r="W1363" s="87">
        <f>IF(U1363&gt;0,Ruimtestaat[[#This Row],[Prest. (m2 /jaar) werkdagen]]/Ruimtestaat[[#This Row],[Norm (m2/uur) werkdagen]],0)</f>
        <v>0</v>
      </c>
      <c r="X1363" s="88">
        <f>Ruimtestaat[[#This Row],[uren / jaar werkdagen]]*Tariefsopbouw!$E$35</f>
        <v>0</v>
      </c>
      <c r="Y1363" s="85"/>
      <c r="Z1363" s="89">
        <f>IF(Ruimtestaat[[#This Row],[Frequentie weekend]]&gt;0,VALUE(LEFT(Y1363,1))*R1363,0)</f>
        <v>0</v>
      </c>
      <c r="AA1363" s="85">
        <f>IF($Z1363&gt;0,VLOOKUP($J1363,Ruimtegroepen[],3,FALSE)*VLOOKUP($L1363,Vloersoorten[],3,FALSE)*VLOOKUP($Y1363,Frequenties[],3,FALSE)*VLOOKUP(#REF!,Locaties[],3,FALSE),0)</f>
        <v>0</v>
      </c>
      <c r="AB1363" s="87">
        <f>Ruimtestaat[[#This Row],[Uitvoeringen weekend]]*Ruimtestaat[[#This Row],[Oppervlak (netto)]]</f>
        <v>0</v>
      </c>
      <c r="AC1363" s="90">
        <f>IF(AB1363&gt;0,Ruimtestaat[[#This Row],[Prest. (m2 /jaar) weekend]]/Ruimtestaat[[#This Row],[Norm (m2/uur) weekend]],0)</f>
        <v>0</v>
      </c>
      <c r="AD1363" s="91">
        <f>Ruimtestaat[[#This Row],[uren / jaar weekend]]*Tariefsopbouw!$D$40</f>
        <v>0</v>
      </c>
      <c r="AE1363" s="60">
        <f>Ruimtestaat[[#This Row],[Prest. (m2 /jaar) weekend]]+Ruimtestaat[[#This Row],[Prest. (m2 /jaar) werkdagen]]</f>
        <v>596.4</v>
      </c>
      <c r="AF1363" s="60">
        <f>Ruimtestaat[[#This Row],[uren / jaar weekend]]+Ruimtestaat[[#This Row],[uren / jaar werkdagen]]</f>
        <v>0</v>
      </c>
      <c r="AG1363" s="61">
        <f>Ruimtestaat[[#This Row],[kosten / jaar weekend]]+Ruimtestaat[[#This Row],[kosten / jaar werkdagen]]</f>
        <v>0</v>
      </c>
      <c r="AH1363" s="92"/>
      <c r="HL1363" s="59"/>
    </row>
    <row r="1364" spans="1:220">
      <c r="A1364" s="24">
        <v>8</v>
      </c>
      <c r="B1364" s="24" t="str">
        <f>VLOOKUP(Ruimtestaat[[#This Row],[Code]],Locaties[#All],2,FALSE)</f>
        <v>Arkelstijn</v>
      </c>
      <c r="C1364" s="24" t="str">
        <f>VLOOKUP(Ruimtestaat[[#This Row],[Code]],Locaties[#All],4,FALSE)</f>
        <v>Arkelstein 8</v>
      </c>
      <c r="D1364" s="24" t="str">
        <f>VLOOKUP(Ruimtestaat[[#This Row],[Code]],Locaties[#All],5,FALSE)</f>
        <v>7414 EP</v>
      </c>
      <c r="E1364" s="24" t="str">
        <f>VLOOKUP(Ruimtestaat[[#This Row],[Code]],Locaties[#All],6,FALSE)</f>
        <v>Deventer</v>
      </c>
      <c r="F1364" s="54"/>
      <c r="G1364" s="24" t="s">
        <v>367</v>
      </c>
      <c r="H1364" s="24" t="s">
        <v>1822</v>
      </c>
      <c r="I1364" s="4" t="s">
        <v>402</v>
      </c>
      <c r="J1364" s="24">
        <v>5</v>
      </c>
      <c r="K1364" s="54" t="str">
        <f>VLOOKUP(J1364,Ruimtegroepen[],2,FALSE)</f>
        <v>Sanitair</v>
      </c>
      <c r="L1364" s="24" t="s">
        <v>305</v>
      </c>
      <c r="M1364" s="24" t="s">
        <v>1757</v>
      </c>
      <c r="N1364" s="83">
        <v>1.42</v>
      </c>
      <c r="O1364" s="83"/>
      <c r="P1364" s="93" t="str">
        <f>LEFT(VLOOKUP(Ruimtestaat[[#This Row],[Ruimte code]],Ruimtegroepen[#All],4,1),2)</f>
        <v>Sa</v>
      </c>
      <c r="Q1364" s="93"/>
      <c r="R1364" s="84">
        <v>42</v>
      </c>
      <c r="S1364" s="84" t="s">
        <v>316</v>
      </c>
      <c r="T1364" s="85">
        <f>IF(R1364&gt;0,IF(RIGHT(Ruimtestaat[[#This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64" s="85">
        <f>IF(T1364&gt;0,VLOOKUP($J1364,Ruimtegroepen[],3,FALSE)*VLOOKUP($L1364,Vloersoorten[],3,FALSE)*VLOOKUP($S1364,Frequenties[],3,FALSE)*VLOOKUP($A1364,Locaties[],3,FALSE),0)</f>
        <v>0</v>
      </c>
      <c r="V1364" s="86">
        <f>Ruimtestaat[[#This Row],[Uitvoeringen werkdagen]]*Ruimtestaat[[#This Row],[Oppervlak (netto)]]</f>
        <v>596.4</v>
      </c>
      <c r="W1364" s="87">
        <f>IF(U1364&gt;0,Ruimtestaat[[#This Row],[Prest. (m2 /jaar) werkdagen]]/Ruimtestaat[[#This Row],[Norm (m2/uur) werkdagen]],0)</f>
        <v>0</v>
      </c>
      <c r="X1364" s="88">
        <f>Ruimtestaat[[#This Row],[uren / jaar werkdagen]]*Tariefsopbouw!$E$35</f>
        <v>0</v>
      </c>
      <c r="Y1364" s="85"/>
      <c r="Z1364" s="89">
        <f>IF(Ruimtestaat[[#This Row],[Frequentie weekend]]&gt;0,VALUE(LEFT(Y1364,1))*R1364,0)</f>
        <v>0</v>
      </c>
      <c r="AA1364" s="85">
        <f>IF($Z1364&gt;0,VLOOKUP($J1364,Ruimtegroepen[],3,FALSE)*VLOOKUP($L1364,Vloersoorten[],3,FALSE)*VLOOKUP($Y1364,Frequenties[],3,FALSE)*VLOOKUP(#REF!,Locaties[],3,FALSE),0)</f>
        <v>0</v>
      </c>
      <c r="AB1364" s="87">
        <f>Ruimtestaat[[#This Row],[Uitvoeringen weekend]]*Ruimtestaat[[#This Row],[Oppervlak (netto)]]</f>
        <v>0</v>
      </c>
      <c r="AC1364" s="90">
        <f>IF(AB1364&gt;0,Ruimtestaat[[#This Row],[Prest. (m2 /jaar) weekend]]/Ruimtestaat[[#This Row],[Norm (m2/uur) weekend]],0)</f>
        <v>0</v>
      </c>
      <c r="AD1364" s="91">
        <f>Ruimtestaat[[#This Row],[uren / jaar weekend]]*Tariefsopbouw!$D$40</f>
        <v>0</v>
      </c>
      <c r="AE1364" s="60">
        <f>Ruimtestaat[[#This Row],[Prest. (m2 /jaar) weekend]]+Ruimtestaat[[#This Row],[Prest. (m2 /jaar) werkdagen]]</f>
        <v>596.4</v>
      </c>
      <c r="AF1364" s="60">
        <f>Ruimtestaat[[#This Row],[uren / jaar weekend]]+Ruimtestaat[[#This Row],[uren / jaar werkdagen]]</f>
        <v>0</v>
      </c>
      <c r="AG1364" s="61">
        <f>Ruimtestaat[[#This Row],[kosten / jaar weekend]]+Ruimtestaat[[#This Row],[kosten / jaar werkdagen]]</f>
        <v>0</v>
      </c>
      <c r="AH1364" s="92"/>
      <c r="HL1364" s="59"/>
    </row>
    <row r="1365" spans="1:220">
      <c r="A1365" s="24">
        <v>8</v>
      </c>
      <c r="B1365" s="24" t="str">
        <f>VLOOKUP(Ruimtestaat[[#This Row],[Code]],Locaties[#All],2,FALSE)</f>
        <v>Arkelstijn</v>
      </c>
      <c r="C1365" s="24" t="str">
        <f>VLOOKUP(Ruimtestaat[[#This Row],[Code]],Locaties[#All],4,FALSE)</f>
        <v>Arkelstein 8</v>
      </c>
      <c r="D1365" s="24" t="str">
        <f>VLOOKUP(Ruimtestaat[[#This Row],[Code]],Locaties[#All],5,FALSE)</f>
        <v>7414 EP</v>
      </c>
      <c r="E1365" s="24" t="str">
        <f>VLOOKUP(Ruimtestaat[[#This Row],[Code]],Locaties[#All],6,FALSE)</f>
        <v>Deventer</v>
      </c>
      <c r="F1365" s="54"/>
      <c r="G1365" s="24" t="s">
        <v>367</v>
      </c>
      <c r="H1365" s="24" t="s">
        <v>1608</v>
      </c>
      <c r="I1365" s="4" t="s">
        <v>1160</v>
      </c>
      <c r="J1365" s="24">
        <v>19</v>
      </c>
      <c r="K1365" s="54" t="str">
        <f>VLOOKUP(J1365,Ruimtegroepen[],2,FALSE)</f>
        <v>Kleedruimten</v>
      </c>
      <c r="L1365" s="24" t="s">
        <v>305</v>
      </c>
      <c r="M1365" s="24" t="s">
        <v>1757</v>
      </c>
      <c r="N1365" s="83">
        <v>22.49</v>
      </c>
      <c r="O1365" s="83"/>
      <c r="P1365" s="93" t="str">
        <f>LEFT(VLOOKUP(Ruimtestaat[[#This Row],[Ruimte code]],Ruimtegroepen[#All],4,1),2)</f>
        <v>Ve</v>
      </c>
      <c r="Q1365" s="93"/>
      <c r="R1365" s="84">
        <v>40</v>
      </c>
      <c r="S1365" s="84" t="s">
        <v>318</v>
      </c>
      <c r="T1365" s="85">
        <f>IF(R1365&gt;0,IF(RIGHT(Ruimtestaat[[#This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65" s="85">
        <f>IF(T1365&gt;0,VLOOKUP($J1365,Ruimtegroepen[],3,FALSE)*VLOOKUP($L1365,Vloersoorten[],3,FALSE)*VLOOKUP($S1365,Frequenties[],3,FALSE)*VLOOKUP($A1365,Locaties[],3,FALSE),0)</f>
        <v>0</v>
      </c>
      <c r="V1365" s="86">
        <f>Ruimtestaat[[#This Row],[Uitvoeringen werkdagen]]*Ruimtestaat[[#This Row],[Oppervlak (netto)]]</f>
        <v>4498</v>
      </c>
      <c r="W1365" s="87">
        <f>IF(U1365&gt;0,Ruimtestaat[[#This Row],[Prest. (m2 /jaar) werkdagen]]/Ruimtestaat[[#This Row],[Norm (m2/uur) werkdagen]],0)</f>
        <v>0</v>
      </c>
      <c r="X1365" s="88">
        <f>Ruimtestaat[[#This Row],[uren / jaar werkdagen]]*Tariefsopbouw!$E$35</f>
        <v>0</v>
      </c>
      <c r="Y1365" s="85"/>
      <c r="Z1365" s="89">
        <f>IF(Ruimtestaat[[#This Row],[Frequentie weekend]]&gt;0,VALUE(LEFT(Y1365,1))*R1365,0)</f>
        <v>0</v>
      </c>
      <c r="AA1365" s="85">
        <f>IF($Z1365&gt;0,VLOOKUP($J1365,Ruimtegroepen[],3,FALSE)*VLOOKUP($L1365,Vloersoorten[],3,FALSE)*VLOOKUP($Y1365,Frequenties[],3,FALSE)*VLOOKUP(#REF!,Locaties[],3,FALSE),0)</f>
        <v>0</v>
      </c>
      <c r="AB1365" s="87">
        <f>Ruimtestaat[[#This Row],[Uitvoeringen weekend]]*Ruimtestaat[[#This Row],[Oppervlak (netto)]]</f>
        <v>0</v>
      </c>
      <c r="AC1365" s="90">
        <f>IF(AB1365&gt;0,Ruimtestaat[[#This Row],[Prest. (m2 /jaar) weekend]]/Ruimtestaat[[#This Row],[Norm (m2/uur) weekend]],0)</f>
        <v>0</v>
      </c>
      <c r="AD1365" s="91">
        <f>Ruimtestaat[[#This Row],[uren / jaar weekend]]*Tariefsopbouw!$D$40</f>
        <v>0</v>
      </c>
      <c r="AE1365" s="60">
        <f>Ruimtestaat[[#This Row],[Prest. (m2 /jaar) weekend]]+Ruimtestaat[[#This Row],[Prest. (m2 /jaar) werkdagen]]</f>
        <v>4498</v>
      </c>
      <c r="AF1365" s="60">
        <f>Ruimtestaat[[#This Row],[uren / jaar weekend]]+Ruimtestaat[[#This Row],[uren / jaar werkdagen]]</f>
        <v>0</v>
      </c>
      <c r="AG1365" s="61">
        <f>Ruimtestaat[[#This Row],[kosten / jaar weekend]]+Ruimtestaat[[#This Row],[kosten / jaar werkdagen]]</f>
        <v>0</v>
      </c>
      <c r="AH1365" s="92"/>
      <c r="HL1365" s="59"/>
    </row>
    <row r="1366" spans="1:220">
      <c r="A1366" s="24">
        <v>8</v>
      </c>
      <c r="B1366" s="24" t="str">
        <f>VLOOKUP(Ruimtestaat[[#This Row],[Code]],Locaties[#All],2,FALSE)</f>
        <v>Arkelstijn</v>
      </c>
      <c r="C1366" s="24" t="str">
        <f>VLOOKUP(Ruimtestaat[[#This Row],[Code]],Locaties[#All],4,FALSE)</f>
        <v>Arkelstein 8</v>
      </c>
      <c r="D1366" s="24" t="str">
        <f>VLOOKUP(Ruimtestaat[[#This Row],[Code]],Locaties[#All],5,FALSE)</f>
        <v>7414 EP</v>
      </c>
      <c r="E1366" s="24" t="str">
        <f>VLOOKUP(Ruimtestaat[[#This Row],[Code]],Locaties[#All],6,FALSE)</f>
        <v>Deventer</v>
      </c>
      <c r="F1366" s="54"/>
      <c r="G1366" s="24" t="s">
        <v>367</v>
      </c>
      <c r="H1366" s="24" t="s">
        <v>1619</v>
      </c>
      <c r="I1366" s="4" t="s">
        <v>1160</v>
      </c>
      <c r="J1366" s="24">
        <v>19</v>
      </c>
      <c r="K1366" s="54" t="str">
        <f>VLOOKUP(J1366,Ruimtegroepen[],2,FALSE)</f>
        <v>Kleedruimten</v>
      </c>
      <c r="L1366" s="24" t="s">
        <v>305</v>
      </c>
      <c r="M1366" s="24" t="s">
        <v>1757</v>
      </c>
      <c r="N1366" s="83">
        <v>22.4</v>
      </c>
      <c r="O1366" s="83"/>
      <c r="P1366" s="93" t="str">
        <f>LEFT(VLOOKUP(Ruimtestaat[[#This Row],[Ruimte code]],Ruimtegroepen[#All],4,1),2)</f>
        <v>Ve</v>
      </c>
      <c r="Q1366" s="93"/>
      <c r="R1366" s="84">
        <v>40</v>
      </c>
      <c r="S1366" s="84" t="s">
        <v>318</v>
      </c>
      <c r="T1366" s="85">
        <f>IF(R1366&gt;0,IF(RIGHT(Ruimtestaat[[#This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66" s="85">
        <f>IF(T1366&gt;0,VLOOKUP($J1366,Ruimtegroepen[],3,FALSE)*VLOOKUP($L1366,Vloersoorten[],3,FALSE)*VLOOKUP($S1366,Frequenties[],3,FALSE)*VLOOKUP($A1366,Locaties[],3,FALSE),0)</f>
        <v>0</v>
      </c>
      <c r="V1366" s="86">
        <f>Ruimtestaat[[#This Row],[Uitvoeringen werkdagen]]*Ruimtestaat[[#This Row],[Oppervlak (netto)]]</f>
        <v>4480</v>
      </c>
      <c r="W1366" s="87">
        <f>IF(U1366&gt;0,Ruimtestaat[[#This Row],[Prest. (m2 /jaar) werkdagen]]/Ruimtestaat[[#This Row],[Norm (m2/uur) werkdagen]],0)</f>
        <v>0</v>
      </c>
      <c r="X1366" s="88">
        <f>Ruimtestaat[[#This Row],[uren / jaar werkdagen]]*Tariefsopbouw!$E$35</f>
        <v>0</v>
      </c>
      <c r="Y1366" s="85"/>
      <c r="Z1366" s="89">
        <f>IF(Ruimtestaat[[#This Row],[Frequentie weekend]]&gt;0,VALUE(LEFT(Y1366,1))*R1366,0)</f>
        <v>0</v>
      </c>
      <c r="AA1366" s="85">
        <f>IF($Z1366&gt;0,VLOOKUP($J1366,Ruimtegroepen[],3,FALSE)*VLOOKUP($L1366,Vloersoorten[],3,FALSE)*VLOOKUP($Y1366,Frequenties[],3,FALSE)*VLOOKUP(#REF!,Locaties[],3,FALSE),0)</f>
        <v>0</v>
      </c>
      <c r="AB1366" s="87">
        <f>Ruimtestaat[[#This Row],[Uitvoeringen weekend]]*Ruimtestaat[[#This Row],[Oppervlak (netto)]]</f>
        <v>0</v>
      </c>
      <c r="AC1366" s="90">
        <f>IF(AB1366&gt;0,Ruimtestaat[[#This Row],[Prest. (m2 /jaar) weekend]]/Ruimtestaat[[#This Row],[Norm (m2/uur) weekend]],0)</f>
        <v>0</v>
      </c>
      <c r="AD1366" s="91">
        <f>Ruimtestaat[[#This Row],[uren / jaar weekend]]*Tariefsopbouw!$D$40</f>
        <v>0</v>
      </c>
      <c r="AE1366" s="60">
        <f>Ruimtestaat[[#This Row],[Prest. (m2 /jaar) weekend]]+Ruimtestaat[[#This Row],[Prest. (m2 /jaar) werkdagen]]</f>
        <v>4480</v>
      </c>
      <c r="AF1366" s="60">
        <f>Ruimtestaat[[#This Row],[uren / jaar weekend]]+Ruimtestaat[[#This Row],[uren / jaar werkdagen]]</f>
        <v>0</v>
      </c>
      <c r="AG1366" s="61">
        <f>Ruimtestaat[[#This Row],[kosten / jaar weekend]]+Ruimtestaat[[#This Row],[kosten / jaar werkdagen]]</f>
        <v>0</v>
      </c>
      <c r="AH1366" s="92"/>
      <c r="HL1366" s="59"/>
    </row>
    <row r="1367" spans="1:220">
      <c r="A1367" s="24">
        <v>8</v>
      </c>
      <c r="B1367" s="24" t="str">
        <f>VLOOKUP(Ruimtestaat[[#This Row],[Code]],Locaties[#All],2,FALSE)</f>
        <v>Arkelstijn</v>
      </c>
      <c r="C1367" s="24" t="str">
        <f>VLOOKUP(Ruimtestaat[[#This Row],[Code]],Locaties[#All],4,FALSE)</f>
        <v>Arkelstein 8</v>
      </c>
      <c r="D1367" s="24" t="str">
        <f>VLOOKUP(Ruimtestaat[[#This Row],[Code]],Locaties[#All],5,FALSE)</f>
        <v>7414 EP</v>
      </c>
      <c r="E1367" s="24" t="str">
        <f>VLOOKUP(Ruimtestaat[[#This Row],[Code]],Locaties[#All],6,FALSE)</f>
        <v>Deventer</v>
      </c>
      <c r="F1367" s="54"/>
      <c r="G1367" s="24" t="s">
        <v>367</v>
      </c>
      <c r="H1367" s="24" t="s">
        <v>1823</v>
      </c>
      <c r="I1367" s="4" t="s">
        <v>1824</v>
      </c>
      <c r="J1367" s="24">
        <v>2</v>
      </c>
      <c r="K1367" s="54" t="str">
        <f>VLOOKUP(J1367,Ruimtegroepen[],2,FALSE)</f>
        <v>Kantoren</v>
      </c>
      <c r="L1367" s="24" t="s">
        <v>300</v>
      </c>
      <c r="M1367" s="24" t="s">
        <v>1765</v>
      </c>
      <c r="N1367" s="83">
        <v>5.0999999999999996</v>
      </c>
      <c r="O1367" s="83"/>
      <c r="P1367" s="93" t="str">
        <f>LEFT(VLOOKUP(Ruimtestaat[[#This Row],[Ruimte code]],Ruimtegroepen[#All],4,1),2)</f>
        <v>Bu</v>
      </c>
      <c r="Q1367" s="93"/>
      <c r="R1367" s="84">
        <v>42</v>
      </c>
      <c r="S1367" s="84" t="s">
        <v>322</v>
      </c>
      <c r="T1367" s="85">
        <f>IF(R1367&gt;0,IF(RIGHT(Ruimtestaat[[#This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67" s="85">
        <f>IF(T1367&gt;0,VLOOKUP($J1367,Ruimtegroepen[],3,FALSE)*VLOOKUP($L1367,Vloersoorten[],3,FALSE)*VLOOKUP($S1367,Frequenties[],3,FALSE)*VLOOKUP($A1367,Locaties[],3,FALSE),0)</f>
        <v>0</v>
      </c>
      <c r="V1367" s="86">
        <f>Ruimtestaat[[#This Row],[Uitvoeringen werkdagen]]*Ruimtestaat[[#This Row],[Oppervlak (netto)]]</f>
        <v>642.59999999999991</v>
      </c>
      <c r="W1367" s="87">
        <f>IF(U1367&gt;0,Ruimtestaat[[#This Row],[Prest. (m2 /jaar) werkdagen]]/Ruimtestaat[[#This Row],[Norm (m2/uur) werkdagen]],0)</f>
        <v>0</v>
      </c>
      <c r="X1367" s="88">
        <f>Ruimtestaat[[#This Row],[uren / jaar werkdagen]]*Tariefsopbouw!$E$35</f>
        <v>0</v>
      </c>
      <c r="Y1367" s="85"/>
      <c r="Z1367" s="89">
        <f>IF(Ruimtestaat[[#This Row],[Frequentie weekend]]&gt;0,VALUE(LEFT(Y1367,1))*R1367,0)</f>
        <v>0</v>
      </c>
      <c r="AA1367" s="85">
        <f>IF($Z1367&gt;0,VLOOKUP($J1367,Ruimtegroepen[],3,FALSE)*VLOOKUP($L1367,Vloersoorten[],3,FALSE)*VLOOKUP($Y1367,Frequenties[],3,FALSE)*VLOOKUP(#REF!,Locaties[],3,FALSE),0)</f>
        <v>0</v>
      </c>
      <c r="AB1367" s="87">
        <f>Ruimtestaat[[#This Row],[Uitvoeringen weekend]]*Ruimtestaat[[#This Row],[Oppervlak (netto)]]</f>
        <v>0</v>
      </c>
      <c r="AC1367" s="90">
        <f>IF(AB1367&gt;0,Ruimtestaat[[#This Row],[Prest. (m2 /jaar) weekend]]/Ruimtestaat[[#This Row],[Norm (m2/uur) weekend]],0)</f>
        <v>0</v>
      </c>
      <c r="AD1367" s="91">
        <f>Ruimtestaat[[#This Row],[uren / jaar weekend]]*Tariefsopbouw!$D$40</f>
        <v>0</v>
      </c>
      <c r="AE1367" s="60">
        <f>Ruimtestaat[[#This Row],[Prest. (m2 /jaar) weekend]]+Ruimtestaat[[#This Row],[Prest. (m2 /jaar) werkdagen]]</f>
        <v>642.59999999999991</v>
      </c>
      <c r="AF1367" s="60">
        <f>Ruimtestaat[[#This Row],[uren / jaar weekend]]+Ruimtestaat[[#This Row],[uren / jaar werkdagen]]</f>
        <v>0</v>
      </c>
      <c r="AG1367" s="61">
        <f>Ruimtestaat[[#This Row],[kosten / jaar weekend]]+Ruimtestaat[[#This Row],[kosten / jaar werkdagen]]</f>
        <v>0</v>
      </c>
      <c r="AH1367" s="92"/>
      <c r="HL1367" s="59"/>
    </row>
    <row r="1368" spans="1:220">
      <c r="A1368" s="24">
        <v>8</v>
      </c>
      <c r="B1368" s="24" t="str">
        <f>VLOOKUP(Ruimtestaat[[#This Row],[Code]],Locaties[#All],2,FALSE)</f>
        <v>Arkelstijn</v>
      </c>
      <c r="C1368" s="24" t="str">
        <f>VLOOKUP(Ruimtestaat[[#This Row],[Code]],Locaties[#All],4,FALSE)</f>
        <v>Arkelstein 8</v>
      </c>
      <c r="D1368" s="24" t="str">
        <f>VLOOKUP(Ruimtestaat[[#This Row],[Code]],Locaties[#All],5,FALSE)</f>
        <v>7414 EP</v>
      </c>
      <c r="E1368" s="24" t="str">
        <f>VLOOKUP(Ruimtestaat[[#This Row],[Code]],Locaties[#All],6,FALSE)</f>
        <v>Deventer</v>
      </c>
      <c r="F1368" s="54"/>
      <c r="G1368" s="24" t="s">
        <v>367</v>
      </c>
      <c r="H1368" s="24" t="s">
        <v>1825</v>
      </c>
      <c r="I1368" s="4" t="s">
        <v>1826</v>
      </c>
      <c r="J1368" s="24">
        <v>5</v>
      </c>
      <c r="K1368" s="54" t="str">
        <f>VLOOKUP(J1368,Ruimtegroepen[],2,FALSE)</f>
        <v>Sanitair</v>
      </c>
      <c r="L1368" s="24" t="s">
        <v>305</v>
      </c>
      <c r="M1368" s="24" t="s">
        <v>1827</v>
      </c>
      <c r="N1368" s="83">
        <v>3.51</v>
      </c>
      <c r="O1368" s="83"/>
      <c r="P1368" s="93" t="str">
        <f>LEFT(VLOOKUP(Ruimtestaat[[#This Row],[Ruimte code]],Ruimtegroepen[#All],4,1),2)</f>
        <v>Sa</v>
      </c>
      <c r="Q1368" s="93"/>
      <c r="R1368" s="84">
        <v>40</v>
      </c>
      <c r="S1368" s="84" t="s">
        <v>316</v>
      </c>
      <c r="T1368" s="85">
        <f>IF(R1368&gt;0,IF(RIGHT(Ruimtestaat[[#This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1368" s="85">
        <f>IF(T1368&gt;0,VLOOKUP($J1368,Ruimtegroepen[],3,FALSE)*VLOOKUP($L1368,Vloersoorten[],3,FALSE)*VLOOKUP($S1368,Frequenties[],3,FALSE)*VLOOKUP($A1368,Locaties[],3,FALSE),0)</f>
        <v>0</v>
      </c>
      <c r="V1368" s="86">
        <f>Ruimtestaat[[#This Row],[Uitvoeringen werkdagen]]*Ruimtestaat[[#This Row],[Oppervlak (netto)]]</f>
        <v>1404</v>
      </c>
      <c r="W1368" s="87">
        <f>IF(U1368&gt;0,Ruimtestaat[[#This Row],[Prest. (m2 /jaar) werkdagen]]/Ruimtestaat[[#This Row],[Norm (m2/uur) werkdagen]],0)</f>
        <v>0</v>
      </c>
      <c r="X1368" s="88">
        <f>Ruimtestaat[[#This Row],[uren / jaar werkdagen]]*Tariefsopbouw!$E$35</f>
        <v>0</v>
      </c>
      <c r="Y1368" s="85"/>
      <c r="Z1368" s="89">
        <f>IF(Ruimtestaat[[#This Row],[Frequentie weekend]]&gt;0,VALUE(LEFT(Y1368,1))*R1368,0)</f>
        <v>0</v>
      </c>
      <c r="AA1368" s="85">
        <f>IF($Z1368&gt;0,VLOOKUP($J1368,Ruimtegroepen[],3,FALSE)*VLOOKUP($L1368,Vloersoorten[],3,FALSE)*VLOOKUP($Y1368,Frequenties[],3,FALSE)*VLOOKUP(#REF!,Locaties[],3,FALSE),0)</f>
        <v>0</v>
      </c>
      <c r="AB1368" s="87">
        <f>Ruimtestaat[[#This Row],[Uitvoeringen weekend]]*Ruimtestaat[[#This Row],[Oppervlak (netto)]]</f>
        <v>0</v>
      </c>
      <c r="AC1368" s="90">
        <f>IF(AB1368&gt;0,Ruimtestaat[[#This Row],[Prest. (m2 /jaar) weekend]]/Ruimtestaat[[#This Row],[Norm (m2/uur) weekend]],0)</f>
        <v>0</v>
      </c>
      <c r="AD1368" s="91">
        <f>Ruimtestaat[[#This Row],[uren / jaar weekend]]*Tariefsopbouw!$D$40</f>
        <v>0</v>
      </c>
      <c r="AE1368" s="60">
        <f>Ruimtestaat[[#This Row],[Prest. (m2 /jaar) weekend]]+Ruimtestaat[[#This Row],[Prest. (m2 /jaar) werkdagen]]</f>
        <v>1404</v>
      </c>
      <c r="AF1368" s="60">
        <f>Ruimtestaat[[#This Row],[uren / jaar weekend]]+Ruimtestaat[[#This Row],[uren / jaar werkdagen]]</f>
        <v>0</v>
      </c>
      <c r="AG1368" s="61">
        <f>Ruimtestaat[[#This Row],[kosten / jaar weekend]]+Ruimtestaat[[#This Row],[kosten / jaar werkdagen]]</f>
        <v>0</v>
      </c>
      <c r="AH1368" s="92"/>
      <c r="HL1368" s="59"/>
    </row>
    <row r="1369" spans="1:220">
      <c r="A1369" s="24">
        <v>8</v>
      </c>
      <c r="B1369" s="24" t="str">
        <f>VLOOKUP(Ruimtestaat[[#This Row],[Code]],Locaties[#All],2,FALSE)</f>
        <v>Arkelstijn</v>
      </c>
      <c r="C1369" s="24" t="str">
        <f>VLOOKUP(Ruimtestaat[[#This Row],[Code]],Locaties[#All],4,FALSE)</f>
        <v>Arkelstein 8</v>
      </c>
      <c r="D1369" s="24" t="str">
        <f>VLOOKUP(Ruimtestaat[[#This Row],[Code]],Locaties[#All],5,FALSE)</f>
        <v>7414 EP</v>
      </c>
      <c r="E1369" s="24" t="str">
        <f>VLOOKUP(Ruimtestaat[[#This Row],[Code]],Locaties[#All],6,FALSE)</f>
        <v>Deventer</v>
      </c>
      <c r="F1369" s="54"/>
      <c r="G1369" s="24" t="s">
        <v>367</v>
      </c>
      <c r="H1369" s="24" t="s">
        <v>1620</v>
      </c>
      <c r="I1369" s="4" t="s">
        <v>1828</v>
      </c>
      <c r="J1369" s="24">
        <v>22</v>
      </c>
      <c r="K1369" s="54" t="str">
        <f>VLOOKUP(J1369,Ruimtegroepen[],2,FALSE)</f>
        <v>Niet in onderhoud</v>
      </c>
      <c r="L1369" s="24" t="s">
        <v>305</v>
      </c>
      <c r="M1369" s="24" t="s">
        <v>1787</v>
      </c>
      <c r="N1369" s="83"/>
      <c r="O1369" s="83">
        <v>12.74</v>
      </c>
      <c r="P1369" s="93" t="str">
        <f>LEFT(VLOOKUP(Ruimtestaat[[#This Row],[Ruimte code]],Ruimtegroepen[#All],4,1),2)</f>
        <v/>
      </c>
      <c r="Q1369" s="93"/>
      <c r="R1369" s="84"/>
      <c r="S1369" s="84"/>
      <c r="T1369" s="85">
        <f>IF(R1369&gt;0,IF(RIGHT(Ruimtestaat[[#This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69" s="85">
        <f>IF(T1369&gt;0,VLOOKUP($J1369,Ruimtegroepen[],3,FALSE)*VLOOKUP($L1369,Vloersoorten[],3,FALSE)*VLOOKUP($S1369,Frequenties[],3,FALSE)*VLOOKUP($A1369,Locaties[],3,FALSE),0)</f>
        <v>0</v>
      </c>
      <c r="V1369" s="86">
        <f>Ruimtestaat[[#This Row],[Uitvoeringen werkdagen]]*Ruimtestaat[[#This Row],[Oppervlak (netto)]]</f>
        <v>0</v>
      </c>
      <c r="W1369" s="87">
        <f>IF(U1369&gt;0,Ruimtestaat[[#This Row],[Prest. (m2 /jaar) werkdagen]]/Ruimtestaat[[#This Row],[Norm (m2/uur) werkdagen]],0)</f>
        <v>0</v>
      </c>
      <c r="X1369" s="88">
        <f>Ruimtestaat[[#This Row],[uren / jaar werkdagen]]*Tariefsopbouw!$E$35</f>
        <v>0</v>
      </c>
      <c r="Y1369" s="85"/>
      <c r="Z1369" s="89">
        <f>IF(Ruimtestaat[[#This Row],[Frequentie weekend]]&gt;0,VALUE(LEFT(Y1369,1))*R1369,0)</f>
        <v>0</v>
      </c>
      <c r="AA1369" s="85">
        <f>IF($Z1369&gt;0,VLOOKUP($J1369,Ruimtegroepen[],3,FALSE)*VLOOKUP($L1369,Vloersoorten[],3,FALSE)*VLOOKUP($Y1369,Frequenties[],3,FALSE)*VLOOKUP(#REF!,Locaties[],3,FALSE),0)</f>
        <v>0</v>
      </c>
      <c r="AB1369" s="87">
        <f>Ruimtestaat[[#This Row],[Uitvoeringen weekend]]*Ruimtestaat[[#This Row],[Oppervlak (netto)]]</f>
        <v>0</v>
      </c>
      <c r="AC1369" s="90">
        <f>IF(AB1369&gt;0,Ruimtestaat[[#This Row],[Prest. (m2 /jaar) weekend]]/Ruimtestaat[[#This Row],[Norm (m2/uur) weekend]],0)</f>
        <v>0</v>
      </c>
      <c r="AD1369" s="91">
        <f>Ruimtestaat[[#This Row],[uren / jaar weekend]]*Tariefsopbouw!$D$40</f>
        <v>0</v>
      </c>
      <c r="AE1369" s="60">
        <f>Ruimtestaat[[#This Row],[Prest. (m2 /jaar) weekend]]+Ruimtestaat[[#This Row],[Prest. (m2 /jaar) werkdagen]]</f>
        <v>0</v>
      </c>
      <c r="AF1369" s="60">
        <f>Ruimtestaat[[#This Row],[uren / jaar weekend]]+Ruimtestaat[[#This Row],[uren / jaar werkdagen]]</f>
        <v>0</v>
      </c>
      <c r="AG1369" s="61">
        <f>Ruimtestaat[[#This Row],[kosten / jaar weekend]]+Ruimtestaat[[#This Row],[kosten / jaar werkdagen]]</f>
        <v>0</v>
      </c>
      <c r="AH1369" s="92"/>
      <c r="HL1369" s="59"/>
    </row>
    <row r="1370" spans="1:220">
      <c r="A1370" s="24">
        <v>8</v>
      </c>
      <c r="B1370" s="24" t="str">
        <f>VLOOKUP(Ruimtestaat[[#This Row],[Code]],Locaties[#All],2,FALSE)</f>
        <v>Arkelstijn</v>
      </c>
      <c r="C1370" s="24" t="str">
        <f>VLOOKUP(Ruimtestaat[[#This Row],[Code]],Locaties[#All],4,FALSE)</f>
        <v>Arkelstein 8</v>
      </c>
      <c r="D1370" s="24" t="str">
        <f>VLOOKUP(Ruimtestaat[[#This Row],[Code]],Locaties[#All],5,FALSE)</f>
        <v>7414 EP</v>
      </c>
      <c r="E1370" s="24" t="str">
        <f>VLOOKUP(Ruimtestaat[[#This Row],[Code]],Locaties[#All],6,FALSE)</f>
        <v>Deventer</v>
      </c>
      <c r="F1370" s="54"/>
      <c r="G1370" s="24" t="s">
        <v>367</v>
      </c>
      <c r="H1370" s="24" t="s">
        <v>1621</v>
      </c>
      <c r="I1370" s="4" t="s">
        <v>1829</v>
      </c>
      <c r="J1370" s="24">
        <v>2</v>
      </c>
      <c r="K1370" s="54" t="str">
        <f>VLOOKUP(J1370,Ruimtegroepen[],2,FALSE)</f>
        <v>Kantoren</v>
      </c>
      <c r="L1370" s="24" t="s">
        <v>305</v>
      </c>
      <c r="M1370" s="24" t="s">
        <v>1787</v>
      </c>
      <c r="N1370" s="83">
        <v>15.62</v>
      </c>
      <c r="O1370" s="83"/>
      <c r="P1370" s="93" t="str">
        <f>LEFT(VLOOKUP(Ruimtestaat[[#This Row],[Ruimte code]],Ruimtegroepen[#All],4,1),2)</f>
        <v>Bu</v>
      </c>
      <c r="Q1370" s="93"/>
      <c r="R1370" s="84">
        <v>42</v>
      </c>
      <c r="S1370" s="84" t="s">
        <v>322</v>
      </c>
      <c r="T1370" s="85">
        <f>IF(R1370&gt;0,IF(RIGHT(Ruimtestaat[[#This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70" s="85">
        <f>IF(T1370&gt;0,VLOOKUP($J1370,Ruimtegroepen[],3,FALSE)*VLOOKUP($L1370,Vloersoorten[],3,FALSE)*VLOOKUP($S1370,Frequenties[],3,FALSE)*VLOOKUP($A1370,Locaties[],3,FALSE),0)</f>
        <v>0</v>
      </c>
      <c r="V1370" s="86">
        <f>Ruimtestaat[[#This Row],[Uitvoeringen werkdagen]]*Ruimtestaat[[#This Row],[Oppervlak (netto)]]</f>
        <v>1968.12</v>
      </c>
      <c r="W1370" s="87">
        <f>IF(U1370&gt;0,Ruimtestaat[[#This Row],[Prest. (m2 /jaar) werkdagen]]/Ruimtestaat[[#This Row],[Norm (m2/uur) werkdagen]],0)</f>
        <v>0</v>
      </c>
      <c r="X1370" s="88">
        <f>Ruimtestaat[[#This Row],[uren / jaar werkdagen]]*Tariefsopbouw!$E$35</f>
        <v>0</v>
      </c>
      <c r="Y1370" s="85"/>
      <c r="Z1370" s="89">
        <f>IF(Ruimtestaat[[#This Row],[Frequentie weekend]]&gt;0,VALUE(LEFT(Y1370,1))*R1370,0)</f>
        <v>0</v>
      </c>
      <c r="AA1370" s="85">
        <f>IF($Z1370&gt;0,VLOOKUP($J1370,Ruimtegroepen[],3,FALSE)*VLOOKUP($L1370,Vloersoorten[],3,FALSE)*VLOOKUP($Y1370,Frequenties[],3,FALSE)*VLOOKUP(#REF!,Locaties[],3,FALSE),0)</f>
        <v>0</v>
      </c>
      <c r="AB1370" s="87">
        <f>Ruimtestaat[[#This Row],[Uitvoeringen weekend]]*Ruimtestaat[[#This Row],[Oppervlak (netto)]]</f>
        <v>0</v>
      </c>
      <c r="AC1370" s="90">
        <f>IF(AB1370&gt;0,Ruimtestaat[[#This Row],[Prest. (m2 /jaar) weekend]]/Ruimtestaat[[#This Row],[Norm (m2/uur) weekend]],0)</f>
        <v>0</v>
      </c>
      <c r="AD1370" s="91">
        <f>Ruimtestaat[[#This Row],[uren / jaar weekend]]*Tariefsopbouw!$D$40</f>
        <v>0</v>
      </c>
      <c r="AE1370" s="60">
        <f>Ruimtestaat[[#This Row],[Prest. (m2 /jaar) weekend]]+Ruimtestaat[[#This Row],[Prest. (m2 /jaar) werkdagen]]</f>
        <v>1968.12</v>
      </c>
      <c r="AF1370" s="60">
        <f>Ruimtestaat[[#This Row],[uren / jaar weekend]]+Ruimtestaat[[#This Row],[uren / jaar werkdagen]]</f>
        <v>0</v>
      </c>
      <c r="AG1370" s="61">
        <f>Ruimtestaat[[#This Row],[kosten / jaar weekend]]+Ruimtestaat[[#This Row],[kosten / jaar werkdagen]]</f>
        <v>0</v>
      </c>
      <c r="AH1370" s="92"/>
      <c r="HL1370" s="59"/>
    </row>
    <row r="1371" spans="1:220">
      <c r="A1371" s="24">
        <v>8</v>
      </c>
      <c r="B1371" s="24" t="str">
        <f>VLOOKUP(Ruimtestaat[[#This Row],[Code]],Locaties[#All],2,FALSE)</f>
        <v>Arkelstijn</v>
      </c>
      <c r="C1371" s="24" t="str">
        <f>VLOOKUP(Ruimtestaat[[#This Row],[Code]],Locaties[#All],4,FALSE)</f>
        <v>Arkelstein 8</v>
      </c>
      <c r="D1371" s="24" t="str">
        <f>VLOOKUP(Ruimtestaat[[#This Row],[Code]],Locaties[#All],5,FALSE)</f>
        <v>7414 EP</v>
      </c>
      <c r="E1371" s="24" t="str">
        <f>VLOOKUP(Ruimtestaat[[#This Row],[Code]],Locaties[#All],6,FALSE)</f>
        <v>Deventer</v>
      </c>
      <c r="F1371" s="54"/>
      <c r="G1371" s="24" t="s">
        <v>367</v>
      </c>
      <c r="H1371" s="24" t="s">
        <v>1830</v>
      </c>
      <c r="I1371" s="4" t="s">
        <v>402</v>
      </c>
      <c r="J1371" s="24">
        <v>5</v>
      </c>
      <c r="K1371" s="54" t="str">
        <f>VLOOKUP(J1371,Ruimtegroepen[],2,FALSE)</f>
        <v>Sanitair</v>
      </c>
      <c r="L1371" s="24" t="s">
        <v>305</v>
      </c>
      <c r="M1371" s="24" t="s">
        <v>1831</v>
      </c>
      <c r="N1371" s="83">
        <v>1.45</v>
      </c>
      <c r="O1371" s="83"/>
      <c r="P1371" s="93" t="str">
        <f>LEFT(VLOOKUP(Ruimtestaat[[#This Row],[Ruimte code]],Ruimtegroepen[#All],4,1),2)</f>
        <v>Sa</v>
      </c>
      <c r="Q1371" s="93"/>
      <c r="R1371" s="84">
        <v>42</v>
      </c>
      <c r="S1371" s="84" t="s">
        <v>316</v>
      </c>
      <c r="T1371" s="85">
        <f>IF(R1371&gt;0,IF(RIGHT(Ruimtestaat[[#This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71" s="85">
        <f>IF(T1371&gt;0,VLOOKUP($J1371,Ruimtegroepen[],3,FALSE)*VLOOKUP($L1371,Vloersoorten[],3,FALSE)*VLOOKUP($S1371,Frequenties[],3,FALSE)*VLOOKUP($A1371,Locaties[],3,FALSE),0)</f>
        <v>0</v>
      </c>
      <c r="V1371" s="86">
        <f>Ruimtestaat[[#This Row],[Uitvoeringen werkdagen]]*Ruimtestaat[[#This Row],[Oppervlak (netto)]]</f>
        <v>609</v>
      </c>
      <c r="W1371" s="87">
        <f>IF(U1371&gt;0,Ruimtestaat[[#This Row],[Prest. (m2 /jaar) werkdagen]]/Ruimtestaat[[#This Row],[Norm (m2/uur) werkdagen]],0)</f>
        <v>0</v>
      </c>
      <c r="X1371" s="88">
        <f>Ruimtestaat[[#This Row],[uren / jaar werkdagen]]*Tariefsopbouw!$E$35</f>
        <v>0</v>
      </c>
      <c r="Y1371" s="85"/>
      <c r="Z1371" s="89">
        <f>IF(Ruimtestaat[[#This Row],[Frequentie weekend]]&gt;0,VALUE(LEFT(Y1371,1))*R1371,0)</f>
        <v>0</v>
      </c>
      <c r="AA1371" s="85">
        <f>IF($Z1371&gt;0,VLOOKUP($J1371,Ruimtegroepen[],3,FALSE)*VLOOKUP($L1371,Vloersoorten[],3,FALSE)*VLOOKUP($Y1371,Frequenties[],3,FALSE)*VLOOKUP(#REF!,Locaties[],3,FALSE),0)</f>
        <v>0</v>
      </c>
      <c r="AB1371" s="87">
        <f>Ruimtestaat[[#This Row],[Uitvoeringen weekend]]*Ruimtestaat[[#This Row],[Oppervlak (netto)]]</f>
        <v>0</v>
      </c>
      <c r="AC1371" s="90">
        <f>IF(AB1371&gt;0,Ruimtestaat[[#This Row],[Prest. (m2 /jaar) weekend]]/Ruimtestaat[[#This Row],[Norm (m2/uur) weekend]],0)</f>
        <v>0</v>
      </c>
      <c r="AD1371" s="91">
        <f>Ruimtestaat[[#This Row],[uren / jaar weekend]]*Tariefsopbouw!$D$40</f>
        <v>0</v>
      </c>
      <c r="AE1371" s="60">
        <f>Ruimtestaat[[#This Row],[Prest. (m2 /jaar) weekend]]+Ruimtestaat[[#This Row],[Prest. (m2 /jaar) werkdagen]]</f>
        <v>609</v>
      </c>
      <c r="AF1371" s="60">
        <f>Ruimtestaat[[#This Row],[uren / jaar weekend]]+Ruimtestaat[[#This Row],[uren / jaar werkdagen]]</f>
        <v>0</v>
      </c>
      <c r="AG1371" s="61">
        <f>Ruimtestaat[[#This Row],[kosten / jaar weekend]]+Ruimtestaat[[#This Row],[kosten / jaar werkdagen]]</f>
        <v>0</v>
      </c>
      <c r="AH1371" s="92"/>
      <c r="HL1371" s="59"/>
    </row>
    <row r="1372" spans="1:220">
      <c r="A1372" s="24">
        <v>8</v>
      </c>
      <c r="B1372" s="24" t="str">
        <f>VLOOKUP(Ruimtestaat[[#This Row],[Code]],Locaties[#All],2,FALSE)</f>
        <v>Arkelstijn</v>
      </c>
      <c r="C1372" s="24" t="str">
        <f>VLOOKUP(Ruimtestaat[[#This Row],[Code]],Locaties[#All],4,FALSE)</f>
        <v>Arkelstein 8</v>
      </c>
      <c r="D1372" s="24" t="str">
        <f>VLOOKUP(Ruimtestaat[[#This Row],[Code]],Locaties[#All],5,FALSE)</f>
        <v>7414 EP</v>
      </c>
      <c r="E1372" s="24" t="str">
        <f>VLOOKUP(Ruimtestaat[[#This Row],[Code]],Locaties[#All],6,FALSE)</f>
        <v>Deventer</v>
      </c>
      <c r="F1372" s="54"/>
      <c r="G1372" s="24" t="s">
        <v>367</v>
      </c>
      <c r="H1372" s="24" t="s">
        <v>1832</v>
      </c>
      <c r="I1372" s="4" t="s">
        <v>1833</v>
      </c>
      <c r="J1372" s="24">
        <v>5</v>
      </c>
      <c r="K1372" s="54" t="str">
        <f>VLOOKUP(J1372,Ruimtegroepen[],2,FALSE)</f>
        <v>Sanitair</v>
      </c>
      <c r="L1372" s="24" t="s">
        <v>305</v>
      </c>
      <c r="M1372" s="24" t="s">
        <v>1757</v>
      </c>
      <c r="N1372" s="83">
        <v>22.77</v>
      </c>
      <c r="O1372" s="83"/>
      <c r="P1372" s="93" t="str">
        <f>LEFT(VLOOKUP(Ruimtestaat[[#This Row],[Ruimte code]],Ruimtegroepen[#All],4,1),2)</f>
        <v>Sa</v>
      </c>
      <c r="Q1372" s="93"/>
      <c r="R1372" s="84">
        <v>40</v>
      </c>
      <c r="S1372" s="84" t="s">
        <v>316</v>
      </c>
      <c r="T1372" s="85">
        <f>IF(R1372&gt;0,IF(RIGHT(Ruimtestaat[[#This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1372" s="85">
        <f>IF(T1372&gt;0,VLOOKUP($J1372,Ruimtegroepen[],3,FALSE)*VLOOKUP($L1372,Vloersoorten[],3,FALSE)*VLOOKUP($S1372,Frequenties[],3,FALSE)*VLOOKUP($A1372,Locaties[],3,FALSE),0)</f>
        <v>0</v>
      </c>
      <c r="V1372" s="86">
        <f>Ruimtestaat[[#This Row],[Uitvoeringen werkdagen]]*Ruimtestaat[[#This Row],[Oppervlak (netto)]]</f>
        <v>9108</v>
      </c>
      <c r="W1372" s="87">
        <f>IF(U1372&gt;0,Ruimtestaat[[#This Row],[Prest. (m2 /jaar) werkdagen]]/Ruimtestaat[[#This Row],[Norm (m2/uur) werkdagen]],0)</f>
        <v>0</v>
      </c>
      <c r="X1372" s="88">
        <f>Ruimtestaat[[#This Row],[uren / jaar werkdagen]]*Tariefsopbouw!$E$35</f>
        <v>0</v>
      </c>
      <c r="Y1372" s="85"/>
      <c r="Z1372" s="89">
        <f>IF(Ruimtestaat[[#This Row],[Frequentie weekend]]&gt;0,VALUE(LEFT(Y1372,1))*R1372,0)</f>
        <v>0</v>
      </c>
      <c r="AA1372" s="85">
        <f>IF($Z1372&gt;0,VLOOKUP($J1372,Ruimtegroepen[],3,FALSE)*VLOOKUP($L1372,Vloersoorten[],3,FALSE)*VLOOKUP($Y1372,Frequenties[],3,FALSE)*VLOOKUP(#REF!,Locaties[],3,FALSE),0)</f>
        <v>0</v>
      </c>
      <c r="AB1372" s="87">
        <f>Ruimtestaat[[#This Row],[Uitvoeringen weekend]]*Ruimtestaat[[#This Row],[Oppervlak (netto)]]</f>
        <v>0</v>
      </c>
      <c r="AC1372" s="90">
        <f>IF(AB1372&gt;0,Ruimtestaat[[#This Row],[Prest. (m2 /jaar) weekend]]/Ruimtestaat[[#This Row],[Norm (m2/uur) weekend]],0)</f>
        <v>0</v>
      </c>
      <c r="AD1372" s="91">
        <f>Ruimtestaat[[#This Row],[uren / jaar weekend]]*Tariefsopbouw!$D$40</f>
        <v>0</v>
      </c>
      <c r="AE1372" s="60">
        <f>Ruimtestaat[[#This Row],[Prest. (m2 /jaar) weekend]]+Ruimtestaat[[#This Row],[Prest. (m2 /jaar) werkdagen]]</f>
        <v>9108</v>
      </c>
      <c r="AF1372" s="60">
        <f>Ruimtestaat[[#This Row],[uren / jaar weekend]]+Ruimtestaat[[#This Row],[uren / jaar werkdagen]]</f>
        <v>0</v>
      </c>
      <c r="AG1372" s="61">
        <f>Ruimtestaat[[#This Row],[kosten / jaar weekend]]+Ruimtestaat[[#This Row],[kosten / jaar werkdagen]]</f>
        <v>0</v>
      </c>
      <c r="AH1372" s="92"/>
      <c r="HL1372" s="59"/>
    </row>
    <row r="1373" spans="1:220">
      <c r="A1373" s="24">
        <v>8</v>
      </c>
      <c r="B1373" s="24" t="str">
        <f>VLOOKUP(Ruimtestaat[[#This Row],[Code]],Locaties[#All],2,FALSE)</f>
        <v>Arkelstijn</v>
      </c>
      <c r="C1373" s="24" t="str">
        <f>VLOOKUP(Ruimtestaat[[#This Row],[Code]],Locaties[#All],4,FALSE)</f>
        <v>Arkelstein 8</v>
      </c>
      <c r="D1373" s="24" t="str">
        <f>VLOOKUP(Ruimtestaat[[#This Row],[Code]],Locaties[#All],5,FALSE)</f>
        <v>7414 EP</v>
      </c>
      <c r="E1373" s="24" t="str">
        <f>VLOOKUP(Ruimtestaat[[#This Row],[Code]],Locaties[#All],6,FALSE)</f>
        <v>Deventer</v>
      </c>
      <c r="F1373" s="54"/>
      <c r="G1373" s="24" t="s">
        <v>367</v>
      </c>
      <c r="H1373" s="24" t="s">
        <v>1834</v>
      </c>
      <c r="I1373" s="4" t="s">
        <v>1835</v>
      </c>
      <c r="J1373" s="24">
        <v>5</v>
      </c>
      <c r="K1373" s="54" t="str">
        <f>VLOOKUP(J1373,Ruimtegroepen[],2,FALSE)</f>
        <v>Sanitair</v>
      </c>
      <c r="L1373" s="24" t="s">
        <v>305</v>
      </c>
      <c r="M1373" s="24" t="s">
        <v>1757</v>
      </c>
      <c r="N1373" s="83">
        <v>23.73</v>
      </c>
      <c r="O1373" s="83"/>
      <c r="P1373" s="93" t="str">
        <f>LEFT(VLOOKUP(Ruimtestaat[[#This Row],[Ruimte code]],Ruimtegroepen[#All],4,1),2)</f>
        <v>Sa</v>
      </c>
      <c r="Q1373" s="93"/>
      <c r="R1373" s="84">
        <v>40</v>
      </c>
      <c r="S1373" s="84" t="s">
        <v>316</v>
      </c>
      <c r="T1373" s="85">
        <f>IF(R1373&gt;0,IF(RIGHT(Ruimtestaat[[#This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1373" s="85">
        <f>IF(T1373&gt;0,VLOOKUP($J1373,Ruimtegroepen[],3,FALSE)*VLOOKUP($L1373,Vloersoorten[],3,FALSE)*VLOOKUP($S1373,Frequenties[],3,FALSE)*VLOOKUP($A1373,Locaties[],3,FALSE),0)</f>
        <v>0</v>
      </c>
      <c r="V1373" s="86">
        <f>Ruimtestaat[[#This Row],[Uitvoeringen werkdagen]]*Ruimtestaat[[#This Row],[Oppervlak (netto)]]</f>
        <v>9492</v>
      </c>
      <c r="W1373" s="87">
        <f>IF(U1373&gt;0,Ruimtestaat[[#This Row],[Prest. (m2 /jaar) werkdagen]]/Ruimtestaat[[#This Row],[Norm (m2/uur) werkdagen]],0)</f>
        <v>0</v>
      </c>
      <c r="X1373" s="88">
        <f>Ruimtestaat[[#This Row],[uren / jaar werkdagen]]*Tariefsopbouw!$E$35</f>
        <v>0</v>
      </c>
      <c r="Y1373" s="85"/>
      <c r="Z1373" s="89">
        <f>IF(Ruimtestaat[[#This Row],[Frequentie weekend]]&gt;0,VALUE(LEFT(Y1373,1))*R1373,0)</f>
        <v>0</v>
      </c>
      <c r="AA1373" s="85">
        <f>IF($Z1373&gt;0,VLOOKUP($J1373,Ruimtegroepen[],3,FALSE)*VLOOKUP($L1373,Vloersoorten[],3,FALSE)*VLOOKUP($Y1373,Frequenties[],3,FALSE)*VLOOKUP(#REF!,Locaties[],3,FALSE),0)</f>
        <v>0</v>
      </c>
      <c r="AB1373" s="87">
        <f>Ruimtestaat[[#This Row],[Uitvoeringen weekend]]*Ruimtestaat[[#This Row],[Oppervlak (netto)]]</f>
        <v>0</v>
      </c>
      <c r="AC1373" s="90">
        <f>IF(AB1373&gt;0,Ruimtestaat[[#This Row],[Prest. (m2 /jaar) weekend]]/Ruimtestaat[[#This Row],[Norm (m2/uur) weekend]],0)</f>
        <v>0</v>
      </c>
      <c r="AD1373" s="91">
        <f>Ruimtestaat[[#This Row],[uren / jaar weekend]]*Tariefsopbouw!$D$40</f>
        <v>0</v>
      </c>
      <c r="AE1373" s="60">
        <f>Ruimtestaat[[#This Row],[Prest. (m2 /jaar) weekend]]+Ruimtestaat[[#This Row],[Prest. (m2 /jaar) werkdagen]]</f>
        <v>9492</v>
      </c>
      <c r="AF1373" s="60">
        <f>Ruimtestaat[[#This Row],[uren / jaar weekend]]+Ruimtestaat[[#This Row],[uren / jaar werkdagen]]</f>
        <v>0</v>
      </c>
      <c r="AG1373" s="61">
        <f>Ruimtestaat[[#This Row],[kosten / jaar weekend]]+Ruimtestaat[[#This Row],[kosten / jaar werkdagen]]</f>
        <v>0</v>
      </c>
      <c r="AH1373" s="92"/>
      <c r="HL1373" s="59"/>
    </row>
    <row r="1374" spans="1:220">
      <c r="A1374" s="24">
        <v>8</v>
      </c>
      <c r="B1374" s="24" t="str">
        <f>VLOOKUP(Ruimtestaat[[#This Row],[Code]],Locaties[#All],2,FALSE)</f>
        <v>Arkelstijn</v>
      </c>
      <c r="C1374" s="24" t="str">
        <f>VLOOKUP(Ruimtestaat[[#This Row],[Code]],Locaties[#All],4,FALSE)</f>
        <v>Arkelstein 8</v>
      </c>
      <c r="D1374" s="24" t="str">
        <f>VLOOKUP(Ruimtestaat[[#This Row],[Code]],Locaties[#All],5,FALSE)</f>
        <v>7414 EP</v>
      </c>
      <c r="E1374" s="24" t="str">
        <f>VLOOKUP(Ruimtestaat[[#This Row],[Code]],Locaties[#All],6,FALSE)</f>
        <v>Deventer</v>
      </c>
      <c r="F1374" s="54"/>
      <c r="G1374" s="24" t="s">
        <v>367</v>
      </c>
      <c r="H1374" s="24" t="s">
        <v>1836</v>
      </c>
      <c r="I1374" s="4" t="s">
        <v>402</v>
      </c>
      <c r="J1374" s="24">
        <v>5</v>
      </c>
      <c r="K1374" s="54" t="str">
        <f>VLOOKUP(J1374,Ruimtegroepen[],2,FALSE)</f>
        <v>Sanitair</v>
      </c>
      <c r="L1374" s="24" t="s">
        <v>305</v>
      </c>
      <c r="M1374" s="24" t="s">
        <v>1837</v>
      </c>
      <c r="N1374" s="83">
        <v>1.47</v>
      </c>
      <c r="O1374" s="83"/>
      <c r="P1374" s="93" t="str">
        <f>LEFT(VLOOKUP(Ruimtestaat[[#This Row],[Ruimte code]],Ruimtegroepen[#All],4,1),2)</f>
        <v>Sa</v>
      </c>
      <c r="Q1374" s="93"/>
      <c r="R1374" s="84">
        <v>42</v>
      </c>
      <c r="S1374" s="84" t="s">
        <v>316</v>
      </c>
      <c r="T1374" s="85">
        <f>IF(R1374&gt;0,IF(RIGHT(Ruimtestaat[[#This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74" s="85">
        <f>IF(T1374&gt;0,VLOOKUP($J1374,Ruimtegroepen[],3,FALSE)*VLOOKUP($L1374,Vloersoorten[],3,FALSE)*VLOOKUP($S1374,Frequenties[],3,FALSE)*VLOOKUP($A1374,Locaties[],3,FALSE),0)</f>
        <v>0</v>
      </c>
      <c r="V1374" s="86">
        <f>Ruimtestaat[[#This Row],[Uitvoeringen werkdagen]]*Ruimtestaat[[#This Row],[Oppervlak (netto)]]</f>
        <v>617.4</v>
      </c>
      <c r="W1374" s="87">
        <f>IF(U1374&gt;0,Ruimtestaat[[#This Row],[Prest. (m2 /jaar) werkdagen]]/Ruimtestaat[[#This Row],[Norm (m2/uur) werkdagen]],0)</f>
        <v>0</v>
      </c>
      <c r="X1374" s="88">
        <f>Ruimtestaat[[#This Row],[uren / jaar werkdagen]]*Tariefsopbouw!$E$35</f>
        <v>0</v>
      </c>
      <c r="Y1374" s="85"/>
      <c r="Z1374" s="89">
        <f>IF(Ruimtestaat[[#This Row],[Frequentie weekend]]&gt;0,VALUE(LEFT(Y1374,1))*R1374,0)</f>
        <v>0</v>
      </c>
      <c r="AA1374" s="85">
        <f>IF($Z1374&gt;0,VLOOKUP($J1374,Ruimtegroepen[],3,FALSE)*VLOOKUP($L1374,Vloersoorten[],3,FALSE)*VLOOKUP($Y1374,Frequenties[],3,FALSE)*VLOOKUP(#REF!,Locaties[],3,FALSE),0)</f>
        <v>0</v>
      </c>
      <c r="AB1374" s="87">
        <f>Ruimtestaat[[#This Row],[Uitvoeringen weekend]]*Ruimtestaat[[#This Row],[Oppervlak (netto)]]</f>
        <v>0</v>
      </c>
      <c r="AC1374" s="90">
        <f>IF(AB1374&gt;0,Ruimtestaat[[#This Row],[Prest. (m2 /jaar) weekend]]/Ruimtestaat[[#This Row],[Norm (m2/uur) weekend]],0)</f>
        <v>0</v>
      </c>
      <c r="AD1374" s="91">
        <f>Ruimtestaat[[#This Row],[uren / jaar weekend]]*Tariefsopbouw!$D$40</f>
        <v>0</v>
      </c>
      <c r="AE1374" s="60">
        <f>Ruimtestaat[[#This Row],[Prest. (m2 /jaar) weekend]]+Ruimtestaat[[#This Row],[Prest. (m2 /jaar) werkdagen]]</f>
        <v>617.4</v>
      </c>
      <c r="AF1374" s="60">
        <f>Ruimtestaat[[#This Row],[uren / jaar weekend]]+Ruimtestaat[[#This Row],[uren / jaar werkdagen]]</f>
        <v>0</v>
      </c>
      <c r="AG1374" s="61">
        <f>Ruimtestaat[[#This Row],[kosten / jaar weekend]]+Ruimtestaat[[#This Row],[kosten / jaar werkdagen]]</f>
        <v>0</v>
      </c>
      <c r="AH1374" s="92"/>
      <c r="HL1374" s="59"/>
    </row>
    <row r="1375" spans="1:220">
      <c r="A1375" s="24">
        <v>8</v>
      </c>
      <c r="B1375" s="24" t="str">
        <f>VLOOKUP(Ruimtestaat[[#This Row],[Code]],Locaties[#All],2,FALSE)</f>
        <v>Arkelstijn</v>
      </c>
      <c r="C1375" s="24" t="str">
        <f>VLOOKUP(Ruimtestaat[[#This Row],[Code]],Locaties[#All],4,FALSE)</f>
        <v>Arkelstein 8</v>
      </c>
      <c r="D1375" s="24" t="str">
        <f>VLOOKUP(Ruimtestaat[[#This Row],[Code]],Locaties[#All],5,FALSE)</f>
        <v>7414 EP</v>
      </c>
      <c r="E1375" s="24" t="str">
        <f>VLOOKUP(Ruimtestaat[[#This Row],[Code]],Locaties[#All],6,FALSE)</f>
        <v>Deventer</v>
      </c>
      <c r="F1375" s="54"/>
      <c r="G1375" s="24" t="s">
        <v>367</v>
      </c>
      <c r="H1375" s="24" t="s">
        <v>1838</v>
      </c>
      <c r="I1375" s="4" t="s">
        <v>691</v>
      </c>
      <c r="J1375" s="24">
        <v>22</v>
      </c>
      <c r="K1375" s="54" t="str">
        <f>VLOOKUP(J1375,Ruimtegroepen[],2,FALSE)</f>
        <v>Niet in onderhoud</v>
      </c>
      <c r="L1375" s="24" t="s">
        <v>305</v>
      </c>
      <c r="M1375" s="24" t="s">
        <v>1757</v>
      </c>
      <c r="N1375" s="83"/>
      <c r="O1375" s="83">
        <v>1.06</v>
      </c>
      <c r="P1375" s="93" t="str">
        <f>LEFT(VLOOKUP(Ruimtestaat[[#This Row],[Ruimte code]],Ruimtegroepen[#All],4,1),2)</f>
        <v/>
      </c>
      <c r="Q1375" s="93"/>
      <c r="R1375" s="84"/>
      <c r="S1375" s="84"/>
      <c r="T1375" s="85">
        <f>IF(R1375&gt;0,IF(RIGHT(Ruimtestaat[[#This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75" s="85">
        <f>IF(T1375&gt;0,VLOOKUP($J1375,Ruimtegroepen[],3,FALSE)*VLOOKUP($L1375,Vloersoorten[],3,FALSE)*VLOOKUP($S1375,Frequenties[],3,FALSE)*VLOOKUP($A1375,Locaties[],3,FALSE),0)</f>
        <v>0</v>
      </c>
      <c r="V1375" s="86">
        <f>Ruimtestaat[[#This Row],[Uitvoeringen werkdagen]]*Ruimtestaat[[#This Row],[Oppervlak (netto)]]</f>
        <v>0</v>
      </c>
      <c r="W1375" s="87">
        <f>IF(U1375&gt;0,Ruimtestaat[[#This Row],[Prest. (m2 /jaar) werkdagen]]/Ruimtestaat[[#This Row],[Norm (m2/uur) werkdagen]],0)</f>
        <v>0</v>
      </c>
      <c r="X1375" s="88">
        <f>Ruimtestaat[[#This Row],[uren / jaar werkdagen]]*Tariefsopbouw!$E$35</f>
        <v>0</v>
      </c>
      <c r="Y1375" s="85"/>
      <c r="Z1375" s="89">
        <f>IF(Ruimtestaat[[#This Row],[Frequentie weekend]]&gt;0,VALUE(LEFT(Y1375,1))*R1375,0)</f>
        <v>0</v>
      </c>
      <c r="AA1375" s="85">
        <f>IF($Z1375&gt;0,VLOOKUP($J1375,Ruimtegroepen[],3,FALSE)*VLOOKUP($L1375,Vloersoorten[],3,FALSE)*VLOOKUP($Y1375,Frequenties[],3,FALSE)*VLOOKUP(#REF!,Locaties[],3,FALSE),0)</f>
        <v>0</v>
      </c>
      <c r="AB1375" s="87">
        <f>Ruimtestaat[[#This Row],[Uitvoeringen weekend]]*Ruimtestaat[[#This Row],[Oppervlak (netto)]]</f>
        <v>0</v>
      </c>
      <c r="AC1375" s="90">
        <f>IF(AB1375&gt;0,Ruimtestaat[[#This Row],[Prest. (m2 /jaar) weekend]]/Ruimtestaat[[#This Row],[Norm (m2/uur) weekend]],0)</f>
        <v>0</v>
      </c>
      <c r="AD1375" s="91">
        <f>Ruimtestaat[[#This Row],[uren / jaar weekend]]*Tariefsopbouw!$D$40</f>
        <v>0</v>
      </c>
      <c r="AE1375" s="60">
        <f>Ruimtestaat[[#This Row],[Prest. (m2 /jaar) weekend]]+Ruimtestaat[[#This Row],[Prest. (m2 /jaar) werkdagen]]</f>
        <v>0</v>
      </c>
      <c r="AF1375" s="60">
        <f>Ruimtestaat[[#This Row],[uren / jaar weekend]]+Ruimtestaat[[#This Row],[uren / jaar werkdagen]]</f>
        <v>0</v>
      </c>
      <c r="AG1375" s="61">
        <f>Ruimtestaat[[#This Row],[kosten / jaar weekend]]+Ruimtestaat[[#This Row],[kosten / jaar werkdagen]]</f>
        <v>0</v>
      </c>
      <c r="AH1375" s="92"/>
      <c r="HL1375" s="59"/>
    </row>
    <row r="1376" spans="1:220">
      <c r="A1376" s="24">
        <v>8</v>
      </c>
      <c r="B1376" s="24" t="str">
        <f>VLOOKUP(Ruimtestaat[[#This Row],[Code]],Locaties[#All],2,FALSE)</f>
        <v>Arkelstijn</v>
      </c>
      <c r="C1376" s="24" t="str">
        <f>VLOOKUP(Ruimtestaat[[#This Row],[Code]],Locaties[#All],4,FALSE)</f>
        <v>Arkelstein 8</v>
      </c>
      <c r="D1376" s="24" t="str">
        <f>VLOOKUP(Ruimtestaat[[#This Row],[Code]],Locaties[#All],5,FALSE)</f>
        <v>7414 EP</v>
      </c>
      <c r="E1376" s="24" t="str">
        <f>VLOOKUP(Ruimtestaat[[#This Row],[Code]],Locaties[#All],6,FALSE)</f>
        <v>Deventer</v>
      </c>
      <c r="F1376" s="54"/>
      <c r="G1376" s="24" t="s">
        <v>367</v>
      </c>
      <c r="H1376" s="24" t="s">
        <v>1839</v>
      </c>
      <c r="I1376" s="4" t="s">
        <v>375</v>
      </c>
      <c r="J1376" s="24">
        <v>22</v>
      </c>
      <c r="K1376" s="54" t="str">
        <f>VLOOKUP(J1376,Ruimtegroepen[],2,FALSE)</f>
        <v>Niet in onderhoud</v>
      </c>
      <c r="L1376" s="24" t="s">
        <v>305</v>
      </c>
      <c r="M1376" s="24" t="s">
        <v>1757</v>
      </c>
      <c r="N1376" s="83"/>
      <c r="O1376" s="83">
        <v>2.94</v>
      </c>
      <c r="P1376" s="93" t="str">
        <f>LEFT(VLOOKUP(Ruimtestaat[[#This Row],[Ruimte code]],Ruimtegroepen[#All],4,1),2)</f>
        <v/>
      </c>
      <c r="Q1376" s="93"/>
      <c r="R1376" s="84"/>
      <c r="S1376" s="84"/>
      <c r="T1376" s="85">
        <f>IF(R1376&gt;0,IF(RIGHT(Ruimtestaat[[#This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76" s="85">
        <f>IF(T1376&gt;0,VLOOKUP($J1376,Ruimtegroepen[],3,FALSE)*VLOOKUP($L1376,Vloersoorten[],3,FALSE)*VLOOKUP($S1376,Frequenties[],3,FALSE)*VLOOKUP($A1376,Locaties[],3,FALSE),0)</f>
        <v>0</v>
      </c>
      <c r="V1376" s="86">
        <f>Ruimtestaat[[#This Row],[Uitvoeringen werkdagen]]*Ruimtestaat[[#This Row],[Oppervlak (netto)]]</f>
        <v>0</v>
      </c>
      <c r="W1376" s="87">
        <f>IF(U1376&gt;0,Ruimtestaat[[#This Row],[Prest. (m2 /jaar) werkdagen]]/Ruimtestaat[[#This Row],[Norm (m2/uur) werkdagen]],0)</f>
        <v>0</v>
      </c>
      <c r="X1376" s="88">
        <f>Ruimtestaat[[#This Row],[uren / jaar werkdagen]]*Tariefsopbouw!$E$35</f>
        <v>0</v>
      </c>
      <c r="Y1376" s="85"/>
      <c r="Z1376" s="89">
        <f>IF(Ruimtestaat[[#This Row],[Frequentie weekend]]&gt;0,VALUE(LEFT(Y1376,1))*R1376,0)</f>
        <v>0</v>
      </c>
      <c r="AA1376" s="85">
        <f>IF($Z1376&gt;0,VLOOKUP($J1376,Ruimtegroepen[],3,FALSE)*VLOOKUP($L1376,Vloersoorten[],3,FALSE)*VLOOKUP($Y1376,Frequenties[],3,FALSE)*VLOOKUP(#REF!,Locaties[],3,FALSE),0)</f>
        <v>0</v>
      </c>
      <c r="AB1376" s="87">
        <f>Ruimtestaat[[#This Row],[Uitvoeringen weekend]]*Ruimtestaat[[#This Row],[Oppervlak (netto)]]</f>
        <v>0</v>
      </c>
      <c r="AC1376" s="90">
        <f>IF(AB1376&gt;0,Ruimtestaat[[#This Row],[Prest. (m2 /jaar) weekend]]/Ruimtestaat[[#This Row],[Norm (m2/uur) weekend]],0)</f>
        <v>0</v>
      </c>
      <c r="AD1376" s="91">
        <f>Ruimtestaat[[#This Row],[uren / jaar weekend]]*Tariefsopbouw!$D$40</f>
        <v>0</v>
      </c>
      <c r="AE1376" s="60">
        <f>Ruimtestaat[[#This Row],[Prest. (m2 /jaar) weekend]]+Ruimtestaat[[#This Row],[Prest. (m2 /jaar) werkdagen]]</f>
        <v>0</v>
      </c>
      <c r="AF1376" s="60">
        <f>Ruimtestaat[[#This Row],[uren / jaar weekend]]+Ruimtestaat[[#This Row],[uren / jaar werkdagen]]</f>
        <v>0</v>
      </c>
      <c r="AG1376" s="61">
        <f>Ruimtestaat[[#This Row],[kosten / jaar weekend]]+Ruimtestaat[[#This Row],[kosten / jaar werkdagen]]</f>
        <v>0</v>
      </c>
      <c r="AH1376" s="92"/>
      <c r="HL1376" s="59"/>
    </row>
    <row r="1377" spans="1:220">
      <c r="A1377" s="24">
        <v>8</v>
      </c>
      <c r="B1377" s="24" t="str">
        <f>VLOOKUP(Ruimtestaat[[#This Row],[Code]],Locaties[#All],2,FALSE)</f>
        <v>Arkelstijn</v>
      </c>
      <c r="C1377" s="24" t="str">
        <f>VLOOKUP(Ruimtestaat[[#This Row],[Code]],Locaties[#All],4,FALSE)</f>
        <v>Arkelstein 8</v>
      </c>
      <c r="D1377" s="24" t="str">
        <f>VLOOKUP(Ruimtestaat[[#This Row],[Code]],Locaties[#All],5,FALSE)</f>
        <v>7414 EP</v>
      </c>
      <c r="E1377" s="24" t="str">
        <f>VLOOKUP(Ruimtestaat[[#This Row],[Code]],Locaties[#All],6,FALSE)</f>
        <v>Deventer</v>
      </c>
      <c r="F1377" s="54"/>
      <c r="G1377" s="24" t="s">
        <v>367</v>
      </c>
      <c r="H1377" s="24" t="s">
        <v>1840</v>
      </c>
      <c r="I1377" s="4" t="s">
        <v>1841</v>
      </c>
      <c r="J1377" s="24">
        <v>17</v>
      </c>
      <c r="K1377" s="54" t="str">
        <f>VLOOKUP(J1377,Ruimtegroepen[],2,FALSE)</f>
        <v>Toestelberging</v>
      </c>
      <c r="L1377" s="24" t="s">
        <v>305</v>
      </c>
      <c r="M1377" s="24" t="s">
        <v>1787</v>
      </c>
      <c r="N1377" s="83">
        <v>1.52</v>
      </c>
      <c r="O1377" s="83"/>
      <c r="P1377" s="93" t="str">
        <f>LEFT(VLOOKUP(Ruimtestaat[[#This Row],[Ruimte code]],Ruimtegroepen[#All],4,1),2)</f>
        <v>Ve</v>
      </c>
      <c r="Q1377" s="93"/>
      <c r="R1377" s="84">
        <v>40</v>
      </c>
      <c r="S1377" s="84" t="s">
        <v>328</v>
      </c>
      <c r="T1377" s="85">
        <f>IF(R1377&gt;0,IF(RIGHT(Ruimtestaat[[#This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1377" s="85">
        <f>IF(T1377&gt;0,VLOOKUP($J1377,Ruimtegroepen[],3,FALSE)*VLOOKUP($L1377,Vloersoorten[],3,FALSE)*VLOOKUP($S1377,Frequenties[],3,FALSE)*VLOOKUP($A1377,Locaties[],3,FALSE),0)</f>
        <v>0</v>
      </c>
      <c r="V1377" s="86">
        <f>Ruimtestaat[[#This Row],[Uitvoeringen werkdagen]]*Ruimtestaat[[#This Row],[Oppervlak (netto)]]</f>
        <v>60.8</v>
      </c>
      <c r="W1377" s="87">
        <f>IF(U1377&gt;0,Ruimtestaat[[#This Row],[Prest. (m2 /jaar) werkdagen]]/Ruimtestaat[[#This Row],[Norm (m2/uur) werkdagen]],0)</f>
        <v>0</v>
      </c>
      <c r="X1377" s="88">
        <f>Ruimtestaat[[#This Row],[uren / jaar werkdagen]]*Tariefsopbouw!$E$35</f>
        <v>0</v>
      </c>
      <c r="Y1377" s="85"/>
      <c r="Z1377" s="89">
        <f>IF(Ruimtestaat[[#This Row],[Frequentie weekend]]&gt;0,VALUE(LEFT(Y1377,1))*R1377,0)</f>
        <v>0</v>
      </c>
      <c r="AA1377" s="85">
        <f>IF($Z1377&gt;0,VLOOKUP($J1377,Ruimtegroepen[],3,FALSE)*VLOOKUP($L1377,Vloersoorten[],3,FALSE)*VLOOKUP($Y1377,Frequenties[],3,FALSE)*VLOOKUP(#REF!,Locaties[],3,FALSE),0)</f>
        <v>0</v>
      </c>
      <c r="AB1377" s="87">
        <f>Ruimtestaat[[#This Row],[Uitvoeringen weekend]]*Ruimtestaat[[#This Row],[Oppervlak (netto)]]</f>
        <v>0</v>
      </c>
      <c r="AC1377" s="90">
        <f>IF(AB1377&gt;0,Ruimtestaat[[#This Row],[Prest. (m2 /jaar) weekend]]/Ruimtestaat[[#This Row],[Norm (m2/uur) weekend]],0)</f>
        <v>0</v>
      </c>
      <c r="AD1377" s="91">
        <f>Ruimtestaat[[#This Row],[uren / jaar weekend]]*Tariefsopbouw!$D$40</f>
        <v>0</v>
      </c>
      <c r="AE1377" s="60">
        <f>Ruimtestaat[[#This Row],[Prest. (m2 /jaar) weekend]]+Ruimtestaat[[#This Row],[Prest. (m2 /jaar) werkdagen]]</f>
        <v>60.8</v>
      </c>
      <c r="AF1377" s="60">
        <f>Ruimtestaat[[#This Row],[uren / jaar weekend]]+Ruimtestaat[[#This Row],[uren / jaar werkdagen]]</f>
        <v>0</v>
      </c>
      <c r="AG1377" s="61">
        <f>Ruimtestaat[[#This Row],[kosten / jaar weekend]]+Ruimtestaat[[#This Row],[kosten / jaar werkdagen]]</f>
        <v>0</v>
      </c>
      <c r="AH1377" s="92"/>
      <c r="HL1377" s="59"/>
    </row>
    <row r="1378" spans="1:220">
      <c r="A1378" s="24">
        <v>8</v>
      </c>
      <c r="B1378" s="24" t="str">
        <f>VLOOKUP(Ruimtestaat[[#This Row],[Code]],Locaties[#All],2,FALSE)</f>
        <v>Arkelstijn</v>
      </c>
      <c r="C1378" s="24" t="str">
        <f>VLOOKUP(Ruimtestaat[[#This Row],[Code]],Locaties[#All],4,FALSE)</f>
        <v>Arkelstein 8</v>
      </c>
      <c r="D1378" s="24" t="str">
        <f>VLOOKUP(Ruimtestaat[[#This Row],[Code]],Locaties[#All],5,FALSE)</f>
        <v>7414 EP</v>
      </c>
      <c r="E1378" s="24" t="str">
        <f>VLOOKUP(Ruimtestaat[[#This Row],[Code]],Locaties[#All],6,FALSE)</f>
        <v>Deventer</v>
      </c>
      <c r="F1378" s="54"/>
      <c r="G1378" s="24" t="s">
        <v>367</v>
      </c>
      <c r="H1378" s="24" t="s">
        <v>1842</v>
      </c>
      <c r="I1378" s="4" t="s">
        <v>487</v>
      </c>
      <c r="J1378" s="24">
        <v>6</v>
      </c>
      <c r="K1378" s="54" t="str">
        <f>VLOOKUP(J1378,Ruimtegroepen[],2,FALSE)</f>
        <v>Gangen/hallen</v>
      </c>
      <c r="L1378" s="24" t="s">
        <v>300</v>
      </c>
      <c r="M1378" s="24" t="s">
        <v>1765</v>
      </c>
      <c r="N1378" s="83">
        <v>89.82</v>
      </c>
      <c r="O1378" s="83"/>
      <c r="P1378" s="93" t="str">
        <f>LEFT(VLOOKUP(Ruimtestaat[[#This Row],[Ruimte code]],Ruimtegroepen[#All],4,1),2)</f>
        <v>Ve</v>
      </c>
      <c r="Q1378" s="93"/>
      <c r="R1378" s="84">
        <v>40</v>
      </c>
      <c r="S1378" s="84" t="s">
        <v>318</v>
      </c>
      <c r="T1378" s="85">
        <f>IF(R1378&gt;0,IF(RIGHT(Ruimtestaat[[#This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78" s="85">
        <f>IF(T1378&gt;0,VLOOKUP($J1378,Ruimtegroepen[],3,FALSE)*VLOOKUP($L1378,Vloersoorten[],3,FALSE)*VLOOKUP($S1378,Frequenties[],3,FALSE)*VLOOKUP($A1378,Locaties[],3,FALSE),0)</f>
        <v>0</v>
      </c>
      <c r="V1378" s="86">
        <f>Ruimtestaat[[#This Row],[Uitvoeringen werkdagen]]*Ruimtestaat[[#This Row],[Oppervlak (netto)]]</f>
        <v>17964</v>
      </c>
      <c r="W1378" s="87">
        <f>IF(U1378&gt;0,Ruimtestaat[[#This Row],[Prest. (m2 /jaar) werkdagen]]/Ruimtestaat[[#This Row],[Norm (m2/uur) werkdagen]],0)</f>
        <v>0</v>
      </c>
      <c r="X1378" s="88">
        <f>Ruimtestaat[[#This Row],[uren / jaar werkdagen]]*Tariefsopbouw!$E$35</f>
        <v>0</v>
      </c>
      <c r="Y1378" s="85"/>
      <c r="Z1378" s="89">
        <f>IF(Ruimtestaat[[#This Row],[Frequentie weekend]]&gt;0,VALUE(LEFT(Y1378,1))*R1378,0)</f>
        <v>0</v>
      </c>
      <c r="AA1378" s="85">
        <f>IF($Z1378&gt;0,VLOOKUP($J1378,Ruimtegroepen[],3,FALSE)*VLOOKUP($L1378,Vloersoorten[],3,FALSE)*VLOOKUP($Y1378,Frequenties[],3,FALSE)*VLOOKUP(#REF!,Locaties[],3,FALSE),0)</f>
        <v>0</v>
      </c>
      <c r="AB1378" s="87">
        <f>Ruimtestaat[[#This Row],[Uitvoeringen weekend]]*Ruimtestaat[[#This Row],[Oppervlak (netto)]]</f>
        <v>0</v>
      </c>
      <c r="AC1378" s="90">
        <f>IF(AB1378&gt;0,Ruimtestaat[[#This Row],[Prest. (m2 /jaar) weekend]]/Ruimtestaat[[#This Row],[Norm (m2/uur) weekend]],0)</f>
        <v>0</v>
      </c>
      <c r="AD1378" s="91">
        <f>Ruimtestaat[[#This Row],[uren / jaar weekend]]*Tariefsopbouw!$D$40</f>
        <v>0</v>
      </c>
      <c r="AE1378" s="60">
        <f>Ruimtestaat[[#This Row],[Prest. (m2 /jaar) weekend]]+Ruimtestaat[[#This Row],[Prest. (m2 /jaar) werkdagen]]</f>
        <v>17964</v>
      </c>
      <c r="AF1378" s="60">
        <f>Ruimtestaat[[#This Row],[uren / jaar weekend]]+Ruimtestaat[[#This Row],[uren / jaar werkdagen]]</f>
        <v>0</v>
      </c>
      <c r="AG1378" s="61">
        <f>Ruimtestaat[[#This Row],[kosten / jaar weekend]]+Ruimtestaat[[#This Row],[kosten / jaar werkdagen]]</f>
        <v>0</v>
      </c>
      <c r="AH1378" s="92"/>
      <c r="HL1378" s="59"/>
    </row>
    <row r="1379" spans="1:220">
      <c r="A1379" s="24">
        <v>8</v>
      </c>
      <c r="B1379" s="24" t="str">
        <f>VLOOKUP(Ruimtestaat[[#This Row],[Code]],Locaties[#All],2,FALSE)</f>
        <v>Arkelstijn</v>
      </c>
      <c r="C1379" s="24" t="str">
        <f>VLOOKUP(Ruimtestaat[[#This Row],[Code]],Locaties[#All],4,FALSE)</f>
        <v>Arkelstein 8</v>
      </c>
      <c r="D1379" s="24" t="str">
        <f>VLOOKUP(Ruimtestaat[[#This Row],[Code]],Locaties[#All],5,FALSE)</f>
        <v>7414 EP</v>
      </c>
      <c r="E1379" s="24" t="str">
        <f>VLOOKUP(Ruimtestaat[[#This Row],[Code]],Locaties[#All],6,FALSE)</f>
        <v>Deventer</v>
      </c>
      <c r="F1379" s="54"/>
      <c r="G1379" s="24" t="s">
        <v>367</v>
      </c>
      <c r="H1379" s="24" t="s">
        <v>1843</v>
      </c>
      <c r="I1379" s="4" t="s">
        <v>375</v>
      </c>
      <c r="J1379" s="24">
        <v>22</v>
      </c>
      <c r="K1379" s="54" t="str">
        <f>VLOOKUP(J1379,Ruimtegroepen[],2,FALSE)</f>
        <v>Niet in onderhoud</v>
      </c>
      <c r="L1379" s="24" t="s">
        <v>300</v>
      </c>
      <c r="M1379" s="24" t="s">
        <v>1765</v>
      </c>
      <c r="N1379" s="83"/>
      <c r="O1379" s="83">
        <v>0.46</v>
      </c>
      <c r="P1379" s="93" t="str">
        <f>LEFT(VLOOKUP(Ruimtestaat[[#This Row],[Ruimte code]],Ruimtegroepen[#All],4,1),2)</f>
        <v/>
      </c>
      <c r="Q1379" s="93"/>
      <c r="R1379" s="84"/>
      <c r="S1379" s="84"/>
      <c r="T1379" s="85">
        <f>IF(R1379&gt;0,IF(RIGHT(Ruimtestaat[[#This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79" s="85">
        <f>IF(T1379&gt;0,VLOOKUP($J1379,Ruimtegroepen[],3,FALSE)*VLOOKUP($L1379,Vloersoorten[],3,FALSE)*VLOOKUP($S1379,Frequenties[],3,FALSE)*VLOOKUP($A1379,Locaties[],3,FALSE),0)</f>
        <v>0</v>
      </c>
      <c r="V1379" s="86">
        <f>Ruimtestaat[[#This Row],[Uitvoeringen werkdagen]]*Ruimtestaat[[#This Row],[Oppervlak (netto)]]</f>
        <v>0</v>
      </c>
      <c r="W1379" s="87">
        <f>IF(U1379&gt;0,Ruimtestaat[[#This Row],[Prest. (m2 /jaar) werkdagen]]/Ruimtestaat[[#This Row],[Norm (m2/uur) werkdagen]],0)</f>
        <v>0</v>
      </c>
      <c r="X1379" s="88">
        <f>Ruimtestaat[[#This Row],[uren / jaar werkdagen]]*Tariefsopbouw!$E$35</f>
        <v>0</v>
      </c>
      <c r="Y1379" s="85"/>
      <c r="Z1379" s="89">
        <f>IF(Ruimtestaat[[#This Row],[Frequentie weekend]]&gt;0,VALUE(LEFT(Y1379,1))*R1379,0)</f>
        <v>0</v>
      </c>
      <c r="AA1379" s="85">
        <f>IF($Z1379&gt;0,VLOOKUP($J1379,Ruimtegroepen[],3,FALSE)*VLOOKUP($L1379,Vloersoorten[],3,FALSE)*VLOOKUP($Y1379,Frequenties[],3,FALSE)*VLOOKUP(#REF!,Locaties[],3,FALSE),0)</f>
        <v>0</v>
      </c>
      <c r="AB1379" s="87">
        <f>Ruimtestaat[[#This Row],[Uitvoeringen weekend]]*Ruimtestaat[[#This Row],[Oppervlak (netto)]]</f>
        <v>0</v>
      </c>
      <c r="AC1379" s="90">
        <f>IF(AB1379&gt;0,Ruimtestaat[[#This Row],[Prest. (m2 /jaar) weekend]]/Ruimtestaat[[#This Row],[Norm (m2/uur) weekend]],0)</f>
        <v>0</v>
      </c>
      <c r="AD1379" s="91">
        <f>Ruimtestaat[[#This Row],[uren / jaar weekend]]*Tariefsopbouw!$D$40</f>
        <v>0</v>
      </c>
      <c r="AE1379" s="60">
        <f>Ruimtestaat[[#This Row],[Prest. (m2 /jaar) weekend]]+Ruimtestaat[[#This Row],[Prest. (m2 /jaar) werkdagen]]</f>
        <v>0</v>
      </c>
      <c r="AF1379" s="60">
        <f>Ruimtestaat[[#This Row],[uren / jaar weekend]]+Ruimtestaat[[#This Row],[uren / jaar werkdagen]]</f>
        <v>0</v>
      </c>
      <c r="AG1379" s="61">
        <f>Ruimtestaat[[#This Row],[kosten / jaar weekend]]+Ruimtestaat[[#This Row],[kosten / jaar werkdagen]]</f>
        <v>0</v>
      </c>
      <c r="AH1379" s="92"/>
      <c r="HL1379" s="59"/>
    </row>
    <row r="1380" spans="1:220">
      <c r="A1380" s="24">
        <v>8</v>
      </c>
      <c r="B1380" s="24" t="str">
        <f>VLOOKUP(Ruimtestaat[[#This Row],[Code]],Locaties[#All],2,FALSE)</f>
        <v>Arkelstijn</v>
      </c>
      <c r="C1380" s="24" t="str">
        <f>VLOOKUP(Ruimtestaat[[#This Row],[Code]],Locaties[#All],4,FALSE)</f>
        <v>Arkelstein 8</v>
      </c>
      <c r="D1380" s="24" t="str">
        <f>VLOOKUP(Ruimtestaat[[#This Row],[Code]],Locaties[#All],5,FALSE)</f>
        <v>7414 EP</v>
      </c>
      <c r="E1380" s="24" t="str">
        <f>VLOOKUP(Ruimtestaat[[#This Row],[Code]],Locaties[#All],6,FALSE)</f>
        <v>Deventer</v>
      </c>
      <c r="F1380" s="54"/>
      <c r="G1380" s="24" t="s">
        <v>367</v>
      </c>
      <c r="H1380" s="24" t="s">
        <v>1844</v>
      </c>
      <c r="I1380" s="4" t="s">
        <v>487</v>
      </c>
      <c r="J1380" s="24">
        <v>6</v>
      </c>
      <c r="K1380" s="54" t="str">
        <f>VLOOKUP(J1380,Ruimtegroepen[],2,FALSE)</f>
        <v>Gangen/hallen</v>
      </c>
      <c r="L1380" s="24" t="s">
        <v>305</v>
      </c>
      <c r="M1380" s="24" t="s">
        <v>1757</v>
      </c>
      <c r="N1380" s="83">
        <v>34.1</v>
      </c>
      <c r="O1380" s="83"/>
      <c r="P1380" s="93" t="str">
        <f>LEFT(VLOOKUP(Ruimtestaat[[#This Row],[Ruimte code]],Ruimtegroepen[#All],4,1),2)</f>
        <v>Ve</v>
      </c>
      <c r="Q1380" s="93"/>
      <c r="R1380" s="84">
        <v>40</v>
      </c>
      <c r="S1380" s="84" t="s">
        <v>318</v>
      </c>
      <c r="T1380" s="85">
        <f>IF(R1380&gt;0,IF(RIGHT(Ruimtestaat[[#This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0" s="85">
        <f>IF(T1380&gt;0,VLOOKUP($J1380,Ruimtegroepen[],3,FALSE)*VLOOKUP($L1380,Vloersoorten[],3,FALSE)*VLOOKUP($S1380,Frequenties[],3,FALSE)*VLOOKUP($A1380,Locaties[],3,FALSE),0)</f>
        <v>0</v>
      </c>
      <c r="V1380" s="86">
        <f>Ruimtestaat[[#This Row],[Uitvoeringen werkdagen]]*Ruimtestaat[[#This Row],[Oppervlak (netto)]]</f>
        <v>6820</v>
      </c>
      <c r="W1380" s="87">
        <f>IF(U1380&gt;0,Ruimtestaat[[#This Row],[Prest. (m2 /jaar) werkdagen]]/Ruimtestaat[[#This Row],[Norm (m2/uur) werkdagen]],0)</f>
        <v>0</v>
      </c>
      <c r="X1380" s="88">
        <f>Ruimtestaat[[#This Row],[uren / jaar werkdagen]]*Tariefsopbouw!$E$35</f>
        <v>0</v>
      </c>
      <c r="Y1380" s="85"/>
      <c r="Z1380" s="89">
        <f>IF(Ruimtestaat[[#This Row],[Frequentie weekend]]&gt;0,VALUE(LEFT(Y1380,1))*R1380,0)</f>
        <v>0</v>
      </c>
      <c r="AA1380" s="85">
        <f>IF($Z1380&gt;0,VLOOKUP($J1380,Ruimtegroepen[],3,FALSE)*VLOOKUP($L1380,Vloersoorten[],3,FALSE)*VLOOKUP($Y1380,Frequenties[],3,FALSE)*VLOOKUP(#REF!,Locaties[],3,FALSE),0)</f>
        <v>0</v>
      </c>
      <c r="AB1380" s="87">
        <f>Ruimtestaat[[#This Row],[Uitvoeringen weekend]]*Ruimtestaat[[#This Row],[Oppervlak (netto)]]</f>
        <v>0</v>
      </c>
      <c r="AC1380" s="90">
        <f>IF(AB1380&gt;0,Ruimtestaat[[#This Row],[Prest. (m2 /jaar) weekend]]/Ruimtestaat[[#This Row],[Norm (m2/uur) weekend]],0)</f>
        <v>0</v>
      </c>
      <c r="AD1380" s="91">
        <f>Ruimtestaat[[#This Row],[uren / jaar weekend]]*Tariefsopbouw!$D$40</f>
        <v>0</v>
      </c>
      <c r="AE1380" s="60">
        <f>Ruimtestaat[[#This Row],[Prest. (m2 /jaar) weekend]]+Ruimtestaat[[#This Row],[Prest. (m2 /jaar) werkdagen]]</f>
        <v>6820</v>
      </c>
      <c r="AF1380" s="60">
        <f>Ruimtestaat[[#This Row],[uren / jaar weekend]]+Ruimtestaat[[#This Row],[uren / jaar werkdagen]]</f>
        <v>0</v>
      </c>
      <c r="AG1380" s="61">
        <f>Ruimtestaat[[#This Row],[kosten / jaar weekend]]+Ruimtestaat[[#This Row],[kosten / jaar werkdagen]]</f>
        <v>0</v>
      </c>
      <c r="AH1380" s="92"/>
      <c r="HL1380" s="59"/>
    </row>
    <row r="1381" spans="1:220">
      <c r="A1381" s="24">
        <v>8</v>
      </c>
      <c r="B1381" s="24" t="str">
        <f>VLOOKUP(Ruimtestaat[[#This Row],[Code]],Locaties[#All],2,FALSE)</f>
        <v>Arkelstijn</v>
      </c>
      <c r="C1381" s="24" t="str">
        <f>VLOOKUP(Ruimtestaat[[#This Row],[Code]],Locaties[#All],4,FALSE)</f>
        <v>Arkelstein 8</v>
      </c>
      <c r="D1381" s="24" t="str">
        <f>VLOOKUP(Ruimtestaat[[#This Row],[Code]],Locaties[#All],5,FALSE)</f>
        <v>7414 EP</v>
      </c>
      <c r="E1381" s="24" t="str">
        <f>VLOOKUP(Ruimtestaat[[#This Row],[Code]],Locaties[#All],6,FALSE)</f>
        <v>Deventer</v>
      </c>
      <c r="F1381" s="54"/>
      <c r="G1381" s="24" t="s">
        <v>367</v>
      </c>
      <c r="H1381" s="24" t="s">
        <v>1845</v>
      </c>
      <c r="I1381" s="4" t="s">
        <v>487</v>
      </c>
      <c r="J1381" s="24">
        <v>6</v>
      </c>
      <c r="K1381" s="54" t="str">
        <f>VLOOKUP(J1381,Ruimtegroepen[],2,FALSE)</f>
        <v>Gangen/hallen</v>
      </c>
      <c r="L1381" s="24" t="s">
        <v>305</v>
      </c>
      <c r="M1381" s="24" t="s">
        <v>1757</v>
      </c>
      <c r="N1381" s="83">
        <v>77.239999999999995</v>
      </c>
      <c r="O1381" s="83"/>
      <c r="P1381" s="93" t="str">
        <f>LEFT(VLOOKUP(Ruimtestaat[[#This Row],[Ruimte code]],Ruimtegroepen[#All],4,1),2)</f>
        <v>Ve</v>
      </c>
      <c r="Q1381" s="93"/>
      <c r="R1381" s="84">
        <v>40</v>
      </c>
      <c r="S1381" s="84" t="s">
        <v>318</v>
      </c>
      <c r="T1381" s="85">
        <f>IF(R1381&gt;0,IF(RIGHT(Ruimtestaat[[#This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1" s="85">
        <f>IF(T1381&gt;0,VLOOKUP($J1381,Ruimtegroepen[],3,FALSE)*VLOOKUP($L1381,Vloersoorten[],3,FALSE)*VLOOKUP($S1381,Frequenties[],3,FALSE)*VLOOKUP($A1381,Locaties[],3,FALSE),0)</f>
        <v>0</v>
      </c>
      <c r="V1381" s="86">
        <f>Ruimtestaat[[#This Row],[Uitvoeringen werkdagen]]*Ruimtestaat[[#This Row],[Oppervlak (netto)]]</f>
        <v>15447.999999999998</v>
      </c>
      <c r="W1381" s="87">
        <f>IF(U1381&gt;0,Ruimtestaat[[#This Row],[Prest. (m2 /jaar) werkdagen]]/Ruimtestaat[[#This Row],[Norm (m2/uur) werkdagen]],0)</f>
        <v>0</v>
      </c>
      <c r="X1381" s="88">
        <f>Ruimtestaat[[#This Row],[uren / jaar werkdagen]]*Tariefsopbouw!$E$35</f>
        <v>0</v>
      </c>
      <c r="Y1381" s="85"/>
      <c r="Z1381" s="89">
        <f>IF(Ruimtestaat[[#This Row],[Frequentie weekend]]&gt;0,VALUE(LEFT(Y1381,1))*R1381,0)</f>
        <v>0</v>
      </c>
      <c r="AA1381" s="85">
        <f>IF($Z1381&gt;0,VLOOKUP($J1381,Ruimtegroepen[],3,FALSE)*VLOOKUP($L1381,Vloersoorten[],3,FALSE)*VLOOKUP($Y1381,Frequenties[],3,FALSE)*VLOOKUP(#REF!,Locaties[],3,FALSE),0)</f>
        <v>0</v>
      </c>
      <c r="AB1381" s="87">
        <f>Ruimtestaat[[#This Row],[Uitvoeringen weekend]]*Ruimtestaat[[#This Row],[Oppervlak (netto)]]</f>
        <v>0</v>
      </c>
      <c r="AC1381" s="90">
        <f>IF(AB1381&gt;0,Ruimtestaat[[#This Row],[Prest. (m2 /jaar) weekend]]/Ruimtestaat[[#This Row],[Norm (m2/uur) weekend]],0)</f>
        <v>0</v>
      </c>
      <c r="AD1381" s="91">
        <f>Ruimtestaat[[#This Row],[uren / jaar weekend]]*Tariefsopbouw!$D$40</f>
        <v>0</v>
      </c>
      <c r="AE1381" s="60">
        <f>Ruimtestaat[[#This Row],[Prest. (m2 /jaar) weekend]]+Ruimtestaat[[#This Row],[Prest. (m2 /jaar) werkdagen]]</f>
        <v>15447.999999999998</v>
      </c>
      <c r="AF1381" s="60">
        <f>Ruimtestaat[[#This Row],[uren / jaar weekend]]+Ruimtestaat[[#This Row],[uren / jaar werkdagen]]</f>
        <v>0</v>
      </c>
      <c r="AG1381" s="61">
        <f>Ruimtestaat[[#This Row],[kosten / jaar weekend]]+Ruimtestaat[[#This Row],[kosten / jaar werkdagen]]</f>
        <v>0</v>
      </c>
      <c r="AH1381" s="92"/>
      <c r="HL1381" s="59"/>
    </row>
    <row r="1382" spans="1:220">
      <c r="A1382" s="24">
        <v>8</v>
      </c>
      <c r="B1382" s="24" t="str">
        <f>VLOOKUP(Ruimtestaat[[#This Row],[Code]],Locaties[#All],2,FALSE)</f>
        <v>Arkelstijn</v>
      </c>
      <c r="C1382" s="24" t="str">
        <f>VLOOKUP(Ruimtestaat[[#This Row],[Code]],Locaties[#All],4,FALSE)</f>
        <v>Arkelstein 8</v>
      </c>
      <c r="D1382" s="24" t="str">
        <f>VLOOKUP(Ruimtestaat[[#This Row],[Code]],Locaties[#All],5,FALSE)</f>
        <v>7414 EP</v>
      </c>
      <c r="E1382" s="24" t="str">
        <f>VLOOKUP(Ruimtestaat[[#This Row],[Code]],Locaties[#All],6,FALSE)</f>
        <v>Deventer</v>
      </c>
      <c r="F1382" s="54"/>
      <c r="G1382" s="24" t="s">
        <v>367</v>
      </c>
      <c r="H1382" s="24" t="s">
        <v>1846</v>
      </c>
      <c r="I1382" s="4" t="s">
        <v>487</v>
      </c>
      <c r="J1382" s="24">
        <v>6</v>
      </c>
      <c r="K1382" s="54" t="str">
        <f>VLOOKUP(J1382,Ruimtegroepen[],2,FALSE)</f>
        <v>Gangen/hallen</v>
      </c>
      <c r="L1382" s="24" t="s">
        <v>305</v>
      </c>
      <c r="M1382" s="24" t="s">
        <v>1757</v>
      </c>
      <c r="N1382" s="83">
        <v>17.579999999999998</v>
      </c>
      <c r="O1382" s="83"/>
      <c r="P1382" s="93" t="str">
        <f>LEFT(VLOOKUP(Ruimtestaat[[#This Row],[Ruimte code]],Ruimtegroepen[#All],4,1),2)</f>
        <v>Ve</v>
      </c>
      <c r="Q1382" s="93"/>
      <c r="R1382" s="84">
        <v>40</v>
      </c>
      <c r="S1382" s="84" t="s">
        <v>318</v>
      </c>
      <c r="T1382" s="85">
        <f>IF(R1382&gt;0,IF(RIGHT(Ruimtestaat[[#This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2" s="85">
        <f>IF(T1382&gt;0,VLOOKUP($J1382,Ruimtegroepen[],3,FALSE)*VLOOKUP($L1382,Vloersoorten[],3,FALSE)*VLOOKUP($S1382,Frequenties[],3,FALSE)*VLOOKUP($A1382,Locaties[],3,FALSE),0)</f>
        <v>0</v>
      </c>
      <c r="V1382" s="86">
        <f>Ruimtestaat[[#This Row],[Uitvoeringen werkdagen]]*Ruimtestaat[[#This Row],[Oppervlak (netto)]]</f>
        <v>3515.9999999999995</v>
      </c>
      <c r="W1382" s="87">
        <f>IF(U1382&gt;0,Ruimtestaat[[#This Row],[Prest. (m2 /jaar) werkdagen]]/Ruimtestaat[[#This Row],[Norm (m2/uur) werkdagen]],0)</f>
        <v>0</v>
      </c>
      <c r="X1382" s="88">
        <f>Ruimtestaat[[#This Row],[uren / jaar werkdagen]]*Tariefsopbouw!$E$35</f>
        <v>0</v>
      </c>
      <c r="Y1382" s="85"/>
      <c r="Z1382" s="89">
        <f>IF(Ruimtestaat[[#This Row],[Frequentie weekend]]&gt;0,VALUE(LEFT(Y1382,1))*R1382,0)</f>
        <v>0</v>
      </c>
      <c r="AA1382" s="85">
        <f>IF($Z1382&gt;0,VLOOKUP($J1382,Ruimtegroepen[],3,FALSE)*VLOOKUP($L1382,Vloersoorten[],3,FALSE)*VLOOKUP($Y1382,Frequenties[],3,FALSE)*VLOOKUP(#REF!,Locaties[],3,FALSE),0)</f>
        <v>0</v>
      </c>
      <c r="AB1382" s="87">
        <f>Ruimtestaat[[#This Row],[Uitvoeringen weekend]]*Ruimtestaat[[#This Row],[Oppervlak (netto)]]</f>
        <v>0</v>
      </c>
      <c r="AC1382" s="90">
        <f>IF(AB1382&gt;0,Ruimtestaat[[#This Row],[Prest. (m2 /jaar) weekend]]/Ruimtestaat[[#This Row],[Norm (m2/uur) weekend]],0)</f>
        <v>0</v>
      </c>
      <c r="AD1382" s="91">
        <f>Ruimtestaat[[#This Row],[uren / jaar weekend]]*Tariefsopbouw!$D$40</f>
        <v>0</v>
      </c>
      <c r="AE1382" s="60">
        <f>Ruimtestaat[[#This Row],[Prest. (m2 /jaar) weekend]]+Ruimtestaat[[#This Row],[Prest. (m2 /jaar) werkdagen]]</f>
        <v>3515.9999999999995</v>
      </c>
      <c r="AF1382" s="60">
        <f>Ruimtestaat[[#This Row],[uren / jaar weekend]]+Ruimtestaat[[#This Row],[uren / jaar werkdagen]]</f>
        <v>0</v>
      </c>
      <c r="AG1382" s="61">
        <f>Ruimtestaat[[#This Row],[kosten / jaar weekend]]+Ruimtestaat[[#This Row],[kosten / jaar werkdagen]]</f>
        <v>0</v>
      </c>
      <c r="AH1382" s="92"/>
      <c r="HL1382" s="59"/>
    </row>
    <row r="1383" spans="1:220">
      <c r="A1383" s="24">
        <v>8</v>
      </c>
      <c r="B1383" s="24" t="str">
        <f>VLOOKUP(Ruimtestaat[[#This Row],[Code]],Locaties[#All],2,FALSE)</f>
        <v>Arkelstijn</v>
      </c>
      <c r="C1383" s="24" t="str">
        <f>VLOOKUP(Ruimtestaat[[#This Row],[Code]],Locaties[#All],4,FALSE)</f>
        <v>Arkelstein 8</v>
      </c>
      <c r="D1383" s="24" t="str">
        <f>VLOOKUP(Ruimtestaat[[#This Row],[Code]],Locaties[#All],5,FALSE)</f>
        <v>7414 EP</v>
      </c>
      <c r="E1383" s="24" t="str">
        <f>VLOOKUP(Ruimtestaat[[#This Row],[Code]],Locaties[#All],6,FALSE)</f>
        <v>Deventer</v>
      </c>
      <c r="F1383" s="54"/>
      <c r="G1383" s="24" t="s">
        <v>367</v>
      </c>
      <c r="H1383" s="24" t="s">
        <v>1847</v>
      </c>
      <c r="I1383" s="4" t="s">
        <v>487</v>
      </c>
      <c r="J1383" s="24">
        <v>6</v>
      </c>
      <c r="K1383" s="54" t="str">
        <f>VLOOKUP(J1383,Ruimtegroepen[],2,FALSE)</f>
        <v>Gangen/hallen</v>
      </c>
      <c r="L1383" s="24" t="s">
        <v>305</v>
      </c>
      <c r="M1383" s="24" t="s">
        <v>1757</v>
      </c>
      <c r="N1383" s="83">
        <v>32.68</v>
      </c>
      <c r="O1383" s="83"/>
      <c r="P1383" s="93" t="str">
        <f>LEFT(VLOOKUP(Ruimtestaat[[#This Row],[Ruimte code]],Ruimtegroepen[#All],4,1),2)</f>
        <v>Ve</v>
      </c>
      <c r="Q1383" s="93"/>
      <c r="R1383" s="84">
        <v>40</v>
      </c>
      <c r="S1383" s="84" t="s">
        <v>318</v>
      </c>
      <c r="T1383" s="85">
        <f>IF(R1383&gt;0,IF(RIGHT(Ruimtestaat[[#This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3" s="85">
        <f>IF(T1383&gt;0,VLOOKUP($J1383,Ruimtegroepen[],3,FALSE)*VLOOKUP($L1383,Vloersoorten[],3,FALSE)*VLOOKUP($S1383,Frequenties[],3,FALSE)*VLOOKUP($A1383,Locaties[],3,FALSE),0)</f>
        <v>0</v>
      </c>
      <c r="V1383" s="86">
        <f>Ruimtestaat[[#This Row],[Uitvoeringen werkdagen]]*Ruimtestaat[[#This Row],[Oppervlak (netto)]]</f>
        <v>6536</v>
      </c>
      <c r="W1383" s="87">
        <f>IF(U1383&gt;0,Ruimtestaat[[#This Row],[Prest. (m2 /jaar) werkdagen]]/Ruimtestaat[[#This Row],[Norm (m2/uur) werkdagen]],0)</f>
        <v>0</v>
      </c>
      <c r="X1383" s="88">
        <f>Ruimtestaat[[#This Row],[uren / jaar werkdagen]]*Tariefsopbouw!$E$35</f>
        <v>0</v>
      </c>
      <c r="Y1383" s="85"/>
      <c r="Z1383" s="89">
        <f>IF(Ruimtestaat[[#This Row],[Frequentie weekend]]&gt;0,VALUE(LEFT(Y1383,1))*R1383,0)</f>
        <v>0</v>
      </c>
      <c r="AA1383" s="85">
        <f>IF($Z1383&gt;0,VLOOKUP($J1383,Ruimtegroepen[],3,FALSE)*VLOOKUP($L1383,Vloersoorten[],3,FALSE)*VLOOKUP($Y1383,Frequenties[],3,FALSE)*VLOOKUP(#REF!,Locaties[],3,FALSE),0)</f>
        <v>0</v>
      </c>
      <c r="AB1383" s="87">
        <f>Ruimtestaat[[#This Row],[Uitvoeringen weekend]]*Ruimtestaat[[#This Row],[Oppervlak (netto)]]</f>
        <v>0</v>
      </c>
      <c r="AC1383" s="90">
        <f>IF(AB1383&gt;0,Ruimtestaat[[#This Row],[Prest. (m2 /jaar) weekend]]/Ruimtestaat[[#This Row],[Norm (m2/uur) weekend]],0)</f>
        <v>0</v>
      </c>
      <c r="AD1383" s="91">
        <f>Ruimtestaat[[#This Row],[uren / jaar weekend]]*Tariefsopbouw!$D$40</f>
        <v>0</v>
      </c>
      <c r="AE1383" s="60">
        <f>Ruimtestaat[[#This Row],[Prest. (m2 /jaar) weekend]]+Ruimtestaat[[#This Row],[Prest. (m2 /jaar) werkdagen]]</f>
        <v>6536</v>
      </c>
      <c r="AF1383" s="60">
        <f>Ruimtestaat[[#This Row],[uren / jaar weekend]]+Ruimtestaat[[#This Row],[uren / jaar werkdagen]]</f>
        <v>0</v>
      </c>
      <c r="AG1383" s="61">
        <f>Ruimtestaat[[#This Row],[kosten / jaar weekend]]+Ruimtestaat[[#This Row],[kosten / jaar werkdagen]]</f>
        <v>0</v>
      </c>
      <c r="AH1383" s="92"/>
      <c r="HL1383" s="59"/>
    </row>
    <row r="1384" spans="1:220">
      <c r="A1384" s="24">
        <v>8</v>
      </c>
      <c r="B1384" s="24" t="str">
        <f>VLOOKUP(Ruimtestaat[[#This Row],[Code]],Locaties[#All],2,FALSE)</f>
        <v>Arkelstijn</v>
      </c>
      <c r="C1384" s="24" t="str">
        <f>VLOOKUP(Ruimtestaat[[#This Row],[Code]],Locaties[#All],4,FALSE)</f>
        <v>Arkelstein 8</v>
      </c>
      <c r="D1384" s="24" t="str">
        <f>VLOOKUP(Ruimtestaat[[#This Row],[Code]],Locaties[#All],5,FALSE)</f>
        <v>7414 EP</v>
      </c>
      <c r="E1384" s="24" t="str">
        <f>VLOOKUP(Ruimtestaat[[#This Row],[Code]],Locaties[#All],6,FALSE)</f>
        <v>Deventer</v>
      </c>
      <c r="F1384" s="54"/>
      <c r="G1384" s="24" t="s">
        <v>367</v>
      </c>
      <c r="H1384" s="24" t="s">
        <v>1848</v>
      </c>
      <c r="I1384" s="4" t="s">
        <v>289</v>
      </c>
      <c r="J1384" s="24">
        <v>18</v>
      </c>
      <c r="K1384" s="54" t="str">
        <f>VLOOKUP(J1384,Ruimtegroepen[],2,FALSE)</f>
        <v>Gymzaal</v>
      </c>
      <c r="L1384" s="24" t="s">
        <v>311</v>
      </c>
      <c r="M1384" s="24" t="s">
        <v>1849</v>
      </c>
      <c r="N1384" s="83">
        <v>243.06</v>
      </c>
      <c r="O1384" s="83"/>
      <c r="P1384" s="93" t="str">
        <f>LEFT(VLOOKUP(Ruimtestaat[[#This Row],[Ruimte code]],Ruimtegroepen[#All],4,1),2)</f>
        <v>Sp</v>
      </c>
      <c r="Q1384" s="93"/>
      <c r="R1384" s="84">
        <v>40</v>
      </c>
      <c r="S1384" s="84" t="s">
        <v>318</v>
      </c>
      <c r="T1384" s="85">
        <f>IF(R1384&gt;0,IF(RIGHT(Ruimtestaat[[#This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4" s="85">
        <f>IF(T1384&gt;0,VLOOKUP($J1384,Ruimtegroepen[],3,FALSE)*VLOOKUP($L1384,Vloersoorten[],3,FALSE)*VLOOKUP($S1384,Frequenties[],3,FALSE)*VLOOKUP($A1384,Locaties[],3,FALSE),0)</f>
        <v>0</v>
      </c>
      <c r="V1384" s="86">
        <f>Ruimtestaat[[#This Row],[Uitvoeringen werkdagen]]*Ruimtestaat[[#This Row],[Oppervlak (netto)]]</f>
        <v>48612</v>
      </c>
      <c r="W1384" s="87">
        <f>IF(U1384&gt;0,Ruimtestaat[[#This Row],[Prest. (m2 /jaar) werkdagen]]/Ruimtestaat[[#This Row],[Norm (m2/uur) werkdagen]],0)</f>
        <v>0</v>
      </c>
      <c r="X1384" s="88">
        <f>Ruimtestaat[[#This Row],[uren / jaar werkdagen]]*Tariefsopbouw!$E$35</f>
        <v>0</v>
      </c>
      <c r="Y1384" s="85"/>
      <c r="Z1384" s="89">
        <f>IF(Ruimtestaat[[#This Row],[Frequentie weekend]]&gt;0,VALUE(LEFT(Y1384,1))*R1384,0)</f>
        <v>0</v>
      </c>
      <c r="AA1384" s="85">
        <f>IF($Z1384&gt;0,VLOOKUP($J1384,Ruimtegroepen[],3,FALSE)*VLOOKUP($L1384,Vloersoorten[],3,FALSE)*VLOOKUP($Y1384,Frequenties[],3,FALSE)*VLOOKUP(#REF!,Locaties[],3,FALSE),0)</f>
        <v>0</v>
      </c>
      <c r="AB1384" s="87">
        <f>Ruimtestaat[[#This Row],[Uitvoeringen weekend]]*Ruimtestaat[[#This Row],[Oppervlak (netto)]]</f>
        <v>0</v>
      </c>
      <c r="AC1384" s="90">
        <f>IF(AB1384&gt;0,Ruimtestaat[[#This Row],[Prest. (m2 /jaar) weekend]]/Ruimtestaat[[#This Row],[Norm (m2/uur) weekend]],0)</f>
        <v>0</v>
      </c>
      <c r="AD1384" s="91">
        <f>Ruimtestaat[[#This Row],[uren / jaar weekend]]*Tariefsopbouw!$D$40</f>
        <v>0</v>
      </c>
      <c r="AE1384" s="60">
        <f>Ruimtestaat[[#This Row],[Prest. (m2 /jaar) weekend]]+Ruimtestaat[[#This Row],[Prest. (m2 /jaar) werkdagen]]</f>
        <v>48612</v>
      </c>
      <c r="AF1384" s="60">
        <f>Ruimtestaat[[#This Row],[uren / jaar weekend]]+Ruimtestaat[[#This Row],[uren / jaar werkdagen]]</f>
        <v>0</v>
      </c>
      <c r="AG1384" s="61">
        <f>Ruimtestaat[[#This Row],[kosten / jaar weekend]]+Ruimtestaat[[#This Row],[kosten / jaar werkdagen]]</f>
        <v>0</v>
      </c>
      <c r="AH1384" s="92"/>
      <c r="HL1384" s="59"/>
    </row>
    <row r="1385" spans="1:220">
      <c r="A1385" s="24">
        <v>8</v>
      </c>
      <c r="B1385" s="24" t="str">
        <f>VLOOKUP(Ruimtestaat[[#This Row],[Code]],Locaties[#All],2,FALSE)</f>
        <v>Arkelstijn</v>
      </c>
      <c r="C1385" s="24" t="str">
        <f>VLOOKUP(Ruimtestaat[[#This Row],[Code]],Locaties[#All],4,FALSE)</f>
        <v>Arkelstein 8</v>
      </c>
      <c r="D1385" s="24" t="str">
        <f>VLOOKUP(Ruimtestaat[[#This Row],[Code]],Locaties[#All],5,FALSE)</f>
        <v>7414 EP</v>
      </c>
      <c r="E1385" s="24" t="str">
        <f>VLOOKUP(Ruimtestaat[[#This Row],[Code]],Locaties[#All],6,FALSE)</f>
        <v>Deventer</v>
      </c>
      <c r="F1385" s="54"/>
      <c r="G1385" s="24" t="s">
        <v>367</v>
      </c>
      <c r="H1385" s="24" t="s">
        <v>956</v>
      </c>
      <c r="I1385" s="4" t="s">
        <v>372</v>
      </c>
      <c r="J1385" s="24">
        <v>10</v>
      </c>
      <c r="K1385" s="54" t="str">
        <f>VLOOKUP(J1385,Ruimtegroepen[],2,FALSE)</f>
        <v>Trappenhuizen/lift</v>
      </c>
      <c r="L1385" s="24" t="s">
        <v>305</v>
      </c>
      <c r="M1385" s="24" t="s">
        <v>306</v>
      </c>
      <c r="N1385" s="83">
        <v>36.369999999999997</v>
      </c>
      <c r="O1385" s="83"/>
      <c r="P1385" s="93" t="str">
        <f>LEFT(VLOOKUP(Ruimtestaat[[#This Row],[Ruimte code]],Ruimtegroepen[#All],4,1),2)</f>
        <v>Ve</v>
      </c>
      <c r="Q1385" s="93"/>
      <c r="R1385" s="84">
        <v>40</v>
      </c>
      <c r="S1385" s="84" t="s">
        <v>318</v>
      </c>
      <c r="T1385" s="85">
        <f>IF(R1385&gt;0,IF(RIGHT(Ruimtestaat[[#This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5" s="85">
        <f>IF(T1385&gt;0,VLOOKUP($J1385,Ruimtegroepen[],3,FALSE)*VLOOKUP($L1385,Vloersoorten[],3,FALSE)*VLOOKUP($S1385,Frequenties[],3,FALSE)*VLOOKUP($A1385,Locaties[],3,FALSE),0)</f>
        <v>0</v>
      </c>
      <c r="V1385" s="86">
        <f>Ruimtestaat[[#This Row],[Uitvoeringen werkdagen]]*Ruimtestaat[[#This Row],[Oppervlak (netto)]]</f>
        <v>7273.9999999999991</v>
      </c>
      <c r="W1385" s="87">
        <f>IF(U1385&gt;0,Ruimtestaat[[#This Row],[Prest. (m2 /jaar) werkdagen]]/Ruimtestaat[[#This Row],[Norm (m2/uur) werkdagen]],0)</f>
        <v>0</v>
      </c>
      <c r="X1385" s="88">
        <f>Ruimtestaat[[#This Row],[uren / jaar werkdagen]]*Tariefsopbouw!$E$35</f>
        <v>0</v>
      </c>
      <c r="Y1385" s="85"/>
      <c r="Z1385" s="89">
        <f>IF(Ruimtestaat[[#This Row],[Frequentie weekend]]&gt;0,VALUE(LEFT(Y1385,1))*R1385,0)</f>
        <v>0</v>
      </c>
      <c r="AA1385" s="85">
        <f>IF($Z1385&gt;0,VLOOKUP($J1385,Ruimtegroepen[],3,FALSE)*VLOOKUP($L1385,Vloersoorten[],3,FALSE)*VLOOKUP($Y1385,Frequenties[],3,FALSE)*VLOOKUP(#REF!,Locaties[],3,FALSE),0)</f>
        <v>0</v>
      </c>
      <c r="AB1385" s="87">
        <f>Ruimtestaat[[#This Row],[Uitvoeringen weekend]]*Ruimtestaat[[#This Row],[Oppervlak (netto)]]</f>
        <v>0</v>
      </c>
      <c r="AC1385" s="90">
        <f>IF(AB1385&gt;0,Ruimtestaat[[#This Row],[Prest. (m2 /jaar) weekend]]/Ruimtestaat[[#This Row],[Norm (m2/uur) weekend]],0)</f>
        <v>0</v>
      </c>
      <c r="AD1385" s="91">
        <f>Ruimtestaat[[#This Row],[uren / jaar weekend]]*Tariefsopbouw!$D$40</f>
        <v>0</v>
      </c>
      <c r="AE1385" s="60">
        <f>Ruimtestaat[[#This Row],[Prest. (m2 /jaar) weekend]]+Ruimtestaat[[#This Row],[Prest. (m2 /jaar) werkdagen]]</f>
        <v>7273.9999999999991</v>
      </c>
      <c r="AF1385" s="60">
        <f>Ruimtestaat[[#This Row],[uren / jaar weekend]]+Ruimtestaat[[#This Row],[uren / jaar werkdagen]]</f>
        <v>0</v>
      </c>
      <c r="AG1385" s="61">
        <f>Ruimtestaat[[#This Row],[kosten / jaar weekend]]+Ruimtestaat[[#This Row],[kosten / jaar werkdagen]]</f>
        <v>0</v>
      </c>
      <c r="AH1385" s="92"/>
      <c r="HL1385" s="59"/>
    </row>
    <row r="1386" spans="1:220">
      <c r="A1386" s="24">
        <v>8</v>
      </c>
      <c r="B1386" s="24" t="str">
        <f>VLOOKUP(Ruimtestaat[[#This Row],[Code]],Locaties[#All],2,FALSE)</f>
        <v>Arkelstijn</v>
      </c>
      <c r="C1386" s="24" t="str">
        <f>VLOOKUP(Ruimtestaat[[#This Row],[Code]],Locaties[#All],4,FALSE)</f>
        <v>Arkelstein 8</v>
      </c>
      <c r="D1386" s="24" t="str">
        <f>VLOOKUP(Ruimtestaat[[#This Row],[Code]],Locaties[#All],5,FALSE)</f>
        <v>7414 EP</v>
      </c>
      <c r="E1386" s="24" t="str">
        <f>VLOOKUP(Ruimtestaat[[#This Row],[Code]],Locaties[#All],6,FALSE)</f>
        <v>Deventer</v>
      </c>
      <c r="F1386" s="54"/>
      <c r="G1386" s="24" t="s">
        <v>367</v>
      </c>
      <c r="H1386" s="24" t="s">
        <v>958</v>
      </c>
      <c r="I1386" s="4" t="s">
        <v>372</v>
      </c>
      <c r="J1386" s="24">
        <v>10</v>
      </c>
      <c r="K1386" s="54" t="str">
        <f>VLOOKUP(J1386,Ruimtegroepen[],2,FALSE)</f>
        <v>Trappenhuizen/lift</v>
      </c>
      <c r="L1386" s="24" t="s">
        <v>305</v>
      </c>
      <c r="M1386" s="24" t="s">
        <v>306</v>
      </c>
      <c r="N1386" s="83">
        <v>36.42</v>
      </c>
      <c r="O1386" s="83"/>
      <c r="P1386" s="93" t="str">
        <f>LEFT(VLOOKUP(Ruimtestaat[[#This Row],[Ruimte code]],Ruimtegroepen[#All],4,1),2)</f>
        <v>Ve</v>
      </c>
      <c r="Q1386" s="93"/>
      <c r="R1386" s="84">
        <v>40</v>
      </c>
      <c r="S1386" s="84" t="s">
        <v>318</v>
      </c>
      <c r="T1386" s="85">
        <f>IF(R1386&gt;0,IF(RIGHT(Ruimtestaat[[#This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6" s="85">
        <f>IF(T1386&gt;0,VLOOKUP($J1386,Ruimtegroepen[],3,FALSE)*VLOOKUP($L1386,Vloersoorten[],3,FALSE)*VLOOKUP($S1386,Frequenties[],3,FALSE)*VLOOKUP($A1386,Locaties[],3,FALSE),0)</f>
        <v>0</v>
      </c>
      <c r="V1386" s="86">
        <f>Ruimtestaat[[#This Row],[Uitvoeringen werkdagen]]*Ruimtestaat[[#This Row],[Oppervlak (netto)]]</f>
        <v>7284</v>
      </c>
      <c r="W1386" s="87">
        <f>IF(U1386&gt;0,Ruimtestaat[[#This Row],[Prest. (m2 /jaar) werkdagen]]/Ruimtestaat[[#This Row],[Norm (m2/uur) werkdagen]],0)</f>
        <v>0</v>
      </c>
      <c r="X1386" s="88">
        <f>Ruimtestaat[[#This Row],[uren / jaar werkdagen]]*Tariefsopbouw!$E$35</f>
        <v>0</v>
      </c>
      <c r="Y1386" s="85"/>
      <c r="Z1386" s="89">
        <f>IF(Ruimtestaat[[#This Row],[Frequentie weekend]]&gt;0,VALUE(LEFT(Y1386,1))*R1386,0)</f>
        <v>0</v>
      </c>
      <c r="AA1386" s="85">
        <f>IF($Z1386&gt;0,VLOOKUP($J1386,Ruimtegroepen[],3,FALSE)*VLOOKUP($L1386,Vloersoorten[],3,FALSE)*VLOOKUP($Y1386,Frequenties[],3,FALSE)*VLOOKUP(#REF!,Locaties[],3,FALSE),0)</f>
        <v>0</v>
      </c>
      <c r="AB1386" s="87">
        <f>Ruimtestaat[[#This Row],[Uitvoeringen weekend]]*Ruimtestaat[[#This Row],[Oppervlak (netto)]]</f>
        <v>0</v>
      </c>
      <c r="AC1386" s="90">
        <f>IF(AB1386&gt;0,Ruimtestaat[[#This Row],[Prest. (m2 /jaar) weekend]]/Ruimtestaat[[#This Row],[Norm (m2/uur) weekend]],0)</f>
        <v>0</v>
      </c>
      <c r="AD1386" s="91">
        <f>Ruimtestaat[[#This Row],[uren / jaar weekend]]*Tariefsopbouw!$D$40</f>
        <v>0</v>
      </c>
      <c r="AE1386" s="60">
        <f>Ruimtestaat[[#This Row],[Prest. (m2 /jaar) weekend]]+Ruimtestaat[[#This Row],[Prest. (m2 /jaar) werkdagen]]</f>
        <v>7284</v>
      </c>
      <c r="AF1386" s="60">
        <f>Ruimtestaat[[#This Row],[uren / jaar weekend]]+Ruimtestaat[[#This Row],[uren / jaar werkdagen]]</f>
        <v>0</v>
      </c>
      <c r="AG1386" s="61">
        <f>Ruimtestaat[[#This Row],[kosten / jaar weekend]]+Ruimtestaat[[#This Row],[kosten / jaar werkdagen]]</f>
        <v>0</v>
      </c>
      <c r="AH1386" s="92"/>
      <c r="HL1386" s="59"/>
    </row>
    <row r="1387" spans="1:220">
      <c r="A1387" s="24">
        <v>8</v>
      </c>
      <c r="B1387" s="24" t="str">
        <f>VLOOKUP(Ruimtestaat[[#This Row],[Code]],Locaties[#All],2,FALSE)</f>
        <v>Arkelstijn</v>
      </c>
      <c r="C1387" s="24" t="str">
        <f>VLOOKUP(Ruimtestaat[[#This Row],[Code]],Locaties[#All],4,FALSE)</f>
        <v>Arkelstein 8</v>
      </c>
      <c r="D1387" s="24" t="str">
        <f>VLOOKUP(Ruimtestaat[[#This Row],[Code]],Locaties[#All],5,FALSE)</f>
        <v>7414 EP</v>
      </c>
      <c r="E1387" s="24" t="str">
        <f>VLOOKUP(Ruimtestaat[[#This Row],[Code]],Locaties[#All],6,FALSE)</f>
        <v>Deventer</v>
      </c>
      <c r="F1387" s="54"/>
      <c r="G1387" s="24" t="s">
        <v>367</v>
      </c>
      <c r="H1387" s="24" t="s">
        <v>807</v>
      </c>
      <c r="I1387" s="4" t="s">
        <v>372</v>
      </c>
      <c r="J1387" s="24">
        <v>10</v>
      </c>
      <c r="K1387" s="54" t="str">
        <f>VLOOKUP(J1387,Ruimtegroepen[],2,FALSE)</f>
        <v>Trappenhuizen/lift</v>
      </c>
      <c r="L1387" s="24" t="s">
        <v>311</v>
      </c>
      <c r="M1387" s="24" t="s">
        <v>1850</v>
      </c>
      <c r="N1387" s="83">
        <v>67.23</v>
      </c>
      <c r="O1387" s="83"/>
      <c r="P1387" s="93" t="str">
        <f>LEFT(VLOOKUP(Ruimtestaat[[#This Row],[Ruimte code]],Ruimtegroepen[#All],4,1),2)</f>
        <v>Ve</v>
      </c>
      <c r="Q1387" s="93"/>
      <c r="R1387" s="84">
        <v>40</v>
      </c>
      <c r="S1387" s="84" t="s">
        <v>318</v>
      </c>
      <c r="T1387" s="85">
        <f>IF(R1387&gt;0,IF(RIGHT(Ruimtestaat[[#This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7" s="85">
        <f>IF(T1387&gt;0,VLOOKUP($J1387,Ruimtegroepen[],3,FALSE)*VLOOKUP($L1387,Vloersoorten[],3,FALSE)*VLOOKUP($S1387,Frequenties[],3,FALSE)*VLOOKUP($A1387,Locaties[],3,FALSE),0)</f>
        <v>0</v>
      </c>
      <c r="V1387" s="86">
        <f>Ruimtestaat[[#This Row],[Uitvoeringen werkdagen]]*Ruimtestaat[[#This Row],[Oppervlak (netto)]]</f>
        <v>13446</v>
      </c>
      <c r="W1387" s="87">
        <f>IF(U1387&gt;0,Ruimtestaat[[#This Row],[Prest. (m2 /jaar) werkdagen]]/Ruimtestaat[[#This Row],[Norm (m2/uur) werkdagen]],0)</f>
        <v>0</v>
      </c>
      <c r="X1387" s="88">
        <f>Ruimtestaat[[#This Row],[uren / jaar werkdagen]]*Tariefsopbouw!$E$35</f>
        <v>0</v>
      </c>
      <c r="Y1387" s="85"/>
      <c r="Z1387" s="89">
        <f>IF(Ruimtestaat[[#This Row],[Frequentie weekend]]&gt;0,VALUE(LEFT(Y1387,1))*R1387,0)</f>
        <v>0</v>
      </c>
      <c r="AA1387" s="85">
        <f>IF($Z1387&gt;0,VLOOKUP($J1387,Ruimtegroepen[],3,FALSE)*VLOOKUP($L1387,Vloersoorten[],3,FALSE)*VLOOKUP($Y1387,Frequenties[],3,FALSE)*VLOOKUP(#REF!,Locaties[],3,FALSE),0)</f>
        <v>0</v>
      </c>
      <c r="AB1387" s="87">
        <f>Ruimtestaat[[#This Row],[Uitvoeringen weekend]]*Ruimtestaat[[#This Row],[Oppervlak (netto)]]</f>
        <v>0</v>
      </c>
      <c r="AC1387" s="90">
        <f>IF(AB1387&gt;0,Ruimtestaat[[#This Row],[Prest. (m2 /jaar) weekend]]/Ruimtestaat[[#This Row],[Norm (m2/uur) weekend]],0)</f>
        <v>0</v>
      </c>
      <c r="AD1387" s="91">
        <f>Ruimtestaat[[#This Row],[uren / jaar weekend]]*Tariefsopbouw!$D$40</f>
        <v>0</v>
      </c>
      <c r="AE1387" s="60">
        <f>Ruimtestaat[[#This Row],[Prest. (m2 /jaar) weekend]]+Ruimtestaat[[#This Row],[Prest. (m2 /jaar) werkdagen]]</f>
        <v>13446</v>
      </c>
      <c r="AF1387" s="60">
        <f>Ruimtestaat[[#This Row],[uren / jaar weekend]]+Ruimtestaat[[#This Row],[uren / jaar werkdagen]]</f>
        <v>0</v>
      </c>
      <c r="AG1387" s="61">
        <f>Ruimtestaat[[#This Row],[kosten / jaar weekend]]+Ruimtestaat[[#This Row],[kosten / jaar werkdagen]]</f>
        <v>0</v>
      </c>
      <c r="AH1387" s="92"/>
      <c r="HL1387" s="59"/>
    </row>
    <row r="1388" spans="1:220">
      <c r="A1388" s="24">
        <v>8</v>
      </c>
      <c r="B1388" s="24" t="str">
        <f>VLOOKUP(Ruimtestaat[[#This Row],[Code]],Locaties[#All],2,FALSE)</f>
        <v>Arkelstijn</v>
      </c>
      <c r="C1388" s="24" t="str">
        <f>VLOOKUP(Ruimtestaat[[#This Row],[Code]],Locaties[#All],4,FALSE)</f>
        <v>Arkelstein 8</v>
      </c>
      <c r="D1388" s="24" t="str">
        <f>VLOOKUP(Ruimtestaat[[#This Row],[Code]],Locaties[#All],5,FALSE)</f>
        <v>7414 EP</v>
      </c>
      <c r="E1388" s="24" t="str">
        <f>VLOOKUP(Ruimtestaat[[#This Row],[Code]],Locaties[#All],6,FALSE)</f>
        <v>Deventer</v>
      </c>
      <c r="F1388" s="54"/>
      <c r="G1388" s="24" t="s">
        <v>512</v>
      </c>
      <c r="H1388" s="24" t="s">
        <v>1851</v>
      </c>
      <c r="I1388" s="4" t="s">
        <v>1098</v>
      </c>
      <c r="J1388" s="24">
        <v>16</v>
      </c>
      <c r="K1388" s="54" t="str">
        <f>VLOOKUP(J1388,Ruimtegroepen[],2,FALSE)</f>
        <v>Leslokalen theorie</v>
      </c>
      <c r="L1388" s="24" t="s">
        <v>300</v>
      </c>
      <c r="M1388" s="24" t="s">
        <v>1765</v>
      </c>
      <c r="N1388" s="83">
        <v>60.46</v>
      </c>
      <c r="O1388" s="83"/>
      <c r="P1388" s="93" t="str">
        <f>LEFT(VLOOKUP(Ruimtestaat[[#This Row],[Ruimte code]],Ruimtegroepen[#All],4,1),2)</f>
        <v>Le</v>
      </c>
      <c r="Q1388" s="93"/>
      <c r="R1388" s="84">
        <v>40</v>
      </c>
      <c r="S1388" s="84" t="s">
        <v>318</v>
      </c>
      <c r="T1388" s="85">
        <f>IF(R1388&gt;0,IF(RIGHT(Ruimtestaat[[#This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8" s="85">
        <f>IF(T1388&gt;0,VLOOKUP($J1388,Ruimtegroepen[],3,FALSE)*VLOOKUP($L1388,Vloersoorten[],3,FALSE)*VLOOKUP($S1388,Frequenties[],3,FALSE)*VLOOKUP($A1388,Locaties[],3,FALSE),0)</f>
        <v>0</v>
      </c>
      <c r="V1388" s="86">
        <f>Ruimtestaat[[#This Row],[Uitvoeringen werkdagen]]*Ruimtestaat[[#This Row],[Oppervlak (netto)]]</f>
        <v>12092</v>
      </c>
      <c r="W1388" s="87">
        <f>IF(U1388&gt;0,Ruimtestaat[[#This Row],[Prest. (m2 /jaar) werkdagen]]/Ruimtestaat[[#This Row],[Norm (m2/uur) werkdagen]],0)</f>
        <v>0</v>
      </c>
      <c r="X1388" s="88">
        <f>Ruimtestaat[[#This Row],[uren / jaar werkdagen]]*Tariefsopbouw!$E$35</f>
        <v>0</v>
      </c>
      <c r="Y1388" s="85"/>
      <c r="Z1388" s="89">
        <f>IF(Ruimtestaat[[#This Row],[Frequentie weekend]]&gt;0,VALUE(LEFT(Y1388,1))*R1388,0)</f>
        <v>0</v>
      </c>
      <c r="AA1388" s="85">
        <f>IF($Z1388&gt;0,VLOOKUP($J1388,Ruimtegroepen[],3,FALSE)*VLOOKUP($L1388,Vloersoorten[],3,FALSE)*VLOOKUP($Y1388,Frequenties[],3,FALSE)*VLOOKUP(#REF!,Locaties[],3,FALSE),0)</f>
        <v>0</v>
      </c>
      <c r="AB1388" s="87">
        <f>Ruimtestaat[[#This Row],[Uitvoeringen weekend]]*Ruimtestaat[[#This Row],[Oppervlak (netto)]]</f>
        <v>0</v>
      </c>
      <c r="AC1388" s="90">
        <f>IF(AB1388&gt;0,Ruimtestaat[[#This Row],[Prest. (m2 /jaar) weekend]]/Ruimtestaat[[#This Row],[Norm (m2/uur) weekend]],0)</f>
        <v>0</v>
      </c>
      <c r="AD1388" s="91">
        <f>Ruimtestaat[[#This Row],[uren / jaar weekend]]*Tariefsopbouw!$D$40</f>
        <v>0</v>
      </c>
      <c r="AE1388" s="60">
        <f>Ruimtestaat[[#This Row],[Prest. (m2 /jaar) weekend]]+Ruimtestaat[[#This Row],[Prest. (m2 /jaar) werkdagen]]</f>
        <v>12092</v>
      </c>
      <c r="AF1388" s="60">
        <f>Ruimtestaat[[#This Row],[uren / jaar weekend]]+Ruimtestaat[[#This Row],[uren / jaar werkdagen]]</f>
        <v>0</v>
      </c>
      <c r="AG1388" s="61">
        <f>Ruimtestaat[[#This Row],[kosten / jaar weekend]]+Ruimtestaat[[#This Row],[kosten / jaar werkdagen]]</f>
        <v>0</v>
      </c>
      <c r="AH1388" s="92"/>
      <c r="HL1388" s="59"/>
    </row>
    <row r="1389" spans="1:220">
      <c r="A1389" s="24">
        <v>8</v>
      </c>
      <c r="B1389" s="24" t="str">
        <f>VLOOKUP(Ruimtestaat[[#This Row],[Code]],Locaties[#All],2,FALSE)</f>
        <v>Arkelstijn</v>
      </c>
      <c r="C1389" s="24" t="str">
        <f>VLOOKUP(Ruimtestaat[[#This Row],[Code]],Locaties[#All],4,FALSE)</f>
        <v>Arkelstein 8</v>
      </c>
      <c r="D1389" s="24" t="str">
        <f>VLOOKUP(Ruimtestaat[[#This Row],[Code]],Locaties[#All],5,FALSE)</f>
        <v>7414 EP</v>
      </c>
      <c r="E1389" s="24" t="str">
        <f>VLOOKUP(Ruimtestaat[[#This Row],[Code]],Locaties[#All],6,FALSE)</f>
        <v>Deventer</v>
      </c>
      <c r="F1389" s="54"/>
      <c r="G1389" s="24" t="s">
        <v>512</v>
      </c>
      <c r="H1389" s="24" t="s">
        <v>1852</v>
      </c>
      <c r="I1389" s="4" t="s">
        <v>1098</v>
      </c>
      <c r="J1389" s="24">
        <v>16</v>
      </c>
      <c r="K1389" s="54" t="str">
        <f>VLOOKUP(J1389,Ruimtegroepen[],2,FALSE)</f>
        <v>Leslokalen theorie</v>
      </c>
      <c r="L1389" s="24" t="s">
        <v>300</v>
      </c>
      <c r="M1389" s="24" t="s">
        <v>1765</v>
      </c>
      <c r="N1389" s="83">
        <v>84.45</v>
      </c>
      <c r="O1389" s="83"/>
      <c r="P1389" s="93" t="str">
        <f>LEFT(VLOOKUP(Ruimtestaat[[#This Row],[Ruimte code]],Ruimtegroepen[#All],4,1),2)</f>
        <v>Le</v>
      </c>
      <c r="Q1389" s="93"/>
      <c r="R1389" s="84">
        <v>40</v>
      </c>
      <c r="S1389" s="84" t="s">
        <v>318</v>
      </c>
      <c r="T1389" s="85">
        <f>IF(R1389&gt;0,IF(RIGHT(Ruimtestaat[[#This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9" s="85">
        <f>IF(T1389&gt;0,VLOOKUP($J1389,Ruimtegroepen[],3,FALSE)*VLOOKUP($L1389,Vloersoorten[],3,FALSE)*VLOOKUP($S1389,Frequenties[],3,FALSE)*VLOOKUP($A1389,Locaties[],3,FALSE),0)</f>
        <v>0</v>
      </c>
      <c r="V1389" s="86">
        <f>Ruimtestaat[[#This Row],[Uitvoeringen werkdagen]]*Ruimtestaat[[#This Row],[Oppervlak (netto)]]</f>
        <v>16890</v>
      </c>
      <c r="W1389" s="87">
        <f>IF(U1389&gt;0,Ruimtestaat[[#This Row],[Prest. (m2 /jaar) werkdagen]]/Ruimtestaat[[#This Row],[Norm (m2/uur) werkdagen]],0)</f>
        <v>0</v>
      </c>
      <c r="X1389" s="88">
        <f>Ruimtestaat[[#This Row],[uren / jaar werkdagen]]*Tariefsopbouw!$E$35</f>
        <v>0</v>
      </c>
      <c r="Y1389" s="85"/>
      <c r="Z1389" s="89">
        <f>IF(Ruimtestaat[[#This Row],[Frequentie weekend]]&gt;0,VALUE(LEFT(Y1389,1))*R1389,0)</f>
        <v>0</v>
      </c>
      <c r="AA1389" s="85">
        <f>IF($Z1389&gt;0,VLOOKUP($J1389,Ruimtegroepen[],3,FALSE)*VLOOKUP($L1389,Vloersoorten[],3,FALSE)*VLOOKUP($Y1389,Frequenties[],3,FALSE)*VLOOKUP(#REF!,Locaties[],3,FALSE),0)</f>
        <v>0</v>
      </c>
      <c r="AB1389" s="87">
        <f>Ruimtestaat[[#This Row],[Uitvoeringen weekend]]*Ruimtestaat[[#This Row],[Oppervlak (netto)]]</f>
        <v>0</v>
      </c>
      <c r="AC1389" s="90">
        <f>IF(AB1389&gt;0,Ruimtestaat[[#This Row],[Prest. (m2 /jaar) weekend]]/Ruimtestaat[[#This Row],[Norm (m2/uur) weekend]],0)</f>
        <v>0</v>
      </c>
      <c r="AD1389" s="91">
        <f>Ruimtestaat[[#This Row],[uren / jaar weekend]]*Tariefsopbouw!$D$40</f>
        <v>0</v>
      </c>
      <c r="AE1389" s="60">
        <f>Ruimtestaat[[#This Row],[Prest. (m2 /jaar) weekend]]+Ruimtestaat[[#This Row],[Prest. (m2 /jaar) werkdagen]]</f>
        <v>16890</v>
      </c>
      <c r="AF1389" s="60">
        <f>Ruimtestaat[[#This Row],[uren / jaar weekend]]+Ruimtestaat[[#This Row],[uren / jaar werkdagen]]</f>
        <v>0</v>
      </c>
      <c r="AG1389" s="61">
        <f>Ruimtestaat[[#This Row],[kosten / jaar weekend]]+Ruimtestaat[[#This Row],[kosten / jaar werkdagen]]</f>
        <v>0</v>
      </c>
      <c r="AH1389" s="92"/>
      <c r="HL1389" s="59"/>
    </row>
    <row r="1390" spans="1:220">
      <c r="A1390" s="24">
        <v>8</v>
      </c>
      <c r="B1390" s="24" t="str">
        <f>VLOOKUP(Ruimtestaat[[#This Row],[Code]],Locaties[#All],2,FALSE)</f>
        <v>Arkelstijn</v>
      </c>
      <c r="C1390" s="24" t="str">
        <f>VLOOKUP(Ruimtestaat[[#This Row],[Code]],Locaties[#All],4,FALSE)</f>
        <v>Arkelstein 8</v>
      </c>
      <c r="D1390" s="24" t="str">
        <f>VLOOKUP(Ruimtestaat[[#This Row],[Code]],Locaties[#All],5,FALSE)</f>
        <v>7414 EP</v>
      </c>
      <c r="E1390" s="24" t="str">
        <f>VLOOKUP(Ruimtestaat[[#This Row],[Code]],Locaties[#All],6,FALSE)</f>
        <v>Deventer</v>
      </c>
      <c r="F1390" s="54"/>
      <c r="G1390" s="24" t="s">
        <v>512</v>
      </c>
      <c r="H1390" s="24" t="s">
        <v>1853</v>
      </c>
      <c r="I1390" s="4" t="s">
        <v>1098</v>
      </c>
      <c r="J1390" s="24">
        <v>16</v>
      </c>
      <c r="K1390" s="54" t="str">
        <f>VLOOKUP(J1390,Ruimtegroepen[],2,FALSE)</f>
        <v>Leslokalen theorie</v>
      </c>
      <c r="L1390" s="24" t="s">
        <v>300</v>
      </c>
      <c r="M1390" s="24" t="s">
        <v>997</v>
      </c>
      <c r="N1390" s="83">
        <v>80.17</v>
      </c>
      <c r="O1390" s="83"/>
      <c r="P1390" s="93" t="str">
        <f>LEFT(VLOOKUP(Ruimtestaat[[#This Row],[Ruimte code]],Ruimtegroepen[#All],4,1),2)</f>
        <v>Le</v>
      </c>
      <c r="Q1390" s="93"/>
      <c r="R1390" s="84">
        <v>40</v>
      </c>
      <c r="S1390" s="84" t="s">
        <v>318</v>
      </c>
      <c r="T1390" s="85">
        <f>IF(R1390&gt;0,IF(RIGHT(Ruimtestaat[[#This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90" s="85">
        <f>IF(T1390&gt;0,VLOOKUP($J1390,Ruimtegroepen[],3,FALSE)*VLOOKUP($L1390,Vloersoorten[],3,FALSE)*VLOOKUP($S1390,Frequenties[],3,FALSE)*VLOOKUP($A1390,Locaties[],3,FALSE),0)</f>
        <v>0</v>
      </c>
      <c r="V1390" s="86">
        <f>Ruimtestaat[[#This Row],[Uitvoeringen werkdagen]]*Ruimtestaat[[#This Row],[Oppervlak (netto)]]</f>
        <v>16034</v>
      </c>
      <c r="W1390" s="87">
        <f>IF(U1390&gt;0,Ruimtestaat[[#This Row],[Prest. (m2 /jaar) werkdagen]]/Ruimtestaat[[#This Row],[Norm (m2/uur) werkdagen]],0)</f>
        <v>0</v>
      </c>
      <c r="X1390" s="88">
        <f>Ruimtestaat[[#This Row],[uren / jaar werkdagen]]*Tariefsopbouw!$E$35</f>
        <v>0</v>
      </c>
      <c r="Y1390" s="85"/>
      <c r="Z1390" s="89">
        <f>IF(Ruimtestaat[[#This Row],[Frequentie weekend]]&gt;0,VALUE(LEFT(Y1390,1))*R1390,0)</f>
        <v>0</v>
      </c>
      <c r="AA1390" s="85">
        <f>IF($Z1390&gt;0,VLOOKUP($J1390,Ruimtegroepen[],3,FALSE)*VLOOKUP($L1390,Vloersoorten[],3,FALSE)*VLOOKUP($Y1390,Frequenties[],3,FALSE)*VLOOKUP(#REF!,Locaties[],3,FALSE),0)</f>
        <v>0</v>
      </c>
      <c r="AB1390" s="87">
        <f>Ruimtestaat[[#This Row],[Uitvoeringen weekend]]*Ruimtestaat[[#This Row],[Oppervlak (netto)]]</f>
        <v>0</v>
      </c>
      <c r="AC1390" s="90">
        <f>IF(AB1390&gt;0,Ruimtestaat[[#This Row],[Prest. (m2 /jaar) weekend]]/Ruimtestaat[[#This Row],[Norm (m2/uur) weekend]],0)</f>
        <v>0</v>
      </c>
      <c r="AD1390" s="91">
        <f>Ruimtestaat[[#This Row],[uren / jaar weekend]]*Tariefsopbouw!$D$40</f>
        <v>0</v>
      </c>
      <c r="AE1390" s="60">
        <f>Ruimtestaat[[#This Row],[Prest. (m2 /jaar) weekend]]+Ruimtestaat[[#This Row],[Prest. (m2 /jaar) werkdagen]]</f>
        <v>16034</v>
      </c>
      <c r="AF1390" s="60">
        <f>Ruimtestaat[[#This Row],[uren / jaar weekend]]+Ruimtestaat[[#This Row],[uren / jaar werkdagen]]</f>
        <v>0</v>
      </c>
      <c r="AG1390" s="61">
        <f>Ruimtestaat[[#This Row],[kosten / jaar weekend]]+Ruimtestaat[[#This Row],[kosten / jaar werkdagen]]</f>
        <v>0</v>
      </c>
      <c r="AH1390" s="92"/>
      <c r="HL1390" s="59"/>
    </row>
    <row r="1391" spans="1:220">
      <c r="A1391" s="24">
        <v>8</v>
      </c>
      <c r="B1391" s="24" t="str">
        <f>VLOOKUP(Ruimtestaat[[#This Row],[Code]],Locaties[#All],2,FALSE)</f>
        <v>Arkelstijn</v>
      </c>
      <c r="C1391" s="24" t="str">
        <f>VLOOKUP(Ruimtestaat[[#This Row],[Code]],Locaties[#All],4,FALSE)</f>
        <v>Arkelstein 8</v>
      </c>
      <c r="D1391" s="24" t="str">
        <f>VLOOKUP(Ruimtestaat[[#This Row],[Code]],Locaties[#All],5,FALSE)</f>
        <v>7414 EP</v>
      </c>
      <c r="E1391" s="24" t="str">
        <f>VLOOKUP(Ruimtestaat[[#This Row],[Code]],Locaties[#All],6,FALSE)</f>
        <v>Deventer</v>
      </c>
      <c r="F1391" s="54"/>
      <c r="G1391" s="24" t="s">
        <v>512</v>
      </c>
      <c r="H1391" s="24" t="s">
        <v>1854</v>
      </c>
      <c r="I1391" s="4" t="s">
        <v>1855</v>
      </c>
      <c r="J1391" s="24">
        <v>13</v>
      </c>
      <c r="K1391" s="54" t="str">
        <f>VLOOKUP(J1391,Ruimtegroepen[],2,FALSE)</f>
        <v>HV/Technieklokaal</v>
      </c>
      <c r="L1391" s="24" t="s">
        <v>308</v>
      </c>
      <c r="M1391" s="24" t="s">
        <v>1771</v>
      </c>
      <c r="N1391" s="83">
        <v>63.33</v>
      </c>
      <c r="O1391" s="83"/>
      <c r="P1391" s="93" t="str">
        <f>LEFT(VLOOKUP(Ruimtestaat[[#This Row],[Ruimte code]],Ruimtegroepen[#All],4,1),2)</f>
        <v>Le</v>
      </c>
      <c r="Q1391" s="93"/>
      <c r="R1391" s="84">
        <v>40</v>
      </c>
      <c r="S1391" s="84" t="s">
        <v>318</v>
      </c>
      <c r="T1391" s="85">
        <f>IF(R1391&gt;0,IF(RIGHT(Ruimtestaat[[#This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91" s="85">
        <f>IF(T1391&gt;0,VLOOKUP($J1391,Ruimtegroepen[],3,FALSE)*VLOOKUP($L1391,Vloersoorten[],3,FALSE)*VLOOKUP($S1391,Frequenties[],3,FALSE)*VLOOKUP($A1391,Locaties[],3,FALSE),0)</f>
        <v>0</v>
      </c>
      <c r="V1391" s="86">
        <f>Ruimtestaat[[#This Row],[Uitvoeringen werkdagen]]*Ruimtestaat[[#This Row],[Oppervlak (netto)]]</f>
        <v>12666</v>
      </c>
      <c r="W1391" s="87">
        <f>IF(U1391&gt;0,Ruimtestaat[[#This Row],[Prest. (m2 /jaar) werkdagen]]/Ruimtestaat[[#This Row],[Norm (m2/uur) werkdagen]],0)</f>
        <v>0</v>
      </c>
      <c r="X1391" s="88">
        <f>Ruimtestaat[[#This Row],[uren / jaar werkdagen]]*Tariefsopbouw!$E$35</f>
        <v>0</v>
      </c>
      <c r="Y1391" s="85"/>
      <c r="Z1391" s="89">
        <f>IF(Ruimtestaat[[#This Row],[Frequentie weekend]]&gt;0,VALUE(LEFT(Y1391,1))*R1391,0)</f>
        <v>0</v>
      </c>
      <c r="AA1391" s="85">
        <f>IF($Z1391&gt;0,VLOOKUP($J1391,Ruimtegroepen[],3,FALSE)*VLOOKUP($L1391,Vloersoorten[],3,FALSE)*VLOOKUP($Y1391,Frequenties[],3,FALSE)*VLOOKUP(#REF!,Locaties[],3,FALSE),0)</f>
        <v>0</v>
      </c>
      <c r="AB1391" s="87">
        <f>Ruimtestaat[[#This Row],[Uitvoeringen weekend]]*Ruimtestaat[[#This Row],[Oppervlak (netto)]]</f>
        <v>0</v>
      </c>
      <c r="AC1391" s="90">
        <f>IF(AB1391&gt;0,Ruimtestaat[[#This Row],[Prest. (m2 /jaar) weekend]]/Ruimtestaat[[#This Row],[Norm (m2/uur) weekend]],0)</f>
        <v>0</v>
      </c>
      <c r="AD1391" s="91">
        <f>Ruimtestaat[[#This Row],[uren / jaar weekend]]*Tariefsopbouw!$D$40</f>
        <v>0</v>
      </c>
      <c r="AE1391" s="60">
        <f>Ruimtestaat[[#This Row],[Prest. (m2 /jaar) weekend]]+Ruimtestaat[[#This Row],[Prest. (m2 /jaar) werkdagen]]</f>
        <v>12666</v>
      </c>
      <c r="AF1391" s="60">
        <f>Ruimtestaat[[#This Row],[uren / jaar weekend]]+Ruimtestaat[[#This Row],[uren / jaar werkdagen]]</f>
        <v>0</v>
      </c>
      <c r="AG1391" s="61">
        <f>Ruimtestaat[[#This Row],[kosten / jaar weekend]]+Ruimtestaat[[#This Row],[kosten / jaar werkdagen]]</f>
        <v>0</v>
      </c>
      <c r="AH1391" s="92"/>
      <c r="HL1391" s="59"/>
    </row>
    <row r="1392" spans="1:220">
      <c r="A1392" s="24">
        <v>8</v>
      </c>
      <c r="B1392" s="24" t="str">
        <f>VLOOKUP(Ruimtestaat[[#This Row],[Code]],Locaties[#All],2,FALSE)</f>
        <v>Arkelstijn</v>
      </c>
      <c r="C1392" s="24" t="str">
        <f>VLOOKUP(Ruimtestaat[[#This Row],[Code]],Locaties[#All],4,FALSE)</f>
        <v>Arkelstein 8</v>
      </c>
      <c r="D1392" s="24" t="str">
        <f>VLOOKUP(Ruimtestaat[[#This Row],[Code]],Locaties[#All],5,FALSE)</f>
        <v>7414 EP</v>
      </c>
      <c r="E1392" s="24" t="str">
        <f>VLOOKUP(Ruimtestaat[[#This Row],[Code]],Locaties[#All],6,FALSE)</f>
        <v>Deventer</v>
      </c>
      <c r="F1392" s="54"/>
      <c r="G1392" s="24" t="s">
        <v>512</v>
      </c>
      <c r="H1392" s="24" t="s">
        <v>1856</v>
      </c>
      <c r="I1392" s="4" t="s">
        <v>941</v>
      </c>
      <c r="J1392" s="24">
        <v>2</v>
      </c>
      <c r="K1392" s="54" t="str">
        <f>VLOOKUP(J1392,Ruimtegroepen[],2,FALSE)</f>
        <v>Kantoren</v>
      </c>
      <c r="L1392" s="24" t="s">
        <v>300</v>
      </c>
      <c r="M1392" s="24" t="s">
        <v>1765</v>
      </c>
      <c r="N1392" s="83">
        <v>5.88</v>
      </c>
      <c r="O1392" s="83"/>
      <c r="P1392" s="93" t="str">
        <f>LEFT(VLOOKUP(Ruimtestaat[[#This Row],[Ruimte code]],Ruimtegroepen[#All],4,1),2)</f>
        <v>Bu</v>
      </c>
      <c r="Q1392" s="93"/>
      <c r="R1392" s="84">
        <v>42</v>
      </c>
      <c r="S1392" s="84" t="s">
        <v>322</v>
      </c>
      <c r="T1392" s="85">
        <f>IF(R1392&gt;0,IF(RIGHT(Ruimtestaat[[#This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92" s="85">
        <f>IF(T1392&gt;0,VLOOKUP($J1392,Ruimtegroepen[],3,FALSE)*VLOOKUP($L1392,Vloersoorten[],3,FALSE)*VLOOKUP($S1392,Frequenties[],3,FALSE)*VLOOKUP($A1392,Locaties[],3,FALSE),0)</f>
        <v>0</v>
      </c>
      <c r="V1392" s="86">
        <f>Ruimtestaat[[#This Row],[Uitvoeringen werkdagen]]*Ruimtestaat[[#This Row],[Oppervlak (netto)]]</f>
        <v>740.88</v>
      </c>
      <c r="W1392" s="87">
        <f>IF(U1392&gt;0,Ruimtestaat[[#This Row],[Prest. (m2 /jaar) werkdagen]]/Ruimtestaat[[#This Row],[Norm (m2/uur) werkdagen]],0)</f>
        <v>0</v>
      </c>
      <c r="X1392" s="88">
        <f>Ruimtestaat[[#This Row],[uren / jaar werkdagen]]*Tariefsopbouw!$E$35</f>
        <v>0</v>
      </c>
      <c r="Y1392" s="85"/>
      <c r="Z1392" s="89">
        <f>IF(Ruimtestaat[[#This Row],[Frequentie weekend]]&gt;0,VALUE(LEFT(Y1392,1))*R1392,0)</f>
        <v>0</v>
      </c>
      <c r="AA1392" s="85">
        <f>IF($Z1392&gt;0,VLOOKUP($J1392,Ruimtegroepen[],3,FALSE)*VLOOKUP($L1392,Vloersoorten[],3,FALSE)*VLOOKUP($Y1392,Frequenties[],3,FALSE)*VLOOKUP(#REF!,Locaties[],3,FALSE),0)</f>
        <v>0</v>
      </c>
      <c r="AB1392" s="87">
        <f>Ruimtestaat[[#This Row],[Uitvoeringen weekend]]*Ruimtestaat[[#This Row],[Oppervlak (netto)]]</f>
        <v>0</v>
      </c>
      <c r="AC1392" s="90">
        <f>IF(AB1392&gt;0,Ruimtestaat[[#This Row],[Prest. (m2 /jaar) weekend]]/Ruimtestaat[[#This Row],[Norm (m2/uur) weekend]],0)</f>
        <v>0</v>
      </c>
      <c r="AD1392" s="91">
        <f>Ruimtestaat[[#This Row],[uren / jaar weekend]]*Tariefsopbouw!$D$40</f>
        <v>0</v>
      </c>
      <c r="AE1392" s="60">
        <f>Ruimtestaat[[#This Row],[Prest. (m2 /jaar) weekend]]+Ruimtestaat[[#This Row],[Prest. (m2 /jaar) werkdagen]]</f>
        <v>740.88</v>
      </c>
      <c r="AF1392" s="60">
        <f>Ruimtestaat[[#This Row],[uren / jaar weekend]]+Ruimtestaat[[#This Row],[uren / jaar werkdagen]]</f>
        <v>0</v>
      </c>
      <c r="AG1392" s="61">
        <f>Ruimtestaat[[#This Row],[kosten / jaar weekend]]+Ruimtestaat[[#This Row],[kosten / jaar werkdagen]]</f>
        <v>0</v>
      </c>
      <c r="AH1392" s="92"/>
      <c r="HL1392" s="59"/>
    </row>
    <row r="1393" spans="1:220">
      <c r="A1393" s="24">
        <v>8</v>
      </c>
      <c r="B1393" s="24" t="str">
        <f>VLOOKUP(Ruimtestaat[[#This Row],[Code]],Locaties[#All],2,FALSE)</f>
        <v>Arkelstijn</v>
      </c>
      <c r="C1393" s="24" t="str">
        <f>VLOOKUP(Ruimtestaat[[#This Row],[Code]],Locaties[#All],4,FALSE)</f>
        <v>Arkelstein 8</v>
      </c>
      <c r="D1393" s="24" t="str">
        <f>VLOOKUP(Ruimtestaat[[#This Row],[Code]],Locaties[#All],5,FALSE)</f>
        <v>7414 EP</v>
      </c>
      <c r="E1393" s="24" t="str">
        <f>VLOOKUP(Ruimtestaat[[#This Row],[Code]],Locaties[#All],6,FALSE)</f>
        <v>Deventer</v>
      </c>
      <c r="F1393" s="54"/>
      <c r="G1393" s="24" t="s">
        <v>512</v>
      </c>
      <c r="H1393" s="24" t="s">
        <v>1857</v>
      </c>
      <c r="I1393" s="4" t="s">
        <v>402</v>
      </c>
      <c r="J1393" s="24">
        <v>5</v>
      </c>
      <c r="K1393" s="54" t="str">
        <f>VLOOKUP(J1393,Ruimtegroepen[],2,FALSE)</f>
        <v>Sanitair</v>
      </c>
      <c r="L1393" s="24" t="s">
        <v>305</v>
      </c>
      <c r="M1393" s="24" t="s">
        <v>1757</v>
      </c>
      <c r="N1393" s="83">
        <v>0.83</v>
      </c>
      <c r="O1393" s="83"/>
      <c r="P1393" s="93" t="str">
        <f>LEFT(VLOOKUP(Ruimtestaat[[#This Row],[Ruimte code]],Ruimtegroepen[#All],4,1),2)</f>
        <v>Sa</v>
      </c>
      <c r="Q1393" s="93"/>
      <c r="R1393" s="84">
        <v>42</v>
      </c>
      <c r="S1393" s="84" t="s">
        <v>316</v>
      </c>
      <c r="T1393" s="85">
        <f>IF(R1393&gt;0,IF(RIGHT(Ruimtestaat[[#This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3" s="85">
        <f>IF(T1393&gt;0,VLOOKUP($J1393,Ruimtegroepen[],3,FALSE)*VLOOKUP($L1393,Vloersoorten[],3,FALSE)*VLOOKUP($S1393,Frequenties[],3,FALSE)*VLOOKUP($A1393,Locaties[],3,FALSE),0)</f>
        <v>0</v>
      </c>
      <c r="V1393" s="86">
        <f>Ruimtestaat[[#This Row],[Uitvoeringen werkdagen]]*Ruimtestaat[[#This Row],[Oppervlak (netto)]]</f>
        <v>348.59999999999997</v>
      </c>
      <c r="W1393" s="87">
        <f>IF(U1393&gt;0,Ruimtestaat[[#This Row],[Prest. (m2 /jaar) werkdagen]]/Ruimtestaat[[#This Row],[Norm (m2/uur) werkdagen]],0)</f>
        <v>0</v>
      </c>
      <c r="X1393" s="88">
        <f>Ruimtestaat[[#This Row],[uren / jaar werkdagen]]*Tariefsopbouw!$E$35</f>
        <v>0</v>
      </c>
      <c r="Y1393" s="85"/>
      <c r="Z1393" s="89">
        <f>IF(Ruimtestaat[[#This Row],[Frequentie weekend]]&gt;0,VALUE(LEFT(Y1393,1))*R1393,0)</f>
        <v>0</v>
      </c>
      <c r="AA1393" s="85">
        <f>IF($Z1393&gt;0,VLOOKUP($J1393,Ruimtegroepen[],3,FALSE)*VLOOKUP($L1393,Vloersoorten[],3,FALSE)*VLOOKUP($Y1393,Frequenties[],3,FALSE)*VLOOKUP(#REF!,Locaties[],3,FALSE),0)</f>
        <v>0</v>
      </c>
      <c r="AB1393" s="87">
        <f>Ruimtestaat[[#This Row],[Uitvoeringen weekend]]*Ruimtestaat[[#This Row],[Oppervlak (netto)]]</f>
        <v>0</v>
      </c>
      <c r="AC1393" s="90">
        <f>IF(AB1393&gt;0,Ruimtestaat[[#This Row],[Prest. (m2 /jaar) weekend]]/Ruimtestaat[[#This Row],[Norm (m2/uur) weekend]],0)</f>
        <v>0</v>
      </c>
      <c r="AD1393" s="91">
        <f>Ruimtestaat[[#This Row],[uren / jaar weekend]]*Tariefsopbouw!$D$40</f>
        <v>0</v>
      </c>
      <c r="AE1393" s="60">
        <f>Ruimtestaat[[#This Row],[Prest. (m2 /jaar) weekend]]+Ruimtestaat[[#This Row],[Prest. (m2 /jaar) werkdagen]]</f>
        <v>348.59999999999997</v>
      </c>
      <c r="AF1393" s="60">
        <f>Ruimtestaat[[#This Row],[uren / jaar weekend]]+Ruimtestaat[[#This Row],[uren / jaar werkdagen]]</f>
        <v>0</v>
      </c>
      <c r="AG1393" s="61">
        <f>Ruimtestaat[[#This Row],[kosten / jaar weekend]]+Ruimtestaat[[#This Row],[kosten / jaar werkdagen]]</f>
        <v>0</v>
      </c>
      <c r="AH1393" s="92"/>
      <c r="HL1393" s="59"/>
    </row>
    <row r="1394" spans="1:220">
      <c r="A1394" s="24">
        <v>8</v>
      </c>
      <c r="B1394" s="24" t="str">
        <f>VLOOKUP(Ruimtestaat[[#This Row],[Code]],Locaties[#All],2,FALSE)</f>
        <v>Arkelstijn</v>
      </c>
      <c r="C1394" s="24" t="str">
        <f>VLOOKUP(Ruimtestaat[[#This Row],[Code]],Locaties[#All],4,FALSE)</f>
        <v>Arkelstein 8</v>
      </c>
      <c r="D1394" s="24" t="str">
        <f>VLOOKUP(Ruimtestaat[[#This Row],[Code]],Locaties[#All],5,FALSE)</f>
        <v>7414 EP</v>
      </c>
      <c r="E1394" s="24" t="str">
        <f>VLOOKUP(Ruimtestaat[[#This Row],[Code]],Locaties[#All],6,FALSE)</f>
        <v>Deventer</v>
      </c>
      <c r="F1394" s="54"/>
      <c r="G1394" s="24" t="s">
        <v>512</v>
      </c>
      <c r="H1394" s="24" t="s">
        <v>1858</v>
      </c>
      <c r="I1394" s="4" t="s">
        <v>402</v>
      </c>
      <c r="J1394" s="24">
        <v>5</v>
      </c>
      <c r="K1394" s="54" t="str">
        <f>VLOOKUP(J1394,Ruimtegroepen[],2,FALSE)</f>
        <v>Sanitair</v>
      </c>
      <c r="L1394" s="24" t="s">
        <v>305</v>
      </c>
      <c r="M1394" s="24" t="s">
        <v>1757</v>
      </c>
      <c r="N1394" s="83">
        <v>0.83</v>
      </c>
      <c r="O1394" s="83"/>
      <c r="P1394" s="93" t="str">
        <f>LEFT(VLOOKUP(Ruimtestaat[[#This Row],[Ruimte code]],Ruimtegroepen[#All],4,1),2)</f>
        <v>Sa</v>
      </c>
      <c r="Q1394" s="93"/>
      <c r="R1394" s="84">
        <v>42</v>
      </c>
      <c r="S1394" s="84" t="s">
        <v>316</v>
      </c>
      <c r="T1394" s="85">
        <f>IF(R1394&gt;0,IF(RIGHT(Ruimtestaat[[#This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4" s="85">
        <f>IF(T1394&gt;0,VLOOKUP($J1394,Ruimtegroepen[],3,FALSE)*VLOOKUP($L1394,Vloersoorten[],3,FALSE)*VLOOKUP($S1394,Frequenties[],3,FALSE)*VLOOKUP($A1394,Locaties[],3,FALSE),0)</f>
        <v>0</v>
      </c>
      <c r="V1394" s="86">
        <f>Ruimtestaat[[#This Row],[Uitvoeringen werkdagen]]*Ruimtestaat[[#This Row],[Oppervlak (netto)]]</f>
        <v>348.59999999999997</v>
      </c>
      <c r="W1394" s="87">
        <f>IF(U1394&gt;0,Ruimtestaat[[#This Row],[Prest. (m2 /jaar) werkdagen]]/Ruimtestaat[[#This Row],[Norm (m2/uur) werkdagen]],0)</f>
        <v>0</v>
      </c>
      <c r="X1394" s="88">
        <f>Ruimtestaat[[#This Row],[uren / jaar werkdagen]]*Tariefsopbouw!$E$35</f>
        <v>0</v>
      </c>
      <c r="Y1394" s="85"/>
      <c r="Z1394" s="89">
        <f>IF(Ruimtestaat[[#This Row],[Frequentie weekend]]&gt;0,VALUE(LEFT(Y1394,1))*R1394,0)</f>
        <v>0</v>
      </c>
      <c r="AA1394" s="85">
        <f>IF($Z1394&gt;0,VLOOKUP($J1394,Ruimtegroepen[],3,FALSE)*VLOOKUP($L1394,Vloersoorten[],3,FALSE)*VLOOKUP($Y1394,Frequenties[],3,FALSE)*VLOOKUP(#REF!,Locaties[],3,FALSE),0)</f>
        <v>0</v>
      </c>
      <c r="AB1394" s="87">
        <f>Ruimtestaat[[#This Row],[Uitvoeringen weekend]]*Ruimtestaat[[#This Row],[Oppervlak (netto)]]</f>
        <v>0</v>
      </c>
      <c r="AC1394" s="90">
        <f>IF(AB1394&gt;0,Ruimtestaat[[#This Row],[Prest. (m2 /jaar) weekend]]/Ruimtestaat[[#This Row],[Norm (m2/uur) weekend]],0)</f>
        <v>0</v>
      </c>
      <c r="AD1394" s="91">
        <f>Ruimtestaat[[#This Row],[uren / jaar weekend]]*Tariefsopbouw!$D$40</f>
        <v>0</v>
      </c>
      <c r="AE1394" s="60">
        <f>Ruimtestaat[[#This Row],[Prest. (m2 /jaar) weekend]]+Ruimtestaat[[#This Row],[Prest. (m2 /jaar) werkdagen]]</f>
        <v>348.59999999999997</v>
      </c>
      <c r="AF1394" s="60">
        <f>Ruimtestaat[[#This Row],[uren / jaar weekend]]+Ruimtestaat[[#This Row],[uren / jaar werkdagen]]</f>
        <v>0</v>
      </c>
      <c r="AG1394" s="61">
        <f>Ruimtestaat[[#This Row],[kosten / jaar weekend]]+Ruimtestaat[[#This Row],[kosten / jaar werkdagen]]</f>
        <v>0</v>
      </c>
      <c r="AH1394" s="92"/>
      <c r="HL1394" s="59"/>
    </row>
    <row r="1395" spans="1:220">
      <c r="A1395" s="24">
        <v>8</v>
      </c>
      <c r="B1395" s="24" t="str">
        <f>VLOOKUP(Ruimtestaat[[#This Row],[Code]],Locaties[#All],2,FALSE)</f>
        <v>Arkelstijn</v>
      </c>
      <c r="C1395" s="24" t="str">
        <f>VLOOKUP(Ruimtestaat[[#This Row],[Code]],Locaties[#All],4,FALSE)</f>
        <v>Arkelstein 8</v>
      </c>
      <c r="D1395" s="24" t="str">
        <f>VLOOKUP(Ruimtestaat[[#This Row],[Code]],Locaties[#All],5,FALSE)</f>
        <v>7414 EP</v>
      </c>
      <c r="E1395" s="24" t="str">
        <f>VLOOKUP(Ruimtestaat[[#This Row],[Code]],Locaties[#All],6,FALSE)</f>
        <v>Deventer</v>
      </c>
      <c r="F1395" s="54"/>
      <c r="G1395" s="24" t="s">
        <v>512</v>
      </c>
      <c r="H1395" s="24" t="s">
        <v>1859</v>
      </c>
      <c r="I1395" s="4" t="s">
        <v>1782</v>
      </c>
      <c r="J1395" s="24">
        <v>22</v>
      </c>
      <c r="K1395" s="54" t="str">
        <f>VLOOKUP(J1395,Ruimtegroepen[],2,FALSE)</f>
        <v>Niet in onderhoud</v>
      </c>
      <c r="L1395" s="24" t="s">
        <v>305</v>
      </c>
      <c r="M1395" s="24" t="s">
        <v>1757</v>
      </c>
      <c r="N1395" s="83"/>
      <c r="O1395" s="83">
        <v>2</v>
      </c>
      <c r="P1395" s="93" t="str">
        <f>LEFT(VLOOKUP(Ruimtestaat[[#This Row],[Ruimte code]],Ruimtegroepen[#All],4,1),2)</f>
        <v/>
      </c>
      <c r="Q1395" s="93"/>
      <c r="R1395" s="84"/>
      <c r="S1395" s="84"/>
      <c r="T1395" s="85">
        <f>IF(R1395&gt;0,IF(RIGHT(Ruimtestaat[[#This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95" s="85">
        <f>IF(T1395&gt;0,VLOOKUP($J1395,Ruimtegroepen[],3,FALSE)*VLOOKUP($L1395,Vloersoorten[],3,FALSE)*VLOOKUP($S1395,Frequenties[],3,FALSE)*VLOOKUP($A1395,Locaties[],3,FALSE),0)</f>
        <v>0</v>
      </c>
      <c r="V1395" s="86">
        <f>Ruimtestaat[[#This Row],[Uitvoeringen werkdagen]]*Ruimtestaat[[#This Row],[Oppervlak (netto)]]</f>
        <v>0</v>
      </c>
      <c r="W1395" s="87">
        <f>IF(U1395&gt;0,Ruimtestaat[[#This Row],[Prest. (m2 /jaar) werkdagen]]/Ruimtestaat[[#This Row],[Norm (m2/uur) werkdagen]],0)</f>
        <v>0</v>
      </c>
      <c r="X1395" s="88">
        <f>Ruimtestaat[[#This Row],[uren / jaar werkdagen]]*Tariefsopbouw!$E$35</f>
        <v>0</v>
      </c>
      <c r="Y1395" s="85"/>
      <c r="Z1395" s="89">
        <f>IF(Ruimtestaat[[#This Row],[Frequentie weekend]]&gt;0,VALUE(LEFT(Y1395,1))*R1395,0)</f>
        <v>0</v>
      </c>
      <c r="AA1395" s="85">
        <f>IF($Z1395&gt;0,VLOOKUP($J1395,Ruimtegroepen[],3,FALSE)*VLOOKUP($L1395,Vloersoorten[],3,FALSE)*VLOOKUP($Y1395,Frequenties[],3,FALSE)*VLOOKUP(#REF!,Locaties[],3,FALSE),0)</f>
        <v>0</v>
      </c>
      <c r="AB1395" s="87">
        <f>Ruimtestaat[[#This Row],[Uitvoeringen weekend]]*Ruimtestaat[[#This Row],[Oppervlak (netto)]]</f>
        <v>0</v>
      </c>
      <c r="AC1395" s="90">
        <f>IF(AB1395&gt;0,Ruimtestaat[[#This Row],[Prest. (m2 /jaar) weekend]]/Ruimtestaat[[#This Row],[Norm (m2/uur) weekend]],0)</f>
        <v>0</v>
      </c>
      <c r="AD1395" s="91">
        <f>Ruimtestaat[[#This Row],[uren / jaar weekend]]*Tariefsopbouw!$D$40</f>
        <v>0</v>
      </c>
      <c r="AE1395" s="60">
        <f>Ruimtestaat[[#This Row],[Prest. (m2 /jaar) weekend]]+Ruimtestaat[[#This Row],[Prest. (m2 /jaar) werkdagen]]</f>
        <v>0</v>
      </c>
      <c r="AF1395" s="60">
        <f>Ruimtestaat[[#This Row],[uren / jaar weekend]]+Ruimtestaat[[#This Row],[uren / jaar werkdagen]]</f>
        <v>0</v>
      </c>
      <c r="AG1395" s="61">
        <f>Ruimtestaat[[#This Row],[kosten / jaar weekend]]+Ruimtestaat[[#This Row],[kosten / jaar werkdagen]]</f>
        <v>0</v>
      </c>
      <c r="AH1395" s="92"/>
      <c r="HL1395" s="59"/>
    </row>
    <row r="1396" spans="1:220">
      <c r="A1396" s="24">
        <v>8</v>
      </c>
      <c r="B1396" s="24" t="str">
        <f>VLOOKUP(Ruimtestaat[[#This Row],[Code]],Locaties[#All],2,FALSE)</f>
        <v>Arkelstijn</v>
      </c>
      <c r="C1396" s="24" t="str">
        <f>VLOOKUP(Ruimtestaat[[#This Row],[Code]],Locaties[#All],4,FALSE)</f>
        <v>Arkelstein 8</v>
      </c>
      <c r="D1396" s="24" t="str">
        <f>VLOOKUP(Ruimtestaat[[#This Row],[Code]],Locaties[#All],5,FALSE)</f>
        <v>7414 EP</v>
      </c>
      <c r="E1396" s="24" t="str">
        <f>VLOOKUP(Ruimtestaat[[#This Row],[Code]],Locaties[#All],6,FALSE)</f>
        <v>Deventer</v>
      </c>
      <c r="F1396" s="54"/>
      <c r="G1396" s="24" t="s">
        <v>512</v>
      </c>
      <c r="H1396" s="24" t="s">
        <v>1860</v>
      </c>
      <c r="I1396" s="4" t="s">
        <v>1861</v>
      </c>
      <c r="J1396" s="24">
        <v>5</v>
      </c>
      <c r="K1396" s="54" t="str">
        <f>VLOOKUP(J1396,Ruimtegroepen[],2,FALSE)</f>
        <v>Sanitair</v>
      </c>
      <c r="L1396" s="24" t="s">
        <v>305</v>
      </c>
      <c r="M1396" s="24" t="s">
        <v>1757</v>
      </c>
      <c r="N1396" s="83">
        <v>5.9</v>
      </c>
      <c r="O1396" s="83"/>
      <c r="P1396" s="93" t="str">
        <f>LEFT(VLOOKUP(Ruimtestaat[[#This Row],[Ruimte code]],Ruimtegroepen[#All],4,1),2)</f>
        <v>Sa</v>
      </c>
      <c r="Q1396" s="93"/>
      <c r="R1396" s="84">
        <v>42</v>
      </c>
      <c r="S1396" s="84" t="s">
        <v>316</v>
      </c>
      <c r="T1396" s="85">
        <f>IF(R1396&gt;0,IF(RIGHT(Ruimtestaat[[#This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6" s="85">
        <f>IF(T1396&gt;0,VLOOKUP($J1396,Ruimtegroepen[],3,FALSE)*VLOOKUP($L1396,Vloersoorten[],3,FALSE)*VLOOKUP($S1396,Frequenties[],3,FALSE)*VLOOKUP($A1396,Locaties[],3,FALSE),0)</f>
        <v>0</v>
      </c>
      <c r="V1396" s="86">
        <f>Ruimtestaat[[#This Row],[Uitvoeringen werkdagen]]*Ruimtestaat[[#This Row],[Oppervlak (netto)]]</f>
        <v>2478</v>
      </c>
      <c r="W1396" s="87">
        <f>IF(U1396&gt;0,Ruimtestaat[[#This Row],[Prest. (m2 /jaar) werkdagen]]/Ruimtestaat[[#This Row],[Norm (m2/uur) werkdagen]],0)</f>
        <v>0</v>
      </c>
      <c r="X1396" s="88">
        <f>Ruimtestaat[[#This Row],[uren / jaar werkdagen]]*Tariefsopbouw!$E$35</f>
        <v>0</v>
      </c>
      <c r="Y1396" s="85"/>
      <c r="Z1396" s="89">
        <f>IF(Ruimtestaat[[#This Row],[Frequentie weekend]]&gt;0,VALUE(LEFT(Y1396,1))*R1396,0)</f>
        <v>0</v>
      </c>
      <c r="AA1396" s="85">
        <f>IF($Z1396&gt;0,VLOOKUP($J1396,Ruimtegroepen[],3,FALSE)*VLOOKUP($L1396,Vloersoorten[],3,FALSE)*VLOOKUP($Y1396,Frequenties[],3,FALSE)*VLOOKUP(#REF!,Locaties[],3,FALSE),0)</f>
        <v>0</v>
      </c>
      <c r="AB1396" s="87">
        <f>Ruimtestaat[[#This Row],[Uitvoeringen weekend]]*Ruimtestaat[[#This Row],[Oppervlak (netto)]]</f>
        <v>0</v>
      </c>
      <c r="AC1396" s="90">
        <f>IF(AB1396&gt;0,Ruimtestaat[[#This Row],[Prest. (m2 /jaar) weekend]]/Ruimtestaat[[#This Row],[Norm (m2/uur) weekend]],0)</f>
        <v>0</v>
      </c>
      <c r="AD1396" s="91">
        <f>Ruimtestaat[[#This Row],[uren / jaar weekend]]*Tariefsopbouw!$D$40</f>
        <v>0</v>
      </c>
      <c r="AE1396" s="60">
        <f>Ruimtestaat[[#This Row],[Prest. (m2 /jaar) weekend]]+Ruimtestaat[[#This Row],[Prest. (m2 /jaar) werkdagen]]</f>
        <v>2478</v>
      </c>
      <c r="AF1396" s="60">
        <f>Ruimtestaat[[#This Row],[uren / jaar weekend]]+Ruimtestaat[[#This Row],[uren / jaar werkdagen]]</f>
        <v>0</v>
      </c>
      <c r="AG1396" s="61">
        <f>Ruimtestaat[[#This Row],[kosten / jaar weekend]]+Ruimtestaat[[#This Row],[kosten / jaar werkdagen]]</f>
        <v>0</v>
      </c>
      <c r="AH1396" s="92"/>
      <c r="HL1396" s="59"/>
    </row>
    <row r="1397" spans="1:220">
      <c r="A1397" s="24">
        <v>8</v>
      </c>
      <c r="B1397" s="24" t="str">
        <f>VLOOKUP(Ruimtestaat[[#This Row],[Code]],Locaties[#All],2,FALSE)</f>
        <v>Arkelstijn</v>
      </c>
      <c r="C1397" s="24" t="str">
        <f>VLOOKUP(Ruimtestaat[[#This Row],[Code]],Locaties[#All],4,FALSE)</f>
        <v>Arkelstein 8</v>
      </c>
      <c r="D1397" s="24" t="str">
        <f>VLOOKUP(Ruimtestaat[[#This Row],[Code]],Locaties[#All],5,FALSE)</f>
        <v>7414 EP</v>
      </c>
      <c r="E1397" s="24" t="str">
        <f>VLOOKUP(Ruimtestaat[[#This Row],[Code]],Locaties[#All],6,FALSE)</f>
        <v>Deventer</v>
      </c>
      <c r="F1397" s="54"/>
      <c r="G1397" s="24" t="s">
        <v>512</v>
      </c>
      <c r="H1397" s="24" t="s">
        <v>1862</v>
      </c>
      <c r="I1397" s="4" t="s">
        <v>402</v>
      </c>
      <c r="J1397" s="24">
        <v>5</v>
      </c>
      <c r="K1397" s="54" t="str">
        <f>VLOOKUP(J1397,Ruimtegroepen[],2,FALSE)</f>
        <v>Sanitair</v>
      </c>
      <c r="L1397" s="24" t="s">
        <v>305</v>
      </c>
      <c r="M1397" s="24" t="s">
        <v>1757</v>
      </c>
      <c r="N1397" s="83">
        <v>0.83</v>
      </c>
      <c r="O1397" s="83"/>
      <c r="P1397" s="93" t="str">
        <f>LEFT(VLOOKUP(Ruimtestaat[[#This Row],[Ruimte code]],Ruimtegroepen[#All],4,1),2)</f>
        <v>Sa</v>
      </c>
      <c r="Q1397" s="93"/>
      <c r="R1397" s="84">
        <v>42</v>
      </c>
      <c r="S1397" s="84" t="s">
        <v>316</v>
      </c>
      <c r="T1397" s="85">
        <f>IF(R1397&gt;0,IF(RIGHT(Ruimtestaat[[#This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7" s="85">
        <f>IF(T1397&gt;0,VLOOKUP($J1397,Ruimtegroepen[],3,FALSE)*VLOOKUP($L1397,Vloersoorten[],3,FALSE)*VLOOKUP($S1397,Frequenties[],3,FALSE)*VLOOKUP($A1397,Locaties[],3,FALSE),0)</f>
        <v>0</v>
      </c>
      <c r="V1397" s="86">
        <f>Ruimtestaat[[#This Row],[Uitvoeringen werkdagen]]*Ruimtestaat[[#This Row],[Oppervlak (netto)]]</f>
        <v>348.59999999999997</v>
      </c>
      <c r="W1397" s="87">
        <f>IF(U1397&gt;0,Ruimtestaat[[#This Row],[Prest. (m2 /jaar) werkdagen]]/Ruimtestaat[[#This Row],[Norm (m2/uur) werkdagen]],0)</f>
        <v>0</v>
      </c>
      <c r="X1397" s="88">
        <f>Ruimtestaat[[#This Row],[uren / jaar werkdagen]]*Tariefsopbouw!$E$35</f>
        <v>0</v>
      </c>
      <c r="Y1397" s="85"/>
      <c r="Z1397" s="89">
        <f>IF(Ruimtestaat[[#This Row],[Frequentie weekend]]&gt;0,VALUE(LEFT(Y1397,1))*R1397,0)</f>
        <v>0</v>
      </c>
      <c r="AA1397" s="85">
        <f>IF($Z1397&gt;0,VLOOKUP($J1397,Ruimtegroepen[],3,FALSE)*VLOOKUP($L1397,Vloersoorten[],3,FALSE)*VLOOKUP($Y1397,Frequenties[],3,FALSE)*VLOOKUP(#REF!,Locaties[],3,FALSE),0)</f>
        <v>0</v>
      </c>
      <c r="AB1397" s="87">
        <f>Ruimtestaat[[#This Row],[Uitvoeringen weekend]]*Ruimtestaat[[#This Row],[Oppervlak (netto)]]</f>
        <v>0</v>
      </c>
      <c r="AC1397" s="90">
        <f>IF(AB1397&gt;0,Ruimtestaat[[#This Row],[Prest. (m2 /jaar) weekend]]/Ruimtestaat[[#This Row],[Norm (m2/uur) weekend]],0)</f>
        <v>0</v>
      </c>
      <c r="AD1397" s="91">
        <f>Ruimtestaat[[#This Row],[uren / jaar weekend]]*Tariefsopbouw!$D$40</f>
        <v>0</v>
      </c>
      <c r="AE1397" s="60">
        <f>Ruimtestaat[[#This Row],[Prest. (m2 /jaar) weekend]]+Ruimtestaat[[#This Row],[Prest. (m2 /jaar) werkdagen]]</f>
        <v>348.59999999999997</v>
      </c>
      <c r="AF1397" s="60">
        <f>Ruimtestaat[[#This Row],[uren / jaar weekend]]+Ruimtestaat[[#This Row],[uren / jaar werkdagen]]</f>
        <v>0</v>
      </c>
      <c r="AG1397" s="61">
        <f>Ruimtestaat[[#This Row],[kosten / jaar weekend]]+Ruimtestaat[[#This Row],[kosten / jaar werkdagen]]</f>
        <v>0</v>
      </c>
      <c r="AH1397" s="92"/>
      <c r="HL1397" s="59"/>
    </row>
    <row r="1398" spans="1:220">
      <c r="A1398" s="24">
        <v>8</v>
      </c>
      <c r="B1398" s="24" t="str">
        <f>VLOOKUP(Ruimtestaat[[#This Row],[Code]],Locaties[#All],2,FALSE)</f>
        <v>Arkelstijn</v>
      </c>
      <c r="C1398" s="24" t="str">
        <f>VLOOKUP(Ruimtestaat[[#This Row],[Code]],Locaties[#All],4,FALSE)</f>
        <v>Arkelstein 8</v>
      </c>
      <c r="D1398" s="24" t="str">
        <f>VLOOKUP(Ruimtestaat[[#This Row],[Code]],Locaties[#All],5,FALSE)</f>
        <v>7414 EP</v>
      </c>
      <c r="E1398" s="24" t="str">
        <f>VLOOKUP(Ruimtestaat[[#This Row],[Code]],Locaties[#All],6,FALSE)</f>
        <v>Deventer</v>
      </c>
      <c r="F1398" s="54"/>
      <c r="G1398" s="24" t="s">
        <v>512</v>
      </c>
      <c r="H1398" s="24" t="s">
        <v>1863</v>
      </c>
      <c r="I1398" s="4" t="s">
        <v>402</v>
      </c>
      <c r="J1398" s="24">
        <v>5</v>
      </c>
      <c r="K1398" s="54" t="str">
        <f>VLOOKUP(J1398,Ruimtegroepen[],2,FALSE)</f>
        <v>Sanitair</v>
      </c>
      <c r="L1398" s="24" t="s">
        <v>305</v>
      </c>
      <c r="M1398" s="24" t="s">
        <v>1757</v>
      </c>
      <c r="N1398" s="83">
        <v>0.83</v>
      </c>
      <c r="O1398" s="83"/>
      <c r="P1398" s="93" t="str">
        <f>LEFT(VLOOKUP(Ruimtestaat[[#This Row],[Ruimte code]],Ruimtegroepen[#All],4,1),2)</f>
        <v>Sa</v>
      </c>
      <c r="Q1398" s="93"/>
      <c r="R1398" s="84">
        <v>42</v>
      </c>
      <c r="S1398" s="84" t="s">
        <v>316</v>
      </c>
      <c r="T1398" s="85">
        <f>IF(R1398&gt;0,IF(RIGHT(Ruimtestaat[[#This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8" s="85">
        <f>IF(T1398&gt;0,VLOOKUP($J1398,Ruimtegroepen[],3,FALSE)*VLOOKUP($L1398,Vloersoorten[],3,FALSE)*VLOOKUP($S1398,Frequenties[],3,FALSE)*VLOOKUP($A1398,Locaties[],3,FALSE),0)</f>
        <v>0</v>
      </c>
      <c r="V1398" s="86">
        <f>Ruimtestaat[[#This Row],[Uitvoeringen werkdagen]]*Ruimtestaat[[#This Row],[Oppervlak (netto)]]</f>
        <v>348.59999999999997</v>
      </c>
      <c r="W1398" s="87">
        <f>IF(U1398&gt;0,Ruimtestaat[[#This Row],[Prest. (m2 /jaar) werkdagen]]/Ruimtestaat[[#This Row],[Norm (m2/uur) werkdagen]],0)</f>
        <v>0</v>
      </c>
      <c r="X1398" s="88">
        <f>Ruimtestaat[[#This Row],[uren / jaar werkdagen]]*Tariefsopbouw!$E$35</f>
        <v>0</v>
      </c>
      <c r="Y1398" s="85"/>
      <c r="Z1398" s="89">
        <f>IF(Ruimtestaat[[#This Row],[Frequentie weekend]]&gt;0,VALUE(LEFT(Y1398,1))*R1398,0)</f>
        <v>0</v>
      </c>
      <c r="AA1398" s="85">
        <f>IF($Z1398&gt;0,VLOOKUP($J1398,Ruimtegroepen[],3,FALSE)*VLOOKUP($L1398,Vloersoorten[],3,FALSE)*VLOOKUP($Y1398,Frequenties[],3,FALSE)*VLOOKUP(#REF!,Locaties[],3,FALSE),0)</f>
        <v>0</v>
      </c>
      <c r="AB1398" s="87">
        <f>Ruimtestaat[[#This Row],[Uitvoeringen weekend]]*Ruimtestaat[[#This Row],[Oppervlak (netto)]]</f>
        <v>0</v>
      </c>
      <c r="AC1398" s="90">
        <f>IF(AB1398&gt;0,Ruimtestaat[[#This Row],[Prest. (m2 /jaar) weekend]]/Ruimtestaat[[#This Row],[Norm (m2/uur) weekend]],0)</f>
        <v>0</v>
      </c>
      <c r="AD1398" s="91">
        <f>Ruimtestaat[[#This Row],[uren / jaar weekend]]*Tariefsopbouw!$D$40</f>
        <v>0</v>
      </c>
      <c r="AE1398" s="60">
        <f>Ruimtestaat[[#This Row],[Prest. (m2 /jaar) weekend]]+Ruimtestaat[[#This Row],[Prest. (m2 /jaar) werkdagen]]</f>
        <v>348.59999999999997</v>
      </c>
      <c r="AF1398" s="60">
        <f>Ruimtestaat[[#This Row],[uren / jaar weekend]]+Ruimtestaat[[#This Row],[uren / jaar werkdagen]]</f>
        <v>0</v>
      </c>
      <c r="AG1398" s="61">
        <f>Ruimtestaat[[#This Row],[kosten / jaar weekend]]+Ruimtestaat[[#This Row],[kosten / jaar werkdagen]]</f>
        <v>0</v>
      </c>
      <c r="AH1398" s="92"/>
      <c r="HL1398" s="59"/>
    </row>
    <row r="1399" spans="1:220">
      <c r="A1399" s="24">
        <v>8</v>
      </c>
      <c r="B1399" s="24" t="str">
        <f>VLOOKUP(Ruimtestaat[[#This Row],[Code]],Locaties[#All],2,FALSE)</f>
        <v>Arkelstijn</v>
      </c>
      <c r="C1399" s="24" t="str">
        <f>VLOOKUP(Ruimtestaat[[#This Row],[Code]],Locaties[#All],4,FALSE)</f>
        <v>Arkelstein 8</v>
      </c>
      <c r="D1399" s="24" t="str">
        <f>VLOOKUP(Ruimtestaat[[#This Row],[Code]],Locaties[#All],5,FALSE)</f>
        <v>7414 EP</v>
      </c>
      <c r="E1399" s="24" t="str">
        <f>VLOOKUP(Ruimtestaat[[#This Row],[Code]],Locaties[#All],6,FALSE)</f>
        <v>Deventer</v>
      </c>
      <c r="F1399" s="54"/>
      <c r="G1399" s="24" t="s">
        <v>512</v>
      </c>
      <c r="H1399" s="24" t="s">
        <v>1864</v>
      </c>
      <c r="I1399" s="4" t="s">
        <v>1865</v>
      </c>
      <c r="J1399" s="24">
        <v>5</v>
      </c>
      <c r="K1399" s="54" t="str">
        <f>VLOOKUP(J1399,Ruimtegroepen[],2,FALSE)</f>
        <v>Sanitair</v>
      </c>
      <c r="L1399" s="24" t="s">
        <v>305</v>
      </c>
      <c r="M1399" s="24" t="s">
        <v>1757</v>
      </c>
      <c r="N1399" s="83">
        <v>5.7</v>
      </c>
      <c r="O1399" s="83"/>
      <c r="P1399" s="93" t="str">
        <f>LEFT(VLOOKUP(Ruimtestaat[[#This Row],[Ruimte code]],Ruimtegroepen[#All],4,1),2)</f>
        <v>Sa</v>
      </c>
      <c r="Q1399" s="93"/>
      <c r="R1399" s="84">
        <v>42</v>
      </c>
      <c r="S1399" s="84" t="s">
        <v>316</v>
      </c>
      <c r="T1399" s="85">
        <f>IF(R1399&gt;0,IF(RIGHT(Ruimtestaat[[#This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9" s="85">
        <f>IF(T1399&gt;0,VLOOKUP($J1399,Ruimtegroepen[],3,FALSE)*VLOOKUP($L1399,Vloersoorten[],3,FALSE)*VLOOKUP($S1399,Frequenties[],3,FALSE)*VLOOKUP($A1399,Locaties[],3,FALSE),0)</f>
        <v>0</v>
      </c>
      <c r="V1399" s="86">
        <f>Ruimtestaat[[#This Row],[Uitvoeringen werkdagen]]*Ruimtestaat[[#This Row],[Oppervlak (netto)]]</f>
        <v>2394</v>
      </c>
      <c r="W1399" s="87">
        <f>IF(U1399&gt;0,Ruimtestaat[[#This Row],[Prest. (m2 /jaar) werkdagen]]/Ruimtestaat[[#This Row],[Norm (m2/uur) werkdagen]],0)</f>
        <v>0</v>
      </c>
      <c r="X1399" s="88">
        <f>Ruimtestaat[[#This Row],[uren / jaar werkdagen]]*Tariefsopbouw!$E$35</f>
        <v>0</v>
      </c>
      <c r="Y1399" s="85"/>
      <c r="Z1399" s="89">
        <f>IF(Ruimtestaat[[#This Row],[Frequentie weekend]]&gt;0,VALUE(LEFT(Y1399,1))*R1399,0)</f>
        <v>0</v>
      </c>
      <c r="AA1399" s="85">
        <f>IF($Z1399&gt;0,VLOOKUP($J1399,Ruimtegroepen[],3,FALSE)*VLOOKUP($L1399,Vloersoorten[],3,FALSE)*VLOOKUP($Y1399,Frequenties[],3,FALSE)*VLOOKUP(#REF!,Locaties[],3,FALSE),0)</f>
        <v>0</v>
      </c>
      <c r="AB1399" s="87">
        <f>Ruimtestaat[[#This Row],[Uitvoeringen weekend]]*Ruimtestaat[[#This Row],[Oppervlak (netto)]]</f>
        <v>0</v>
      </c>
      <c r="AC1399" s="90">
        <f>IF(AB1399&gt;0,Ruimtestaat[[#This Row],[Prest. (m2 /jaar) weekend]]/Ruimtestaat[[#This Row],[Norm (m2/uur) weekend]],0)</f>
        <v>0</v>
      </c>
      <c r="AD1399" s="91">
        <f>Ruimtestaat[[#This Row],[uren / jaar weekend]]*Tariefsopbouw!$D$40</f>
        <v>0</v>
      </c>
      <c r="AE1399" s="60">
        <f>Ruimtestaat[[#This Row],[Prest. (m2 /jaar) weekend]]+Ruimtestaat[[#This Row],[Prest. (m2 /jaar) werkdagen]]</f>
        <v>2394</v>
      </c>
      <c r="AF1399" s="60">
        <f>Ruimtestaat[[#This Row],[uren / jaar weekend]]+Ruimtestaat[[#This Row],[uren / jaar werkdagen]]</f>
        <v>0</v>
      </c>
      <c r="AG1399" s="61">
        <f>Ruimtestaat[[#This Row],[kosten / jaar weekend]]+Ruimtestaat[[#This Row],[kosten / jaar werkdagen]]</f>
        <v>0</v>
      </c>
      <c r="AH1399" s="92"/>
      <c r="HL1399" s="59"/>
    </row>
    <row r="1400" spans="1:220">
      <c r="A1400" s="24">
        <v>8</v>
      </c>
      <c r="B1400" s="24" t="str">
        <f>VLOOKUP(Ruimtestaat[[#This Row],[Code]],Locaties[#All],2,FALSE)</f>
        <v>Arkelstijn</v>
      </c>
      <c r="C1400" s="24" t="str">
        <f>VLOOKUP(Ruimtestaat[[#This Row],[Code]],Locaties[#All],4,FALSE)</f>
        <v>Arkelstein 8</v>
      </c>
      <c r="D1400" s="24" t="str">
        <f>VLOOKUP(Ruimtestaat[[#This Row],[Code]],Locaties[#All],5,FALSE)</f>
        <v>7414 EP</v>
      </c>
      <c r="E1400" s="24" t="str">
        <f>VLOOKUP(Ruimtestaat[[#This Row],[Code]],Locaties[#All],6,FALSE)</f>
        <v>Deventer</v>
      </c>
      <c r="F1400" s="54"/>
      <c r="G1400" s="24" t="s">
        <v>512</v>
      </c>
      <c r="H1400" s="24" t="s">
        <v>1866</v>
      </c>
      <c r="I1400" s="4" t="s">
        <v>402</v>
      </c>
      <c r="J1400" s="24">
        <v>5</v>
      </c>
      <c r="K1400" s="54" t="str">
        <f>VLOOKUP(J1400,Ruimtegroepen[],2,FALSE)</f>
        <v>Sanitair</v>
      </c>
      <c r="L1400" s="24" t="s">
        <v>305</v>
      </c>
      <c r="M1400" s="24" t="s">
        <v>1757</v>
      </c>
      <c r="N1400" s="83">
        <v>0.93</v>
      </c>
      <c r="O1400" s="83"/>
      <c r="P1400" s="93" t="str">
        <f>LEFT(VLOOKUP(Ruimtestaat[[#This Row],[Ruimte code]],Ruimtegroepen[#All],4,1),2)</f>
        <v>Sa</v>
      </c>
      <c r="Q1400" s="93"/>
      <c r="R1400" s="84">
        <v>42</v>
      </c>
      <c r="S1400" s="84" t="s">
        <v>316</v>
      </c>
      <c r="T1400" s="85">
        <f>IF(R1400&gt;0,IF(RIGHT(Ruimtestaat[[#This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00" s="85">
        <f>IF(T1400&gt;0,VLOOKUP($J1400,Ruimtegroepen[],3,FALSE)*VLOOKUP($L1400,Vloersoorten[],3,FALSE)*VLOOKUP($S1400,Frequenties[],3,FALSE)*VLOOKUP($A1400,Locaties[],3,FALSE),0)</f>
        <v>0</v>
      </c>
      <c r="V1400" s="86">
        <f>Ruimtestaat[[#This Row],[Uitvoeringen werkdagen]]*Ruimtestaat[[#This Row],[Oppervlak (netto)]]</f>
        <v>390.6</v>
      </c>
      <c r="W1400" s="87">
        <f>IF(U1400&gt;0,Ruimtestaat[[#This Row],[Prest. (m2 /jaar) werkdagen]]/Ruimtestaat[[#This Row],[Norm (m2/uur) werkdagen]],0)</f>
        <v>0</v>
      </c>
      <c r="X1400" s="88">
        <f>Ruimtestaat[[#This Row],[uren / jaar werkdagen]]*Tariefsopbouw!$E$35</f>
        <v>0</v>
      </c>
      <c r="Y1400" s="85"/>
      <c r="Z1400" s="89">
        <f>IF(Ruimtestaat[[#This Row],[Frequentie weekend]]&gt;0,VALUE(LEFT(Y1400,1))*R1400,0)</f>
        <v>0</v>
      </c>
      <c r="AA1400" s="85">
        <f>IF($Z1400&gt;0,VLOOKUP($J1400,Ruimtegroepen[],3,FALSE)*VLOOKUP($L1400,Vloersoorten[],3,FALSE)*VLOOKUP($Y1400,Frequenties[],3,FALSE)*VLOOKUP(#REF!,Locaties[],3,FALSE),0)</f>
        <v>0</v>
      </c>
      <c r="AB1400" s="87">
        <f>Ruimtestaat[[#This Row],[Uitvoeringen weekend]]*Ruimtestaat[[#This Row],[Oppervlak (netto)]]</f>
        <v>0</v>
      </c>
      <c r="AC1400" s="90">
        <f>IF(AB1400&gt;0,Ruimtestaat[[#This Row],[Prest. (m2 /jaar) weekend]]/Ruimtestaat[[#This Row],[Norm (m2/uur) weekend]],0)</f>
        <v>0</v>
      </c>
      <c r="AD1400" s="91">
        <f>Ruimtestaat[[#This Row],[uren / jaar weekend]]*Tariefsopbouw!$D$40</f>
        <v>0</v>
      </c>
      <c r="AE1400" s="60">
        <f>Ruimtestaat[[#This Row],[Prest. (m2 /jaar) weekend]]+Ruimtestaat[[#This Row],[Prest. (m2 /jaar) werkdagen]]</f>
        <v>390.6</v>
      </c>
      <c r="AF1400" s="60">
        <f>Ruimtestaat[[#This Row],[uren / jaar weekend]]+Ruimtestaat[[#This Row],[uren / jaar werkdagen]]</f>
        <v>0</v>
      </c>
      <c r="AG1400" s="61">
        <f>Ruimtestaat[[#This Row],[kosten / jaar weekend]]+Ruimtestaat[[#This Row],[kosten / jaar werkdagen]]</f>
        <v>0</v>
      </c>
      <c r="AH1400" s="92"/>
      <c r="HL1400" s="59"/>
    </row>
    <row r="1401" spans="1:220">
      <c r="A1401" s="24">
        <v>8</v>
      </c>
      <c r="B1401" s="24" t="str">
        <f>VLOOKUP(Ruimtestaat[[#This Row],[Code]],Locaties[#All],2,FALSE)</f>
        <v>Arkelstijn</v>
      </c>
      <c r="C1401" s="24" t="str">
        <f>VLOOKUP(Ruimtestaat[[#This Row],[Code]],Locaties[#All],4,FALSE)</f>
        <v>Arkelstein 8</v>
      </c>
      <c r="D1401" s="24" t="str">
        <f>VLOOKUP(Ruimtestaat[[#This Row],[Code]],Locaties[#All],5,FALSE)</f>
        <v>7414 EP</v>
      </c>
      <c r="E1401" s="24" t="str">
        <f>VLOOKUP(Ruimtestaat[[#This Row],[Code]],Locaties[#All],6,FALSE)</f>
        <v>Deventer</v>
      </c>
      <c r="F1401" s="54"/>
      <c r="G1401" s="24" t="s">
        <v>512</v>
      </c>
      <c r="H1401" s="24" t="s">
        <v>1867</v>
      </c>
      <c r="I1401" s="4" t="s">
        <v>402</v>
      </c>
      <c r="J1401" s="24">
        <v>5</v>
      </c>
      <c r="K1401" s="54" t="str">
        <f>VLOOKUP(J1401,Ruimtegroepen[],2,FALSE)</f>
        <v>Sanitair</v>
      </c>
      <c r="L1401" s="24" t="s">
        <v>305</v>
      </c>
      <c r="M1401" s="24" t="s">
        <v>1757</v>
      </c>
      <c r="N1401" s="83">
        <v>0.96</v>
      </c>
      <c r="O1401" s="83"/>
      <c r="P1401" s="93" t="str">
        <f>LEFT(VLOOKUP(Ruimtestaat[[#This Row],[Ruimte code]],Ruimtegroepen[#All],4,1),2)</f>
        <v>Sa</v>
      </c>
      <c r="Q1401" s="93"/>
      <c r="R1401" s="84">
        <v>42</v>
      </c>
      <c r="S1401" s="84" t="s">
        <v>316</v>
      </c>
      <c r="T1401" s="85">
        <f>IF(R1401&gt;0,IF(RIGHT(Ruimtestaat[[#This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01" s="85">
        <f>IF(T1401&gt;0,VLOOKUP($J1401,Ruimtegroepen[],3,FALSE)*VLOOKUP($L1401,Vloersoorten[],3,FALSE)*VLOOKUP($S1401,Frequenties[],3,FALSE)*VLOOKUP($A1401,Locaties[],3,FALSE),0)</f>
        <v>0</v>
      </c>
      <c r="V1401" s="86">
        <f>Ruimtestaat[[#This Row],[Uitvoeringen werkdagen]]*Ruimtestaat[[#This Row],[Oppervlak (netto)]]</f>
        <v>403.2</v>
      </c>
      <c r="W1401" s="87">
        <f>IF(U1401&gt;0,Ruimtestaat[[#This Row],[Prest. (m2 /jaar) werkdagen]]/Ruimtestaat[[#This Row],[Norm (m2/uur) werkdagen]],0)</f>
        <v>0</v>
      </c>
      <c r="X1401" s="88">
        <f>Ruimtestaat[[#This Row],[uren / jaar werkdagen]]*Tariefsopbouw!$E$35</f>
        <v>0</v>
      </c>
      <c r="Y1401" s="85"/>
      <c r="Z1401" s="89">
        <f>IF(Ruimtestaat[[#This Row],[Frequentie weekend]]&gt;0,VALUE(LEFT(Y1401,1))*R1401,0)</f>
        <v>0</v>
      </c>
      <c r="AA1401" s="85">
        <f>IF($Z1401&gt;0,VLOOKUP($J1401,Ruimtegroepen[],3,FALSE)*VLOOKUP($L1401,Vloersoorten[],3,FALSE)*VLOOKUP($Y1401,Frequenties[],3,FALSE)*VLOOKUP(#REF!,Locaties[],3,FALSE),0)</f>
        <v>0</v>
      </c>
      <c r="AB1401" s="87">
        <f>Ruimtestaat[[#This Row],[Uitvoeringen weekend]]*Ruimtestaat[[#This Row],[Oppervlak (netto)]]</f>
        <v>0</v>
      </c>
      <c r="AC1401" s="90">
        <f>IF(AB1401&gt;0,Ruimtestaat[[#This Row],[Prest. (m2 /jaar) weekend]]/Ruimtestaat[[#This Row],[Norm (m2/uur) weekend]],0)</f>
        <v>0</v>
      </c>
      <c r="AD1401" s="91">
        <f>Ruimtestaat[[#This Row],[uren / jaar weekend]]*Tariefsopbouw!$D$40</f>
        <v>0</v>
      </c>
      <c r="AE1401" s="60">
        <f>Ruimtestaat[[#This Row],[Prest. (m2 /jaar) weekend]]+Ruimtestaat[[#This Row],[Prest. (m2 /jaar) werkdagen]]</f>
        <v>403.2</v>
      </c>
      <c r="AF1401" s="60">
        <f>Ruimtestaat[[#This Row],[uren / jaar weekend]]+Ruimtestaat[[#This Row],[uren / jaar werkdagen]]</f>
        <v>0</v>
      </c>
      <c r="AG1401" s="61">
        <f>Ruimtestaat[[#This Row],[kosten / jaar weekend]]+Ruimtestaat[[#This Row],[kosten / jaar werkdagen]]</f>
        <v>0</v>
      </c>
      <c r="AH1401" s="92"/>
      <c r="HL1401" s="59"/>
    </row>
    <row r="1402" spans="1:220">
      <c r="A1402" s="24">
        <v>8</v>
      </c>
      <c r="B1402" s="24" t="str">
        <f>VLOOKUP(Ruimtestaat[[#This Row],[Code]],Locaties[#All],2,FALSE)</f>
        <v>Arkelstijn</v>
      </c>
      <c r="C1402" s="24" t="str">
        <f>VLOOKUP(Ruimtestaat[[#This Row],[Code]],Locaties[#All],4,FALSE)</f>
        <v>Arkelstein 8</v>
      </c>
      <c r="D1402" s="24" t="str">
        <f>VLOOKUP(Ruimtestaat[[#This Row],[Code]],Locaties[#All],5,FALSE)</f>
        <v>7414 EP</v>
      </c>
      <c r="E1402" s="24" t="str">
        <f>VLOOKUP(Ruimtestaat[[#This Row],[Code]],Locaties[#All],6,FALSE)</f>
        <v>Deventer</v>
      </c>
      <c r="F1402" s="54"/>
      <c r="G1402" s="24" t="s">
        <v>512</v>
      </c>
      <c r="H1402" s="24" t="s">
        <v>1868</v>
      </c>
      <c r="I1402" s="4" t="s">
        <v>1869</v>
      </c>
      <c r="J1402" s="24">
        <v>22</v>
      </c>
      <c r="K1402" s="54" t="str">
        <f>VLOOKUP(J1402,Ruimtegroepen[],2,FALSE)</f>
        <v>Niet in onderhoud</v>
      </c>
      <c r="L1402" s="24" t="s">
        <v>305</v>
      </c>
      <c r="M1402" s="24" t="s">
        <v>1757</v>
      </c>
      <c r="N1402" s="83"/>
      <c r="O1402" s="83">
        <v>9.06</v>
      </c>
      <c r="P1402" s="93" t="str">
        <f>LEFT(VLOOKUP(Ruimtestaat[[#This Row],[Ruimte code]],Ruimtegroepen[#All],4,1),2)</f>
        <v/>
      </c>
      <c r="Q1402" s="93"/>
      <c r="R1402" s="84"/>
      <c r="S1402" s="84"/>
      <c r="T1402" s="85">
        <f>IF(R1402&gt;0,IF(RIGHT(Ruimtestaat[[#This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02" s="85">
        <f>IF(T1402&gt;0,VLOOKUP($J1402,Ruimtegroepen[],3,FALSE)*VLOOKUP($L1402,Vloersoorten[],3,FALSE)*VLOOKUP($S1402,Frequenties[],3,FALSE)*VLOOKUP($A1402,Locaties[],3,FALSE),0)</f>
        <v>0</v>
      </c>
      <c r="V1402" s="86">
        <f>Ruimtestaat[[#This Row],[Uitvoeringen werkdagen]]*Ruimtestaat[[#This Row],[Oppervlak (netto)]]</f>
        <v>0</v>
      </c>
      <c r="W1402" s="87">
        <f>IF(U1402&gt;0,Ruimtestaat[[#This Row],[Prest. (m2 /jaar) werkdagen]]/Ruimtestaat[[#This Row],[Norm (m2/uur) werkdagen]],0)</f>
        <v>0</v>
      </c>
      <c r="X1402" s="88">
        <f>Ruimtestaat[[#This Row],[uren / jaar werkdagen]]*Tariefsopbouw!$E$35</f>
        <v>0</v>
      </c>
      <c r="Y1402" s="85"/>
      <c r="Z1402" s="89">
        <f>IF(Ruimtestaat[[#This Row],[Frequentie weekend]]&gt;0,VALUE(LEFT(Y1402,1))*R1402,0)</f>
        <v>0</v>
      </c>
      <c r="AA1402" s="85">
        <f>IF($Z1402&gt;0,VLOOKUP($J1402,Ruimtegroepen[],3,FALSE)*VLOOKUP($L1402,Vloersoorten[],3,FALSE)*VLOOKUP($Y1402,Frequenties[],3,FALSE)*VLOOKUP(#REF!,Locaties[],3,FALSE),0)</f>
        <v>0</v>
      </c>
      <c r="AB1402" s="87">
        <f>Ruimtestaat[[#This Row],[Uitvoeringen weekend]]*Ruimtestaat[[#This Row],[Oppervlak (netto)]]</f>
        <v>0</v>
      </c>
      <c r="AC1402" s="90">
        <f>IF(AB1402&gt;0,Ruimtestaat[[#This Row],[Prest. (m2 /jaar) weekend]]/Ruimtestaat[[#This Row],[Norm (m2/uur) weekend]],0)</f>
        <v>0</v>
      </c>
      <c r="AD1402" s="91">
        <f>Ruimtestaat[[#This Row],[uren / jaar weekend]]*Tariefsopbouw!$D$40</f>
        <v>0</v>
      </c>
      <c r="AE1402" s="60">
        <f>Ruimtestaat[[#This Row],[Prest. (m2 /jaar) weekend]]+Ruimtestaat[[#This Row],[Prest. (m2 /jaar) werkdagen]]</f>
        <v>0</v>
      </c>
      <c r="AF1402" s="60">
        <f>Ruimtestaat[[#This Row],[uren / jaar weekend]]+Ruimtestaat[[#This Row],[uren / jaar werkdagen]]</f>
        <v>0</v>
      </c>
      <c r="AG1402" s="61">
        <f>Ruimtestaat[[#This Row],[kosten / jaar weekend]]+Ruimtestaat[[#This Row],[kosten / jaar werkdagen]]</f>
        <v>0</v>
      </c>
      <c r="AH1402" s="92"/>
      <c r="HL1402" s="59"/>
    </row>
    <row r="1403" spans="1:220">
      <c r="A1403" s="24">
        <v>8</v>
      </c>
      <c r="B1403" s="24" t="str">
        <f>VLOOKUP(Ruimtestaat[[#This Row],[Code]],Locaties[#All],2,FALSE)</f>
        <v>Arkelstijn</v>
      </c>
      <c r="C1403" s="24" t="str">
        <f>VLOOKUP(Ruimtestaat[[#This Row],[Code]],Locaties[#All],4,FALSE)</f>
        <v>Arkelstein 8</v>
      </c>
      <c r="D1403" s="24" t="str">
        <f>VLOOKUP(Ruimtestaat[[#This Row],[Code]],Locaties[#All],5,FALSE)</f>
        <v>7414 EP</v>
      </c>
      <c r="E1403" s="24" t="str">
        <f>VLOOKUP(Ruimtestaat[[#This Row],[Code]],Locaties[#All],6,FALSE)</f>
        <v>Deventer</v>
      </c>
      <c r="F1403" s="54"/>
      <c r="G1403" s="24" t="s">
        <v>512</v>
      </c>
      <c r="H1403" s="24" t="s">
        <v>1870</v>
      </c>
      <c r="I1403" s="4" t="s">
        <v>375</v>
      </c>
      <c r="J1403" s="24">
        <v>22</v>
      </c>
      <c r="K1403" s="54" t="str">
        <f>VLOOKUP(J1403,Ruimtegroepen[],2,FALSE)</f>
        <v>Niet in onderhoud</v>
      </c>
      <c r="L1403" s="24" t="s">
        <v>305</v>
      </c>
      <c r="M1403" s="24" t="s">
        <v>1757</v>
      </c>
      <c r="N1403" s="83"/>
      <c r="O1403" s="83">
        <v>0.93</v>
      </c>
      <c r="P1403" s="93" t="str">
        <f>LEFT(VLOOKUP(Ruimtestaat[[#This Row],[Ruimte code]],Ruimtegroepen[#All],4,1),2)</f>
        <v/>
      </c>
      <c r="Q1403" s="93"/>
      <c r="R1403" s="84"/>
      <c r="S1403" s="84"/>
      <c r="T1403" s="85">
        <f>IF(R1403&gt;0,IF(RIGHT(Ruimtestaat[[#This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03" s="85">
        <f>IF(T1403&gt;0,VLOOKUP($J1403,Ruimtegroepen[],3,FALSE)*VLOOKUP($L1403,Vloersoorten[],3,FALSE)*VLOOKUP($S1403,Frequenties[],3,FALSE)*VLOOKUP($A1403,Locaties[],3,FALSE),0)</f>
        <v>0</v>
      </c>
      <c r="V1403" s="86">
        <f>Ruimtestaat[[#This Row],[Uitvoeringen werkdagen]]*Ruimtestaat[[#This Row],[Oppervlak (netto)]]</f>
        <v>0</v>
      </c>
      <c r="W1403" s="87">
        <f>IF(U1403&gt;0,Ruimtestaat[[#This Row],[Prest. (m2 /jaar) werkdagen]]/Ruimtestaat[[#This Row],[Norm (m2/uur) werkdagen]],0)</f>
        <v>0</v>
      </c>
      <c r="X1403" s="88">
        <f>Ruimtestaat[[#This Row],[uren / jaar werkdagen]]*Tariefsopbouw!$E$35</f>
        <v>0</v>
      </c>
      <c r="Y1403" s="85"/>
      <c r="Z1403" s="89">
        <f>IF(Ruimtestaat[[#This Row],[Frequentie weekend]]&gt;0,VALUE(LEFT(Y1403,1))*R1403,0)</f>
        <v>0</v>
      </c>
      <c r="AA1403" s="85">
        <f>IF($Z1403&gt;0,VLOOKUP($J1403,Ruimtegroepen[],3,FALSE)*VLOOKUP($L1403,Vloersoorten[],3,FALSE)*VLOOKUP($Y1403,Frequenties[],3,FALSE)*VLOOKUP(#REF!,Locaties[],3,FALSE),0)</f>
        <v>0</v>
      </c>
      <c r="AB1403" s="87">
        <f>Ruimtestaat[[#This Row],[Uitvoeringen weekend]]*Ruimtestaat[[#This Row],[Oppervlak (netto)]]</f>
        <v>0</v>
      </c>
      <c r="AC1403" s="90">
        <f>IF(AB1403&gt;0,Ruimtestaat[[#This Row],[Prest. (m2 /jaar) weekend]]/Ruimtestaat[[#This Row],[Norm (m2/uur) weekend]],0)</f>
        <v>0</v>
      </c>
      <c r="AD1403" s="91">
        <f>Ruimtestaat[[#This Row],[uren / jaar weekend]]*Tariefsopbouw!$D$40</f>
        <v>0</v>
      </c>
      <c r="AE1403" s="60">
        <f>Ruimtestaat[[#This Row],[Prest. (m2 /jaar) weekend]]+Ruimtestaat[[#This Row],[Prest. (m2 /jaar) werkdagen]]</f>
        <v>0</v>
      </c>
      <c r="AF1403" s="60">
        <f>Ruimtestaat[[#This Row],[uren / jaar weekend]]+Ruimtestaat[[#This Row],[uren / jaar werkdagen]]</f>
        <v>0</v>
      </c>
      <c r="AG1403" s="61">
        <f>Ruimtestaat[[#This Row],[kosten / jaar weekend]]+Ruimtestaat[[#This Row],[kosten / jaar werkdagen]]</f>
        <v>0</v>
      </c>
      <c r="AH1403" s="92"/>
      <c r="HL1403" s="59"/>
    </row>
    <row r="1404" spans="1:220">
      <c r="A1404" s="24">
        <v>8</v>
      </c>
      <c r="B1404" s="24" t="str">
        <f>VLOOKUP(Ruimtestaat[[#This Row],[Code]],Locaties[#All],2,FALSE)</f>
        <v>Arkelstijn</v>
      </c>
      <c r="C1404" s="24" t="str">
        <f>VLOOKUP(Ruimtestaat[[#This Row],[Code]],Locaties[#All],4,FALSE)</f>
        <v>Arkelstein 8</v>
      </c>
      <c r="D1404" s="24" t="str">
        <f>VLOOKUP(Ruimtestaat[[#This Row],[Code]],Locaties[#All],5,FALSE)</f>
        <v>7414 EP</v>
      </c>
      <c r="E1404" s="24" t="str">
        <f>VLOOKUP(Ruimtestaat[[#This Row],[Code]],Locaties[#All],6,FALSE)</f>
        <v>Deventer</v>
      </c>
      <c r="F1404" s="54"/>
      <c r="G1404" s="24" t="s">
        <v>512</v>
      </c>
      <c r="H1404" s="24" t="s">
        <v>1566</v>
      </c>
      <c r="I1404" s="4" t="s">
        <v>1871</v>
      </c>
      <c r="J1404" s="24">
        <v>16</v>
      </c>
      <c r="K1404" s="54" t="str">
        <f>VLOOKUP(J1404,Ruimtegroepen[],2,FALSE)</f>
        <v>Leslokalen theorie</v>
      </c>
      <c r="L1404" s="24" t="s">
        <v>300</v>
      </c>
      <c r="M1404" s="24" t="s">
        <v>1765</v>
      </c>
      <c r="N1404" s="83">
        <v>60.47</v>
      </c>
      <c r="O1404" s="83"/>
      <c r="P1404" s="93" t="str">
        <f>LEFT(VLOOKUP(Ruimtestaat[[#This Row],[Ruimte code]],Ruimtegroepen[#All],4,1),2)</f>
        <v>Le</v>
      </c>
      <c r="Q1404" s="93"/>
      <c r="R1404" s="84">
        <v>40</v>
      </c>
      <c r="S1404" s="84" t="s">
        <v>318</v>
      </c>
      <c r="T1404" s="85">
        <f>IF(R1404&gt;0,IF(RIGHT(Ruimtestaat[[#This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4" s="85">
        <f>IF(T1404&gt;0,VLOOKUP($J1404,Ruimtegroepen[],3,FALSE)*VLOOKUP($L1404,Vloersoorten[],3,FALSE)*VLOOKUP($S1404,Frequenties[],3,FALSE)*VLOOKUP($A1404,Locaties[],3,FALSE),0)</f>
        <v>0</v>
      </c>
      <c r="V1404" s="86">
        <f>Ruimtestaat[[#This Row],[Uitvoeringen werkdagen]]*Ruimtestaat[[#This Row],[Oppervlak (netto)]]</f>
        <v>12094</v>
      </c>
      <c r="W1404" s="87">
        <f>IF(U1404&gt;0,Ruimtestaat[[#This Row],[Prest. (m2 /jaar) werkdagen]]/Ruimtestaat[[#This Row],[Norm (m2/uur) werkdagen]],0)</f>
        <v>0</v>
      </c>
      <c r="X1404" s="88">
        <f>Ruimtestaat[[#This Row],[uren / jaar werkdagen]]*Tariefsopbouw!$E$35</f>
        <v>0</v>
      </c>
      <c r="Y1404" s="85"/>
      <c r="Z1404" s="89">
        <f>IF(Ruimtestaat[[#This Row],[Frequentie weekend]]&gt;0,VALUE(LEFT(Y1404,1))*R1404,0)</f>
        <v>0</v>
      </c>
      <c r="AA1404" s="85">
        <f>IF($Z1404&gt;0,VLOOKUP($J1404,Ruimtegroepen[],3,FALSE)*VLOOKUP($L1404,Vloersoorten[],3,FALSE)*VLOOKUP($Y1404,Frequenties[],3,FALSE)*VLOOKUP(#REF!,Locaties[],3,FALSE),0)</f>
        <v>0</v>
      </c>
      <c r="AB1404" s="87">
        <f>Ruimtestaat[[#This Row],[Uitvoeringen weekend]]*Ruimtestaat[[#This Row],[Oppervlak (netto)]]</f>
        <v>0</v>
      </c>
      <c r="AC1404" s="90">
        <f>IF(AB1404&gt;0,Ruimtestaat[[#This Row],[Prest. (m2 /jaar) weekend]]/Ruimtestaat[[#This Row],[Norm (m2/uur) weekend]],0)</f>
        <v>0</v>
      </c>
      <c r="AD1404" s="91">
        <f>Ruimtestaat[[#This Row],[uren / jaar weekend]]*Tariefsopbouw!$D$40</f>
        <v>0</v>
      </c>
      <c r="AE1404" s="60">
        <f>Ruimtestaat[[#This Row],[Prest. (m2 /jaar) weekend]]+Ruimtestaat[[#This Row],[Prest. (m2 /jaar) werkdagen]]</f>
        <v>12094</v>
      </c>
      <c r="AF1404" s="60">
        <f>Ruimtestaat[[#This Row],[uren / jaar weekend]]+Ruimtestaat[[#This Row],[uren / jaar werkdagen]]</f>
        <v>0</v>
      </c>
      <c r="AG1404" s="61">
        <f>Ruimtestaat[[#This Row],[kosten / jaar weekend]]+Ruimtestaat[[#This Row],[kosten / jaar werkdagen]]</f>
        <v>0</v>
      </c>
      <c r="AH1404" s="92"/>
      <c r="HL1404" s="59"/>
    </row>
    <row r="1405" spans="1:220">
      <c r="A1405" s="24">
        <v>8</v>
      </c>
      <c r="B1405" s="24" t="str">
        <f>VLOOKUP(Ruimtestaat[[#This Row],[Code]],Locaties[#All],2,FALSE)</f>
        <v>Arkelstijn</v>
      </c>
      <c r="C1405" s="24" t="str">
        <f>VLOOKUP(Ruimtestaat[[#This Row],[Code]],Locaties[#All],4,FALSE)</f>
        <v>Arkelstein 8</v>
      </c>
      <c r="D1405" s="24" t="str">
        <f>VLOOKUP(Ruimtestaat[[#This Row],[Code]],Locaties[#All],5,FALSE)</f>
        <v>7414 EP</v>
      </c>
      <c r="E1405" s="24" t="str">
        <f>VLOOKUP(Ruimtestaat[[#This Row],[Code]],Locaties[#All],6,FALSE)</f>
        <v>Deventer</v>
      </c>
      <c r="F1405" s="54"/>
      <c r="G1405" s="24" t="s">
        <v>512</v>
      </c>
      <c r="H1405" s="24" t="s">
        <v>1567</v>
      </c>
      <c r="I1405" s="4" t="s">
        <v>1098</v>
      </c>
      <c r="J1405" s="24">
        <v>16</v>
      </c>
      <c r="K1405" s="54" t="str">
        <f>VLOOKUP(J1405,Ruimtegroepen[],2,FALSE)</f>
        <v>Leslokalen theorie</v>
      </c>
      <c r="L1405" s="24" t="s">
        <v>300</v>
      </c>
      <c r="M1405" s="24" t="s">
        <v>1765</v>
      </c>
      <c r="N1405" s="83">
        <v>60.44</v>
      </c>
      <c r="O1405" s="83"/>
      <c r="P1405" s="93" t="str">
        <f>LEFT(VLOOKUP(Ruimtestaat[[#This Row],[Ruimte code]],Ruimtegroepen[#All],4,1),2)</f>
        <v>Le</v>
      </c>
      <c r="Q1405" s="93"/>
      <c r="R1405" s="84">
        <v>40</v>
      </c>
      <c r="S1405" s="84" t="s">
        <v>318</v>
      </c>
      <c r="T1405" s="85">
        <f>IF(R1405&gt;0,IF(RIGHT(Ruimtestaat[[#This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5" s="85">
        <f>IF(T1405&gt;0,VLOOKUP($J1405,Ruimtegroepen[],3,FALSE)*VLOOKUP($L1405,Vloersoorten[],3,FALSE)*VLOOKUP($S1405,Frequenties[],3,FALSE)*VLOOKUP($A1405,Locaties[],3,FALSE),0)</f>
        <v>0</v>
      </c>
      <c r="V1405" s="86">
        <f>Ruimtestaat[[#This Row],[Uitvoeringen werkdagen]]*Ruimtestaat[[#This Row],[Oppervlak (netto)]]</f>
        <v>12088</v>
      </c>
      <c r="W1405" s="87">
        <f>IF(U1405&gt;0,Ruimtestaat[[#This Row],[Prest. (m2 /jaar) werkdagen]]/Ruimtestaat[[#This Row],[Norm (m2/uur) werkdagen]],0)</f>
        <v>0</v>
      </c>
      <c r="X1405" s="88">
        <f>Ruimtestaat[[#This Row],[uren / jaar werkdagen]]*Tariefsopbouw!$E$35</f>
        <v>0</v>
      </c>
      <c r="Y1405" s="85"/>
      <c r="Z1405" s="89">
        <f>IF(Ruimtestaat[[#This Row],[Frequentie weekend]]&gt;0,VALUE(LEFT(Y1405,1))*R1405,0)</f>
        <v>0</v>
      </c>
      <c r="AA1405" s="85">
        <f>IF($Z1405&gt;0,VLOOKUP($J1405,Ruimtegroepen[],3,FALSE)*VLOOKUP($L1405,Vloersoorten[],3,FALSE)*VLOOKUP($Y1405,Frequenties[],3,FALSE)*VLOOKUP(#REF!,Locaties[],3,FALSE),0)</f>
        <v>0</v>
      </c>
      <c r="AB1405" s="87">
        <f>Ruimtestaat[[#This Row],[Uitvoeringen weekend]]*Ruimtestaat[[#This Row],[Oppervlak (netto)]]</f>
        <v>0</v>
      </c>
      <c r="AC1405" s="90">
        <f>IF(AB1405&gt;0,Ruimtestaat[[#This Row],[Prest. (m2 /jaar) weekend]]/Ruimtestaat[[#This Row],[Norm (m2/uur) weekend]],0)</f>
        <v>0</v>
      </c>
      <c r="AD1405" s="91">
        <f>Ruimtestaat[[#This Row],[uren / jaar weekend]]*Tariefsopbouw!$D$40</f>
        <v>0</v>
      </c>
      <c r="AE1405" s="60">
        <f>Ruimtestaat[[#This Row],[Prest. (m2 /jaar) weekend]]+Ruimtestaat[[#This Row],[Prest. (m2 /jaar) werkdagen]]</f>
        <v>12088</v>
      </c>
      <c r="AF1405" s="60">
        <f>Ruimtestaat[[#This Row],[uren / jaar weekend]]+Ruimtestaat[[#This Row],[uren / jaar werkdagen]]</f>
        <v>0</v>
      </c>
      <c r="AG1405" s="61">
        <f>Ruimtestaat[[#This Row],[kosten / jaar weekend]]+Ruimtestaat[[#This Row],[kosten / jaar werkdagen]]</f>
        <v>0</v>
      </c>
      <c r="AH1405" s="92"/>
      <c r="HL1405" s="59"/>
    </row>
    <row r="1406" spans="1:220">
      <c r="A1406" s="24">
        <v>8</v>
      </c>
      <c r="B1406" s="24" t="str">
        <f>VLOOKUP(Ruimtestaat[[#This Row],[Code]],Locaties[#All],2,FALSE)</f>
        <v>Arkelstijn</v>
      </c>
      <c r="C1406" s="24" t="str">
        <f>VLOOKUP(Ruimtestaat[[#This Row],[Code]],Locaties[#All],4,FALSE)</f>
        <v>Arkelstein 8</v>
      </c>
      <c r="D1406" s="24" t="str">
        <f>VLOOKUP(Ruimtestaat[[#This Row],[Code]],Locaties[#All],5,FALSE)</f>
        <v>7414 EP</v>
      </c>
      <c r="E1406" s="24" t="str">
        <f>VLOOKUP(Ruimtestaat[[#This Row],[Code]],Locaties[#All],6,FALSE)</f>
        <v>Deventer</v>
      </c>
      <c r="F1406" s="54"/>
      <c r="G1406" s="24" t="s">
        <v>512</v>
      </c>
      <c r="H1406" s="24" t="s">
        <v>1568</v>
      </c>
      <c r="I1406" s="4" t="s">
        <v>1802</v>
      </c>
      <c r="J1406" s="24">
        <v>2</v>
      </c>
      <c r="K1406" s="54" t="str">
        <f>VLOOKUP(J1406,Ruimtegroepen[],2,FALSE)</f>
        <v>Kantoren</v>
      </c>
      <c r="L1406" s="24" t="s">
        <v>300</v>
      </c>
      <c r="M1406" s="24" t="s">
        <v>1765</v>
      </c>
      <c r="N1406" s="83">
        <v>14.5</v>
      </c>
      <c r="O1406" s="83"/>
      <c r="P1406" s="93" t="str">
        <f>LEFT(VLOOKUP(Ruimtestaat[[#This Row],[Ruimte code]],Ruimtegroepen[#All],4,1),2)</f>
        <v>Bu</v>
      </c>
      <c r="Q1406" s="93"/>
      <c r="R1406" s="84">
        <v>42</v>
      </c>
      <c r="S1406" s="84" t="s">
        <v>322</v>
      </c>
      <c r="T1406" s="85">
        <f>IF(R1406&gt;0,IF(RIGHT(Ruimtestaat[[#This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406" s="85">
        <f>IF(T1406&gt;0,VLOOKUP($J1406,Ruimtegroepen[],3,FALSE)*VLOOKUP($L1406,Vloersoorten[],3,FALSE)*VLOOKUP($S1406,Frequenties[],3,FALSE)*VLOOKUP($A1406,Locaties[],3,FALSE),0)</f>
        <v>0</v>
      </c>
      <c r="V1406" s="86">
        <f>Ruimtestaat[[#This Row],[Uitvoeringen werkdagen]]*Ruimtestaat[[#This Row],[Oppervlak (netto)]]</f>
        <v>1827</v>
      </c>
      <c r="W1406" s="87">
        <f>IF(U1406&gt;0,Ruimtestaat[[#This Row],[Prest. (m2 /jaar) werkdagen]]/Ruimtestaat[[#This Row],[Norm (m2/uur) werkdagen]],0)</f>
        <v>0</v>
      </c>
      <c r="X1406" s="88">
        <f>Ruimtestaat[[#This Row],[uren / jaar werkdagen]]*Tariefsopbouw!$E$35</f>
        <v>0</v>
      </c>
      <c r="Y1406" s="85"/>
      <c r="Z1406" s="89">
        <f>IF(Ruimtestaat[[#This Row],[Frequentie weekend]]&gt;0,VALUE(LEFT(Y1406,1))*R1406,0)</f>
        <v>0</v>
      </c>
      <c r="AA1406" s="85">
        <f>IF($Z1406&gt;0,VLOOKUP($J1406,Ruimtegroepen[],3,FALSE)*VLOOKUP($L1406,Vloersoorten[],3,FALSE)*VLOOKUP($Y1406,Frequenties[],3,FALSE)*VLOOKUP(#REF!,Locaties[],3,FALSE),0)</f>
        <v>0</v>
      </c>
      <c r="AB1406" s="87">
        <f>Ruimtestaat[[#This Row],[Uitvoeringen weekend]]*Ruimtestaat[[#This Row],[Oppervlak (netto)]]</f>
        <v>0</v>
      </c>
      <c r="AC1406" s="90">
        <f>IF(AB1406&gt;0,Ruimtestaat[[#This Row],[Prest. (m2 /jaar) weekend]]/Ruimtestaat[[#This Row],[Norm (m2/uur) weekend]],0)</f>
        <v>0</v>
      </c>
      <c r="AD1406" s="91">
        <f>Ruimtestaat[[#This Row],[uren / jaar weekend]]*Tariefsopbouw!$D$40</f>
        <v>0</v>
      </c>
      <c r="AE1406" s="60">
        <f>Ruimtestaat[[#This Row],[Prest. (m2 /jaar) weekend]]+Ruimtestaat[[#This Row],[Prest. (m2 /jaar) werkdagen]]</f>
        <v>1827</v>
      </c>
      <c r="AF1406" s="60">
        <f>Ruimtestaat[[#This Row],[uren / jaar weekend]]+Ruimtestaat[[#This Row],[uren / jaar werkdagen]]</f>
        <v>0</v>
      </c>
      <c r="AG1406" s="61">
        <f>Ruimtestaat[[#This Row],[kosten / jaar weekend]]+Ruimtestaat[[#This Row],[kosten / jaar werkdagen]]</f>
        <v>0</v>
      </c>
      <c r="AH1406" s="92"/>
      <c r="HL1406" s="59"/>
    </row>
    <row r="1407" spans="1:220">
      <c r="A1407" s="24">
        <v>8</v>
      </c>
      <c r="B1407" s="24" t="str">
        <f>VLOOKUP(Ruimtestaat[[#This Row],[Code]],Locaties[#All],2,FALSE)</f>
        <v>Arkelstijn</v>
      </c>
      <c r="C1407" s="24" t="str">
        <f>VLOOKUP(Ruimtestaat[[#This Row],[Code]],Locaties[#All],4,FALSE)</f>
        <v>Arkelstein 8</v>
      </c>
      <c r="D1407" s="24" t="str">
        <f>VLOOKUP(Ruimtestaat[[#This Row],[Code]],Locaties[#All],5,FALSE)</f>
        <v>7414 EP</v>
      </c>
      <c r="E1407" s="24" t="str">
        <f>VLOOKUP(Ruimtestaat[[#This Row],[Code]],Locaties[#All],6,FALSE)</f>
        <v>Deventer</v>
      </c>
      <c r="F1407" s="54"/>
      <c r="G1407" s="24" t="s">
        <v>512</v>
      </c>
      <c r="H1407" s="24" t="s">
        <v>1569</v>
      </c>
      <c r="I1407" s="4" t="s">
        <v>1802</v>
      </c>
      <c r="J1407" s="24">
        <v>2</v>
      </c>
      <c r="K1407" s="54" t="str">
        <f>VLOOKUP(J1407,Ruimtegroepen[],2,FALSE)</f>
        <v>Kantoren</v>
      </c>
      <c r="L1407" s="24" t="s">
        <v>300</v>
      </c>
      <c r="M1407" s="24" t="s">
        <v>1765</v>
      </c>
      <c r="N1407" s="83">
        <v>14.5</v>
      </c>
      <c r="O1407" s="83"/>
      <c r="P1407" s="93" t="str">
        <f>LEFT(VLOOKUP(Ruimtestaat[[#This Row],[Ruimte code]],Ruimtegroepen[#All],4,1),2)</f>
        <v>Bu</v>
      </c>
      <c r="Q1407" s="93"/>
      <c r="R1407" s="84">
        <v>42</v>
      </c>
      <c r="S1407" s="84" t="s">
        <v>322</v>
      </c>
      <c r="T1407" s="85">
        <f>IF(R1407&gt;0,IF(RIGHT(Ruimtestaat[[#This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407" s="85">
        <f>IF(T1407&gt;0,VLOOKUP($J1407,Ruimtegroepen[],3,FALSE)*VLOOKUP($L1407,Vloersoorten[],3,FALSE)*VLOOKUP($S1407,Frequenties[],3,FALSE)*VLOOKUP($A1407,Locaties[],3,FALSE),0)</f>
        <v>0</v>
      </c>
      <c r="V1407" s="86">
        <f>Ruimtestaat[[#This Row],[Uitvoeringen werkdagen]]*Ruimtestaat[[#This Row],[Oppervlak (netto)]]</f>
        <v>1827</v>
      </c>
      <c r="W1407" s="87">
        <f>IF(U1407&gt;0,Ruimtestaat[[#This Row],[Prest. (m2 /jaar) werkdagen]]/Ruimtestaat[[#This Row],[Norm (m2/uur) werkdagen]],0)</f>
        <v>0</v>
      </c>
      <c r="X1407" s="88">
        <f>Ruimtestaat[[#This Row],[uren / jaar werkdagen]]*Tariefsopbouw!$E$35</f>
        <v>0</v>
      </c>
      <c r="Y1407" s="85"/>
      <c r="Z1407" s="89">
        <f>IF(Ruimtestaat[[#This Row],[Frequentie weekend]]&gt;0,VALUE(LEFT(Y1407,1))*R1407,0)</f>
        <v>0</v>
      </c>
      <c r="AA1407" s="85">
        <f>IF($Z1407&gt;0,VLOOKUP($J1407,Ruimtegroepen[],3,FALSE)*VLOOKUP($L1407,Vloersoorten[],3,FALSE)*VLOOKUP($Y1407,Frequenties[],3,FALSE)*VLOOKUP(#REF!,Locaties[],3,FALSE),0)</f>
        <v>0</v>
      </c>
      <c r="AB1407" s="87">
        <f>Ruimtestaat[[#This Row],[Uitvoeringen weekend]]*Ruimtestaat[[#This Row],[Oppervlak (netto)]]</f>
        <v>0</v>
      </c>
      <c r="AC1407" s="90">
        <f>IF(AB1407&gt;0,Ruimtestaat[[#This Row],[Prest. (m2 /jaar) weekend]]/Ruimtestaat[[#This Row],[Norm (m2/uur) weekend]],0)</f>
        <v>0</v>
      </c>
      <c r="AD1407" s="91">
        <f>Ruimtestaat[[#This Row],[uren / jaar weekend]]*Tariefsopbouw!$D$40</f>
        <v>0</v>
      </c>
      <c r="AE1407" s="60">
        <f>Ruimtestaat[[#This Row],[Prest. (m2 /jaar) weekend]]+Ruimtestaat[[#This Row],[Prest. (m2 /jaar) werkdagen]]</f>
        <v>1827</v>
      </c>
      <c r="AF1407" s="60">
        <f>Ruimtestaat[[#This Row],[uren / jaar weekend]]+Ruimtestaat[[#This Row],[uren / jaar werkdagen]]</f>
        <v>0</v>
      </c>
      <c r="AG1407" s="61">
        <f>Ruimtestaat[[#This Row],[kosten / jaar weekend]]+Ruimtestaat[[#This Row],[kosten / jaar werkdagen]]</f>
        <v>0</v>
      </c>
      <c r="AH1407" s="92"/>
      <c r="HL1407" s="59"/>
    </row>
    <row r="1408" spans="1:220">
      <c r="A1408" s="24">
        <v>8</v>
      </c>
      <c r="B1408" s="24" t="str">
        <f>VLOOKUP(Ruimtestaat[[#This Row],[Code]],Locaties[#All],2,FALSE)</f>
        <v>Arkelstijn</v>
      </c>
      <c r="C1408" s="24" t="str">
        <f>VLOOKUP(Ruimtestaat[[#This Row],[Code]],Locaties[#All],4,FALSE)</f>
        <v>Arkelstein 8</v>
      </c>
      <c r="D1408" s="24" t="str">
        <f>VLOOKUP(Ruimtestaat[[#This Row],[Code]],Locaties[#All],5,FALSE)</f>
        <v>7414 EP</v>
      </c>
      <c r="E1408" s="24" t="str">
        <f>VLOOKUP(Ruimtestaat[[#This Row],[Code]],Locaties[#All],6,FALSE)</f>
        <v>Deventer</v>
      </c>
      <c r="F1408" s="54"/>
      <c r="G1408" s="24" t="s">
        <v>512</v>
      </c>
      <c r="H1408" s="24" t="s">
        <v>1570</v>
      </c>
      <c r="I1408" s="4" t="s">
        <v>1872</v>
      </c>
      <c r="J1408" s="24">
        <v>16</v>
      </c>
      <c r="K1408" s="54" t="str">
        <f>VLOOKUP(J1408,Ruimtegroepen[],2,FALSE)</f>
        <v>Leslokalen theorie</v>
      </c>
      <c r="L1408" s="24" t="s">
        <v>300</v>
      </c>
      <c r="M1408" s="24" t="s">
        <v>1765</v>
      </c>
      <c r="N1408" s="83">
        <v>72.81</v>
      </c>
      <c r="O1408" s="83"/>
      <c r="P1408" s="93" t="str">
        <f>LEFT(VLOOKUP(Ruimtestaat[[#This Row],[Ruimte code]],Ruimtegroepen[#All],4,1),2)</f>
        <v>Le</v>
      </c>
      <c r="Q1408" s="93"/>
      <c r="R1408" s="84">
        <v>40</v>
      </c>
      <c r="S1408" s="84" t="s">
        <v>318</v>
      </c>
      <c r="T1408" s="85">
        <f>IF(R1408&gt;0,IF(RIGHT(Ruimtestaat[[#This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8" s="85">
        <f>IF(T1408&gt;0,VLOOKUP($J1408,Ruimtegroepen[],3,FALSE)*VLOOKUP($L1408,Vloersoorten[],3,FALSE)*VLOOKUP($S1408,Frequenties[],3,FALSE)*VLOOKUP($A1408,Locaties[],3,FALSE),0)</f>
        <v>0</v>
      </c>
      <c r="V1408" s="86">
        <f>Ruimtestaat[[#This Row],[Uitvoeringen werkdagen]]*Ruimtestaat[[#This Row],[Oppervlak (netto)]]</f>
        <v>14562</v>
      </c>
      <c r="W1408" s="87">
        <f>IF(U1408&gt;0,Ruimtestaat[[#This Row],[Prest. (m2 /jaar) werkdagen]]/Ruimtestaat[[#This Row],[Norm (m2/uur) werkdagen]],0)</f>
        <v>0</v>
      </c>
      <c r="X1408" s="88">
        <f>Ruimtestaat[[#This Row],[uren / jaar werkdagen]]*Tariefsopbouw!$E$35</f>
        <v>0</v>
      </c>
      <c r="Y1408" s="85"/>
      <c r="Z1408" s="89">
        <f>IF(Ruimtestaat[[#This Row],[Frequentie weekend]]&gt;0,VALUE(LEFT(Y1408,1))*R1408,0)</f>
        <v>0</v>
      </c>
      <c r="AA1408" s="85">
        <f>IF($Z1408&gt;0,VLOOKUP($J1408,Ruimtegroepen[],3,FALSE)*VLOOKUP($L1408,Vloersoorten[],3,FALSE)*VLOOKUP($Y1408,Frequenties[],3,FALSE)*VLOOKUP(#REF!,Locaties[],3,FALSE),0)</f>
        <v>0</v>
      </c>
      <c r="AB1408" s="87">
        <f>Ruimtestaat[[#This Row],[Uitvoeringen weekend]]*Ruimtestaat[[#This Row],[Oppervlak (netto)]]</f>
        <v>0</v>
      </c>
      <c r="AC1408" s="90">
        <f>IF(AB1408&gt;0,Ruimtestaat[[#This Row],[Prest. (m2 /jaar) weekend]]/Ruimtestaat[[#This Row],[Norm (m2/uur) weekend]],0)</f>
        <v>0</v>
      </c>
      <c r="AD1408" s="91">
        <f>Ruimtestaat[[#This Row],[uren / jaar weekend]]*Tariefsopbouw!$D$40</f>
        <v>0</v>
      </c>
      <c r="AE1408" s="60">
        <f>Ruimtestaat[[#This Row],[Prest. (m2 /jaar) weekend]]+Ruimtestaat[[#This Row],[Prest. (m2 /jaar) werkdagen]]</f>
        <v>14562</v>
      </c>
      <c r="AF1408" s="60">
        <f>Ruimtestaat[[#This Row],[uren / jaar weekend]]+Ruimtestaat[[#This Row],[uren / jaar werkdagen]]</f>
        <v>0</v>
      </c>
      <c r="AG1408" s="61">
        <f>Ruimtestaat[[#This Row],[kosten / jaar weekend]]+Ruimtestaat[[#This Row],[kosten / jaar werkdagen]]</f>
        <v>0</v>
      </c>
      <c r="AH1408" s="92"/>
      <c r="HL1408" s="59"/>
    </row>
    <row r="1409" spans="1:220">
      <c r="A1409" s="24">
        <v>8</v>
      </c>
      <c r="B1409" s="24" t="str">
        <f>VLOOKUP(Ruimtestaat[[#This Row],[Code]],Locaties[#All],2,FALSE)</f>
        <v>Arkelstijn</v>
      </c>
      <c r="C1409" s="24" t="str">
        <f>VLOOKUP(Ruimtestaat[[#This Row],[Code]],Locaties[#All],4,FALSE)</f>
        <v>Arkelstein 8</v>
      </c>
      <c r="D1409" s="24" t="str">
        <f>VLOOKUP(Ruimtestaat[[#This Row],[Code]],Locaties[#All],5,FALSE)</f>
        <v>7414 EP</v>
      </c>
      <c r="E1409" s="24" t="str">
        <f>VLOOKUP(Ruimtestaat[[#This Row],[Code]],Locaties[#All],6,FALSE)</f>
        <v>Deventer</v>
      </c>
      <c r="F1409" s="54"/>
      <c r="G1409" s="24" t="s">
        <v>512</v>
      </c>
      <c r="H1409" s="24" t="s">
        <v>1571</v>
      </c>
      <c r="I1409" s="4" t="s">
        <v>1098</v>
      </c>
      <c r="J1409" s="24">
        <v>16</v>
      </c>
      <c r="K1409" s="54" t="str">
        <f>VLOOKUP(J1409,Ruimtegroepen[],2,FALSE)</f>
        <v>Leslokalen theorie</v>
      </c>
      <c r="L1409" s="24" t="s">
        <v>300</v>
      </c>
      <c r="M1409" s="24" t="s">
        <v>1765</v>
      </c>
      <c r="N1409" s="83">
        <v>48.97</v>
      </c>
      <c r="O1409" s="83"/>
      <c r="P1409" s="93" t="str">
        <f>LEFT(VLOOKUP(Ruimtestaat[[#This Row],[Ruimte code]],Ruimtegroepen[#All],4,1),2)</f>
        <v>Le</v>
      </c>
      <c r="Q1409" s="93"/>
      <c r="R1409" s="84">
        <v>40</v>
      </c>
      <c r="S1409" s="84" t="s">
        <v>318</v>
      </c>
      <c r="T1409" s="85">
        <f>IF(R1409&gt;0,IF(RIGHT(Ruimtestaat[[#This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9" s="85">
        <f>IF(T1409&gt;0,VLOOKUP($J1409,Ruimtegroepen[],3,FALSE)*VLOOKUP($L1409,Vloersoorten[],3,FALSE)*VLOOKUP($S1409,Frequenties[],3,FALSE)*VLOOKUP($A1409,Locaties[],3,FALSE),0)</f>
        <v>0</v>
      </c>
      <c r="V1409" s="86">
        <f>Ruimtestaat[[#This Row],[Uitvoeringen werkdagen]]*Ruimtestaat[[#This Row],[Oppervlak (netto)]]</f>
        <v>9794</v>
      </c>
      <c r="W1409" s="87">
        <f>IF(U1409&gt;0,Ruimtestaat[[#This Row],[Prest. (m2 /jaar) werkdagen]]/Ruimtestaat[[#This Row],[Norm (m2/uur) werkdagen]],0)</f>
        <v>0</v>
      </c>
      <c r="X1409" s="88">
        <f>Ruimtestaat[[#This Row],[uren / jaar werkdagen]]*Tariefsopbouw!$E$35</f>
        <v>0</v>
      </c>
      <c r="Y1409" s="85"/>
      <c r="Z1409" s="89">
        <f>IF(Ruimtestaat[[#This Row],[Frequentie weekend]]&gt;0,VALUE(LEFT(Y1409,1))*R1409,0)</f>
        <v>0</v>
      </c>
      <c r="AA1409" s="85">
        <f>IF($Z1409&gt;0,VLOOKUP($J1409,Ruimtegroepen[],3,FALSE)*VLOOKUP($L1409,Vloersoorten[],3,FALSE)*VLOOKUP($Y1409,Frequenties[],3,FALSE)*VLOOKUP(#REF!,Locaties[],3,FALSE),0)</f>
        <v>0</v>
      </c>
      <c r="AB1409" s="87">
        <f>Ruimtestaat[[#This Row],[Uitvoeringen weekend]]*Ruimtestaat[[#This Row],[Oppervlak (netto)]]</f>
        <v>0</v>
      </c>
      <c r="AC1409" s="90">
        <f>IF(AB1409&gt;0,Ruimtestaat[[#This Row],[Prest. (m2 /jaar) weekend]]/Ruimtestaat[[#This Row],[Norm (m2/uur) weekend]],0)</f>
        <v>0</v>
      </c>
      <c r="AD1409" s="91">
        <f>Ruimtestaat[[#This Row],[uren / jaar weekend]]*Tariefsopbouw!$D$40</f>
        <v>0</v>
      </c>
      <c r="AE1409" s="60">
        <f>Ruimtestaat[[#This Row],[Prest. (m2 /jaar) weekend]]+Ruimtestaat[[#This Row],[Prest. (m2 /jaar) werkdagen]]</f>
        <v>9794</v>
      </c>
      <c r="AF1409" s="60">
        <f>Ruimtestaat[[#This Row],[uren / jaar weekend]]+Ruimtestaat[[#This Row],[uren / jaar werkdagen]]</f>
        <v>0</v>
      </c>
      <c r="AG1409" s="61">
        <f>Ruimtestaat[[#This Row],[kosten / jaar weekend]]+Ruimtestaat[[#This Row],[kosten / jaar werkdagen]]</f>
        <v>0</v>
      </c>
      <c r="AH1409" s="92"/>
      <c r="HL1409" s="59"/>
    </row>
    <row r="1410" spans="1:220">
      <c r="A1410" s="24">
        <v>8</v>
      </c>
      <c r="B1410" s="24" t="str">
        <f>VLOOKUP(Ruimtestaat[[#This Row],[Code]],Locaties[#All],2,FALSE)</f>
        <v>Arkelstijn</v>
      </c>
      <c r="C1410" s="24" t="str">
        <f>VLOOKUP(Ruimtestaat[[#This Row],[Code]],Locaties[#All],4,FALSE)</f>
        <v>Arkelstein 8</v>
      </c>
      <c r="D1410" s="24" t="str">
        <f>VLOOKUP(Ruimtestaat[[#This Row],[Code]],Locaties[#All],5,FALSE)</f>
        <v>7414 EP</v>
      </c>
      <c r="E1410" s="24" t="str">
        <f>VLOOKUP(Ruimtestaat[[#This Row],[Code]],Locaties[#All],6,FALSE)</f>
        <v>Deventer</v>
      </c>
      <c r="F1410" s="54"/>
      <c r="G1410" s="24" t="s">
        <v>512</v>
      </c>
      <c r="H1410" s="24" t="s">
        <v>1873</v>
      </c>
      <c r="I1410" s="4" t="s">
        <v>691</v>
      </c>
      <c r="J1410" s="24">
        <v>22</v>
      </c>
      <c r="K1410" s="54" t="str">
        <f>VLOOKUP(J1410,Ruimtegroepen[],2,FALSE)</f>
        <v>Niet in onderhoud</v>
      </c>
      <c r="L1410" s="24" t="s">
        <v>305</v>
      </c>
      <c r="M1410" s="24" t="s">
        <v>1757</v>
      </c>
      <c r="N1410" s="83"/>
      <c r="O1410" s="83">
        <v>2.8</v>
      </c>
      <c r="P1410" s="93" t="str">
        <f>LEFT(VLOOKUP(Ruimtestaat[[#This Row],[Ruimte code]],Ruimtegroepen[#All],4,1),2)</f>
        <v/>
      </c>
      <c r="Q1410" s="93"/>
      <c r="R1410" s="84"/>
      <c r="S1410" s="84"/>
      <c r="T1410" s="85">
        <f>IF(R1410&gt;0,IF(RIGHT(Ruimtestaat[[#This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10" s="85">
        <f>IF(T1410&gt;0,VLOOKUP($J1410,Ruimtegroepen[],3,FALSE)*VLOOKUP($L1410,Vloersoorten[],3,FALSE)*VLOOKUP($S1410,Frequenties[],3,FALSE)*VLOOKUP($A1410,Locaties[],3,FALSE),0)</f>
        <v>0</v>
      </c>
      <c r="V1410" s="86">
        <f>Ruimtestaat[[#This Row],[Uitvoeringen werkdagen]]*Ruimtestaat[[#This Row],[Oppervlak (netto)]]</f>
        <v>0</v>
      </c>
      <c r="W1410" s="87">
        <f>IF(U1410&gt;0,Ruimtestaat[[#This Row],[Prest. (m2 /jaar) werkdagen]]/Ruimtestaat[[#This Row],[Norm (m2/uur) werkdagen]],0)</f>
        <v>0</v>
      </c>
      <c r="X1410" s="88">
        <f>Ruimtestaat[[#This Row],[uren / jaar werkdagen]]*Tariefsopbouw!$E$35</f>
        <v>0</v>
      </c>
      <c r="Y1410" s="85"/>
      <c r="Z1410" s="89">
        <f>IF(Ruimtestaat[[#This Row],[Frequentie weekend]]&gt;0,VALUE(LEFT(Y1410,1))*R1410,0)</f>
        <v>0</v>
      </c>
      <c r="AA1410" s="85">
        <f>IF($Z1410&gt;0,VLOOKUP($J1410,Ruimtegroepen[],3,FALSE)*VLOOKUP($L1410,Vloersoorten[],3,FALSE)*VLOOKUP($Y1410,Frequenties[],3,FALSE)*VLOOKUP(#REF!,Locaties[],3,FALSE),0)</f>
        <v>0</v>
      </c>
      <c r="AB1410" s="87">
        <f>Ruimtestaat[[#This Row],[Uitvoeringen weekend]]*Ruimtestaat[[#This Row],[Oppervlak (netto)]]</f>
        <v>0</v>
      </c>
      <c r="AC1410" s="90">
        <f>IF(AB1410&gt;0,Ruimtestaat[[#This Row],[Prest. (m2 /jaar) weekend]]/Ruimtestaat[[#This Row],[Norm (m2/uur) weekend]],0)</f>
        <v>0</v>
      </c>
      <c r="AD1410" s="91">
        <f>Ruimtestaat[[#This Row],[uren / jaar weekend]]*Tariefsopbouw!$D$40</f>
        <v>0</v>
      </c>
      <c r="AE1410" s="60">
        <f>Ruimtestaat[[#This Row],[Prest. (m2 /jaar) weekend]]+Ruimtestaat[[#This Row],[Prest. (m2 /jaar) werkdagen]]</f>
        <v>0</v>
      </c>
      <c r="AF1410" s="60">
        <f>Ruimtestaat[[#This Row],[uren / jaar weekend]]+Ruimtestaat[[#This Row],[uren / jaar werkdagen]]</f>
        <v>0</v>
      </c>
      <c r="AG1410" s="61">
        <f>Ruimtestaat[[#This Row],[kosten / jaar weekend]]+Ruimtestaat[[#This Row],[kosten / jaar werkdagen]]</f>
        <v>0</v>
      </c>
      <c r="AH1410" s="92"/>
      <c r="HL1410" s="59"/>
    </row>
    <row r="1411" spans="1:220">
      <c r="A1411" s="24">
        <v>8</v>
      </c>
      <c r="B1411" s="24" t="str">
        <f>VLOOKUP(Ruimtestaat[[#This Row],[Code]],Locaties[#All],2,FALSE)</f>
        <v>Arkelstijn</v>
      </c>
      <c r="C1411" s="24" t="str">
        <f>VLOOKUP(Ruimtestaat[[#This Row],[Code]],Locaties[#All],4,FALSE)</f>
        <v>Arkelstein 8</v>
      </c>
      <c r="D1411" s="24" t="str">
        <f>VLOOKUP(Ruimtestaat[[#This Row],[Code]],Locaties[#All],5,FALSE)</f>
        <v>7414 EP</v>
      </c>
      <c r="E1411" s="24" t="str">
        <f>VLOOKUP(Ruimtestaat[[#This Row],[Code]],Locaties[#All],6,FALSE)</f>
        <v>Deventer</v>
      </c>
      <c r="F1411" s="54"/>
      <c r="G1411" s="24" t="s">
        <v>512</v>
      </c>
      <c r="H1411" s="24" t="s">
        <v>1874</v>
      </c>
      <c r="I1411" s="4" t="s">
        <v>402</v>
      </c>
      <c r="J1411" s="24">
        <v>5</v>
      </c>
      <c r="K1411" s="54" t="str">
        <f>VLOOKUP(J1411,Ruimtegroepen[],2,FALSE)</f>
        <v>Sanitair</v>
      </c>
      <c r="L1411" s="24" t="s">
        <v>305</v>
      </c>
      <c r="M1411" s="24" t="s">
        <v>1757</v>
      </c>
      <c r="N1411" s="83">
        <v>1.35</v>
      </c>
      <c r="O1411" s="83"/>
      <c r="P1411" s="93" t="str">
        <f>LEFT(VLOOKUP(Ruimtestaat[[#This Row],[Ruimte code]],Ruimtegroepen[#All],4,1),2)</f>
        <v>Sa</v>
      </c>
      <c r="Q1411" s="93"/>
      <c r="R1411" s="84">
        <v>42</v>
      </c>
      <c r="S1411" s="84" t="s">
        <v>316</v>
      </c>
      <c r="T1411" s="85">
        <f>IF(R1411&gt;0,IF(RIGHT(Ruimtestaat[[#This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11" s="85">
        <f>IF(T1411&gt;0,VLOOKUP($J1411,Ruimtegroepen[],3,FALSE)*VLOOKUP($L1411,Vloersoorten[],3,FALSE)*VLOOKUP($S1411,Frequenties[],3,FALSE)*VLOOKUP($A1411,Locaties[],3,FALSE),0)</f>
        <v>0</v>
      </c>
      <c r="V1411" s="86">
        <f>Ruimtestaat[[#This Row],[Uitvoeringen werkdagen]]*Ruimtestaat[[#This Row],[Oppervlak (netto)]]</f>
        <v>567</v>
      </c>
      <c r="W1411" s="87">
        <f>IF(U1411&gt;0,Ruimtestaat[[#This Row],[Prest. (m2 /jaar) werkdagen]]/Ruimtestaat[[#This Row],[Norm (m2/uur) werkdagen]],0)</f>
        <v>0</v>
      </c>
      <c r="X1411" s="88">
        <f>Ruimtestaat[[#This Row],[uren / jaar werkdagen]]*Tariefsopbouw!$E$35</f>
        <v>0</v>
      </c>
      <c r="Y1411" s="85"/>
      <c r="Z1411" s="89">
        <f>IF(Ruimtestaat[[#This Row],[Frequentie weekend]]&gt;0,VALUE(LEFT(Y1411,1))*R1411,0)</f>
        <v>0</v>
      </c>
      <c r="AA1411" s="85">
        <f>IF($Z1411&gt;0,VLOOKUP($J1411,Ruimtegroepen[],3,FALSE)*VLOOKUP($L1411,Vloersoorten[],3,FALSE)*VLOOKUP($Y1411,Frequenties[],3,FALSE)*VLOOKUP(#REF!,Locaties[],3,FALSE),0)</f>
        <v>0</v>
      </c>
      <c r="AB1411" s="87">
        <f>Ruimtestaat[[#This Row],[Uitvoeringen weekend]]*Ruimtestaat[[#This Row],[Oppervlak (netto)]]</f>
        <v>0</v>
      </c>
      <c r="AC1411" s="90">
        <f>IF(AB1411&gt;0,Ruimtestaat[[#This Row],[Prest. (m2 /jaar) weekend]]/Ruimtestaat[[#This Row],[Norm (m2/uur) weekend]],0)</f>
        <v>0</v>
      </c>
      <c r="AD1411" s="91">
        <f>Ruimtestaat[[#This Row],[uren / jaar weekend]]*Tariefsopbouw!$D$40</f>
        <v>0</v>
      </c>
      <c r="AE1411" s="60">
        <f>Ruimtestaat[[#This Row],[Prest. (m2 /jaar) weekend]]+Ruimtestaat[[#This Row],[Prest. (m2 /jaar) werkdagen]]</f>
        <v>567</v>
      </c>
      <c r="AF1411" s="60">
        <f>Ruimtestaat[[#This Row],[uren / jaar weekend]]+Ruimtestaat[[#This Row],[uren / jaar werkdagen]]</f>
        <v>0</v>
      </c>
      <c r="AG1411" s="61">
        <f>Ruimtestaat[[#This Row],[kosten / jaar weekend]]+Ruimtestaat[[#This Row],[kosten / jaar werkdagen]]</f>
        <v>0</v>
      </c>
      <c r="AH1411" s="92"/>
      <c r="HL1411" s="59"/>
    </row>
    <row r="1412" spans="1:220">
      <c r="A1412" s="24">
        <v>8</v>
      </c>
      <c r="B1412" s="24" t="str">
        <f>VLOOKUP(Ruimtestaat[[#This Row],[Code]],Locaties[#All],2,FALSE)</f>
        <v>Arkelstijn</v>
      </c>
      <c r="C1412" s="24" t="str">
        <f>VLOOKUP(Ruimtestaat[[#This Row],[Code]],Locaties[#All],4,FALSE)</f>
        <v>Arkelstein 8</v>
      </c>
      <c r="D1412" s="24" t="str">
        <f>VLOOKUP(Ruimtestaat[[#This Row],[Code]],Locaties[#All],5,FALSE)</f>
        <v>7414 EP</v>
      </c>
      <c r="E1412" s="24" t="str">
        <f>VLOOKUP(Ruimtestaat[[#This Row],[Code]],Locaties[#All],6,FALSE)</f>
        <v>Deventer</v>
      </c>
      <c r="F1412" s="54"/>
      <c r="G1412" s="24" t="s">
        <v>512</v>
      </c>
      <c r="H1412" s="24" t="s">
        <v>1875</v>
      </c>
      <c r="I1412" s="4" t="s">
        <v>402</v>
      </c>
      <c r="J1412" s="24">
        <v>5</v>
      </c>
      <c r="K1412" s="54" t="str">
        <f>VLOOKUP(J1412,Ruimtegroepen[],2,FALSE)</f>
        <v>Sanitair</v>
      </c>
      <c r="L1412" s="24" t="s">
        <v>305</v>
      </c>
      <c r="M1412" s="24" t="s">
        <v>1757</v>
      </c>
      <c r="N1412" s="83">
        <v>1.35</v>
      </c>
      <c r="O1412" s="83"/>
      <c r="P1412" s="93" t="str">
        <f>LEFT(VLOOKUP(Ruimtestaat[[#This Row],[Ruimte code]],Ruimtegroepen[#All],4,1),2)</f>
        <v>Sa</v>
      </c>
      <c r="Q1412" s="93"/>
      <c r="R1412" s="84">
        <v>42</v>
      </c>
      <c r="S1412" s="84" t="s">
        <v>316</v>
      </c>
      <c r="T1412" s="85">
        <f>IF(R1412&gt;0,IF(RIGHT(Ruimtestaat[[#This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12" s="85">
        <f>IF(T1412&gt;0,VLOOKUP($J1412,Ruimtegroepen[],3,FALSE)*VLOOKUP($L1412,Vloersoorten[],3,FALSE)*VLOOKUP($S1412,Frequenties[],3,FALSE)*VLOOKUP($A1412,Locaties[],3,FALSE),0)</f>
        <v>0</v>
      </c>
      <c r="V1412" s="86">
        <f>Ruimtestaat[[#This Row],[Uitvoeringen werkdagen]]*Ruimtestaat[[#This Row],[Oppervlak (netto)]]</f>
        <v>567</v>
      </c>
      <c r="W1412" s="87">
        <f>IF(U1412&gt;0,Ruimtestaat[[#This Row],[Prest. (m2 /jaar) werkdagen]]/Ruimtestaat[[#This Row],[Norm (m2/uur) werkdagen]],0)</f>
        <v>0</v>
      </c>
      <c r="X1412" s="88">
        <f>Ruimtestaat[[#This Row],[uren / jaar werkdagen]]*Tariefsopbouw!$E$35</f>
        <v>0</v>
      </c>
      <c r="Y1412" s="85"/>
      <c r="Z1412" s="89">
        <f>IF(Ruimtestaat[[#This Row],[Frequentie weekend]]&gt;0,VALUE(LEFT(Y1412,1))*R1412,0)</f>
        <v>0</v>
      </c>
      <c r="AA1412" s="85">
        <f>IF($Z1412&gt;0,VLOOKUP($J1412,Ruimtegroepen[],3,FALSE)*VLOOKUP($L1412,Vloersoorten[],3,FALSE)*VLOOKUP($Y1412,Frequenties[],3,FALSE)*VLOOKUP(#REF!,Locaties[],3,FALSE),0)</f>
        <v>0</v>
      </c>
      <c r="AB1412" s="87">
        <f>Ruimtestaat[[#This Row],[Uitvoeringen weekend]]*Ruimtestaat[[#This Row],[Oppervlak (netto)]]</f>
        <v>0</v>
      </c>
      <c r="AC1412" s="90">
        <f>IF(AB1412&gt;0,Ruimtestaat[[#This Row],[Prest. (m2 /jaar) weekend]]/Ruimtestaat[[#This Row],[Norm (m2/uur) weekend]],0)</f>
        <v>0</v>
      </c>
      <c r="AD1412" s="91">
        <f>Ruimtestaat[[#This Row],[uren / jaar weekend]]*Tariefsopbouw!$D$40</f>
        <v>0</v>
      </c>
      <c r="AE1412" s="60">
        <f>Ruimtestaat[[#This Row],[Prest. (m2 /jaar) weekend]]+Ruimtestaat[[#This Row],[Prest. (m2 /jaar) werkdagen]]</f>
        <v>567</v>
      </c>
      <c r="AF1412" s="60">
        <f>Ruimtestaat[[#This Row],[uren / jaar weekend]]+Ruimtestaat[[#This Row],[uren / jaar werkdagen]]</f>
        <v>0</v>
      </c>
      <c r="AG1412" s="61">
        <f>Ruimtestaat[[#This Row],[kosten / jaar weekend]]+Ruimtestaat[[#This Row],[kosten / jaar werkdagen]]</f>
        <v>0</v>
      </c>
      <c r="AH1412" s="92"/>
      <c r="HL1412" s="59"/>
    </row>
    <row r="1413" spans="1:220">
      <c r="A1413" s="24">
        <v>8</v>
      </c>
      <c r="B1413" s="24" t="str">
        <f>VLOOKUP(Ruimtestaat[[#This Row],[Code]],Locaties[#All],2,FALSE)</f>
        <v>Arkelstijn</v>
      </c>
      <c r="C1413" s="24" t="str">
        <f>VLOOKUP(Ruimtestaat[[#This Row],[Code]],Locaties[#All],4,FALSE)</f>
        <v>Arkelstein 8</v>
      </c>
      <c r="D1413" s="24" t="str">
        <f>VLOOKUP(Ruimtestaat[[#This Row],[Code]],Locaties[#All],5,FALSE)</f>
        <v>7414 EP</v>
      </c>
      <c r="E1413" s="24" t="str">
        <f>VLOOKUP(Ruimtestaat[[#This Row],[Code]],Locaties[#All],6,FALSE)</f>
        <v>Deventer</v>
      </c>
      <c r="F1413" s="54"/>
      <c r="G1413" s="24" t="s">
        <v>512</v>
      </c>
      <c r="H1413" s="24" t="s">
        <v>1876</v>
      </c>
      <c r="I1413" s="4" t="s">
        <v>691</v>
      </c>
      <c r="J1413" s="24">
        <v>22</v>
      </c>
      <c r="K1413" s="54" t="str">
        <f>VLOOKUP(J1413,Ruimtegroepen[],2,FALSE)</f>
        <v>Niet in onderhoud</v>
      </c>
      <c r="L1413" s="24" t="s">
        <v>305</v>
      </c>
      <c r="M1413" s="24" t="s">
        <v>1757</v>
      </c>
      <c r="N1413" s="83"/>
      <c r="O1413" s="83">
        <v>1.35</v>
      </c>
      <c r="P1413" s="93" t="str">
        <f>LEFT(VLOOKUP(Ruimtestaat[[#This Row],[Ruimte code]],Ruimtegroepen[#All],4,1),2)</f>
        <v/>
      </c>
      <c r="Q1413" s="93"/>
      <c r="R1413" s="84"/>
      <c r="S1413" s="84"/>
      <c r="T1413" s="85">
        <f>IF(R1413&gt;0,IF(RIGHT(Ruimtestaat[[#This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13" s="85">
        <f>IF(T1413&gt;0,VLOOKUP($J1413,Ruimtegroepen[],3,FALSE)*VLOOKUP($L1413,Vloersoorten[],3,FALSE)*VLOOKUP($S1413,Frequenties[],3,FALSE)*VLOOKUP($A1413,Locaties[],3,FALSE),0)</f>
        <v>0</v>
      </c>
      <c r="V1413" s="86">
        <f>Ruimtestaat[[#This Row],[Uitvoeringen werkdagen]]*Ruimtestaat[[#This Row],[Oppervlak (netto)]]</f>
        <v>0</v>
      </c>
      <c r="W1413" s="87">
        <f>IF(U1413&gt;0,Ruimtestaat[[#This Row],[Prest. (m2 /jaar) werkdagen]]/Ruimtestaat[[#This Row],[Norm (m2/uur) werkdagen]],0)</f>
        <v>0</v>
      </c>
      <c r="X1413" s="88">
        <f>Ruimtestaat[[#This Row],[uren / jaar werkdagen]]*Tariefsopbouw!$E$35</f>
        <v>0</v>
      </c>
      <c r="Y1413" s="85"/>
      <c r="Z1413" s="89">
        <f>IF(Ruimtestaat[[#This Row],[Frequentie weekend]]&gt;0,VALUE(LEFT(Y1413,1))*R1413,0)</f>
        <v>0</v>
      </c>
      <c r="AA1413" s="85">
        <f>IF($Z1413&gt;0,VLOOKUP($J1413,Ruimtegroepen[],3,FALSE)*VLOOKUP($L1413,Vloersoorten[],3,FALSE)*VLOOKUP($Y1413,Frequenties[],3,FALSE)*VLOOKUP(#REF!,Locaties[],3,FALSE),0)</f>
        <v>0</v>
      </c>
      <c r="AB1413" s="87">
        <f>Ruimtestaat[[#This Row],[Uitvoeringen weekend]]*Ruimtestaat[[#This Row],[Oppervlak (netto)]]</f>
        <v>0</v>
      </c>
      <c r="AC1413" s="90">
        <f>IF(AB1413&gt;0,Ruimtestaat[[#This Row],[Prest. (m2 /jaar) weekend]]/Ruimtestaat[[#This Row],[Norm (m2/uur) weekend]],0)</f>
        <v>0</v>
      </c>
      <c r="AD1413" s="91">
        <f>Ruimtestaat[[#This Row],[uren / jaar weekend]]*Tariefsopbouw!$D$40</f>
        <v>0</v>
      </c>
      <c r="AE1413" s="60">
        <f>Ruimtestaat[[#This Row],[Prest. (m2 /jaar) weekend]]+Ruimtestaat[[#This Row],[Prest. (m2 /jaar) werkdagen]]</f>
        <v>0</v>
      </c>
      <c r="AF1413" s="60">
        <f>Ruimtestaat[[#This Row],[uren / jaar weekend]]+Ruimtestaat[[#This Row],[uren / jaar werkdagen]]</f>
        <v>0</v>
      </c>
      <c r="AG1413" s="61">
        <f>Ruimtestaat[[#This Row],[kosten / jaar weekend]]+Ruimtestaat[[#This Row],[kosten / jaar werkdagen]]</f>
        <v>0</v>
      </c>
      <c r="AH1413" s="92"/>
      <c r="HL1413" s="59"/>
    </row>
    <row r="1414" spans="1:220">
      <c r="A1414" s="24">
        <v>8</v>
      </c>
      <c r="B1414" s="24" t="str">
        <f>VLOOKUP(Ruimtestaat[[#This Row],[Code]],Locaties[#All],2,FALSE)</f>
        <v>Arkelstijn</v>
      </c>
      <c r="C1414" s="24" t="str">
        <f>VLOOKUP(Ruimtestaat[[#This Row],[Code]],Locaties[#All],4,FALSE)</f>
        <v>Arkelstein 8</v>
      </c>
      <c r="D1414" s="24" t="str">
        <f>VLOOKUP(Ruimtestaat[[#This Row],[Code]],Locaties[#All],5,FALSE)</f>
        <v>7414 EP</v>
      </c>
      <c r="E1414" s="24" t="str">
        <f>VLOOKUP(Ruimtestaat[[#This Row],[Code]],Locaties[#All],6,FALSE)</f>
        <v>Deventer</v>
      </c>
      <c r="F1414" s="54"/>
      <c r="G1414" s="24" t="s">
        <v>512</v>
      </c>
      <c r="H1414" s="24" t="s">
        <v>1877</v>
      </c>
      <c r="I1414" s="4" t="s">
        <v>402</v>
      </c>
      <c r="J1414" s="24">
        <v>5</v>
      </c>
      <c r="K1414" s="54" t="str">
        <f>VLOOKUP(J1414,Ruimtegroepen[],2,FALSE)</f>
        <v>Sanitair</v>
      </c>
      <c r="L1414" s="24" t="s">
        <v>305</v>
      </c>
      <c r="M1414" s="24" t="s">
        <v>1757</v>
      </c>
      <c r="N1414" s="83">
        <v>1.35</v>
      </c>
      <c r="O1414" s="83"/>
      <c r="P1414" s="93" t="str">
        <f>LEFT(VLOOKUP(Ruimtestaat[[#This Row],[Ruimte code]],Ruimtegroepen[#All],4,1),2)</f>
        <v>Sa</v>
      </c>
      <c r="Q1414" s="93"/>
      <c r="R1414" s="84">
        <v>42</v>
      </c>
      <c r="S1414" s="84" t="s">
        <v>316</v>
      </c>
      <c r="T1414" s="85">
        <f>IF(R1414&gt;0,IF(RIGHT(Ruimtestaat[[#This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14" s="85">
        <f>IF(T1414&gt;0,VLOOKUP($J1414,Ruimtegroepen[],3,FALSE)*VLOOKUP($L1414,Vloersoorten[],3,FALSE)*VLOOKUP($S1414,Frequenties[],3,FALSE)*VLOOKUP($A1414,Locaties[],3,FALSE),0)</f>
        <v>0</v>
      </c>
      <c r="V1414" s="86">
        <f>Ruimtestaat[[#This Row],[Uitvoeringen werkdagen]]*Ruimtestaat[[#This Row],[Oppervlak (netto)]]</f>
        <v>567</v>
      </c>
      <c r="W1414" s="87">
        <f>IF(U1414&gt;0,Ruimtestaat[[#This Row],[Prest. (m2 /jaar) werkdagen]]/Ruimtestaat[[#This Row],[Norm (m2/uur) werkdagen]],0)</f>
        <v>0</v>
      </c>
      <c r="X1414" s="88">
        <f>Ruimtestaat[[#This Row],[uren / jaar werkdagen]]*Tariefsopbouw!$E$35</f>
        <v>0</v>
      </c>
      <c r="Y1414" s="85"/>
      <c r="Z1414" s="89">
        <f>IF(Ruimtestaat[[#This Row],[Frequentie weekend]]&gt;0,VALUE(LEFT(Y1414,1))*R1414,0)</f>
        <v>0</v>
      </c>
      <c r="AA1414" s="85">
        <f>IF($Z1414&gt;0,VLOOKUP($J1414,Ruimtegroepen[],3,FALSE)*VLOOKUP($L1414,Vloersoorten[],3,FALSE)*VLOOKUP($Y1414,Frequenties[],3,FALSE)*VLOOKUP(#REF!,Locaties[],3,FALSE),0)</f>
        <v>0</v>
      </c>
      <c r="AB1414" s="87">
        <f>Ruimtestaat[[#This Row],[Uitvoeringen weekend]]*Ruimtestaat[[#This Row],[Oppervlak (netto)]]</f>
        <v>0</v>
      </c>
      <c r="AC1414" s="90">
        <f>IF(AB1414&gt;0,Ruimtestaat[[#This Row],[Prest. (m2 /jaar) weekend]]/Ruimtestaat[[#This Row],[Norm (m2/uur) weekend]],0)</f>
        <v>0</v>
      </c>
      <c r="AD1414" s="91">
        <f>Ruimtestaat[[#This Row],[uren / jaar weekend]]*Tariefsopbouw!$D$40</f>
        <v>0</v>
      </c>
      <c r="AE1414" s="60">
        <f>Ruimtestaat[[#This Row],[Prest. (m2 /jaar) weekend]]+Ruimtestaat[[#This Row],[Prest. (m2 /jaar) werkdagen]]</f>
        <v>567</v>
      </c>
      <c r="AF1414" s="60">
        <f>Ruimtestaat[[#This Row],[uren / jaar weekend]]+Ruimtestaat[[#This Row],[uren / jaar werkdagen]]</f>
        <v>0</v>
      </c>
      <c r="AG1414" s="61">
        <f>Ruimtestaat[[#This Row],[kosten / jaar weekend]]+Ruimtestaat[[#This Row],[kosten / jaar werkdagen]]</f>
        <v>0</v>
      </c>
      <c r="AH1414" s="92"/>
      <c r="HL1414" s="59"/>
    </row>
    <row r="1415" spans="1:220">
      <c r="A1415" s="24">
        <v>8</v>
      </c>
      <c r="B1415" s="24" t="str">
        <f>VLOOKUP(Ruimtestaat[[#This Row],[Code]],Locaties[#All],2,FALSE)</f>
        <v>Arkelstijn</v>
      </c>
      <c r="C1415" s="24" t="str">
        <f>VLOOKUP(Ruimtestaat[[#This Row],[Code]],Locaties[#All],4,FALSE)</f>
        <v>Arkelstein 8</v>
      </c>
      <c r="D1415" s="24" t="str">
        <f>VLOOKUP(Ruimtestaat[[#This Row],[Code]],Locaties[#All],5,FALSE)</f>
        <v>7414 EP</v>
      </c>
      <c r="E1415" s="24" t="str">
        <f>VLOOKUP(Ruimtestaat[[#This Row],[Code]],Locaties[#All],6,FALSE)</f>
        <v>Deventer</v>
      </c>
      <c r="F1415" s="54"/>
      <c r="G1415" s="24" t="s">
        <v>512</v>
      </c>
      <c r="H1415" s="24" t="s">
        <v>956</v>
      </c>
      <c r="I1415" s="4" t="s">
        <v>487</v>
      </c>
      <c r="J1415" s="24">
        <v>6</v>
      </c>
      <c r="K1415" s="54" t="str">
        <f>VLOOKUP(J1415,Ruimtegroepen[],2,FALSE)</f>
        <v>Gangen/hallen</v>
      </c>
      <c r="L1415" s="24" t="s">
        <v>305</v>
      </c>
      <c r="M1415" s="24" t="s">
        <v>1757</v>
      </c>
      <c r="N1415" s="83">
        <v>27.68</v>
      </c>
      <c r="O1415" s="83"/>
      <c r="P1415" s="93" t="str">
        <f>LEFT(VLOOKUP(Ruimtestaat[[#This Row],[Ruimte code]],Ruimtegroepen[#All],4,1),2)</f>
        <v>Ve</v>
      </c>
      <c r="Q1415" s="93"/>
      <c r="R1415" s="84">
        <v>40</v>
      </c>
      <c r="S1415" s="84" t="s">
        <v>318</v>
      </c>
      <c r="T1415" s="85">
        <f>IF(R1415&gt;0,IF(RIGHT(Ruimtestaat[[#This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5" s="85">
        <f>IF(T1415&gt;0,VLOOKUP($J1415,Ruimtegroepen[],3,FALSE)*VLOOKUP($L1415,Vloersoorten[],3,FALSE)*VLOOKUP($S1415,Frequenties[],3,FALSE)*VLOOKUP($A1415,Locaties[],3,FALSE),0)</f>
        <v>0</v>
      </c>
      <c r="V1415" s="86">
        <f>Ruimtestaat[[#This Row],[Uitvoeringen werkdagen]]*Ruimtestaat[[#This Row],[Oppervlak (netto)]]</f>
        <v>5536</v>
      </c>
      <c r="W1415" s="87">
        <f>IF(U1415&gt;0,Ruimtestaat[[#This Row],[Prest. (m2 /jaar) werkdagen]]/Ruimtestaat[[#This Row],[Norm (m2/uur) werkdagen]],0)</f>
        <v>0</v>
      </c>
      <c r="X1415" s="88">
        <f>Ruimtestaat[[#This Row],[uren / jaar werkdagen]]*Tariefsopbouw!$E$35</f>
        <v>0</v>
      </c>
      <c r="Y1415" s="85"/>
      <c r="Z1415" s="89">
        <f>IF(Ruimtestaat[[#This Row],[Frequentie weekend]]&gt;0,VALUE(LEFT(Y1415,1))*R1415,0)</f>
        <v>0</v>
      </c>
      <c r="AA1415" s="85">
        <f>IF($Z1415&gt;0,VLOOKUP($J1415,Ruimtegroepen[],3,FALSE)*VLOOKUP($L1415,Vloersoorten[],3,FALSE)*VLOOKUP($Y1415,Frequenties[],3,FALSE)*VLOOKUP(#REF!,Locaties[],3,FALSE),0)</f>
        <v>0</v>
      </c>
      <c r="AB1415" s="87">
        <f>Ruimtestaat[[#This Row],[Uitvoeringen weekend]]*Ruimtestaat[[#This Row],[Oppervlak (netto)]]</f>
        <v>0</v>
      </c>
      <c r="AC1415" s="90">
        <f>IF(AB1415&gt;0,Ruimtestaat[[#This Row],[Prest. (m2 /jaar) weekend]]/Ruimtestaat[[#This Row],[Norm (m2/uur) weekend]],0)</f>
        <v>0</v>
      </c>
      <c r="AD1415" s="91">
        <f>Ruimtestaat[[#This Row],[uren / jaar weekend]]*Tariefsopbouw!$D$40</f>
        <v>0</v>
      </c>
      <c r="AE1415" s="60">
        <f>Ruimtestaat[[#This Row],[Prest. (m2 /jaar) weekend]]+Ruimtestaat[[#This Row],[Prest. (m2 /jaar) werkdagen]]</f>
        <v>5536</v>
      </c>
      <c r="AF1415" s="60">
        <f>Ruimtestaat[[#This Row],[uren / jaar weekend]]+Ruimtestaat[[#This Row],[uren / jaar werkdagen]]</f>
        <v>0</v>
      </c>
      <c r="AG1415" s="61">
        <f>Ruimtestaat[[#This Row],[kosten / jaar weekend]]+Ruimtestaat[[#This Row],[kosten / jaar werkdagen]]</f>
        <v>0</v>
      </c>
      <c r="AH1415" s="92"/>
      <c r="HL1415" s="59"/>
    </row>
    <row r="1416" spans="1:220">
      <c r="A1416" s="24">
        <v>8</v>
      </c>
      <c r="B1416" s="24" t="str">
        <f>VLOOKUP(Ruimtestaat[[#This Row],[Code]],Locaties[#All],2,FALSE)</f>
        <v>Arkelstijn</v>
      </c>
      <c r="C1416" s="24" t="str">
        <f>VLOOKUP(Ruimtestaat[[#This Row],[Code]],Locaties[#All],4,FALSE)</f>
        <v>Arkelstein 8</v>
      </c>
      <c r="D1416" s="24" t="str">
        <f>VLOOKUP(Ruimtestaat[[#This Row],[Code]],Locaties[#All],5,FALSE)</f>
        <v>7414 EP</v>
      </c>
      <c r="E1416" s="24" t="str">
        <f>VLOOKUP(Ruimtestaat[[#This Row],[Code]],Locaties[#All],6,FALSE)</f>
        <v>Deventer</v>
      </c>
      <c r="F1416" s="54"/>
      <c r="G1416" s="24" t="s">
        <v>512</v>
      </c>
      <c r="H1416" s="24" t="s">
        <v>1721</v>
      </c>
      <c r="I1416" s="4" t="s">
        <v>372</v>
      </c>
      <c r="J1416" s="24">
        <v>10</v>
      </c>
      <c r="K1416" s="54" t="str">
        <f>VLOOKUP(J1416,Ruimtegroepen[],2,FALSE)</f>
        <v>Trappenhuizen/lift</v>
      </c>
      <c r="L1416" s="24" t="s">
        <v>305</v>
      </c>
      <c r="M1416" s="24" t="s">
        <v>306</v>
      </c>
      <c r="N1416" s="83">
        <v>7.79</v>
      </c>
      <c r="O1416" s="83"/>
      <c r="P1416" s="93" t="str">
        <f>LEFT(VLOOKUP(Ruimtestaat[[#This Row],[Ruimte code]],Ruimtegroepen[#All],4,1),2)</f>
        <v>Ve</v>
      </c>
      <c r="Q1416" s="93"/>
      <c r="R1416" s="84">
        <v>40</v>
      </c>
      <c r="S1416" s="84" t="s">
        <v>318</v>
      </c>
      <c r="T1416" s="85">
        <f>IF(R1416&gt;0,IF(RIGHT(Ruimtestaat[[#This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6" s="85">
        <f>IF(T1416&gt;0,VLOOKUP($J1416,Ruimtegroepen[],3,FALSE)*VLOOKUP($L1416,Vloersoorten[],3,FALSE)*VLOOKUP($S1416,Frequenties[],3,FALSE)*VLOOKUP($A1416,Locaties[],3,FALSE),0)</f>
        <v>0</v>
      </c>
      <c r="V1416" s="86">
        <f>Ruimtestaat[[#This Row],[Uitvoeringen werkdagen]]*Ruimtestaat[[#This Row],[Oppervlak (netto)]]</f>
        <v>1558</v>
      </c>
      <c r="W1416" s="87">
        <f>IF(U1416&gt;0,Ruimtestaat[[#This Row],[Prest. (m2 /jaar) werkdagen]]/Ruimtestaat[[#This Row],[Norm (m2/uur) werkdagen]],0)</f>
        <v>0</v>
      </c>
      <c r="X1416" s="88">
        <f>Ruimtestaat[[#This Row],[uren / jaar werkdagen]]*Tariefsopbouw!$E$35</f>
        <v>0</v>
      </c>
      <c r="Y1416" s="85"/>
      <c r="Z1416" s="89">
        <f>IF(Ruimtestaat[[#This Row],[Frequentie weekend]]&gt;0,VALUE(LEFT(Y1416,1))*R1416,0)</f>
        <v>0</v>
      </c>
      <c r="AA1416" s="85">
        <f>IF($Z1416&gt;0,VLOOKUP($J1416,Ruimtegroepen[],3,FALSE)*VLOOKUP($L1416,Vloersoorten[],3,FALSE)*VLOOKUP($Y1416,Frequenties[],3,FALSE)*VLOOKUP(#REF!,Locaties[],3,FALSE),0)</f>
        <v>0</v>
      </c>
      <c r="AB1416" s="87">
        <f>Ruimtestaat[[#This Row],[Uitvoeringen weekend]]*Ruimtestaat[[#This Row],[Oppervlak (netto)]]</f>
        <v>0</v>
      </c>
      <c r="AC1416" s="90">
        <f>IF(AB1416&gt;0,Ruimtestaat[[#This Row],[Prest. (m2 /jaar) weekend]]/Ruimtestaat[[#This Row],[Norm (m2/uur) weekend]],0)</f>
        <v>0</v>
      </c>
      <c r="AD1416" s="91">
        <f>Ruimtestaat[[#This Row],[uren / jaar weekend]]*Tariefsopbouw!$D$40</f>
        <v>0</v>
      </c>
      <c r="AE1416" s="60">
        <f>Ruimtestaat[[#This Row],[Prest. (m2 /jaar) weekend]]+Ruimtestaat[[#This Row],[Prest. (m2 /jaar) werkdagen]]</f>
        <v>1558</v>
      </c>
      <c r="AF1416" s="60">
        <f>Ruimtestaat[[#This Row],[uren / jaar weekend]]+Ruimtestaat[[#This Row],[uren / jaar werkdagen]]</f>
        <v>0</v>
      </c>
      <c r="AG1416" s="61">
        <f>Ruimtestaat[[#This Row],[kosten / jaar weekend]]+Ruimtestaat[[#This Row],[kosten / jaar werkdagen]]</f>
        <v>0</v>
      </c>
      <c r="AH1416" s="92"/>
      <c r="HL1416" s="59"/>
    </row>
    <row r="1417" spans="1:220">
      <c r="A1417" s="24">
        <v>8</v>
      </c>
      <c r="B1417" s="24" t="str">
        <f>VLOOKUP(Ruimtestaat[[#This Row],[Code]],Locaties[#All],2,FALSE)</f>
        <v>Arkelstijn</v>
      </c>
      <c r="C1417" s="24" t="str">
        <f>VLOOKUP(Ruimtestaat[[#This Row],[Code]],Locaties[#All],4,FALSE)</f>
        <v>Arkelstein 8</v>
      </c>
      <c r="D1417" s="24" t="str">
        <f>VLOOKUP(Ruimtestaat[[#This Row],[Code]],Locaties[#All],5,FALSE)</f>
        <v>7414 EP</v>
      </c>
      <c r="E1417" s="24" t="str">
        <f>VLOOKUP(Ruimtestaat[[#This Row],[Code]],Locaties[#All],6,FALSE)</f>
        <v>Deventer</v>
      </c>
      <c r="F1417" s="54"/>
      <c r="G1417" s="24" t="s">
        <v>512</v>
      </c>
      <c r="H1417" s="24" t="s">
        <v>958</v>
      </c>
      <c r="I1417" s="4" t="s">
        <v>1432</v>
      </c>
      <c r="J1417" s="24">
        <v>6</v>
      </c>
      <c r="K1417" s="54" t="str">
        <f>VLOOKUP(J1417,Ruimtegroepen[],2,FALSE)</f>
        <v>Gangen/hallen</v>
      </c>
      <c r="L1417" s="24" t="s">
        <v>305</v>
      </c>
      <c r="M1417" s="24" t="s">
        <v>1338</v>
      </c>
      <c r="N1417" s="83">
        <v>27.74</v>
      </c>
      <c r="O1417" s="83"/>
      <c r="P1417" s="93" t="str">
        <f>LEFT(VLOOKUP(Ruimtestaat[[#This Row],[Ruimte code]],Ruimtegroepen[#All],4,1),2)</f>
        <v>Ve</v>
      </c>
      <c r="Q1417" s="93"/>
      <c r="R1417" s="84">
        <v>40</v>
      </c>
      <c r="S1417" s="84" t="s">
        <v>318</v>
      </c>
      <c r="T1417" s="85">
        <f>IF(R1417&gt;0,IF(RIGHT(Ruimtestaat[[#This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7" s="85">
        <f>IF(T1417&gt;0,VLOOKUP($J1417,Ruimtegroepen[],3,FALSE)*VLOOKUP($L1417,Vloersoorten[],3,FALSE)*VLOOKUP($S1417,Frequenties[],3,FALSE)*VLOOKUP($A1417,Locaties[],3,FALSE),0)</f>
        <v>0</v>
      </c>
      <c r="V1417" s="86">
        <f>Ruimtestaat[[#This Row],[Uitvoeringen werkdagen]]*Ruimtestaat[[#This Row],[Oppervlak (netto)]]</f>
        <v>5548</v>
      </c>
      <c r="W1417" s="87">
        <f>IF(U1417&gt;0,Ruimtestaat[[#This Row],[Prest. (m2 /jaar) werkdagen]]/Ruimtestaat[[#This Row],[Norm (m2/uur) werkdagen]],0)</f>
        <v>0</v>
      </c>
      <c r="X1417" s="88">
        <f>Ruimtestaat[[#This Row],[uren / jaar werkdagen]]*Tariefsopbouw!$E$35</f>
        <v>0</v>
      </c>
      <c r="Y1417" s="85"/>
      <c r="Z1417" s="89">
        <f>IF(Ruimtestaat[[#This Row],[Frequentie weekend]]&gt;0,VALUE(LEFT(Y1417,1))*R1417,0)</f>
        <v>0</v>
      </c>
      <c r="AA1417" s="85">
        <f>IF($Z1417&gt;0,VLOOKUP($J1417,Ruimtegroepen[],3,FALSE)*VLOOKUP($L1417,Vloersoorten[],3,FALSE)*VLOOKUP($Y1417,Frequenties[],3,FALSE)*VLOOKUP(#REF!,Locaties[],3,FALSE),0)</f>
        <v>0</v>
      </c>
      <c r="AB1417" s="87">
        <f>Ruimtestaat[[#This Row],[Uitvoeringen weekend]]*Ruimtestaat[[#This Row],[Oppervlak (netto)]]</f>
        <v>0</v>
      </c>
      <c r="AC1417" s="90">
        <f>IF(AB1417&gt;0,Ruimtestaat[[#This Row],[Prest. (m2 /jaar) weekend]]/Ruimtestaat[[#This Row],[Norm (m2/uur) weekend]],0)</f>
        <v>0</v>
      </c>
      <c r="AD1417" s="91">
        <f>Ruimtestaat[[#This Row],[uren / jaar weekend]]*Tariefsopbouw!$D$40</f>
        <v>0</v>
      </c>
      <c r="AE1417" s="60">
        <f>Ruimtestaat[[#This Row],[Prest. (m2 /jaar) weekend]]+Ruimtestaat[[#This Row],[Prest. (m2 /jaar) werkdagen]]</f>
        <v>5548</v>
      </c>
      <c r="AF1417" s="60">
        <f>Ruimtestaat[[#This Row],[uren / jaar weekend]]+Ruimtestaat[[#This Row],[uren / jaar werkdagen]]</f>
        <v>0</v>
      </c>
      <c r="AG1417" s="61">
        <f>Ruimtestaat[[#This Row],[kosten / jaar weekend]]+Ruimtestaat[[#This Row],[kosten / jaar werkdagen]]</f>
        <v>0</v>
      </c>
      <c r="AH1417" s="92"/>
      <c r="HL1417" s="59"/>
    </row>
    <row r="1418" spans="1:220">
      <c r="A1418" s="24">
        <v>8</v>
      </c>
      <c r="B1418" s="24" t="str">
        <f>VLOOKUP(Ruimtestaat[[#This Row],[Code]],Locaties[#All],2,FALSE)</f>
        <v>Arkelstijn</v>
      </c>
      <c r="C1418" s="24" t="str">
        <f>VLOOKUP(Ruimtestaat[[#This Row],[Code]],Locaties[#All],4,FALSE)</f>
        <v>Arkelstein 8</v>
      </c>
      <c r="D1418" s="24" t="str">
        <f>VLOOKUP(Ruimtestaat[[#This Row],[Code]],Locaties[#All],5,FALSE)</f>
        <v>7414 EP</v>
      </c>
      <c r="E1418" s="24" t="str">
        <f>VLOOKUP(Ruimtestaat[[#This Row],[Code]],Locaties[#All],6,FALSE)</f>
        <v>Deventer</v>
      </c>
      <c r="F1418" s="54"/>
      <c r="G1418" s="24" t="s">
        <v>512</v>
      </c>
      <c r="H1418" s="24" t="s">
        <v>1726</v>
      </c>
      <c r="I1418" s="4" t="s">
        <v>372</v>
      </c>
      <c r="J1418" s="24">
        <v>10</v>
      </c>
      <c r="K1418" s="54" t="str">
        <f>VLOOKUP(J1418,Ruimtegroepen[],2,FALSE)</f>
        <v>Trappenhuizen/lift</v>
      </c>
      <c r="L1418" s="24" t="s">
        <v>305</v>
      </c>
      <c r="M1418" s="24" t="s">
        <v>306</v>
      </c>
      <c r="N1418" s="83">
        <v>7.8</v>
      </c>
      <c r="O1418" s="83"/>
      <c r="P1418" s="93" t="str">
        <f>LEFT(VLOOKUP(Ruimtestaat[[#This Row],[Ruimte code]],Ruimtegroepen[#All],4,1),2)</f>
        <v>Ve</v>
      </c>
      <c r="Q1418" s="93"/>
      <c r="R1418" s="84">
        <v>40</v>
      </c>
      <c r="S1418" s="84" t="s">
        <v>318</v>
      </c>
      <c r="T1418" s="85">
        <f>IF(R1418&gt;0,IF(RIGHT(Ruimtestaat[[#This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8" s="85">
        <f>IF(T1418&gt;0,VLOOKUP($J1418,Ruimtegroepen[],3,FALSE)*VLOOKUP($L1418,Vloersoorten[],3,FALSE)*VLOOKUP($S1418,Frequenties[],3,FALSE)*VLOOKUP($A1418,Locaties[],3,FALSE),0)</f>
        <v>0</v>
      </c>
      <c r="V1418" s="86">
        <f>Ruimtestaat[[#This Row],[Uitvoeringen werkdagen]]*Ruimtestaat[[#This Row],[Oppervlak (netto)]]</f>
        <v>1560</v>
      </c>
      <c r="W1418" s="87">
        <f>IF(U1418&gt;0,Ruimtestaat[[#This Row],[Prest. (m2 /jaar) werkdagen]]/Ruimtestaat[[#This Row],[Norm (m2/uur) werkdagen]],0)</f>
        <v>0</v>
      </c>
      <c r="X1418" s="88">
        <f>Ruimtestaat[[#This Row],[uren / jaar werkdagen]]*Tariefsopbouw!$E$35</f>
        <v>0</v>
      </c>
      <c r="Y1418" s="85"/>
      <c r="Z1418" s="89">
        <f>IF(Ruimtestaat[[#This Row],[Frequentie weekend]]&gt;0,VALUE(LEFT(Y1418,1))*R1418,0)</f>
        <v>0</v>
      </c>
      <c r="AA1418" s="85">
        <f>IF($Z1418&gt;0,VLOOKUP($J1418,Ruimtegroepen[],3,FALSE)*VLOOKUP($L1418,Vloersoorten[],3,FALSE)*VLOOKUP($Y1418,Frequenties[],3,FALSE)*VLOOKUP(#REF!,Locaties[],3,FALSE),0)</f>
        <v>0</v>
      </c>
      <c r="AB1418" s="87">
        <f>Ruimtestaat[[#This Row],[Uitvoeringen weekend]]*Ruimtestaat[[#This Row],[Oppervlak (netto)]]</f>
        <v>0</v>
      </c>
      <c r="AC1418" s="90">
        <f>IF(AB1418&gt;0,Ruimtestaat[[#This Row],[Prest. (m2 /jaar) weekend]]/Ruimtestaat[[#This Row],[Norm (m2/uur) weekend]],0)</f>
        <v>0</v>
      </c>
      <c r="AD1418" s="91">
        <f>Ruimtestaat[[#This Row],[uren / jaar weekend]]*Tariefsopbouw!$D$40</f>
        <v>0</v>
      </c>
      <c r="AE1418" s="60">
        <f>Ruimtestaat[[#This Row],[Prest. (m2 /jaar) weekend]]+Ruimtestaat[[#This Row],[Prest. (m2 /jaar) werkdagen]]</f>
        <v>1560</v>
      </c>
      <c r="AF1418" s="60">
        <f>Ruimtestaat[[#This Row],[uren / jaar weekend]]+Ruimtestaat[[#This Row],[uren / jaar werkdagen]]</f>
        <v>0</v>
      </c>
      <c r="AG1418" s="61">
        <f>Ruimtestaat[[#This Row],[kosten / jaar weekend]]+Ruimtestaat[[#This Row],[kosten / jaar werkdagen]]</f>
        <v>0</v>
      </c>
      <c r="AH1418" s="92"/>
      <c r="HL1418" s="59"/>
    </row>
    <row r="1419" spans="1:220">
      <c r="A1419" s="24">
        <v>8</v>
      </c>
      <c r="B1419" s="24" t="str">
        <f>VLOOKUP(Ruimtestaat[[#This Row],[Code]],Locaties[#All],2,FALSE)</f>
        <v>Arkelstijn</v>
      </c>
      <c r="C1419" s="24" t="str">
        <f>VLOOKUP(Ruimtestaat[[#This Row],[Code]],Locaties[#All],4,FALSE)</f>
        <v>Arkelstein 8</v>
      </c>
      <c r="D1419" s="24" t="str">
        <f>VLOOKUP(Ruimtestaat[[#This Row],[Code]],Locaties[#All],5,FALSE)</f>
        <v>7414 EP</v>
      </c>
      <c r="E1419" s="24" t="str">
        <f>VLOOKUP(Ruimtestaat[[#This Row],[Code]],Locaties[#All],6,FALSE)</f>
        <v>Deventer</v>
      </c>
      <c r="F1419" s="54"/>
      <c r="G1419" s="24" t="s">
        <v>512</v>
      </c>
      <c r="H1419" s="24" t="s">
        <v>807</v>
      </c>
      <c r="I1419" s="4" t="s">
        <v>487</v>
      </c>
      <c r="J1419" s="24">
        <v>6</v>
      </c>
      <c r="K1419" s="54" t="str">
        <f>VLOOKUP(J1419,Ruimtegroepen[],2,FALSE)</f>
        <v>Gangen/hallen</v>
      </c>
      <c r="L1419" s="24" t="s">
        <v>305</v>
      </c>
      <c r="M1419" s="24" t="s">
        <v>1757</v>
      </c>
      <c r="N1419" s="83">
        <v>40.36</v>
      </c>
      <c r="O1419" s="83"/>
      <c r="P1419" s="93" t="str">
        <f>LEFT(VLOOKUP(Ruimtestaat[[#This Row],[Ruimte code]],Ruimtegroepen[#All],4,1),2)</f>
        <v>Ve</v>
      </c>
      <c r="Q1419" s="93"/>
      <c r="R1419" s="84">
        <v>40</v>
      </c>
      <c r="S1419" s="84" t="s">
        <v>318</v>
      </c>
      <c r="T1419" s="85">
        <f>IF(R1419&gt;0,IF(RIGHT(Ruimtestaat[[#This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9" s="85">
        <f>IF(T1419&gt;0,VLOOKUP($J1419,Ruimtegroepen[],3,FALSE)*VLOOKUP($L1419,Vloersoorten[],3,FALSE)*VLOOKUP($S1419,Frequenties[],3,FALSE)*VLOOKUP($A1419,Locaties[],3,FALSE),0)</f>
        <v>0</v>
      </c>
      <c r="V1419" s="86">
        <f>Ruimtestaat[[#This Row],[Uitvoeringen werkdagen]]*Ruimtestaat[[#This Row],[Oppervlak (netto)]]</f>
        <v>8072</v>
      </c>
      <c r="W1419" s="87">
        <f>IF(U1419&gt;0,Ruimtestaat[[#This Row],[Prest. (m2 /jaar) werkdagen]]/Ruimtestaat[[#This Row],[Norm (m2/uur) werkdagen]],0)</f>
        <v>0</v>
      </c>
      <c r="X1419" s="88">
        <f>Ruimtestaat[[#This Row],[uren / jaar werkdagen]]*Tariefsopbouw!$E$35</f>
        <v>0</v>
      </c>
      <c r="Y1419" s="85"/>
      <c r="Z1419" s="89">
        <f>IF(Ruimtestaat[[#This Row],[Frequentie weekend]]&gt;0,VALUE(LEFT(Y1419,1))*R1419,0)</f>
        <v>0</v>
      </c>
      <c r="AA1419" s="85">
        <f>IF($Z1419&gt;0,VLOOKUP($J1419,Ruimtegroepen[],3,FALSE)*VLOOKUP($L1419,Vloersoorten[],3,FALSE)*VLOOKUP($Y1419,Frequenties[],3,FALSE)*VLOOKUP(#REF!,Locaties[],3,FALSE),0)</f>
        <v>0</v>
      </c>
      <c r="AB1419" s="87">
        <f>Ruimtestaat[[#This Row],[Uitvoeringen weekend]]*Ruimtestaat[[#This Row],[Oppervlak (netto)]]</f>
        <v>0</v>
      </c>
      <c r="AC1419" s="90">
        <f>IF(AB1419&gt;0,Ruimtestaat[[#This Row],[Prest. (m2 /jaar) weekend]]/Ruimtestaat[[#This Row],[Norm (m2/uur) weekend]],0)</f>
        <v>0</v>
      </c>
      <c r="AD1419" s="91">
        <f>Ruimtestaat[[#This Row],[uren / jaar weekend]]*Tariefsopbouw!$D$40</f>
        <v>0</v>
      </c>
      <c r="AE1419" s="60">
        <f>Ruimtestaat[[#This Row],[Prest. (m2 /jaar) weekend]]+Ruimtestaat[[#This Row],[Prest. (m2 /jaar) werkdagen]]</f>
        <v>8072</v>
      </c>
      <c r="AF1419" s="60">
        <f>Ruimtestaat[[#This Row],[uren / jaar weekend]]+Ruimtestaat[[#This Row],[uren / jaar werkdagen]]</f>
        <v>0</v>
      </c>
      <c r="AG1419" s="61">
        <f>Ruimtestaat[[#This Row],[kosten / jaar weekend]]+Ruimtestaat[[#This Row],[kosten / jaar werkdagen]]</f>
        <v>0</v>
      </c>
      <c r="AH1419" s="92"/>
      <c r="HL1419" s="59"/>
    </row>
    <row r="1420" spans="1:220">
      <c r="A1420" s="24">
        <v>8</v>
      </c>
      <c r="B1420" s="24" t="str">
        <f>VLOOKUP(Ruimtestaat[[#This Row],[Code]],Locaties[#All],2,FALSE)</f>
        <v>Arkelstijn</v>
      </c>
      <c r="C1420" s="24" t="str">
        <f>VLOOKUP(Ruimtestaat[[#This Row],[Code]],Locaties[#All],4,FALSE)</f>
        <v>Arkelstein 8</v>
      </c>
      <c r="D1420" s="24" t="str">
        <f>VLOOKUP(Ruimtestaat[[#This Row],[Code]],Locaties[#All],5,FALSE)</f>
        <v>7414 EP</v>
      </c>
      <c r="E1420" s="24" t="str">
        <f>VLOOKUP(Ruimtestaat[[#This Row],[Code]],Locaties[#All],6,FALSE)</f>
        <v>Deventer</v>
      </c>
      <c r="F1420" s="54"/>
      <c r="G1420" s="24" t="s">
        <v>512</v>
      </c>
      <c r="H1420" s="24" t="s">
        <v>1730</v>
      </c>
      <c r="I1420" s="4" t="s">
        <v>372</v>
      </c>
      <c r="J1420" s="24">
        <v>10</v>
      </c>
      <c r="K1420" s="54" t="str">
        <f>VLOOKUP(J1420,Ruimtegroepen[],2,FALSE)</f>
        <v>Trappenhuizen/lift</v>
      </c>
      <c r="L1420" s="24" t="s">
        <v>311</v>
      </c>
      <c r="M1420" s="24" t="s">
        <v>1878</v>
      </c>
      <c r="N1420" s="83">
        <v>9.57</v>
      </c>
      <c r="O1420" s="83"/>
      <c r="P1420" s="93" t="str">
        <f>LEFT(VLOOKUP(Ruimtestaat[[#This Row],[Ruimte code]],Ruimtegroepen[#All],4,1),2)</f>
        <v>Ve</v>
      </c>
      <c r="Q1420" s="93"/>
      <c r="R1420" s="84">
        <v>40</v>
      </c>
      <c r="S1420" s="84" t="s">
        <v>318</v>
      </c>
      <c r="T1420" s="85">
        <f>IF(R1420&gt;0,IF(RIGHT(Ruimtestaat[[#This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20" s="85">
        <f>IF(T1420&gt;0,VLOOKUP($J1420,Ruimtegroepen[],3,FALSE)*VLOOKUP($L1420,Vloersoorten[],3,FALSE)*VLOOKUP($S1420,Frequenties[],3,FALSE)*VLOOKUP($A1420,Locaties[],3,FALSE),0)</f>
        <v>0</v>
      </c>
      <c r="V1420" s="86">
        <f>Ruimtestaat[[#This Row],[Uitvoeringen werkdagen]]*Ruimtestaat[[#This Row],[Oppervlak (netto)]]</f>
        <v>1914</v>
      </c>
      <c r="W1420" s="87">
        <f>IF(U1420&gt;0,Ruimtestaat[[#This Row],[Prest. (m2 /jaar) werkdagen]]/Ruimtestaat[[#This Row],[Norm (m2/uur) werkdagen]],0)</f>
        <v>0</v>
      </c>
      <c r="X1420" s="88">
        <f>Ruimtestaat[[#This Row],[uren / jaar werkdagen]]*Tariefsopbouw!$E$35</f>
        <v>0</v>
      </c>
      <c r="Y1420" s="85"/>
      <c r="Z1420" s="89">
        <f>IF(Ruimtestaat[[#This Row],[Frequentie weekend]]&gt;0,VALUE(LEFT(Y1420,1))*R1420,0)</f>
        <v>0</v>
      </c>
      <c r="AA1420" s="85">
        <f>IF($Z1420&gt;0,VLOOKUP($J1420,Ruimtegroepen[],3,FALSE)*VLOOKUP($L1420,Vloersoorten[],3,FALSE)*VLOOKUP($Y1420,Frequenties[],3,FALSE)*VLOOKUP(#REF!,Locaties[],3,FALSE),0)</f>
        <v>0</v>
      </c>
      <c r="AB1420" s="87">
        <f>Ruimtestaat[[#This Row],[Uitvoeringen weekend]]*Ruimtestaat[[#This Row],[Oppervlak (netto)]]</f>
        <v>0</v>
      </c>
      <c r="AC1420" s="90">
        <f>IF(AB1420&gt;0,Ruimtestaat[[#This Row],[Prest. (m2 /jaar) weekend]]/Ruimtestaat[[#This Row],[Norm (m2/uur) weekend]],0)</f>
        <v>0</v>
      </c>
      <c r="AD1420" s="91">
        <f>Ruimtestaat[[#This Row],[uren / jaar weekend]]*Tariefsopbouw!$D$40</f>
        <v>0</v>
      </c>
      <c r="AE1420" s="60">
        <f>Ruimtestaat[[#This Row],[Prest. (m2 /jaar) weekend]]+Ruimtestaat[[#This Row],[Prest. (m2 /jaar) werkdagen]]</f>
        <v>1914</v>
      </c>
      <c r="AF1420" s="60">
        <f>Ruimtestaat[[#This Row],[uren / jaar weekend]]+Ruimtestaat[[#This Row],[uren / jaar werkdagen]]</f>
        <v>0</v>
      </c>
      <c r="AG1420" s="61">
        <f>Ruimtestaat[[#This Row],[kosten / jaar weekend]]+Ruimtestaat[[#This Row],[kosten / jaar werkdagen]]</f>
        <v>0</v>
      </c>
      <c r="AH1420" s="92"/>
      <c r="HL1420" s="59"/>
    </row>
    <row r="1421" spans="1:220">
      <c r="A1421" s="24"/>
      <c r="B1421" s="24" t="e">
        <f>VLOOKUP(Ruimtestaat[[#This Row],[Code]],Locaties[#All],2,FALSE)</f>
        <v>#N/A</v>
      </c>
      <c r="C1421" s="24" t="e">
        <f>VLOOKUP(Ruimtestaat[[#This Row],[Code]],Locaties[#All],4,FALSE)</f>
        <v>#N/A</v>
      </c>
      <c r="D1421" s="24" t="e">
        <f>VLOOKUP(Ruimtestaat[[#This Row],[Code]],Locaties[#All],5,FALSE)</f>
        <v>#N/A</v>
      </c>
      <c r="E1421" s="24" t="e">
        <f>VLOOKUP(Ruimtestaat[[#This Row],[Code]],Locaties[#All],6,FALSE)</f>
        <v>#N/A</v>
      </c>
      <c r="F1421" s="54"/>
      <c r="G1421" s="24"/>
      <c r="I1421" s="4"/>
      <c r="K1421" s="54" t="e">
        <f>VLOOKUP(J1421,Ruimtegroepen[],2,FALSE)</f>
        <v>#N/A</v>
      </c>
      <c r="M1421" s="24"/>
      <c r="N1421" s="83"/>
      <c r="O1421" s="83"/>
      <c r="P1421" s="93" t="e">
        <f>LEFT(VLOOKUP(Ruimtestaat[[#This Row],[Ruimte code]],Ruimtegroepen[#All],4,1),2)</f>
        <v>#N/A</v>
      </c>
      <c r="Q1421" s="93"/>
      <c r="R1421" s="84"/>
      <c r="S1421" s="84"/>
      <c r="T1421" s="85">
        <f>IF(R1421&gt;0,IF(RIGHT(Ruimtestaat[[#This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21" s="85">
        <f>IF(T1421&gt;0,VLOOKUP($J1421,Ruimtegroepen[],3,FALSE)*VLOOKUP($L1421,Vloersoorten[],3,FALSE)*VLOOKUP($S1421,Frequenties[],3,FALSE)*VLOOKUP($A1421,Locaties[],3,FALSE),0)</f>
        <v>0</v>
      </c>
      <c r="V1421" s="86">
        <f>Ruimtestaat[[#This Row],[Uitvoeringen werkdagen]]*Ruimtestaat[[#This Row],[Oppervlak (netto)]]</f>
        <v>0</v>
      </c>
      <c r="W1421" s="87">
        <f>IF(U1421&gt;0,Ruimtestaat[[#This Row],[Prest. (m2 /jaar) werkdagen]]/Ruimtestaat[[#This Row],[Norm (m2/uur) werkdagen]],0)</f>
        <v>0</v>
      </c>
      <c r="X1421" s="88">
        <f>Ruimtestaat[[#This Row],[uren / jaar werkdagen]]*Tariefsopbouw!$E$35</f>
        <v>0</v>
      </c>
      <c r="Y1421" s="85"/>
      <c r="Z1421" s="89">
        <f>IF(Ruimtestaat[[#This Row],[Frequentie weekend]]&gt;0,VALUE(LEFT(Y1421,1))*R1421,0)</f>
        <v>0</v>
      </c>
      <c r="AA1421" s="85">
        <f>IF($Z1421&gt;0,VLOOKUP($J1421,Ruimtegroepen[],3,FALSE)*VLOOKUP($L1421,Vloersoorten[],3,FALSE)*VLOOKUP($Y1421,Frequenties[],3,FALSE)*VLOOKUP(#REF!,Locaties[],3,FALSE),0)</f>
        <v>0</v>
      </c>
      <c r="AB1421" s="87">
        <f>Ruimtestaat[[#This Row],[Uitvoeringen weekend]]*Ruimtestaat[[#This Row],[Oppervlak (netto)]]</f>
        <v>0</v>
      </c>
      <c r="AC1421" s="90">
        <f>IF(AB1421&gt;0,Ruimtestaat[[#This Row],[Prest. (m2 /jaar) weekend]]/Ruimtestaat[[#This Row],[Norm (m2/uur) weekend]],0)</f>
        <v>0</v>
      </c>
      <c r="AD1421" s="91">
        <f>Ruimtestaat[[#This Row],[uren / jaar weekend]]*Tariefsopbouw!$D$40</f>
        <v>0</v>
      </c>
      <c r="AE1421" s="60">
        <f>Ruimtestaat[[#This Row],[Prest. (m2 /jaar) weekend]]+Ruimtestaat[[#This Row],[Prest. (m2 /jaar) werkdagen]]</f>
        <v>0</v>
      </c>
      <c r="AF1421" s="60">
        <f>Ruimtestaat[[#This Row],[uren / jaar weekend]]+Ruimtestaat[[#This Row],[uren / jaar werkdagen]]</f>
        <v>0</v>
      </c>
      <c r="AG1421" s="61">
        <f>Ruimtestaat[[#This Row],[kosten / jaar weekend]]+Ruimtestaat[[#This Row],[kosten / jaar werkdagen]]</f>
        <v>0</v>
      </c>
      <c r="AH1421" s="92"/>
      <c r="HL1421" s="59"/>
    </row>
  </sheetData>
  <sortState xmlns:xlrd2="http://schemas.microsoft.com/office/spreadsheetml/2017/richdata2" ref="B7:T2302">
    <sortCondition ref="B7:B2302"/>
    <sortCondition ref="F7:F2302"/>
  </sortState>
  <mergeCells count="5">
    <mergeCell ref="A1:Q1"/>
    <mergeCell ref="R1:AG1"/>
    <mergeCell ref="S3:X3"/>
    <mergeCell ref="Y3:AD3"/>
    <mergeCell ref="AE3:AG3"/>
  </mergeCells>
  <phoneticPr fontId="7" type="noConversion"/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headerFooter alignWithMargins="0">
    <oddFooter>&amp;L&amp;P&amp;Cparaaf Inschrijver&amp;R&amp;D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I55"/>
  <sheetViews>
    <sheetView showGridLines="0" zoomScaleNormal="100" zoomScaleSheetLayoutView="100" workbookViewId="0">
      <selection activeCell="B22" sqref="B22"/>
    </sheetView>
  </sheetViews>
  <sheetFormatPr defaultColWidth="9.109375" defaultRowHeight="15" customHeight="1"/>
  <cols>
    <col min="1" max="1" width="9.6640625" style="4" customWidth="1"/>
    <col min="2" max="2" width="56.33203125" style="4" customWidth="1"/>
    <col min="3" max="3" width="14.88671875" style="24" customWidth="1"/>
    <col min="4" max="4" width="66.88671875" style="4" customWidth="1"/>
    <col min="5" max="5" width="17.6640625" style="4" bestFit="1" customWidth="1"/>
    <col min="6" max="6" width="17.6640625" style="147" bestFit="1" customWidth="1"/>
    <col min="7" max="7" width="17.6640625" style="4" bestFit="1" customWidth="1"/>
    <col min="8" max="8" width="20.5546875" style="4" customWidth="1"/>
    <col min="9" max="9" width="17.6640625" style="4" bestFit="1" customWidth="1"/>
    <col min="10" max="16384" width="9.109375" style="4"/>
  </cols>
  <sheetData>
    <row r="1" spans="1:9" s="7" customFormat="1" ht="26.25" customHeight="1">
      <c r="A1" s="275" t="s">
        <v>1879</v>
      </c>
      <c r="B1" s="275"/>
      <c r="C1" s="275"/>
      <c r="D1" s="275"/>
      <c r="E1" s="275"/>
      <c r="F1" s="275"/>
      <c r="G1" s="275"/>
      <c r="H1" s="275"/>
    </row>
    <row r="2" spans="1:9" s="7" customFormat="1" ht="15" customHeight="1">
      <c r="A2" s="303" t="s">
        <v>1880</v>
      </c>
      <c r="B2" s="276"/>
      <c r="C2" s="276"/>
      <c r="D2" s="276"/>
      <c r="E2" s="276"/>
      <c r="F2" s="276"/>
      <c r="G2" s="276"/>
      <c r="H2" s="276"/>
    </row>
    <row r="3" spans="1:9" ht="15" customHeight="1">
      <c r="B3" s="24"/>
      <c r="C3" s="4"/>
    </row>
    <row r="4" spans="1:9" ht="15" customHeight="1">
      <c r="A4" s="4" t="s">
        <v>1881</v>
      </c>
      <c r="B4" s="25"/>
      <c r="C4" s="25"/>
      <c r="D4" s="25"/>
      <c r="E4" s="25"/>
      <c r="F4" s="148"/>
      <c r="G4" s="26"/>
    </row>
    <row r="5" spans="1:9" ht="15" customHeight="1">
      <c r="A5" s="4" t="s">
        <v>1882</v>
      </c>
      <c r="B5" s="25"/>
      <c r="C5" s="25"/>
      <c r="D5" s="25"/>
      <c r="E5" s="25"/>
      <c r="F5" s="148"/>
      <c r="G5" s="26"/>
    </row>
    <row r="6" spans="1:9" ht="15" customHeight="1">
      <c r="A6" s="4" t="s">
        <v>1883</v>
      </c>
      <c r="B6" s="28"/>
      <c r="C6" s="29"/>
      <c r="D6" s="29"/>
      <c r="E6" s="29"/>
      <c r="F6" s="149"/>
    </row>
    <row r="7" spans="1:9" ht="15" customHeight="1">
      <c r="B7" s="28"/>
      <c r="C7" s="28"/>
      <c r="D7" s="23"/>
      <c r="E7" s="23"/>
      <c r="F7" s="150"/>
      <c r="G7" s="29"/>
    </row>
    <row r="8" spans="1:9" s="19" customFormat="1" ht="26.25" customHeight="1">
      <c r="A8" s="42" t="s">
        <v>1884</v>
      </c>
      <c r="B8" s="43" t="s">
        <v>1885</v>
      </c>
      <c r="C8" s="44" t="s">
        <v>1886</v>
      </c>
      <c r="D8" s="42" t="s">
        <v>1887</v>
      </c>
      <c r="E8" s="42" t="s">
        <v>1888</v>
      </c>
      <c r="F8" s="42" t="s">
        <v>1889</v>
      </c>
      <c r="G8" s="42" t="s">
        <v>1890</v>
      </c>
      <c r="H8" s="42" t="s">
        <v>1891</v>
      </c>
      <c r="I8" s="42" t="s">
        <v>1892</v>
      </c>
    </row>
    <row r="9" spans="1:9" ht="15" customHeight="1">
      <c r="A9" s="182">
        <v>1</v>
      </c>
      <c r="B9" s="204" t="s">
        <v>1893</v>
      </c>
      <c r="C9" s="45">
        <v>0</v>
      </c>
      <c r="D9" s="145" t="s">
        <v>1894</v>
      </c>
      <c r="E9" s="181" t="e">
        <f>InvulVloer[[#This Row],[Prijs]]*Tariefsopbouw!$I$37+InvulVloer[[#This Row],[Prijs]]</f>
        <v>#DIV/0!</v>
      </c>
      <c r="F9" s="246" t="e">
        <f>InvulVloer[[#This Row],[2024]]*Tariefsopbouw!$K$37+InvulVloer[[#This Row],[2024]]</f>
        <v>#DIV/0!</v>
      </c>
      <c r="G9" s="246" t="e">
        <f>InvulVloer[[#This Row],[2025]]*Tariefsopbouw!$M$37+InvulVloer[[#This Row],[2025]]</f>
        <v>#DIV/0!</v>
      </c>
      <c r="H9" s="246" t="e">
        <f>InvulVloer[[#This Row],[2026]]*Tariefsopbouw!$O$37+InvulVloer[[#This Row],[2026]]</f>
        <v>#DIV/0!</v>
      </c>
      <c r="I9" s="246" t="e">
        <f>InvulVloer[[#This Row],[2027]]*Tariefsopbouw!$Q$37+InvulVloer[[#This Row],[2027]]</f>
        <v>#DIV/0!</v>
      </c>
    </row>
    <row r="10" spans="1:9" ht="15" customHeight="1">
      <c r="A10" s="182">
        <v>2</v>
      </c>
      <c r="B10" s="204" t="s">
        <v>1895</v>
      </c>
      <c r="C10" s="45">
        <v>0</v>
      </c>
      <c r="D10" s="145" t="s">
        <v>1896</v>
      </c>
      <c r="E10" s="181" t="e">
        <f>InvulVloer[[#This Row],[Prijs]]*Tariefsopbouw!$I$37+InvulVloer[[#This Row],[Prijs]]</f>
        <v>#DIV/0!</v>
      </c>
      <c r="F10" s="181" t="e">
        <f>InvulVloer[[#This Row],[2024]]*Tariefsopbouw!$K$37+InvulVloer[[#This Row],[2024]]</f>
        <v>#DIV/0!</v>
      </c>
      <c r="G10" s="181" t="e">
        <f>InvulVloer[[#This Row],[2025]]*Tariefsopbouw!$M$37+InvulVloer[[#This Row],[2025]]</f>
        <v>#DIV/0!</v>
      </c>
      <c r="H10" s="181" t="e">
        <f>InvulVloer[[#This Row],[2026]]*Tariefsopbouw!$O$37+InvulVloer[[#This Row],[2026]]</f>
        <v>#DIV/0!</v>
      </c>
      <c r="I10" s="181" t="e">
        <f>InvulVloer[[#This Row],[2027]]*Tariefsopbouw!$Q$37+InvulVloer[[#This Row],[2027]]</f>
        <v>#DIV/0!</v>
      </c>
    </row>
    <row r="11" spans="1:9" ht="15" customHeight="1">
      <c r="A11" s="182">
        <v>3</v>
      </c>
      <c r="B11" s="204" t="s">
        <v>1897</v>
      </c>
      <c r="C11" s="45">
        <v>0</v>
      </c>
      <c r="D11" s="145" t="s">
        <v>1896</v>
      </c>
      <c r="E11" s="181" t="e">
        <f>InvulVloer[[#This Row],[Prijs]]*Tariefsopbouw!$I$37+InvulVloer[[#This Row],[Prijs]]</f>
        <v>#DIV/0!</v>
      </c>
      <c r="F11" s="181" t="e">
        <f>InvulVloer[[#This Row],[2024]]*Tariefsopbouw!$K$37+InvulVloer[[#This Row],[2024]]</f>
        <v>#DIV/0!</v>
      </c>
      <c r="G11" s="181" t="e">
        <f>InvulVloer[[#This Row],[2025]]*Tariefsopbouw!$M$37+InvulVloer[[#This Row],[2025]]</f>
        <v>#DIV/0!</v>
      </c>
      <c r="H11" s="181" t="e">
        <f>InvulVloer[[#This Row],[2026]]*Tariefsopbouw!$O$37+InvulVloer[[#This Row],[2026]]</f>
        <v>#DIV/0!</v>
      </c>
      <c r="I11" s="181" t="e">
        <f>InvulVloer[[#This Row],[2027]]*Tariefsopbouw!$Q$37+InvulVloer[[#This Row],[2027]]</f>
        <v>#DIV/0!</v>
      </c>
    </row>
    <row r="12" spans="1:9" ht="15" customHeight="1">
      <c r="A12" s="182">
        <v>4</v>
      </c>
      <c r="B12" s="204" t="s">
        <v>1898</v>
      </c>
      <c r="C12" s="45">
        <v>0</v>
      </c>
      <c r="D12" s="145" t="s">
        <v>1894</v>
      </c>
      <c r="E12" s="181" t="e">
        <f>InvulVloer[[#This Row],[Prijs]]*Tariefsopbouw!$I$37+InvulVloer[[#This Row],[Prijs]]</f>
        <v>#DIV/0!</v>
      </c>
      <c r="F12" s="181" t="e">
        <f>InvulVloer[[#This Row],[2024]]*Tariefsopbouw!$K$37+InvulVloer[[#This Row],[2024]]</f>
        <v>#DIV/0!</v>
      </c>
      <c r="G12" s="181" t="e">
        <f>InvulVloer[[#This Row],[2025]]*Tariefsopbouw!$M$37+InvulVloer[[#This Row],[2025]]</f>
        <v>#DIV/0!</v>
      </c>
      <c r="H12" s="181" t="e">
        <f>InvulVloer[[#This Row],[2026]]*Tariefsopbouw!$O$37+InvulVloer[[#This Row],[2026]]</f>
        <v>#DIV/0!</v>
      </c>
      <c r="I12" s="181" t="e">
        <f>InvulVloer[[#This Row],[2027]]*Tariefsopbouw!$Q$37+InvulVloer[[#This Row],[2027]]</f>
        <v>#DIV/0!</v>
      </c>
    </row>
    <row r="13" spans="1:9" ht="15" customHeight="1">
      <c r="A13" s="182">
        <v>5</v>
      </c>
      <c r="B13" s="204" t="s">
        <v>1899</v>
      </c>
      <c r="C13" s="45">
        <v>0</v>
      </c>
      <c r="D13" s="145" t="s">
        <v>1894</v>
      </c>
      <c r="E13" s="181" t="e">
        <f>InvulVloer[[#This Row],[Prijs]]*Tariefsopbouw!$I$37+InvulVloer[[#This Row],[Prijs]]</f>
        <v>#DIV/0!</v>
      </c>
      <c r="F13" s="181" t="e">
        <f>InvulVloer[[#This Row],[2024]]*Tariefsopbouw!$K$37+InvulVloer[[#This Row],[2024]]</f>
        <v>#DIV/0!</v>
      </c>
      <c r="G13" s="181" t="e">
        <f>InvulVloer[[#This Row],[2025]]*Tariefsopbouw!$M$37+InvulVloer[[#This Row],[2025]]</f>
        <v>#DIV/0!</v>
      </c>
      <c r="H13" s="181" t="e">
        <f>InvulVloer[[#This Row],[2026]]*Tariefsopbouw!$O$37+InvulVloer[[#This Row],[2026]]</f>
        <v>#DIV/0!</v>
      </c>
      <c r="I13" s="181" t="e">
        <f>InvulVloer[[#This Row],[2027]]*Tariefsopbouw!$Q$37+InvulVloer[[#This Row],[2027]]</f>
        <v>#DIV/0!</v>
      </c>
    </row>
    <row r="14" spans="1:9" ht="15" customHeight="1">
      <c r="A14" s="182">
        <v>6</v>
      </c>
      <c r="B14" s="204" t="s">
        <v>1900</v>
      </c>
      <c r="C14" s="45">
        <v>0</v>
      </c>
      <c r="D14" s="145" t="s">
        <v>1894</v>
      </c>
      <c r="E14" s="181" t="e">
        <f>InvulVloer[[#This Row],[Prijs]]*Tariefsopbouw!$I$37+InvulVloer[[#This Row],[Prijs]]</f>
        <v>#DIV/0!</v>
      </c>
      <c r="F14" s="181" t="e">
        <f>InvulVloer[[#This Row],[2024]]*Tariefsopbouw!$K$37+InvulVloer[[#This Row],[2024]]</f>
        <v>#DIV/0!</v>
      </c>
      <c r="G14" s="181" t="e">
        <f>InvulVloer[[#This Row],[2025]]*Tariefsopbouw!$M$37+InvulVloer[[#This Row],[2025]]</f>
        <v>#DIV/0!</v>
      </c>
      <c r="H14" s="181" t="e">
        <f>InvulVloer[[#This Row],[2026]]*Tariefsopbouw!$O$37+InvulVloer[[#This Row],[2026]]</f>
        <v>#DIV/0!</v>
      </c>
      <c r="I14" s="181" t="e">
        <f>InvulVloer[[#This Row],[2027]]*Tariefsopbouw!$Q$37+InvulVloer[[#This Row],[2027]]</f>
        <v>#DIV/0!</v>
      </c>
    </row>
    <row r="15" spans="1:9" ht="15" customHeight="1">
      <c r="A15" s="182">
        <v>7</v>
      </c>
      <c r="B15" s="204" t="s">
        <v>1901</v>
      </c>
      <c r="C15" s="45">
        <v>0</v>
      </c>
      <c r="D15" s="145" t="s">
        <v>1894</v>
      </c>
      <c r="E15" s="181" t="e">
        <f>InvulVloer[[#This Row],[Prijs]]*Tariefsopbouw!$I$37+InvulVloer[[#This Row],[Prijs]]</f>
        <v>#DIV/0!</v>
      </c>
      <c r="F15" s="181" t="e">
        <f>InvulVloer[[#This Row],[2024]]*Tariefsopbouw!$K$37+InvulVloer[[#This Row],[2024]]</f>
        <v>#DIV/0!</v>
      </c>
      <c r="G15" s="181" t="e">
        <f>InvulVloer[[#This Row],[2025]]*Tariefsopbouw!$M$37+InvulVloer[[#This Row],[2025]]</f>
        <v>#DIV/0!</v>
      </c>
      <c r="H15" s="181" t="e">
        <f>InvulVloer[[#This Row],[2026]]*Tariefsopbouw!$O$37+InvulVloer[[#This Row],[2026]]</f>
        <v>#DIV/0!</v>
      </c>
      <c r="I15" s="181" t="e">
        <f>InvulVloer[[#This Row],[2027]]*Tariefsopbouw!$Q$37+InvulVloer[[#This Row],[2027]]</f>
        <v>#DIV/0!</v>
      </c>
    </row>
    <row r="16" spans="1:9" ht="15" customHeight="1">
      <c r="A16" s="182">
        <v>8</v>
      </c>
      <c r="B16" s="145" t="s">
        <v>1902</v>
      </c>
      <c r="C16" s="45">
        <v>0</v>
      </c>
      <c r="D16" s="145" t="s">
        <v>1894</v>
      </c>
      <c r="E16" s="181" t="e">
        <f>InvulVloer[[#This Row],[Prijs]]*Tariefsopbouw!$I$37+InvulVloer[[#This Row],[Prijs]]</f>
        <v>#DIV/0!</v>
      </c>
      <c r="F16" s="181" t="e">
        <f>InvulVloer[[#This Row],[2024]]*Tariefsopbouw!$K$37+InvulVloer[[#This Row],[2024]]</f>
        <v>#DIV/0!</v>
      </c>
      <c r="G16" s="181" t="e">
        <f>InvulVloer[[#This Row],[2025]]*Tariefsopbouw!$M$37+InvulVloer[[#This Row],[2025]]</f>
        <v>#DIV/0!</v>
      </c>
      <c r="H16" s="181" t="e">
        <f>InvulVloer[[#This Row],[2026]]*Tariefsopbouw!$O$37+InvulVloer[[#This Row],[2026]]</f>
        <v>#DIV/0!</v>
      </c>
      <c r="I16" s="181" t="e">
        <f>InvulVloer[[#This Row],[2027]]*Tariefsopbouw!$Q$37+InvulVloer[[#This Row],[2027]]</f>
        <v>#DIV/0!</v>
      </c>
    </row>
    <row r="17" spans="1:9" ht="15" customHeight="1">
      <c r="A17" s="182">
        <v>9</v>
      </c>
      <c r="B17" s="245" t="s">
        <v>1903</v>
      </c>
      <c r="C17" s="45">
        <v>0</v>
      </c>
      <c r="D17" s="145" t="s">
        <v>1894</v>
      </c>
      <c r="E17" s="181" t="e">
        <f>InvulVloer[[#This Row],[Prijs]]*Tariefsopbouw!$I$37+InvulVloer[[#This Row],[Prijs]]</f>
        <v>#DIV/0!</v>
      </c>
      <c r="F17" s="181" t="e">
        <f>InvulVloer[[#This Row],[2024]]*Tariefsopbouw!$K$37+InvulVloer[[#This Row],[2024]]</f>
        <v>#DIV/0!</v>
      </c>
      <c r="G17" s="181" t="e">
        <f>InvulVloer[[#This Row],[2025]]*Tariefsopbouw!$M$37+InvulVloer[[#This Row],[2025]]</f>
        <v>#DIV/0!</v>
      </c>
      <c r="H17" s="181" t="e">
        <f>InvulVloer[[#This Row],[2026]]*Tariefsopbouw!$O$37+InvulVloer[[#This Row],[2026]]</f>
        <v>#DIV/0!</v>
      </c>
      <c r="I17" s="181" t="e">
        <f>InvulVloer[[#This Row],[2027]]*Tariefsopbouw!$Q$37+InvulVloer[[#This Row],[2027]]</f>
        <v>#DIV/0!</v>
      </c>
    </row>
    <row r="18" spans="1:9" ht="15" customHeight="1">
      <c r="A18" s="182">
        <v>10</v>
      </c>
      <c r="B18" s="245" t="s">
        <v>1904</v>
      </c>
      <c r="C18" s="45">
        <v>0</v>
      </c>
      <c r="D18" s="145" t="s">
        <v>1894</v>
      </c>
      <c r="E18" s="247" t="e">
        <f>InvulVloer[[#This Row],[Prijs]]*Tariefsopbouw!$I$37+InvulVloer[[#This Row],[Prijs]]</f>
        <v>#DIV/0!</v>
      </c>
      <c r="F18" s="248" t="e">
        <f>InvulVloer[[#This Row],[2024]]*Tariefsopbouw!$K$37+InvulVloer[[#This Row],[2024]]</f>
        <v>#DIV/0!</v>
      </c>
      <c r="G18" s="247" t="e">
        <f>InvulVloer[[#This Row],[2025]]*Tariefsopbouw!$M$37+InvulVloer[[#This Row],[2025]]</f>
        <v>#DIV/0!</v>
      </c>
      <c r="H18" s="247" t="e">
        <f>InvulVloer[[#This Row],[2026]]*Tariefsopbouw!$O$37+InvulVloer[[#This Row],[2026]]</f>
        <v>#DIV/0!</v>
      </c>
      <c r="I18" s="247" t="e">
        <f>InvulVloer[[#This Row],[2027]]*Tariefsopbouw!$Q$37+InvulVloer[[#This Row],[2027]]</f>
        <v>#DIV/0!</v>
      </c>
    </row>
    <row r="19" spans="1:9" ht="15" customHeight="1">
      <c r="B19" s="24"/>
      <c r="E19" s="31"/>
      <c r="F19" s="150"/>
      <c r="G19" s="31"/>
      <c r="H19" s="31"/>
    </row>
    <row r="20" spans="1:9" ht="15" customHeight="1">
      <c r="C20" s="25"/>
      <c r="D20" s="25"/>
    </row>
    <row r="21" spans="1:9" s="22" customFormat="1" ht="26.25" customHeight="1">
      <c r="A21" s="42" t="s">
        <v>1905</v>
      </c>
      <c r="B21" s="43" t="s">
        <v>18</v>
      </c>
      <c r="C21" s="42" t="s">
        <v>1884</v>
      </c>
      <c r="D21" s="46" t="s">
        <v>1885</v>
      </c>
      <c r="E21" s="46" t="s">
        <v>1906</v>
      </c>
      <c r="F21" s="151" t="s">
        <v>1907</v>
      </c>
      <c r="G21" s="46" t="s">
        <v>1908</v>
      </c>
      <c r="H21" s="47" t="s">
        <v>1909</v>
      </c>
    </row>
    <row r="22" spans="1:9" ht="15" customHeight="1">
      <c r="A22" s="182">
        <v>1</v>
      </c>
      <c r="B22" s="145" t="str">
        <f>VLOOKUP(OverzichtVloer[[#This Row],[Code Locatie]],Locaties[],2,0)</f>
        <v>Boerhaave + buitenunits</v>
      </c>
      <c r="C22" s="182">
        <v>4</v>
      </c>
      <c r="D22" s="183" t="str">
        <f>IF(Vloeronderhoud!$C22&gt;0,VLOOKUP(Vloeronderhoud!$C22,$A$8:$B$18,2,FALSE),"")</f>
        <v>Tapijtreinigen, sproei-extractiemethode</v>
      </c>
      <c r="E22" s="154" t="s">
        <v>303</v>
      </c>
      <c r="F22" s="152">
        <f>SUMIFS('Ruimtestaat'!$N:$N,'Ruimtestaat'!L:L,Vloeronderhoud!E22,'Ruimtestaat'!A:A,Vloeronderhoud!A22)</f>
        <v>453.36999999999995</v>
      </c>
      <c r="G22" s="200">
        <v>0.5</v>
      </c>
      <c r="H22" s="184">
        <f>VLOOKUP(OverzichtVloer[[#This Row],[Code Taak]],InvulVloer[],3,3)*F22*G22</f>
        <v>0</v>
      </c>
    </row>
    <row r="23" spans="1:9" ht="15" customHeight="1">
      <c r="A23" s="182">
        <v>2</v>
      </c>
      <c r="B23" s="145" t="str">
        <f>VLOOKUP(OverzichtVloer[[#This Row],[Code Locatie]],Locaties[],2,0)</f>
        <v>Het Stormink</v>
      </c>
      <c r="C23" s="182">
        <v>4</v>
      </c>
      <c r="D23" s="183" t="str">
        <f>IF(Vloeronderhoud!$C23&gt;0,VLOOKUP(Vloeronderhoud!$C23,$A$8:$B$18,2,FALSE),"")</f>
        <v>Tapijtreinigen, sproei-extractiemethode</v>
      </c>
      <c r="E23" s="154" t="s">
        <v>303</v>
      </c>
      <c r="F23" s="152">
        <f>SUMIFS('Ruimtestaat'!$N:$N,'Ruimtestaat'!L:L,Vloeronderhoud!E23,'Ruimtestaat'!A:A,Vloeronderhoud!A23)</f>
        <v>93.43</v>
      </c>
      <c r="G23" s="200">
        <v>0.5</v>
      </c>
      <c r="H23" s="184">
        <f>VLOOKUP(OverzichtVloer[[#This Row],[Code Taak]],InvulVloer[],3,3)*F23*G23</f>
        <v>0</v>
      </c>
    </row>
    <row r="24" spans="1:9" ht="15.75" customHeight="1">
      <c r="A24" s="182">
        <v>2</v>
      </c>
      <c r="B24" s="145" t="str">
        <f>VLOOKUP(OverzichtVloer[[#This Row],[Code Locatie]],Locaties[],2,0)</f>
        <v>Het Stormink</v>
      </c>
      <c r="C24" s="182">
        <v>1</v>
      </c>
      <c r="D24" s="183" t="str">
        <f>IF(Vloeronderhoud!$C24&gt;0,VLOOKUP(Vloeronderhoud!$C24,$A$8:$B$18,2,FALSE),"")</f>
        <v>Sprayen/opblokken</v>
      </c>
      <c r="E24" s="154" t="s">
        <v>300</v>
      </c>
      <c r="F24" s="152">
        <f>SUMIFS('Ruimtestaat'!$N:$N,'Ruimtestaat'!L:L,Vloeronderhoud!E24,'Ruimtestaat'!A:A,Vloeronderhoud!A24)</f>
        <v>6883.3700000000072</v>
      </c>
      <c r="G24" s="200">
        <v>1</v>
      </c>
      <c r="H24" s="184">
        <f>VLOOKUP(OverzichtVloer[[#This Row],[Code Taak]],InvulVloer[],3,3)*F24*G24</f>
        <v>0</v>
      </c>
    </row>
    <row r="25" spans="1:9" ht="15" customHeight="1">
      <c r="A25" s="182">
        <v>2</v>
      </c>
      <c r="B25" s="145" t="str">
        <f>VLOOKUP(OverzichtVloer[[#This Row],[Code Locatie]],Locaties[],2,0)</f>
        <v>Het Stormink</v>
      </c>
      <c r="C25" s="182">
        <v>2</v>
      </c>
      <c r="D25" s="183" t="str">
        <f>IF(Vloeronderhoud!$C25&gt;0,VLOOKUP(Vloeronderhoud!$C25,$A$8:$B$18,2,FALSE),"")</f>
        <v>Topstrippen en conserveren</v>
      </c>
      <c r="E25" s="154" t="s">
        <v>300</v>
      </c>
      <c r="F25" s="152">
        <f>SUMIFS('Ruimtestaat'!$N:$N,'Ruimtestaat'!L:L,Vloeronderhoud!E25,'Ruimtestaat'!A:A,Vloeronderhoud!A25)</f>
        <v>6883.3700000000072</v>
      </c>
      <c r="G25" s="200">
        <v>1</v>
      </c>
      <c r="H25" s="184">
        <f>VLOOKUP(OverzichtVloer[[#This Row],[Code Taak]],InvulVloer[],3,3)*F25*G25</f>
        <v>0</v>
      </c>
    </row>
    <row r="26" spans="1:9" ht="15" customHeight="1">
      <c r="A26" s="182">
        <v>2</v>
      </c>
      <c r="B26" s="145" t="str">
        <f>VLOOKUP(OverzichtVloer[[#This Row],[Code Locatie]],Locaties[],2,0)</f>
        <v>Het Stormink</v>
      </c>
      <c r="C26" s="182">
        <v>3</v>
      </c>
      <c r="D26" s="183" t="str">
        <f>IF(Vloeronderhoud!$C26&gt;0,VLOOKUP(Vloeronderhoud!$C26,$A$8:$B$18,2,FALSE),"")</f>
        <v>Diepstrippen, sealen en conserveren</v>
      </c>
      <c r="E26" s="154" t="s">
        <v>300</v>
      </c>
      <c r="F26" s="152">
        <f>SUMIFS('Ruimtestaat'!$N:$N,'Ruimtestaat'!L:L,Vloeronderhoud!E26,'Ruimtestaat'!A:A,Vloeronderhoud!A26)</f>
        <v>6883.3700000000072</v>
      </c>
      <c r="G26" s="154">
        <v>0.25</v>
      </c>
      <c r="H26" s="184">
        <f>VLOOKUP(OverzichtVloer[[#This Row],[Code Taak]],InvulVloer[],3,3)*F26*G26</f>
        <v>0</v>
      </c>
    </row>
    <row r="27" spans="1:9" ht="15" customHeight="1">
      <c r="A27" s="182">
        <v>3</v>
      </c>
      <c r="B27" s="145" t="str">
        <f>VLOOKUP(OverzichtVloer[[#This Row],[Code Locatie]],Locaties[],2,0)</f>
        <v>Zwaluwenburg 8</v>
      </c>
      <c r="C27" s="182">
        <v>4</v>
      </c>
      <c r="D27" s="183" t="str">
        <f>IF(Vloeronderhoud!$C27&gt;0,VLOOKUP(Vloeronderhoud!$C27,$A$8:$B$18,2,FALSE),"")</f>
        <v>Tapijtreinigen, sproei-extractiemethode</v>
      </c>
      <c r="E27" s="154" t="s">
        <v>303</v>
      </c>
      <c r="F27" s="152">
        <f>SUMIFS('Ruimtestaat'!$N:$N,'Ruimtestaat'!L:L,Vloeronderhoud!E27,'Ruimtestaat'!A:A,Vloeronderhoud!A27)</f>
        <v>55.89</v>
      </c>
      <c r="G27" s="200">
        <v>0.5</v>
      </c>
      <c r="H27" s="184">
        <f>VLOOKUP(OverzichtVloer[[#This Row],[Code Taak]],InvulVloer[],3,3)*F27*G27</f>
        <v>0</v>
      </c>
    </row>
    <row r="28" spans="1:9" ht="15.75" customHeight="1">
      <c r="A28" s="182">
        <v>3</v>
      </c>
      <c r="B28" s="145" t="str">
        <f>VLOOKUP(OverzichtVloer[[#This Row],[Code Locatie]],Locaties[],2,0)</f>
        <v>Zwaluwenburg 8</v>
      </c>
      <c r="C28" s="182">
        <v>1</v>
      </c>
      <c r="D28" s="183" t="str">
        <f>IF(Vloeronderhoud!$C28&gt;0,VLOOKUP(Vloeronderhoud!$C28,$A$8:$B$18,2,FALSE),"")</f>
        <v>Sprayen/opblokken</v>
      </c>
      <c r="E28" s="154" t="s">
        <v>300</v>
      </c>
      <c r="F28" s="152">
        <f>SUMIFS('Ruimtestaat'!$N:$N,'Ruimtestaat'!L:L,Vloeronderhoud!E28,'Ruimtestaat'!A:A,Vloeronderhoud!A28)</f>
        <v>464.12000000000006</v>
      </c>
      <c r="G28" s="200">
        <v>1</v>
      </c>
      <c r="H28" s="184">
        <f>VLOOKUP(OverzichtVloer[[#This Row],[Code Taak]],InvulVloer[],3,3)*F28*G28</f>
        <v>0</v>
      </c>
    </row>
    <row r="29" spans="1:9" ht="15" customHeight="1">
      <c r="A29" s="182">
        <v>3</v>
      </c>
      <c r="B29" s="145" t="str">
        <f>VLOOKUP(OverzichtVloer[[#This Row],[Code Locatie]],Locaties[],2,0)</f>
        <v>Zwaluwenburg 8</v>
      </c>
      <c r="C29" s="182">
        <v>2</v>
      </c>
      <c r="D29" s="183" t="str">
        <f>IF(Vloeronderhoud!$C29&gt;0,VLOOKUP(Vloeronderhoud!$C29,$A$8:$B$18,2,FALSE),"")</f>
        <v>Topstrippen en conserveren</v>
      </c>
      <c r="E29" s="154" t="s">
        <v>300</v>
      </c>
      <c r="F29" s="152">
        <f>SUMIFS('Ruimtestaat'!$N:$N,'Ruimtestaat'!L:L,Vloeronderhoud!E29,'Ruimtestaat'!A:A,Vloeronderhoud!A29)</f>
        <v>464.12000000000006</v>
      </c>
      <c r="G29" s="200">
        <v>1</v>
      </c>
      <c r="H29" s="184">
        <f>VLOOKUP(OverzichtVloer[[#This Row],[Code Taak]],InvulVloer[],3,3)*F29*G29</f>
        <v>0</v>
      </c>
    </row>
    <row r="30" spans="1:9" ht="15" customHeight="1">
      <c r="A30" s="182">
        <v>3</v>
      </c>
      <c r="B30" s="145" t="str">
        <f>VLOOKUP(OverzichtVloer[[#This Row],[Code Locatie]],Locaties[],2,0)</f>
        <v>Zwaluwenburg 8</v>
      </c>
      <c r="C30" s="182">
        <v>3</v>
      </c>
      <c r="D30" s="183" t="str">
        <f>IF(Vloeronderhoud!$C30&gt;0,VLOOKUP(Vloeronderhoud!$C30,$A$8:$B$18,2,FALSE),"")</f>
        <v>Diepstrippen, sealen en conserveren</v>
      </c>
      <c r="E30" s="154" t="s">
        <v>300</v>
      </c>
      <c r="F30" s="152">
        <f>SUMIFS('Ruimtestaat'!$N:$N,'Ruimtestaat'!L:L,Vloeronderhoud!E30,'Ruimtestaat'!A:A,Vloeronderhoud!A30)</f>
        <v>464.12000000000006</v>
      </c>
      <c r="G30" s="154">
        <v>0.25</v>
      </c>
      <c r="H30" s="184">
        <f>VLOOKUP(OverzichtVloer[[#This Row],[Code Taak]],InvulVloer[],3,3)*F30*G30</f>
        <v>0</v>
      </c>
    </row>
    <row r="31" spans="1:9" ht="15" customHeight="1">
      <c r="A31" s="182">
        <v>4</v>
      </c>
      <c r="B31" s="145" t="str">
        <f>VLOOKUP(OverzichtVloer[[#This Row],[Code Locatie]],Locaties[],2,0)</f>
        <v>Zwaluwenburg 10</v>
      </c>
      <c r="C31" s="182">
        <v>4</v>
      </c>
      <c r="D31" s="183" t="str">
        <f>IF(Vloeronderhoud!$C31&gt;0,VLOOKUP(Vloeronderhoud!$C31,$A$8:$B$18,2,FALSE),"")</f>
        <v>Tapijtreinigen, sproei-extractiemethode</v>
      </c>
      <c r="E31" s="154" t="s">
        <v>303</v>
      </c>
      <c r="F31" s="152">
        <f>SUMIFS('Ruimtestaat'!$N:$N,'Ruimtestaat'!L:L,Vloeronderhoud!E31,'Ruimtestaat'!A:A,Vloeronderhoud!A31)</f>
        <v>25.39</v>
      </c>
      <c r="G31" s="200">
        <v>0.5</v>
      </c>
      <c r="H31" s="184">
        <f>VLOOKUP(OverzichtVloer[[#This Row],[Code Taak]],InvulVloer[],3,3)*F31*G31</f>
        <v>0</v>
      </c>
    </row>
    <row r="32" spans="1:9" ht="15.75" customHeight="1">
      <c r="A32" s="182">
        <v>4</v>
      </c>
      <c r="B32" s="145" t="str">
        <f>VLOOKUP(OverzichtVloer[[#This Row],[Code Locatie]],Locaties[],2,0)</f>
        <v>Zwaluwenburg 10</v>
      </c>
      <c r="C32" s="182">
        <v>1</v>
      </c>
      <c r="D32" s="183" t="str">
        <f>IF(Vloeronderhoud!$C32&gt;0,VLOOKUP(Vloeronderhoud!$C32,$A$8:$B$18,2,FALSE),"")</f>
        <v>Sprayen/opblokken</v>
      </c>
      <c r="E32" s="154" t="s">
        <v>300</v>
      </c>
      <c r="F32" s="152">
        <f>SUMIFS('Ruimtestaat'!$N:$N,'Ruimtestaat'!L:L,Vloeronderhoud!E32,'Ruimtestaat'!A:A,Vloeronderhoud!A32)</f>
        <v>1090.7600000000002</v>
      </c>
      <c r="G32" s="200">
        <v>1</v>
      </c>
      <c r="H32" s="184">
        <f>VLOOKUP(OverzichtVloer[[#This Row],[Code Taak]],InvulVloer[],3,3)*F32*G32</f>
        <v>0</v>
      </c>
    </row>
    <row r="33" spans="1:8" ht="15" customHeight="1">
      <c r="A33" s="182">
        <v>4</v>
      </c>
      <c r="B33" s="145" t="str">
        <f>VLOOKUP(OverzichtVloer[[#This Row],[Code Locatie]],Locaties[],2,0)</f>
        <v>Zwaluwenburg 10</v>
      </c>
      <c r="C33" s="182">
        <v>2</v>
      </c>
      <c r="D33" s="183" t="str">
        <f>IF(Vloeronderhoud!$C33&gt;0,VLOOKUP(Vloeronderhoud!$C33,$A$8:$B$18,2,FALSE),"")</f>
        <v>Topstrippen en conserveren</v>
      </c>
      <c r="E33" s="154" t="s">
        <v>300</v>
      </c>
      <c r="F33" s="152">
        <f>SUMIFS('Ruimtestaat'!$N:$N,'Ruimtestaat'!L:L,Vloeronderhoud!E33,'Ruimtestaat'!A:A,Vloeronderhoud!A33)</f>
        <v>1090.7600000000002</v>
      </c>
      <c r="G33" s="200">
        <v>1</v>
      </c>
      <c r="H33" s="184">
        <f>VLOOKUP(OverzichtVloer[[#This Row],[Code Taak]],InvulVloer[],3,3)*F33*G33</f>
        <v>0</v>
      </c>
    </row>
    <row r="34" spans="1:8" ht="15" customHeight="1">
      <c r="A34" s="182">
        <v>4</v>
      </c>
      <c r="B34" s="145" t="str">
        <f>VLOOKUP(OverzichtVloer[[#This Row],[Code Locatie]],Locaties[],2,0)</f>
        <v>Zwaluwenburg 10</v>
      </c>
      <c r="C34" s="182">
        <v>3</v>
      </c>
      <c r="D34" s="183" t="str">
        <f>IF(Vloeronderhoud!$C34&gt;0,VLOOKUP(Vloeronderhoud!$C34,$A$8:$B$18,2,FALSE),"")</f>
        <v>Diepstrippen, sealen en conserveren</v>
      </c>
      <c r="E34" s="154" t="s">
        <v>300</v>
      </c>
      <c r="F34" s="152">
        <f>SUMIFS('Ruimtestaat'!$N:$N,'Ruimtestaat'!L:L,Vloeronderhoud!E34,'Ruimtestaat'!A:A,Vloeronderhoud!A34)</f>
        <v>1090.7600000000002</v>
      </c>
      <c r="G34" s="154">
        <v>0.25</v>
      </c>
      <c r="H34" s="184">
        <f>VLOOKUP(OverzichtVloer[[#This Row],[Code Taak]],InvulVloer[],3,3)*F34*G34</f>
        <v>0</v>
      </c>
    </row>
    <row r="35" spans="1:8" ht="15" customHeight="1">
      <c r="A35" s="182">
        <v>4</v>
      </c>
      <c r="B35" s="145" t="str">
        <f>VLOOKUP(OverzichtVloer[[#This Row],[Code Locatie]],Locaties[],2,0)</f>
        <v>Zwaluwenburg 10</v>
      </c>
      <c r="C35" s="182">
        <v>4</v>
      </c>
      <c r="D35" s="183" t="str">
        <f>IF(Vloeronderhoud!$C35&gt;0,VLOOKUP(Vloeronderhoud!$C35,$A$8:$B$18,2,FALSE),"")</f>
        <v>Tapijtreinigen, sproei-extractiemethode</v>
      </c>
      <c r="E35" s="154" t="s">
        <v>303</v>
      </c>
      <c r="F35" s="152">
        <f>SUMIFS('Ruimtestaat'!$N:$N,'Ruimtestaat'!L:L,Vloeronderhoud!E35,'Ruimtestaat'!A:A,Vloeronderhoud!A35)</f>
        <v>25.39</v>
      </c>
      <c r="G35" s="200">
        <v>0.5</v>
      </c>
      <c r="H35" s="184">
        <f>VLOOKUP(OverzichtVloer[[#This Row],[Code Taak]],InvulVloer[],3,3)*F35*G35</f>
        <v>0</v>
      </c>
    </row>
    <row r="36" spans="1:8" ht="15.75" customHeight="1">
      <c r="A36" s="182">
        <v>5</v>
      </c>
      <c r="B36" s="145" t="str">
        <f>VLOOKUP(OverzichtVloer[[#This Row],[Code Locatie]],Locaties[],2,0)</f>
        <v>Marke Zuid</v>
      </c>
      <c r="C36" s="182">
        <v>1</v>
      </c>
      <c r="D36" s="183" t="str">
        <f>IF(Vloeronderhoud!$C36&gt;0,VLOOKUP(Vloeronderhoud!$C36,$A$8:$B$18,2,FALSE),"")</f>
        <v>Sprayen/opblokken</v>
      </c>
      <c r="E36" s="154" t="s">
        <v>300</v>
      </c>
      <c r="F36" s="152">
        <f>SUMIFS('Ruimtestaat'!$N:$N,'Ruimtestaat'!L:L,Vloeronderhoud!E36,'Ruimtestaat'!A:A,Vloeronderhoud!A36)</f>
        <v>5737.4500000000007</v>
      </c>
      <c r="G36" s="200">
        <v>1</v>
      </c>
      <c r="H36" s="184">
        <f>VLOOKUP(OverzichtVloer[[#This Row],[Code Taak]],InvulVloer[],3,3)*F36*G36</f>
        <v>0</v>
      </c>
    </row>
    <row r="37" spans="1:8" ht="15" customHeight="1">
      <c r="A37" s="182">
        <v>5</v>
      </c>
      <c r="B37" s="145" t="str">
        <f>VLOOKUP(OverzichtVloer[[#This Row],[Code Locatie]],Locaties[],2,0)</f>
        <v>Marke Zuid</v>
      </c>
      <c r="C37" s="182">
        <v>2</v>
      </c>
      <c r="D37" s="183" t="str">
        <f>IF(Vloeronderhoud!$C37&gt;0,VLOOKUP(Vloeronderhoud!$C37,$A$8:$B$18,2,FALSE),"")</f>
        <v>Topstrippen en conserveren</v>
      </c>
      <c r="E37" s="154" t="s">
        <v>300</v>
      </c>
      <c r="F37" s="152">
        <f>SUMIFS('Ruimtestaat'!$N:$N,'Ruimtestaat'!L:L,Vloeronderhoud!E37,'Ruimtestaat'!A:A,Vloeronderhoud!A37)</f>
        <v>5737.4500000000007</v>
      </c>
      <c r="G37" s="200">
        <v>1</v>
      </c>
      <c r="H37" s="184">
        <f>VLOOKUP(OverzichtVloer[[#This Row],[Code Taak]],InvulVloer[],3,3)*F37*G37</f>
        <v>0</v>
      </c>
    </row>
    <row r="38" spans="1:8" ht="15" customHeight="1">
      <c r="A38" s="182">
        <v>5</v>
      </c>
      <c r="B38" s="145" t="str">
        <f>VLOOKUP(OverzichtVloer[[#This Row],[Code Locatie]],Locaties[],2,0)</f>
        <v>Marke Zuid</v>
      </c>
      <c r="C38" s="182">
        <v>3</v>
      </c>
      <c r="D38" s="183" t="str">
        <f>IF(Vloeronderhoud!$C38&gt;0,VLOOKUP(Vloeronderhoud!$C38,$A$8:$B$18,2,FALSE),"")</f>
        <v>Diepstrippen, sealen en conserveren</v>
      </c>
      <c r="E38" s="154" t="s">
        <v>300</v>
      </c>
      <c r="F38" s="152">
        <f>SUMIFS('Ruimtestaat'!$N:$N,'Ruimtestaat'!L:L,Vloeronderhoud!E38,'Ruimtestaat'!A:A,Vloeronderhoud!A38)</f>
        <v>5737.4500000000007</v>
      </c>
      <c r="G38" s="154">
        <v>0.25</v>
      </c>
      <c r="H38" s="184">
        <f>VLOOKUP(OverzichtVloer[[#This Row],[Code Taak]],InvulVloer[],3,3)*F38*G38</f>
        <v>0</v>
      </c>
    </row>
    <row r="39" spans="1:8" ht="15" customHeight="1">
      <c r="A39" s="182">
        <v>5</v>
      </c>
      <c r="B39" s="145" t="str">
        <f>VLOOKUP(OverzichtVloer[[#This Row],[Code Locatie]],Locaties[],2,0)</f>
        <v>Marke Zuid</v>
      </c>
      <c r="C39" s="182">
        <v>4</v>
      </c>
      <c r="D39" s="183" t="str">
        <f>IF(Vloeronderhoud!$C39&gt;0,VLOOKUP(Vloeronderhoud!$C39,$A$8:$B$18,2,FALSE),"")</f>
        <v>Tapijtreinigen, sproei-extractiemethode</v>
      </c>
      <c r="E39" s="154" t="s">
        <v>303</v>
      </c>
      <c r="F39" s="152">
        <f>SUMIFS('Ruimtestaat'!$N:$N,'Ruimtestaat'!L:L,Vloeronderhoud!E39,'Ruimtestaat'!A:A,Vloeronderhoud!A39)</f>
        <v>319.26</v>
      </c>
      <c r="G39" s="154">
        <v>1</v>
      </c>
      <c r="H39" s="184">
        <f>VLOOKUP(OverzichtVloer[[#This Row],[Code Taak]],InvulVloer[],3,3)*F39*G39</f>
        <v>0</v>
      </c>
    </row>
    <row r="40" spans="1:8" ht="15" customHeight="1">
      <c r="A40" s="182">
        <v>5</v>
      </c>
      <c r="B40" s="145" t="str">
        <f>VLOOKUP(OverzichtVloer[[#This Row],[Code Locatie]],Locaties[],2,0)</f>
        <v>Marke Zuid</v>
      </c>
      <c r="C40" s="182">
        <v>7</v>
      </c>
      <c r="D40" s="183" t="str">
        <f>IF(Vloeronderhoud!$C40&gt;0,VLOOKUP(Vloeronderhoud!$C40,$A$8:$B$18,2,FALSE),"")</f>
        <v>Olieën houten vloer</v>
      </c>
      <c r="E40" s="154" t="s">
        <v>308</v>
      </c>
      <c r="F40" s="152">
        <f>SUMIFS('Ruimtestaat'!$N:$N,'Ruimtestaat'!L:L,Vloeronderhoud!E40,'Ruimtestaat'!A:A,Vloeronderhoud!A40)</f>
        <v>303.39</v>
      </c>
      <c r="G40" s="154">
        <v>0.25</v>
      </c>
      <c r="H40" s="184">
        <f>VLOOKUP(OverzichtVloer[[#This Row],[Code Taak]],InvulVloer[],3,3)*F40*G40</f>
        <v>0</v>
      </c>
    </row>
    <row r="41" spans="1:8" ht="15" customHeight="1">
      <c r="A41" s="182">
        <v>6</v>
      </c>
      <c r="B41" s="145" t="str">
        <f>VLOOKUP(OverzichtVloer[[#This Row],[Code Locatie]],Locaties[],2,0)</f>
        <v>Marke Noord</v>
      </c>
      <c r="C41" s="182">
        <v>4</v>
      </c>
      <c r="D41" s="183" t="str">
        <f>IF(Vloeronderhoud!$C41&gt;0,VLOOKUP(Vloeronderhoud!$C41,$A$8:$B$18,2,FALSE),"")</f>
        <v>Tapijtreinigen, sproei-extractiemethode</v>
      </c>
      <c r="E41" s="154" t="s">
        <v>303</v>
      </c>
      <c r="F41" s="152">
        <f>SUMIFS('Ruimtestaat'!$N:$N,'Ruimtestaat'!L:L,Vloeronderhoud!E41,'Ruimtestaat'!A:A,Vloeronderhoud!A41)</f>
        <v>241.17000000000002</v>
      </c>
      <c r="G41" s="200">
        <v>0.5</v>
      </c>
      <c r="H41" s="184">
        <f>VLOOKUP(OverzichtVloer[[#This Row],[Code Taak]],InvulVloer[],3,3)*F41*G41</f>
        <v>0</v>
      </c>
    </row>
    <row r="42" spans="1:8" ht="15.75" customHeight="1">
      <c r="A42" s="182">
        <v>6</v>
      </c>
      <c r="B42" s="145" t="str">
        <f>VLOOKUP(OverzichtVloer[[#This Row],[Code Locatie]],Locaties[],2,0)</f>
        <v>Marke Noord</v>
      </c>
      <c r="C42" s="182">
        <v>1</v>
      </c>
      <c r="D42" s="183" t="str">
        <f>IF(Vloeronderhoud!$C42&gt;0,VLOOKUP(Vloeronderhoud!$C42,$A$8:$B$18,2,FALSE),"")</f>
        <v>Sprayen/opblokken</v>
      </c>
      <c r="E42" s="154" t="s">
        <v>300</v>
      </c>
      <c r="F42" s="152">
        <f>SUMIFS('Ruimtestaat'!$N:$N,'Ruimtestaat'!L:L,Vloeronderhoud!E42,'Ruimtestaat'!A:A,Vloeronderhoud!A42)</f>
        <v>7229.42</v>
      </c>
      <c r="G42" s="200">
        <v>1</v>
      </c>
      <c r="H42" s="184">
        <f>VLOOKUP(OverzichtVloer[[#This Row],[Code Taak]],InvulVloer[],3,3)*F42*G42</f>
        <v>0</v>
      </c>
    </row>
    <row r="43" spans="1:8" ht="15" customHeight="1">
      <c r="A43" s="182">
        <v>6</v>
      </c>
      <c r="B43" s="145" t="str">
        <f>VLOOKUP(OverzichtVloer[[#This Row],[Code Locatie]],Locaties[],2,0)</f>
        <v>Marke Noord</v>
      </c>
      <c r="C43" s="182">
        <v>2</v>
      </c>
      <c r="D43" s="183" t="str">
        <f>IF(Vloeronderhoud!$C43&gt;0,VLOOKUP(Vloeronderhoud!$C43,$A$8:$B$18,2,FALSE),"")</f>
        <v>Topstrippen en conserveren</v>
      </c>
      <c r="E43" s="154" t="s">
        <v>300</v>
      </c>
      <c r="F43" s="152">
        <f>SUMIFS('Ruimtestaat'!$N:$N,'Ruimtestaat'!L:L,Vloeronderhoud!E43,'Ruimtestaat'!A:A,Vloeronderhoud!A43)</f>
        <v>7229.42</v>
      </c>
      <c r="G43" s="200">
        <v>1</v>
      </c>
      <c r="H43" s="184">
        <f>VLOOKUP(OverzichtVloer[[#This Row],[Code Taak]],InvulVloer[],3,3)*F43*G43</f>
        <v>0</v>
      </c>
    </row>
    <row r="44" spans="1:8" ht="15" customHeight="1">
      <c r="A44" s="182">
        <v>6</v>
      </c>
      <c r="B44" s="145" t="str">
        <f>VLOOKUP(OverzichtVloer[[#This Row],[Code Locatie]],Locaties[],2,0)</f>
        <v>Marke Noord</v>
      </c>
      <c r="C44" s="182">
        <v>3</v>
      </c>
      <c r="D44" s="183" t="str">
        <f>IF(Vloeronderhoud!$C44&gt;0,VLOOKUP(Vloeronderhoud!$C44,$A$8:$B$18,2,FALSE),"")</f>
        <v>Diepstrippen, sealen en conserveren</v>
      </c>
      <c r="E44" s="154" t="s">
        <v>300</v>
      </c>
      <c r="F44" s="152">
        <f>SUMIFS('Ruimtestaat'!$N:$N,'Ruimtestaat'!L:L,Vloeronderhoud!E44,'Ruimtestaat'!A:A,Vloeronderhoud!A44)</f>
        <v>7229.42</v>
      </c>
      <c r="G44" s="154">
        <v>0.25</v>
      </c>
      <c r="H44" s="184">
        <f>VLOOKUP(OverzichtVloer[[#This Row],[Code Taak]],InvulVloer[],3,3)*F44*G44</f>
        <v>0</v>
      </c>
    </row>
    <row r="45" spans="1:8" ht="15" customHeight="1">
      <c r="A45" s="182">
        <v>6</v>
      </c>
      <c r="B45" s="145" t="str">
        <f>VLOOKUP(OverzichtVloer[[#This Row],[Code Locatie]],Locaties[],2,0)</f>
        <v>Marke Noord</v>
      </c>
      <c r="C45" s="182">
        <v>7</v>
      </c>
      <c r="D45" s="183" t="str">
        <f>IF(Vloeronderhoud!$C45&gt;0,VLOOKUP(Vloeronderhoud!$C45,$A$8:$B$18,2,FALSE),"")</f>
        <v>Olieën houten vloer</v>
      </c>
      <c r="E45" s="154" t="s">
        <v>308</v>
      </c>
      <c r="F45" s="152">
        <f>SUMIFS('Ruimtestaat'!$N:$N,'Ruimtestaat'!L:L,Vloeronderhoud!E45,'Ruimtestaat'!A:A,Vloeronderhoud!A45)</f>
        <v>437.43</v>
      </c>
      <c r="G45" s="154">
        <v>0.25</v>
      </c>
      <c r="H45" s="184">
        <f>VLOOKUP(OverzichtVloer[[#This Row],[Code Taak]],InvulVloer[],3,3)*F45*G45</f>
        <v>0</v>
      </c>
    </row>
    <row r="46" spans="1:8" ht="15" customHeight="1">
      <c r="A46" s="182">
        <v>7</v>
      </c>
      <c r="B46" s="145" t="str">
        <f>VLOOKUP(OverzichtVloer[[#This Row],[Code Locatie]],Locaties[],2,0)</f>
        <v>Het Vlier</v>
      </c>
      <c r="C46" s="182">
        <v>4</v>
      </c>
      <c r="D46" s="183" t="str">
        <f>IF(Vloeronderhoud!$C46&gt;0,VLOOKUP(Vloeronderhoud!$C46,$A$8:$B$18,2,FALSE),"")</f>
        <v>Tapijtreinigen, sproei-extractiemethode</v>
      </c>
      <c r="E46" s="154" t="s">
        <v>303</v>
      </c>
      <c r="F46" s="152">
        <f>SUMIFS('Ruimtestaat'!$N:$N,'Ruimtestaat'!L:L,Vloeronderhoud!E46,'Ruimtestaat'!A:A,Vloeronderhoud!A46)</f>
        <v>348.97999999999996</v>
      </c>
      <c r="G46" s="200">
        <v>0.5</v>
      </c>
      <c r="H46" s="184">
        <f>VLOOKUP(OverzichtVloer[[#This Row],[Code Taak]],InvulVloer[],3,3)*F46*G46</f>
        <v>0</v>
      </c>
    </row>
    <row r="47" spans="1:8" ht="15.75" customHeight="1">
      <c r="A47" s="182">
        <v>7</v>
      </c>
      <c r="B47" s="145" t="str">
        <f>VLOOKUP(OverzichtVloer[[#This Row],[Code Locatie]],Locaties[],2,0)</f>
        <v>Het Vlier</v>
      </c>
      <c r="C47" s="182">
        <v>1</v>
      </c>
      <c r="D47" s="183" t="str">
        <f>IF(Vloeronderhoud!$C47&gt;0,VLOOKUP(Vloeronderhoud!$C47,$A$8:$B$18,2,FALSE),"")</f>
        <v>Sprayen/opblokken</v>
      </c>
      <c r="E47" s="154" t="s">
        <v>300</v>
      </c>
      <c r="F47" s="152">
        <f>SUMIFS('Ruimtestaat'!$N:$N,'Ruimtestaat'!L:L,Vloeronderhoud!E47,'Ruimtestaat'!A:A,Vloeronderhoud!A47)</f>
        <v>40.870000000000005</v>
      </c>
      <c r="G47" s="200">
        <v>1</v>
      </c>
      <c r="H47" s="184">
        <f>VLOOKUP(OverzichtVloer[[#This Row],[Code Taak]],InvulVloer[],3,3)*F47*G47</f>
        <v>0</v>
      </c>
    </row>
    <row r="48" spans="1:8" ht="15" customHeight="1">
      <c r="A48" s="182">
        <v>7</v>
      </c>
      <c r="B48" s="145" t="str">
        <f>VLOOKUP(OverzichtVloer[[#This Row],[Code Locatie]],Locaties[],2,0)</f>
        <v>Het Vlier</v>
      </c>
      <c r="C48" s="182">
        <v>2</v>
      </c>
      <c r="D48" s="183" t="str">
        <f>IF(Vloeronderhoud!$C48&gt;0,VLOOKUP(Vloeronderhoud!$C48,$A$8:$B$18,2,FALSE),"")</f>
        <v>Topstrippen en conserveren</v>
      </c>
      <c r="E48" s="154" t="s">
        <v>300</v>
      </c>
      <c r="F48" s="152">
        <f>SUMIFS('Ruimtestaat'!$N:$N,'Ruimtestaat'!L:L,Vloeronderhoud!E48,'Ruimtestaat'!A:A,Vloeronderhoud!A48)</f>
        <v>40.870000000000005</v>
      </c>
      <c r="G48" s="200">
        <v>1</v>
      </c>
      <c r="H48" s="184">
        <f>VLOOKUP(OverzichtVloer[[#This Row],[Code Taak]],InvulVloer[],3,3)*F48*G48</f>
        <v>0</v>
      </c>
    </row>
    <row r="49" spans="1:8" ht="15" customHeight="1">
      <c r="A49" s="182">
        <v>7</v>
      </c>
      <c r="B49" s="145" t="str">
        <f>VLOOKUP(OverzichtVloer[[#This Row],[Code Locatie]],Locaties[],2,0)</f>
        <v>Het Vlier</v>
      </c>
      <c r="C49" s="182">
        <v>3</v>
      </c>
      <c r="D49" s="183" t="str">
        <f>IF(Vloeronderhoud!$C49&gt;0,VLOOKUP(Vloeronderhoud!$C49,$A$8:$B$18,2,FALSE),"")</f>
        <v>Diepstrippen, sealen en conserveren</v>
      </c>
      <c r="E49" s="154" t="s">
        <v>300</v>
      </c>
      <c r="F49" s="152">
        <f>SUMIFS('Ruimtestaat'!$N:$N,'Ruimtestaat'!L:L,Vloeronderhoud!E49,'Ruimtestaat'!A:A,Vloeronderhoud!A49)</f>
        <v>40.870000000000005</v>
      </c>
      <c r="G49" s="154">
        <v>0.25</v>
      </c>
      <c r="H49" s="184">
        <f>VLOOKUP(OverzichtVloer[[#This Row],[Code Taak]],InvulVloer[],3,3)*F49*G49</f>
        <v>0</v>
      </c>
    </row>
    <row r="50" spans="1:8" ht="15.75" customHeight="1">
      <c r="A50" s="182">
        <v>8</v>
      </c>
      <c r="B50" s="145" t="str">
        <f>VLOOKUP(OverzichtVloer[[#This Row],[Code Locatie]],Locaties[],2,0)</f>
        <v>Arkelstijn</v>
      </c>
      <c r="C50" s="182">
        <v>1</v>
      </c>
      <c r="D50" s="183" t="str">
        <f>IF(Vloeronderhoud!$C50&gt;0,VLOOKUP(Vloeronderhoud!$C50,$A$8:$B$18,2,FALSE),"")</f>
        <v>Sprayen/opblokken</v>
      </c>
      <c r="E50" s="154" t="s">
        <v>300</v>
      </c>
      <c r="F50" s="152">
        <f>SUMIFS('Ruimtestaat'!$N:$N,'Ruimtestaat'!L:L,Vloeronderhoud!E50,'Ruimtestaat'!A:A,Vloeronderhoud!A50)</f>
        <v>1231.9000000000001</v>
      </c>
      <c r="G50" s="200">
        <v>1</v>
      </c>
      <c r="H50" s="184">
        <f>VLOOKUP(OverzichtVloer[[#This Row],[Code Taak]],InvulVloer[],3,3)*F50*G50</f>
        <v>0</v>
      </c>
    </row>
    <row r="51" spans="1:8" ht="15" customHeight="1">
      <c r="A51" s="182">
        <v>8</v>
      </c>
      <c r="B51" s="145" t="str">
        <f>VLOOKUP(OverzichtVloer[[#This Row],[Code Locatie]],Locaties[],2,0)</f>
        <v>Arkelstijn</v>
      </c>
      <c r="C51" s="182">
        <v>2</v>
      </c>
      <c r="D51" s="183" t="str">
        <f>IF(Vloeronderhoud!$C51&gt;0,VLOOKUP(Vloeronderhoud!$C51,$A$8:$B$18,2,FALSE),"")</f>
        <v>Topstrippen en conserveren</v>
      </c>
      <c r="E51" s="154" t="s">
        <v>300</v>
      </c>
      <c r="F51" s="152">
        <f>SUMIFS('Ruimtestaat'!$N:$N,'Ruimtestaat'!L:L,Vloeronderhoud!E51,'Ruimtestaat'!A:A,Vloeronderhoud!A51)</f>
        <v>1231.9000000000001</v>
      </c>
      <c r="G51" s="200">
        <v>1</v>
      </c>
      <c r="H51" s="184">
        <f>VLOOKUP(OverzichtVloer[[#This Row],[Code Taak]],InvulVloer[],3,3)*F51*G51</f>
        <v>0</v>
      </c>
    </row>
    <row r="52" spans="1:8" ht="15" customHeight="1">
      <c r="A52" s="182">
        <v>8</v>
      </c>
      <c r="B52" s="145" t="str">
        <f>VLOOKUP(OverzichtVloer[[#This Row],[Code Locatie]],Locaties[],2,0)</f>
        <v>Arkelstijn</v>
      </c>
      <c r="C52" s="182">
        <v>3</v>
      </c>
      <c r="D52" s="183" t="str">
        <f>IF(Vloeronderhoud!$C52&gt;0,VLOOKUP(Vloeronderhoud!$C52,$A$8:$B$18,2,FALSE),"")</f>
        <v>Diepstrippen, sealen en conserveren</v>
      </c>
      <c r="E52" s="154" t="s">
        <v>300</v>
      </c>
      <c r="F52" s="152">
        <f>SUMIFS('Ruimtestaat'!$N:$N,'Ruimtestaat'!L:L,Vloeronderhoud!E52,'Ruimtestaat'!A:A,Vloeronderhoud!A52)</f>
        <v>1231.9000000000001</v>
      </c>
      <c r="G52" s="154">
        <v>0.25</v>
      </c>
      <c r="H52" s="184">
        <f>VLOOKUP(OverzichtVloer[[#This Row],[Code Taak]],InvulVloer[],3,3)*F52*G52</f>
        <v>0</v>
      </c>
    </row>
    <row r="53" spans="1:8" ht="15" customHeight="1">
      <c r="A53" s="182">
        <v>8</v>
      </c>
      <c r="B53" s="145" t="str">
        <f>VLOOKUP(OverzichtVloer[[#This Row],[Code Locatie]],Locaties[],2,0)</f>
        <v>Arkelstijn</v>
      </c>
      <c r="C53" s="182">
        <v>7</v>
      </c>
      <c r="D53" s="183" t="str">
        <f>IF(Vloeronderhoud!$C53&gt;0,VLOOKUP(Vloeronderhoud!$C53,$A$8:$B$18,2,FALSE),"")</f>
        <v>Olieën houten vloer</v>
      </c>
      <c r="E53" s="154" t="s">
        <v>308</v>
      </c>
      <c r="F53" s="152">
        <f>SUMIFS('Ruimtestaat'!$N:$N,'Ruimtestaat'!L:L,Vloeronderhoud!E53,'Ruimtestaat'!A:A,Vloeronderhoud!A53)</f>
        <v>220.57999999999998</v>
      </c>
      <c r="G53" s="154">
        <v>0.25</v>
      </c>
      <c r="H53" s="184">
        <f>VLOOKUP(OverzichtVloer[[#This Row],[Code Taak]],InvulVloer[],3,3)*F53*G53</f>
        <v>0</v>
      </c>
    </row>
    <row r="54" spans="1:8" ht="15" customHeight="1">
      <c r="A54" s="158"/>
      <c r="B54" s="159" t="s">
        <v>1910</v>
      </c>
      <c r="C54" s="158"/>
      <c r="D54" s="160"/>
      <c r="E54" s="158"/>
      <c r="F54" s="161"/>
      <c r="G54" s="158"/>
      <c r="H54" s="162">
        <f>SUBTOTAL(109,OverzichtVloer[Kosten/jaar excl. BTW])</f>
        <v>0</v>
      </c>
    </row>
    <row r="55" spans="1:8" ht="15" customHeight="1">
      <c r="A55" s="27"/>
      <c r="C55" s="25"/>
      <c r="D55" s="25"/>
      <c r="E55" s="25"/>
      <c r="F55" s="150"/>
      <c r="G55" s="34"/>
      <c r="H55" s="26"/>
    </row>
  </sheetData>
  <mergeCells count="2">
    <mergeCell ref="A1:H1"/>
    <mergeCell ref="A2:H2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D610-5BBF-4E6C-AB32-FE2F2C9AEFBC}">
  <sheetPr>
    <tabColor theme="0" tint="-0.14999847407452621"/>
  </sheetPr>
  <dimension ref="A1:I120"/>
  <sheetViews>
    <sheetView workbookViewId="0">
      <selection activeCell="B3" sqref="B3"/>
    </sheetView>
  </sheetViews>
  <sheetFormatPr defaultColWidth="9.109375" defaultRowHeight="11.4"/>
  <cols>
    <col min="1" max="1" width="11.5546875" style="24" customWidth="1"/>
    <col min="2" max="2" width="47.44140625" style="4" bestFit="1" customWidth="1"/>
    <col min="3" max="3" width="12.5546875" style="4" customWidth="1"/>
    <col min="4" max="4" width="52.109375" style="24" bestFit="1" customWidth="1"/>
    <col min="5" max="5" width="19" style="4" customWidth="1"/>
    <col min="6" max="6" width="15.33203125" style="4" customWidth="1"/>
    <col min="7" max="7" width="21" style="4" customWidth="1"/>
    <col min="8" max="8" width="17.5546875" style="4" customWidth="1"/>
    <col min="9" max="9" width="17.6640625" style="4" bestFit="1" customWidth="1"/>
    <col min="10" max="16384" width="9.109375" style="4"/>
  </cols>
  <sheetData>
    <row r="1" spans="1:9" s="7" customFormat="1" ht="26.25" customHeight="1">
      <c r="A1" s="275" t="s">
        <v>1911</v>
      </c>
      <c r="B1" s="275"/>
      <c r="C1" s="275"/>
      <c r="D1" s="275"/>
      <c r="E1" s="275"/>
      <c r="F1" s="275"/>
      <c r="G1" s="275"/>
      <c r="H1" s="53"/>
    </row>
    <row r="2" spans="1:9" s="7" customFormat="1" ht="15" customHeight="1">
      <c r="A2" s="291" t="s">
        <v>1880</v>
      </c>
      <c r="B2" s="292"/>
      <c r="C2" s="292"/>
      <c r="D2" s="292"/>
      <c r="E2" s="292"/>
      <c r="F2" s="292"/>
      <c r="G2" s="304"/>
    </row>
    <row r="3" spans="1:9" ht="15" customHeight="1">
      <c r="B3" s="24"/>
      <c r="D3" s="202"/>
      <c r="E3" s="203"/>
    </row>
    <row r="4" spans="1:9" ht="15" customHeight="1">
      <c r="A4" s="4" t="s">
        <v>1912</v>
      </c>
      <c r="B4" s="24"/>
      <c r="D4" s="202"/>
      <c r="E4" s="202"/>
    </row>
    <row r="5" spans="1:9" ht="15" customHeight="1">
      <c r="A5" s="4" t="s">
        <v>1882</v>
      </c>
      <c r="B5" s="24"/>
      <c r="D5" s="4"/>
    </row>
    <row r="6" spans="1:9" ht="15" customHeight="1">
      <c r="A6" s="4" t="s">
        <v>1913</v>
      </c>
      <c r="B6" s="28"/>
      <c r="C6" s="28"/>
      <c r="D6" s="23"/>
      <c r="E6" s="23"/>
      <c r="F6" s="29"/>
      <c r="G6" s="29"/>
    </row>
    <row r="7" spans="1:9" ht="15" customHeight="1">
      <c r="A7" s="4"/>
      <c r="B7" s="28"/>
      <c r="C7" s="28"/>
      <c r="D7" s="23"/>
      <c r="E7" s="305" t="s">
        <v>183</v>
      </c>
      <c r="F7" s="305"/>
      <c r="G7" s="305"/>
      <c r="H7" s="305"/>
      <c r="I7" s="305"/>
    </row>
    <row r="8" spans="1:9" s="19" customFormat="1" ht="26.25" customHeight="1">
      <c r="A8" s="42" t="s">
        <v>1914</v>
      </c>
      <c r="B8" s="43" t="s">
        <v>1915</v>
      </c>
      <c r="C8" s="44" t="s">
        <v>1916</v>
      </c>
      <c r="D8" s="42" t="s">
        <v>1917</v>
      </c>
      <c r="E8" s="42" t="s">
        <v>1888</v>
      </c>
      <c r="F8" s="42" t="s">
        <v>1889</v>
      </c>
      <c r="G8" s="42" t="s">
        <v>1890</v>
      </c>
      <c r="H8" s="42" t="s">
        <v>1891</v>
      </c>
      <c r="I8" s="42" t="s">
        <v>1892</v>
      </c>
    </row>
    <row r="9" spans="1:9" ht="15" customHeight="1">
      <c r="A9" s="182">
        <v>1</v>
      </c>
      <c r="B9" s="204" t="s">
        <v>1918</v>
      </c>
      <c r="C9" s="45">
        <v>0</v>
      </c>
      <c r="D9" s="145" t="s">
        <v>1919</v>
      </c>
      <c r="E9" s="181" t="e">
        <f>(InvulGlas[[#This Row],[Prijs excl. BTW]]*Tariefsopbouw!$I$37)+InvulGlas[[#This Row],[Prijs excl. BTW]]</f>
        <v>#DIV/0!</v>
      </c>
      <c r="F9" s="181" t="e">
        <f>(InvulGlas[[#This Row],[2024]]*Tariefsopbouw!$K$37)+InvulGlas[[#This Row],[2024]]</f>
        <v>#DIV/0!</v>
      </c>
      <c r="G9" s="181" t="e">
        <f>(InvulGlas[[#This Row],[2025]]*Tariefsopbouw!$M$37)+InvulGlas[[#This Row],[2025]]</f>
        <v>#DIV/0!</v>
      </c>
      <c r="H9" s="181" t="e">
        <f>(InvulGlas[[#This Row],[2026]]*Tariefsopbouw!$O$37)+InvulGlas[[#This Row],[2026]]</f>
        <v>#DIV/0!</v>
      </c>
      <c r="I9" s="181" t="e">
        <f>(InvulGlas[[#This Row],[2027]]*Tariefsopbouw!$Q$37)+InvulGlas[[#This Row],[2027]]</f>
        <v>#DIV/0!</v>
      </c>
    </row>
    <row r="10" spans="1:9" ht="15" customHeight="1">
      <c r="A10" s="182">
        <v>2</v>
      </c>
      <c r="B10" s="204" t="s">
        <v>1920</v>
      </c>
      <c r="C10" s="45">
        <v>0</v>
      </c>
      <c r="D10" s="145" t="s">
        <v>1919</v>
      </c>
      <c r="E10" s="181" t="e">
        <f>(InvulGlas[[#This Row],[Prijs excl. BTW]]*Tariefsopbouw!$I$37)+InvulGlas[[#This Row],[Prijs excl. BTW]]</f>
        <v>#DIV/0!</v>
      </c>
      <c r="F10" s="181" t="e">
        <f>(InvulGlas[[#This Row],[2024]]*Tariefsopbouw!$K$37)+InvulGlas[[#This Row],[2024]]</f>
        <v>#DIV/0!</v>
      </c>
      <c r="G10" s="181" t="e">
        <f>(InvulGlas[[#This Row],[2025]]*Tariefsopbouw!$M$37)+InvulGlas[[#This Row],[2025]]</f>
        <v>#DIV/0!</v>
      </c>
      <c r="H10" s="181" t="e">
        <f>(InvulGlas[[#This Row],[2026]]*Tariefsopbouw!$O$37)+InvulGlas[[#This Row],[2026]]</f>
        <v>#DIV/0!</v>
      </c>
      <c r="I10" s="181" t="e">
        <f>(InvulGlas[[#This Row],[2027]]*Tariefsopbouw!$Q$37)+InvulGlas[[#This Row],[2027]]</f>
        <v>#DIV/0!</v>
      </c>
    </row>
    <row r="11" spans="1:9" ht="15" customHeight="1">
      <c r="A11" s="182">
        <v>3</v>
      </c>
      <c r="B11" s="204" t="s">
        <v>1921</v>
      </c>
      <c r="C11" s="45">
        <v>0</v>
      </c>
      <c r="D11" s="145" t="s">
        <v>1919</v>
      </c>
      <c r="E11" s="181" t="e">
        <f>(InvulGlas[[#This Row],[Prijs excl. BTW]]*Tariefsopbouw!$I$37)+InvulGlas[[#This Row],[Prijs excl. BTW]]</f>
        <v>#DIV/0!</v>
      </c>
      <c r="F11" s="181" t="e">
        <f>(InvulGlas[[#This Row],[2024]]*Tariefsopbouw!$K$37)+InvulGlas[[#This Row],[2024]]</f>
        <v>#DIV/0!</v>
      </c>
      <c r="G11" s="181" t="e">
        <f>(InvulGlas[[#This Row],[2025]]*Tariefsopbouw!$M$37)+InvulGlas[[#This Row],[2025]]</f>
        <v>#DIV/0!</v>
      </c>
      <c r="H11" s="181" t="e">
        <f>(InvulGlas[[#This Row],[2026]]*Tariefsopbouw!$O$37)+InvulGlas[[#This Row],[2026]]</f>
        <v>#DIV/0!</v>
      </c>
      <c r="I11" s="181" t="e">
        <f>(InvulGlas[[#This Row],[2027]]*Tariefsopbouw!$Q$37)+InvulGlas[[#This Row],[2027]]</f>
        <v>#DIV/0!</v>
      </c>
    </row>
    <row r="12" spans="1:9" ht="15" customHeight="1">
      <c r="A12" s="182">
        <v>4</v>
      </c>
      <c r="B12" s="204" t="s">
        <v>1922</v>
      </c>
      <c r="C12" s="45">
        <v>0</v>
      </c>
      <c r="D12" s="145" t="s">
        <v>1919</v>
      </c>
      <c r="E12" s="181" t="e">
        <f>(InvulGlas[[#This Row],[Prijs excl. BTW]]*Tariefsopbouw!$I$37)+InvulGlas[[#This Row],[Prijs excl. BTW]]</f>
        <v>#DIV/0!</v>
      </c>
      <c r="F12" s="181" t="e">
        <f>(InvulGlas[[#This Row],[2024]]*Tariefsopbouw!$K$37)+InvulGlas[[#This Row],[2024]]</f>
        <v>#DIV/0!</v>
      </c>
      <c r="G12" s="181" t="e">
        <f>(InvulGlas[[#This Row],[2025]]*Tariefsopbouw!$M$37)+InvulGlas[[#This Row],[2025]]</f>
        <v>#DIV/0!</v>
      </c>
      <c r="H12" s="181" t="e">
        <f>(InvulGlas[[#This Row],[2026]]*Tariefsopbouw!$O$37)+InvulGlas[[#This Row],[2026]]</f>
        <v>#DIV/0!</v>
      </c>
      <c r="I12" s="181" t="e">
        <f>(InvulGlas[[#This Row],[2027]]*Tariefsopbouw!$Q$37)+InvulGlas[[#This Row],[2027]]</f>
        <v>#DIV/0!</v>
      </c>
    </row>
    <row r="13" spans="1:9" ht="15" customHeight="1">
      <c r="A13" s="182">
        <v>5</v>
      </c>
      <c r="B13" s="204" t="s">
        <v>1923</v>
      </c>
      <c r="C13" s="45">
        <v>0</v>
      </c>
      <c r="D13" s="145" t="s">
        <v>1919</v>
      </c>
      <c r="E13" s="181" t="e">
        <f>(InvulGlas[[#This Row],[Prijs excl. BTW]]*Tariefsopbouw!$I$37)+InvulGlas[[#This Row],[Prijs excl. BTW]]</f>
        <v>#DIV/0!</v>
      </c>
      <c r="F13" s="181" t="e">
        <f>(InvulGlas[[#This Row],[2024]]*Tariefsopbouw!$K$37)+InvulGlas[[#This Row],[2024]]</f>
        <v>#DIV/0!</v>
      </c>
      <c r="G13" s="181" t="e">
        <f>(InvulGlas[[#This Row],[2025]]*Tariefsopbouw!$M$37)+InvulGlas[[#This Row],[2025]]</f>
        <v>#DIV/0!</v>
      </c>
      <c r="H13" s="181" t="e">
        <f>(InvulGlas[[#This Row],[2026]]*Tariefsopbouw!$O$37)+InvulGlas[[#This Row],[2026]]</f>
        <v>#DIV/0!</v>
      </c>
      <c r="I13" s="181" t="e">
        <f>(InvulGlas[[#This Row],[2027]]*Tariefsopbouw!$Q$37)+InvulGlas[[#This Row],[2027]]</f>
        <v>#DIV/0!</v>
      </c>
    </row>
    <row r="14" spans="1:9" ht="15" customHeight="1">
      <c r="A14" s="182">
        <v>6</v>
      </c>
      <c r="B14" s="204" t="s">
        <v>1924</v>
      </c>
      <c r="C14" s="45">
        <v>0</v>
      </c>
      <c r="D14" s="145" t="s">
        <v>1919</v>
      </c>
      <c r="E14" s="181" t="e">
        <f>(InvulGlas[[#This Row],[Prijs excl. BTW]]*Tariefsopbouw!$I$37)+InvulGlas[[#This Row],[Prijs excl. BTW]]</f>
        <v>#DIV/0!</v>
      </c>
      <c r="F14" s="181" t="e">
        <f>(InvulGlas[[#This Row],[2024]]*Tariefsopbouw!$K$37)+InvulGlas[[#This Row],[2024]]</f>
        <v>#DIV/0!</v>
      </c>
      <c r="G14" s="181" t="e">
        <f>(InvulGlas[[#This Row],[2025]]*Tariefsopbouw!$M$37)+InvulGlas[[#This Row],[2025]]</f>
        <v>#DIV/0!</v>
      </c>
      <c r="H14" s="181" t="e">
        <f>(InvulGlas[[#This Row],[2026]]*Tariefsopbouw!$O$37)+InvulGlas[[#This Row],[2026]]</f>
        <v>#DIV/0!</v>
      </c>
      <c r="I14" s="181" t="e">
        <f>(InvulGlas[[#This Row],[2027]]*Tariefsopbouw!$Q$37)+InvulGlas[[#This Row],[2027]]</f>
        <v>#DIV/0!</v>
      </c>
    </row>
    <row r="15" spans="1:9" ht="15" customHeight="1">
      <c r="A15" s="182">
        <v>7</v>
      </c>
      <c r="B15" s="204" t="s">
        <v>1925</v>
      </c>
      <c r="C15" s="45">
        <v>0</v>
      </c>
      <c r="D15" s="145" t="s">
        <v>1919</v>
      </c>
      <c r="E15" s="181" t="e">
        <f>(InvulGlas[[#This Row],[Prijs excl. BTW]]*Tariefsopbouw!$I$37)+InvulGlas[[#This Row],[Prijs excl. BTW]]</f>
        <v>#DIV/0!</v>
      </c>
      <c r="F15" s="181" t="e">
        <f>(InvulGlas[[#This Row],[2024]]*Tariefsopbouw!$K$37)+InvulGlas[[#This Row],[2024]]</f>
        <v>#DIV/0!</v>
      </c>
      <c r="G15" s="181" t="e">
        <f>(InvulGlas[[#This Row],[2025]]*Tariefsopbouw!$M$37)+InvulGlas[[#This Row],[2025]]</f>
        <v>#DIV/0!</v>
      </c>
      <c r="H15" s="181" t="e">
        <f>(InvulGlas[[#This Row],[2026]]*Tariefsopbouw!$O$37)+InvulGlas[[#This Row],[2026]]</f>
        <v>#DIV/0!</v>
      </c>
      <c r="I15" s="181" t="e">
        <f>(InvulGlas[[#This Row],[2027]]*Tariefsopbouw!$Q$37)+InvulGlas[[#This Row],[2027]]</f>
        <v>#DIV/0!</v>
      </c>
    </row>
    <row r="16" spans="1:9" ht="15" customHeight="1">
      <c r="A16" s="182">
        <v>8</v>
      </c>
      <c r="B16" s="204" t="s">
        <v>1926</v>
      </c>
      <c r="C16" s="45">
        <v>0</v>
      </c>
      <c r="D16" s="145" t="s">
        <v>1919</v>
      </c>
      <c r="E16" s="181" t="e">
        <f>(InvulGlas[[#This Row],[Prijs excl. BTW]]*Tariefsopbouw!$I$37)+InvulGlas[[#This Row],[Prijs excl. BTW]]</f>
        <v>#DIV/0!</v>
      </c>
      <c r="F16" s="181" t="e">
        <f>(InvulGlas[[#This Row],[2024]]*Tariefsopbouw!$K$37)+InvulGlas[[#This Row],[2024]]</f>
        <v>#DIV/0!</v>
      </c>
      <c r="G16" s="181" t="e">
        <f>(InvulGlas[[#This Row],[2025]]*Tariefsopbouw!$M$37)+InvulGlas[[#This Row],[2025]]</f>
        <v>#DIV/0!</v>
      </c>
      <c r="H16" s="181" t="e">
        <f>(InvulGlas[[#This Row],[2026]]*Tariefsopbouw!$O$37)+InvulGlas[[#This Row],[2026]]</f>
        <v>#DIV/0!</v>
      </c>
      <c r="I16" s="181" t="e">
        <f>(InvulGlas[[#This Row],[2027]]*Tariefsopbouw!$Q$37)+InvulGlas[[#This Row],[2027]]</f>
        <v>#DIV/0!</v>
      </c>
    </row>
    <row r="17" spans="1:9" ht="15" customHeight="1">
      <c r="A17" s="182">
        <v>9</v>
      </c>
      <c r="B17" s="204" t="s">
        <v>1927</v>
      </c>
      <c r="C17" s="45">
        <v>0</v>
      </c>
      <c r="D17" s="145" t="s">
        <v>1919</v>
      </c>
      <c r="E17" s="181" t="e">
        <f>(InvulGlas[[#This Row],[Prijs excl. BTW]]*Tariefsopbouw!$I$37)+InvulGlas[[#This Row],[Prijs excl. BTW]]</f>
        <v>#DIV/0!</v>
      </c>
      <c r="F17" s="181" t="e">
        <f>(InvulGlas[[#This Row],[2024]]*Tariefsopbouw!$K$37)+InvulGlas[[#This Row],[2024]]</f>
        <v>#DIV/0!</v>
      </c>
      <c r="G17" s="181" t="e">
        <f>(InvulGlas[[#This Row],[2025]]*Tariefsopbouw!$M$37)+InvulGlas[[#This Row],[2025]]</f>
        <v>#DIV/0!</v>
      </c>
      <c r="H17" s="181" t="e">
        <f>(InvulGlas[[#This Row],[2026]]*Tariefsopbouw!$O$37)+InvulGlas[[#This Row],[2026]]</f>
        <v>#DIV/0!</v>
      </c>
      <c r="I17" s="181" t="e">
        <f>(InvulGlas[[#This Row],[2027]]*Tariefsopbouw!$Q$37)+InvulGlas[[#This Row],[2027]]</f>
        <v>#DIV/0!</v>
      </c>
    </row>
    <row r="18" spans="1:9" ht="15" customHeight="1">
      <c r="A18" s="182" t="s">
        <v>1928</v>
      </c>
      <c r="B18" s="204" t="s">
        <v>1929</v>
      </c>
      <c r="C18" s="45">
        <v>0</v>
      </c>
      <c r="D18" s="145" t="s">
        <v>1930</v>
      </c>
      <c r="E18" s="181" t="e">
        <f>(InvulGlas[[#This Row],[Prijs excl. BTW]]*Tariefsopbouw!$I$37)+InvulGlas[[#This Row],[Prijs excl. BTW]]</f>
        <v>#DIV/0!</v>
      </c>
      <c r="F18" s="181" t="e">
        <f>(InvulGlas[[#This Row],[2024]]*Tariefsopbouw!$K$37)+InvulGlas[[#This Row],[2024]]</f>
        <v>#DIV/0!</v>
      </c>
      <c r="G18" s="181" t="e">
        <f>(InvulGlas[[#This Row],[2025]]*Tariefsopbouw!$M$37)+InvulGlas[[#This Row],[2025]]</f>
        <v>#DIV/0!</v>
      </c>
      <c r="H18" s="181" t="e">
        <f>(InvulGlas[[#This Row],[2026]]*Tariefsopbouw!$O$37)+InvulGlas[[#This Row],[2026]]</f>
        <v>#DIV/0!</v>
      </c>
      <c r="I18" s="181" t="e">
        <f>(InvulGlas[[#This Row],[2027]]*Tariefsopbouw!$Q$37)+InvulGlas[[#This Row],[2027]]</f>
        <v>#DIV/0!</v>
      </c>
    </row>
    <row r="19" spans="1:9" ht="15" customHeight="1">
      <c r="A19" s="182" t="s">
        <v>1931</v>
      </c>
      <c r="B19" s="204" t="s">
        <v>1932</v>
      </c>
      <c r="C19" s="45">
        <v>0</v>
      </c>
      <c r="D19" s="145" t="s">
        <v>1930</v>
      </c>
      <c r="E19" s="181" t="e">
        <f>(InvulGlas[[#This Row],[Prijs excl. BTW]]*Tariefsopbouw!$I$37)+InvulGlas[[#This Row],[Prijs excl. BTW]]</f>
        <v>#DIV/0!</v>
      </c>
      <c r="F19" s="181" t="e">
        <f>(InvulGlas[[#This Row],[2024]]*Tariefsopbouw!$K$37)+InvulGlas[[#This Row],[2024]]</f>
        <v>#DIV/0!</v>
      </c>
      <c r="G19" s="181" t="e">
        <f>(InvulGlas[[#This Row],[2025]]*Tariefsopbouw!$M$37)+InvulGlas[[#This Row],[2025]]</f>
        <v>#DIV/0!</v>
      </c>
      <c r="H19" s="181" t="e">
        <f>(InvulGlas[[#This Row],[2026]]*Tariefsopbouw!$O$37)+InvulGlas[[#This Row],[2026]]</f>
        <v>#DIV/0!</v>
      </c>
      <c r="I19" s="181" t="e">
        <f>(InvulGlas[[#This Row],[2027]]*Tariefsopbouw!$Q$37)+InvulGlas[[#This Row],[2027]]</f>
        <v>#DIV/0!</v>
      </c>
    </row>
    <row r="20" spans="1:9" ht="15" customHeight="1">
      <c r="A20" s="182" t="s">
        <v>1933</v>
      </c>
      <c r="B20" s="204" t="s">
        <v>1934</v>
      </c>
      <c r="C20" s="45">
        <v>0</v>
      </c>
      <c r="D20" s="145" t="s">
        <v>1930</v>
      </c>
      <c r="E20" s="181" t="e">
        <f>(InvulGlas[[#This Row],[Prijs excl. BTW]]*Tariefsopbouw!$I$37)+InvulGlas[[#This Row],[Prijs excl. BTW]]</f>
        <v>#DIV/0!</v>
      </c>
      <c r="F20" s="181" t="e">
        <f>(InvulGlas[[#This Row],[2024]]*Tariefsopbouw!$K$37)+InvulGlas[[#This Row],[2024]]</f>
        <v>#DIV/0!</v>
      </c>
      <c r="G20" s="181" t="e">
        <f>(InvulGlas[[#This Row],[2025]]*Tariefsopbouw!$M$37)+InvulGlas[[#This Row],[2025]]</f>
        <v>#DIV/0!</v>
      </c>
      <c r="H20" s="181" t="e">
        <f>(InvulGlas[[#This Row],[2026]]*Tariefsopbouw!$O$37)+InvulGlas[[#This Row],[2026]]</f>
        <v>#DIV/0!</v>
      </c>
      <c r="I20" s="181" t="e">
        <f>(InvulGlas[[#This Row],[2027]]*Tariefsopbouw!$Q$37)+InvulGlas[[#This Row],[2027]]</f>
        <v>#DIV/0!</v>
      </c>
    </row>
    <row r="21" spans="1:9" ht="15" customHeight="1">
      <c r="A21" s="182" t="s">
        <v>1935</v>
      </c>
      <c r="B21" s="204" t="s">
        <v>1936</v>
      </c>
      <c r="C21" s="45">
        <v>0</v>
      </c>
      <c r="D21" s="145" t="s">
        <v>1930</v>
      </c>
      <c r="E21" s="205" t="e">
        <f>(InvulGlas[[#This Row],[Prijs excl. BTW]]*Tariefsopbouw!$I$37)+InvulGlas[[#This Row],[Prijs excl. BTW]]</f>
        <v>#DIV/0!</v>
      </c>
      <c r="F21" s="205" t="e">
        <f>(InvulGlas[[#This Row],[2024]]*Tariefsopbouw!$K$37)+InvulGlas[[#This Row],[2024]]</f>
        <v>#DIV/0!</v>
      </c>
      <c r="G21" s="205" t="e">
        <f>(InvulGlas[[#This Row],[2025]]*Tariefsopbouw!$M$37)+InvulGlas[[#This Row],[2025]]</f>
        <v>#DIV/0!</v>
      </c>
      <c r="H21" s="181" t="e">
        <f>(InvulGlas[[#This Row],[2026]]*Tariefsopbouw!$O$37)+InvulGlas[[#This Row],[2026]]</f>
        <v>#DIV/0!</v>
      </c>
      <c r="I21" s="205" t="e">
        <f>(InvulGlas[[#This Row],[2027]]*Tariefsopbouw!$Q$37)+InvulGlas[[#This Row],[2027]]</f>
        <v>#DIV/0!</v>
      </c>
    </row>
    <row r="22" spans="1:9" ht="15" customHeight="1">
      <c r="C22" s="25"/>
      <c r="D22" s="25"/>
    </row>
    <row r="23" spans="1:9" s="211" customFormat="1" ht="26.25" customHeight="1">
      <c r="A23" s="206" t="s">
        <v>1905</v>
      </c>
      <c r="B23" s="206" t="s">
        <v>18</v>
      </c>
      <c r="C23" s="206" t="s">
        <v>1914</v>
      </c>
      <c r="D23" s="207" t="s">
        <v>1915</v>
      </c>
      <c r="E23" s="207" t="s">
        <v>1937</v>
      </c>
      <c r="F23" s="207" t="s">
        <v>1938</v>
      </c>
      <c r="G23" s="208" t="s">
        <v>1909</v>
      </c>
      <c r="H23" s="209" t="s">
        <v>1939</v>
      </c>
      <c r="I23" s="210" t="s">
        <v>299</v>
      </c>
    </row>
    <row r="24" spans="1:9" ht="15" customHeight="1">
      <c r="A24" s="182">
        <v>1</v>
      </c>
      <c r="B24" s="212" t="str">
        <f>VLOOKUP(OverzichtGlas[[#This Row],[Code Locatie]],Samenvattingschoonmaak[[#All],[Code Locatie]:[Locatie]],2,FALSE)</f>
        <v>Boerhaave + buitenunits</v>
      </c>
      <c r="C24" s="182">
        <v>1</v>
      </c>
      <c r="D24" s="183" t="str">
        <f>IF(OverzichtGlas[[#This Row],[Code taak]]&gt;0,VLOOKUP(OverzichtGlas[[#This Row],[Code taak]],$A$8:$B$21,2,FALSE),"Hier vult u de inzet van eventuele hoogwerkers in")</f>
        <v>Gevelglas binnenzijde</v>
      </c>
      <c r="E24" s="85">
        <v>1083.0999999999999</v>
      </c>
      <c r="F24" s="154">
        <v>2</v>
      </c>
      <c r="G24" s="184">
        <f>IF(C24&gt;0,VLOOKUP(OverzichtGlas[[#This Row],[Code taak]],InvulGlas[],3,0)*E24*F24,0)</f>
        <v>0</v>
      </c>
      <c r="H24" s="184">
        <f>OverzichtGlas[[#This Row],[Kosten/jaar excl. BTW]]*1.21</f>
        <v>0</v>
      </c>
      <c r="I24" s="182"/>
    </row>
    <row r="25" spans="1:9" ht="15" customHeight="1">
      <c r="A25" s="182">
        <v>1</v>
      </c>
      <c r="B25" s="212" t="str">
        <f>VLOOKUP(OverzichtGlas[[#This Row],[Code Locatie]],Samenvattingschoonmaak[[#All],[Code Locatie]:[Locatie]],2,FALSE)</f>
        <v>Boerhaave + buitenunits</v>
      </c>
      <c r="C25" s="182">
        <v>2</v>
      </c>
      <c r="D25" s="183" t="str">
        <f>IF(OverzichtGlas[[#This Row],[Code taak]]&gt;0,VLOOKUP(OverzichtGlas[[#This Row],[Code taak]],$A$8:$B$21,2,FALSE),"Hier vult u de inzet van eventuele hoogwerkers in")</f>
        <v>Gevelglas buitenzijde</v>
      </c>
      <c r="E25" s="85">
        <v>1083.0999999999999</v>
      </c>
      <c r="F25" s="154">
        <v>2</v>
      </c>
      <c r="G25" s="184">
        <f>IF(C25&gt;0,VLOOKUP(OverzichtGlas[[#This Row],[Code taak]],InvulGlas[],3,0)*E25*F25,0)</f>
        <v>0</v>
      </c>
      <c r="H25" s="184">
        <f>OverzichtGlas[[#This Row],[Kosten/jaar excl. BTW]]*1.21</f>
        <v>0</v>
      </c>
      <c r="I25" s="182"/>
    </row>
    <row r="26" spans="1:9" ht="15" customHeight="1">
      <c r="A26" s="182">
        <v>1</v>
      </c>
      <c r="B26" s="212" t="str">
        <f>VLOOKUP(OverzichtGlas[[#This Row],[Code Locatie]],Samenvattingschoonmaak[[#All],[Code Locatie]:[Locatie]],2,FALSE)</f>
        <v>Boerhaave + buitenunits</v>
      </c>
      <c r="C26" s="182">
        <v>3</v>
      </c>
      <c r="D26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26" s="85">
        <v>360.4</v>
      </c>
      <c r="F26" s="154">
        <v>2</v>
      </c>
      <c r="G26" s="184">
        <f>IF(C26&gt;0,VLOOKUP(OverzichtGlas[[#This Row],[Code taak]],InvulGlas[],3,0)*E26*F26,0)</f>
        <v>0</v>
      </c>
      <c r="H26" s="184">
        <f>OverzichtGlas[[#This Row],[Kosten/jaar excl. BTW]]*1.21</f>
        <v>0</v>
      </c>
      <c r="I26" s="182"/>
    </row>
    <row r="27" spans="1:9" ht="15" customHeight="1">
      <c r="A27" s="182">
        <v>1</v>
      </c>
      <c r="B27" s="212" t="str">
        <f>VLOOKUP(OverzichtGlas[[#This Row],[Code Locatie]],Samenvattingschoonmaak[[#All],[Code Locatie]:[Locatie]],2,FALSE)</f>
        <v>Boerhaave + buitenunits</v>
      </c>
      <c r="C27" s="213"/>
      <c r="D27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27" s="85"/>
      <c r="F27" s="213"/>
      <c r="G27" s="184">
        <f>IF(C27&gt;0,VLOOKUP(OverzichtGlas[[#This Row],[Code taak]],InvulGlas[],3,0)*E27*F27,0)</f>
        <v>0</v>
      </c>
      <c r="H27" s="184">
        <f>OverzichtGlas[[#This Row],[Kosten/jaar excl. BTW]]*1.21</f>
        <v>0</v>
      </c>
      <c r="I27" s="182"/>
    </row>
    <row r="28" spans="1:9" ht="15" customHeight="1">
      <c r="A28" s="182">
        <v>1</v>
      </c>
      <c r="B28" s="212" t="str">
        <f>VLOOKUP(OverzichtGlas[[#This Row],[Code Locatie]],Samenvattingschoonmaak[[#All],[Code Locatie]:[Locatie]],2,FALSE)</f>
        <v>Boerhaave + buitenunits</v>
      </c>
      <c r="C28" s="213"/>
      <c r="D28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28" s="85"/>
      <c r="F28" s="213"/>
      <c r="G28" s="184">
        <f>IF(C28&gt;0,VLOOKUP(OverzichtGlas[[#This Row],[Code taak]],InvulGlas[],3,0)*E28*F28,0)</f>
        <v>0</v>
      </c>
      <c r="H28" s="184">
        <f>OverzichtGlas[[#This Row],[Kosten/jaar excl. BTW]]*1.21</f>
        <v>0</v>
      </c>
      <c r="I28" s="182"/>
    </row>
    <row r="29" spans="1:9" ht="15" customHeight="1">
      <c r="A29" s="182">
        <v>2</v>
      </c>
      <c r="B29" s="212" t="str">
        <f>VLOOKUP(OverzichtGlas[[#This Row],[Code Locatie]],Samenvattingschoonmaak[[#All],[Code Locatie]:[Locatie]],2,FALSE)</f>
        <v>Het Stormink</v>
      </c>
      <c r="C29" s="182">
        <v>1</v>
      </c>
      <c r="D29" s="183" t="str">
        <f>IF(OverzichtGlas[[#This Row],[Code taak]]&gt;0,VLOOKUP(OverzichtGlas[[#This Row],[Code taak]],$A$8:$B$21,2,FALSE),"Hier vult u de inzet van eventuele hoogwerkers in")</f>
        <v>Gevelglas binnenzijde</v>
      </c>
      <c r="E29" s="85">
        <v>1681.56</v>
      </c>
      <c r="F29" s="154">
        <v>2</v>
      </c>
      <c r="G29" s="184">
        <f>IF(C29&gt;0,VLOOKUP(OverzichtGlas[[#This Row],[Code taak]],InvulGlas[],3,0)*E29*F29,0)</f>
        <v>0</v>
      </c>
      <c r="H29" s="184">
        <f>OverzichtGlas[[#This Row],[Kosten/jaar excl. BTW]]*1.21</f>
        <v>0</v>
      </c>
      <c r="I29" s="182"/>
    </row>
    <row r="30" spans="1:9" ht="15" customHeight="1">
      <c r="A30" s="182">
        <v>2</v>
      </c>
      <c r="B30" s="212" t="str">
        <f>VLOOKUP(OverzichtGlas[[#This Row],[Code Locatie]],Samenvattingschoonmaak[[#All],[Code Locatie]:[Locatie]],2,FALSE)</f>
        <v>Het Stormink</v>
      </c>
      <c r="C30" s="182">
        <v>2</v>
      </c>
      <c r="D30" s="183" t="str">
        <f>IF(OverzichtGlas[[#This Row],[Code taak]]&gt;0,VLOOKUP(OverzichtGlas[[#This Row],[Code taak]],$A$8:$B$21,2,FALSE),"Hier vult u de inzet van eventuele hoogwerkers in")</f>
        <v>Gevelglas buitenzijde</v>
      </c>
      <c r="E30" s="85">
        <v>1681.56</v>
      </c>
      <c r="F30" s="154">
        <v>2</v>
      </c>
      <c r="G30" s="184">
        <f>IF(C30&gt;0,VLOOKUP(OverzichtGlas[[#This Row],[Code taak]],InvulGlas[],3,0)*E30*F30,0)</f>
        <v>0</v>
      </c>
      <c r="H30" s="184">
        <f>OverzichtGlas[[#This Row],[Kosten/jaar excl. BTW]]*1.21</f>
        <v>0</v>
      </c>
      <c r="I30" s="182"/>
    </row>
    <row r="31" spans="1:9" ht="15" customHeight="1">
      <c r="A31" s="182">
        <v>2</v>
      </c>
      <c r="B31" s="212" t="str">
        <f>VLOOKUP(OverzichtGlas[[#This Row],[Code Locatie]],Samenvattingschoonmaak[[#All],[Code Locatie]:[Locatie]],2,FALSE)</f>
        <v>Het Stormink</v>
      </c>
      <c r="C31" s="182">
        <v>3</v>
      </c>
      <c r="D31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31" s="259">
        <v>2370</v>
      </c>
      <c r="F31" s="256">
        <v>2</v>
      </c>
      <c r="G31" s="257">
        <f>IF(C31&gt;0,VLOOKUP(OverzichtGlas[[#This Row],[Code taak]],InvulGlas[],3,0)*E31*F31,0)</f>
        <v>0</v>
      </c>
      <c r="H31" s="257">
        <f>OverzichtGlas[[#This Row],[Kosten/jaar excl. BTW]]*1.21</f>
        <v>0</v>
      </c>
      <c r="I31" s="258"/>
    </row>
    <row r="32" spans="1:9" ht="15" customHeight="1">
      <c r="A32" s="182">
        <v>2</v>
      </c>
      <c r="B32" s="212" t="str">
        <f>VLOOKUP(OverzichtGlas[[#This Row],[Code Locatie]],Samenvattingschoonmaak[[#All],[Code Locatie]:[Locatie]],2,FALSE)</f>
        <v>Het Stormink</v>
      </c>
      <c r="C32" s="213"/>
      <c r="D32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32" s="85"/>
      <c r="F32" s="213"/>
      <c r="G32" s="184">
        <f>IF(C32&gt;0,VLOOKUP(OverzichtGlas[[#This Row],[Code taak]],InvulGlas[],3,0)*E32*F32,0)</f>
        <v>0</v>
      </c>
      <c r="H32" s="184">
        <f>OverzichtGlas[[#This Row],[Kosten/jaar excl. BTW]]*1.21</f>
        <v>0</v>
      </c>
      <c r="I32" s="182"/>
    </row>
    <row r="33" spans="1:9" ht="15" customHeight="1">
      <c r="A33" s="182">
        <v>2</v>
      </c>
      <c r="B33" s="212" t="str">
        <f>VLOOKUP(OverzichtGlas[[#This Row],[Code Locatie]],Samenvattingschoonmaak[[#All],[Code Locatie]:[Locatie]],2,FALSE)</f>
        <v>Het Stormink</v>
      </c>
      <c r="C33" s="213"/>
      <c r="D33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33" s="85"/>
      <c r="F33" s="213"/>
      <c r="G33" s="184">
        <f>IF(C33&gt;0,VLOOKUP(OverzichtGlas[[#This Row],[Code taak]],InvulGlas[],3,0)*E33*F33,0)</f>
        <v>0</v>
      </c>
      <c r="H33" s="184">
        <f>OverzichtGlas[[#This Row],[Kosten/jaar excl. BTW]]*1.21</f>
        <v>0</v>
      </c>
      <c r="I33" s="182"/>
    </row>
    <row r="34" spans="1:9" ht="15" customHeight="1">
      <c r="A34" s="182">
        <v>3</v>
      </c>
      <c r="B34" s="212" t="str">
        <f>VLOOKUP(OverzichtGlas[[#This Row],[Code Locatie]],Samenvattingschoonmaak[[#All],[Code Locatie]:[Locatie]],2,FALSE)</f>
        <v>Zwaluwenburg 8</v>
      </c>
      <c r="C34" s="182">
        <v>1</v>
      </c>
      <c r="D34" s="183" t="str">
        <f>IF(OverzichtGlas[[#This Row],[Code taak]]&gt;0,VLOOKUP(OverzichtGlas[[#This Row],[Code taak]],$A$8:$B$21,2,FALSE),"Hier vult u de inzet van eventuele hoogwerkers in")</f>
        <v>Gevelglas binnenzijde</v>
      </c>
      <c r="E34" s="85">
        <v>700</v>
      </c>
      <c r="F34" s="154">
        <v>2</v>
      </c>
      <c r="G34" s="184">
        <f>IF(C34&gt;0,VLOOKUP(OverzichtGlas[[#This Row],[Code taak]],InvulGlas[],3,0)*E34*F34,0)</f>
        <v>0</v>
      </c>
      <c r="H34" s="184">
        <f>OverzichtGlas[[#This Row],[Kosten/jaar excl. BTW]]*1.21</f>
        <v>0</v>
      </c>
      <c r="I34" s="182"/>
    </row>
    <row r="35" spans="1:9" ht="15" customHeight="1">
      <c r="A35" s="182">
        <v>3</v>
      </c>
      <c r="B35" s="212" t="str">
        <f>VLOOKUP(OverzichtGlas[[#This Row],[Code Locatie]],Samenvattingschoonmaak[[#All],[Code Locatie]:[Locatie]],2,FALSE)</f>
        <v>Zwaluwenburg 8</v>
      </c>
      <c r="C35" s="182">
        <v>2</v>
      </c>
      <c r="D35" s="183" t="str">
        <f>IF(OverzichtGlas[[#This Row],[Code taak]]&gt;0,VLOOKUP(OverzichtGlas[[#This Row],[Code taak]],$A$8:$B$21,2,FALSE),"Hier vult u de inzet van eventuele hoogwerkers in")</f>
        <v>Gevelglas buitenzijde</v>
      </c>
      <c r="E35" s="85">
        <v>700</v>
      </c>
      <c r="F35" s="154">
        <v>2</v>
      </c>
      <c r="G35" s="184">
        <f>IF(C35&gt;0,VLOOKUP(OverzichtGlas[[#This Row],[Code taak]],InvulGlas[],3,0)*E35*F35,0)</f>
        <v>0</v>
      </c>
      <c r="H35" s="184">
        <f>OverzichtGlas[[#This Row],[Kosten/jaar excl. BTW]]*1.21</f>
        <v>0</v>
      </c>
      <c r="I35" s="182"/>
    </row>
    <row r="36" spans="1:9" ht="15" customHeight="1">
      <c r="A36" s="182">
        <v>3</v>
      </c>
      <c r="B36" s="212" t="str">
        <f>VLOOKUP(OverzichtGlas[[#This Row],[Code Locatie]],Samenvattingschoonmaak[[#All],[Code Locatie]:[Locatie]],2,FALSE)</f>
        <v>Zwaluwenburg 8</v>
      </c>
      <c r="C36" s="213"/>
      <c r="D36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36" s="85"/>
      <c r="F36" s="213"/>
      <c r="G36" s="184">
        <f>IF(C36&gt;0,VLOOKUP(OverzichtGlas[[#This Row],[Code taak]],InvulGlas[],3,0)*E36*F36,0)</f>
        <v>0</v>
      </c>
      <c r="H36" s="184">
        <f>OverzichtGlas[[#This Row],[Kosten/jaar excl. BTW]]*1.21</f>
        <v>0</v>
      </c>
      <c r="I36" s="182"/>
    </row>
    <row r="37" spans="1:9" ht="15" customHeight="1">
      <c r="A37" s="182">
        <v>4</v>
      </c>
      <c r="B37" s="212" t="str">
        <f>VLOOKUP(OverzichtGlas[[#This Row],[Code Locatie]],Samenvattingschoonmaak[[#All],[Code Locatie]:[Locatie]],2,FALSE)</f>
        <v>Zwaluwenburg 10</v>
      </c>
      <c r="C37" s="182">
        <v>1</v>
      </c>
      <c r="D37" s="183" t="str">
        <f>IF(OverzichtGlas[[#This Row],[Code taak]]&gt;0,VLOOKUP(OverzichtGlas[[#This Row],[Code taak]],$A$8:$B$21,2,FALSE),"Hier vult u de inzet van eventuele hoogwerkers in")</f>
        <v>Gevelglas binnenzijde</v>
      </c>
      <c r="E37" s="85"/>
      <c r="F37" s="154">
        <v>2</v>
      </c>
      <c r="G37" s="184">
        <f>IF(C37&gt;0,VLOOKUP(OverzichtGlas[[#This Row],[Code taak]],InvulGlas[],3,0)*E37*F37,0)</f>
        <v>0</v>
      </c>
      <c r="H37" s="184">
        <f>OverzichtGlas[[#This Row],[Kosten/jaar excl. BTW]]*1.21</f>
        <v>0</v>
      </c>
      <c r="I37" s="182"/>
    </row>
    <row r="38" spans="1:9" ht="15" customHeight="1">
      <c r="A38" s="182">
        <v>4</v>
      </c>
      <c r="B38" s="212" t="str">
        <f>VLOOKUP(OverzichtGlas[[#This Row],[Code Locatie]],Samenvattingschoonmaak[[#All],[Code Locatie]:[Locatie]],2,FALSE)</f>
        <v>Zwaluwenburg 10</v>
      </c>
      <c r="C38" s="182">
        <v>2</v>
      </c>
      <c r="D38" s="183" t="str">
        <f>IF(OverzichtGlas[[#This Row],[Code taak]]&gt;0,VLOOKUP(OverzichtGlas[[#This Row],[Code taak]],$A$8:$B$21,2,FALSE),"Hier vult u de inzet van eventuele hoogwerkers in")</f>
        <v>Gevelglas buitenzijde</v>
      </c>
      <c r="E38" s="85"/>
      <c r="F38" s="154">
        <v>2</v>
      </c>
      <c r="G38" s="184">
        <f>IF(C38&gt;0,VLOOKUP(OverzichtGlas[[#This Row],[Code taak]],InvulGlas[],3,0)*E38*F38,0)</f>
        <v>0</v>
      </c>
      <c r="H38" s="184">
        <f>OverzichtGlas[[#This Row],[Kosten/jaar excl. BTW]]*1.21</f>
        <v>0</v>
      </c>
      <c r="I38" s="182"/>
    </row>
    <row r="39" spans="1:9" ht="15" customHeight="1">
      <c r="A39" s="182">
        <v>4</v>
      </c>
      <c r="B39" s="212" t="str">
        <f>VLOOKUP(OverzichtGlas[[#This Row],[Code Locatie]],Samenvattingschoonmaak[[#All],[Code Locatie]:[Locatie]],2,FALSE)</f>
        <v>Zwaluwenburg 10</v>
      </c>
      <c r="C39" s="213"/>
      <c r="D39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39" s="85"/>
      <c r="F39" s="213"/>
      <c r="G39" s="184">
        <f>IF(C39&gt;0,VLOOKUP(OverzichtGlas[[#This Row],[Code taak]],InvulGlas[],3,0)*E39*F39,0)</f>
        <v>0</v>
      </c>
      <c r="H39" s="184">
        <f>OverzichtGlas[[#This Row],[Kosten/jaar excl. BTW]]*1.21</f>
        <v>0</v>
      </c>
      <c r="I39" s="182"/>
    </row>
    <row r="40" spans="1:9" ht="15" customHeight="1">
      <c r="A40" s="182">
        <v>5</v>
      </c>
      <c r="B40" s="212" t="str">
        <f>VLOOKUP(OverzichtGlas[[#This Row],[Code Locatie]],Samenvattingschoonmaak[[#All],[Code Locatie]:[Locatie]],2,FALSE)</f>
        <v>Marke Zuid</v>
      </c>
      <c r="C40" s="182">
        <v>1</v>
      </c>
      <c r="D40" s="183" t="str">
        <f>IF(OverzichtGlas[[#This Row],[Code taak]]&gt;0,VLOOKUP(OverzichtGlas[[#This Row],[Code taak]],$A$8:$B$21,2,FALSE),"Hier vult u de inzet van eventuele hoogwerkers in")</f>
        <v>Gevelglas binnenzijde</v>
      </c>
      <c r="E40" s="85">
        <v>1835</v>
      </c>
      <c r="F40" s="154">
        <v>2</v>
      </c>
      <c r="G40" s="184">
        <f>IF(C40&gt;0,VLOOKUP(OverzichtGlas[[#This Row],[Code taak]],InvulGlas[],3,0)*E40*F40,0)</f>
        <v>0</v>
      </c>
      <c r="H40" s="184">
        <f>OverzichtGlas[[#This Row],[Kosten/jaar excl. BTW]]*1.21</f>
        <v>0</v>
      </c>
      <c r="I40" s="182"/>
    </row>
    <row r="41" spans="1:9" ht="15" customHeight="1">
      <c r="A41" s="182">
        <v>5</v>
      </c>
      <c r="B41" s="212" t="str">
        <f>VLOOKUP(OverzichtGlas[[#This Row],[Code Locatie]],Samenvattingschoonmaak[[#All],[Code Locatie]:[Locatie]],2,FALSE)</f>
        <v>Marke Zuid</v>
      </c>
      <c r="C41" s="182">
        <v>2</v>
      </c>
      <c r="D41" s="183" t="str">
        <f>IF(OverzichtGlas[[#This Row],[Code taak]]&gt;0,VLOOKUP(OverzichtGlas[[#This Row],[Code taak]],$A$8:$B$21,2,FALSE),"Hier vult u de inzet van eventuele hoogwerkers in")</f>
        <v>Gevelglas buitenzijde</v>
      </c>
      <c r="E41" s="85">
        <v>1835</v>
      </c>
      <c r="F41" s="154">
        <v>2</v>
      </c>
      <c r="G41" s="184">
        <f>IF(C41&gt;0,VLOOKUP(OverzichtGlas[[#This Row],[Code taak]],InvulGlas[],3,0)*E41*F41,0)</f>
        <v>0</v>
      </c>
      <c r="H41" s="184">
        <f>OverzichtGlas[[#This Row],[Kosten/jaar excl. BTW]]*1.21</f>
        <v>0</v>
      </c>
      <c r="I41" s="182"/>
    </row>
    <row r="42" spans="1:9" ht="15" customHeight="1">
      <c r="A42" s="182">
        <v>5</v>
      </c>
      <c r="B42" s="212" t="str">
        <f>VLOOKUP(OverzichtGlas[[#This Row],[Code Locatie]],Samenvattingschoonmaak[[#All],[Code Locatie]:[Locatie]],2,FALSE)</f>
        <v>Marke Zuid</v>
      </c>
      <c r="C42" s="182">
        <v>3</v>
      </c>
      <c r="D42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42" s="259">
        <v>1487.8</v>
      </c>
      <c r="F42" s="256">
        <v>2</v>
      </c>
      <c r="G42" s="257">
        <f>IF(C42&gt;0,VLOOKUP(OverzichtGlas[[#This Row],[Code taak]],InvulGlas[],3,0)*E42*F42,0)</f>
        <v>0</v>
      </c>
      <c r="H42" s="257">
        <f>OverzichtGlas[[#This Row],[Kosten/jaar excl. BTW]]*1.21</f>
        <v>0</v>
      </c>
      <c r="I42" s="258"/>
    </row>
    <row r="43" spans="1:9" ht="15" customHeight="1">
      <c r="A43" s="182">
        <v>5</v>
      </c>
      <c r="B43" s="212" t="str">
        <f>VLOOKUP(OverzichtGlas[[#This Row],[Code Locatie]],Samenvattingschoonmaak[[#All],[Code Locatie]:[Locatie]],2,FALSE)</f>
        <v>Marke Zuid</v>
      </c>
      <c r="C43" s="213"/>
      <c r="D43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43" s="85"/>
      <c r="F43" s="213"/>
      <c r="G43" s="184">
        <f>IF(C43&gt;0,VLOOKUP(OverzichtGlas[[#This Row],[Code taak]],InvulGlas[],3,0)*E43*F43,0)</f>
        <v>0</v>
      </c>
      <c r="H43" s="184">
        <f>OverzichtGlas[[#This Row],[Kosten/jaar excl. BTW]]*1.21</f>
        <v>0</v>
      </c>
      <c r="I43" s="182"/>
    </row>
    <row r="44" spans="1:9" ht="15" customHeight="1">
      <c r="A44" s="182">
        <v>5</v>
      </c>
      <c r="B44" s="212" t="str">
        <f>VLOOKUP(OverzichtGlas[[#This Row],[Code Locatie]],Samenvattingschoonmaak[[#All],[Code Locatie]:[Locatie]],2,FALSE)</f>
        <v>Marke Zuid</v>
      </c>
      <c r="C44" s="213"/>
      <c r="D44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44" s="85"/>
      <c r="F44" s="213"/>
      <c r="G44" s="184">
        <f>IF(C44&gt;0,VLOOKUP(OverzichtGlas[[#This Row],[Code taak]],InvulGlas[],3,0)*E44*F44,0)</f>
        <v>0</v>
      </c>
      <c r="H44" s="184">
        <f>OverzichtGlas[[#This Row],[Kosten/jaar excl. BTW]]*1.21</f>
        <v>0</v>
      </c>
      <c r="I44" s="182"/>
    </row>
    <row r="45" spans="1:9" ht="15" customHeight="1">
      <c r="A45" s="182">
        <v>6</v>
      </c>
      <c r="B45" s="212" t="str">
        <f>VLOOKUP(OverzichtGlas[[#This Row],[Code Locatie]],Samenvattingschoonmaak[[#All],[Code Locatie]:[Locatie]],2,FALSE)</f>
        <v>Marke Noord</v>
      </c>
      <c r="C45" s="182">
        <v>1</v>
      </c>
      <c r="D45" s="183" t="str">
        <f>IF(OverzichtGlas[[#This Row],[Code taak]]&gt;0,VLOOKUP(OverzichtGlas[[#This Row],[Code taak]],$A$8:$B$21,2,FALSE),"Hier vult u de inzet van eventuele hoogwerkers in")</f>
        <v>Gevelglas binnenzijde</v>
      </c>
      <c r="E45" s="85">
        <v>1210.8</v>
      </c>
      <c r="F45" s="154">
        <v>2</v>
      </c>
      <c r="G45" s="184">
        <f>IF(C45&gt;0,VLOOKUP(OverzichtGlas[[#This Row],[Code taak]],InvulGlas[],3,0)*E45*F45,0)</f>
        <v>0</v>
      </c>
      <c r="H45" s="184">
        <f>OverzichtGlas[[#This Row],[Kosten/jaar excl. BTW]]*1.21</f>
        <v>0</v>
      </c>
      <c r="I45" s="182"/>
    </row>
    <row r="46" spans="1:9" ht="15" customHeight="1">
      <c r="A46" s="182">
        <v>6</v>
      </c>
      <c r="B46" s="212" t="str">
        <f>VLOOKUP(OverzichtGlas[[#This Row],[Code Locatie]],Samenvattingschoonmaak[[#All],[Code Locatie]:[Locatie]],2,FALSE)</f>
        <v>Marke Noord</v>
      </c>
      <c r="C46" s="182">
        <v>2</v>
      </c>
      <c r="D46" s="183" t="str">
        <f>IF(OverzichtGlas[[#This Row],[Code taak]]&gt;0,VLOOKUP(OverzichtGlas[[#This Row],[Code taak]],$A$8:$B$21,2,FALSE),"Hier vult u de inzet van eventuele hoogwerkers in")</f>
        <v>Gevelglas buitenzijde</v>
      </c>
      <c r="E46" s="85">
        <v>1210.8</v>
      </c>
      <c r="F46" s="154">
        <v>2</v>
      </c>
      <c r="G46" s="184">
        <f>IF(C46&gt;0,VLOOKUP(OverzichtGlas[[#This Row],[Code taak]],InvulGlas[],3,0)*E46*F46,0)</f>
        <v>0</v>
      </c>
      <c r="H46" s="184">
        <f>OverzichtGlas[[#This Row],[Kosten/jaar excl. BTW]]*1.21</f>
        <v>0</v>
      </c>
      <c r="I46" s="182"/>
    </row>
    <row r="47" spans="1:9" ht="15" customHeight="1">
      <c r="A47" s="182">
        <v>6</v>
      </c>
      <c r="B47" s="212" t="str">
        <f>VLOOKUP(OverzichtGlas[[#This Row],[Code Locatie]],Samenvattingschoonmaak[[#All],[Code Locatie]:[Locatie]],2,FALSE)</f>
        <v>Marke Noord</v>
      </c>
      <c r="C47" s="182">
        <v>3</v>
      </c>
      <c r="D47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47" s="85">
        <v>786.2</v>
      </c>
      <c r="F47" s="154">
        <v>2</v>
      </c>
      <c r="G47" s="184">
        <f>IF(C47&gt;0,VLOOKUP(OverzichtGlas[[#This Row],[Code taak]],InvulGlas[],3,0)*E47*F47,0)</f>
        <v>0</v>
      </c>
      <c r="H47" s="184">
        <f>OverzichtGlas[[#This Row],[Kosten/jaar excl. BTW]]*1.21</f>
        <v>0</v>
      </c>
      <c r="I47" s="182"/>
    </row>
    <row r="48" spans="1:9" ht="15" customHeight="1">
      <c r="A48" s="182">
        <v>6</v>
      </c>
      <c r="B48" s="212" t="str">
        <f>VLOOKUP(OverzichtGlas[[#This Row],[Code Locatie]],Samenvattingschoonmaak[[#All],[Code Locatie]:[Locatie]],2,FALSE)</f>
        <v>Marke Noord</v>
      </c>
      <c r="C48" s="213"/>
      <c r="D48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48" s="85"/>
      <c r="F48" s="213"/>
      <c r="G48" s="184">
        <f>IF(C48&gt;0,VLOOKUP(OverzichtGlas[[#This Row],[Code taak]],InvulGlas[],3,0)*E48*F48,0)</f>
        <v>0</v>
      </c>
      <c r="H48" s="184">
        <f>OverzichtGlas[[#This Row],[Kosten/jaar excl. BTW]]*1.21</f>
        <v>0</v>
      </c>
      <c r="I48" s="182"/>
    </row>
    <row r="49" spans="1:9" ht="15" customHeight="1">
      <c r="A49" s="182">
        <v>6</v>
      </c>
      <c r="B49" s="212" t="str">
        <f>VLOOKUP(OverzichtGlas[[#This Row],[Code Locatie]],Samenvattingschoonmaak[[#All],[Code Locatie]:[Locatie]],2,FALSE)</f>
        <v>Marke Noord</v>
      </c>
      <c r="C49" s="213"/>
      <c r="D49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49" s="85"/>
      <c r="F49" s="213"/>
      <c r="G49" s="184">
        <f>IF(C49&gt;0,VLOOKUP(OverzichtGlas[[#This Row],[Code taak]],InvulGlas[],3,0)*E49*F49,0)</f>
        <v>0</v>
      </c>
      <c r="H49" s="184">
        <f>OverzichtGlas[[#This Row],[Kosten/jaar excl. BTW]]*1.21</f>
        <v>0</v>
      </c>
      <c r="I49" s="182"/>
    </row>
    <row r="50" spans="1:9" ht="15" customHeight="1">
      <c r="A50" s="182">
        <v>7</v>
      </c>
      <c r="B50" s="212" t="str">
        <f>VLOOKUP(OverzichtGlas[[#This Row],[Code Locatie]],Samenvattingschoonmaak[[#All],[Code Locatie]:[Locatie]],2,FALSE)</f>
        <v>Het Vlier</v>
      </c>
      <c r="C50" s="182">
        <v>1</v>
      </c>
      <c r="D50" s="183" t="str">
        <f>IF(OverzichtGlas[[#This Row],[Code taak]]&gt;0,VLOOKUP(OverzichtGlas[[#This Row],[Code taak]],$A$8:$B$21,2,FALSE),"Hier vult u de inzet van eventuele hoogwerkers in")</f>
        <v>Gevelglas binnenzijde</v>
      </c>
      <c r="E50" s="85">
        <v>1384.1</v>
      </c>
      <c r="F50" s="154">
        <v>2</v>
      </c>
      <c r="G50" s="184">
        <f>IF(C50&gt;0,VLOOKUP(OverzichtGlas[[#This Row],[Code taak]],InvulGlas[],3,0)*E50*F50,0)</f>
        <v>0</v>
      </c>
      <c r="H50" s="184">
        <f>OverzichtGlas[[#This Row],[Kosten/jaar excl. BTW]]*1.21</f>
        <v>0</v>
      </c>
      <c r="I50" s="182"/>
    </row>
    <row r="51" spans="1:9" ht="15" customHeight="1">
      <c r="A51" s="182">
        <v>7</v>
      </c>
      <c r="B51" s="212" t="str">
        <f>VLOOKUP(OverzichtGlas[[#This Row],[Code Locatie]],Samenvattingschoonmaak[[#All],[Code Locatie]:[Locatie]],2,FALSE)</f>
        <v>Het Vlier</v>
      </c>
      <c r="C51" s="182">
        <v>2</v>
      </c>
      <c r="D51" s="183" t="str">
        <f>IF(OverzichtGlas[[#This Row],[Code taak]]&gt;0,VLOOKUP(OverzichtGlas[[#This Row],[Code taak]],$A$8:$B$21,2,FALSE),"Hier vult u de inzet van eventuele hoogwerkers in")</f>
        <v>Gevelglas buitenzijde</v>
      </c>
      <c r="E51" s="259">
        <v>2480</v>
      </c>
      <c r="F51" s="256">
        <v>2</v>
      </c>
      <c r="G51" s="257">
        <f>IF(C51&gt;0,VLOOKUP(OverzichtGlas[[#This Row],[Code taak]],InvulGlas[],3,0)*E51*F51,0)</f>
        <v>0</v>
      </c>
      <c r="H51" s="257">
        <f>OverzichtGlas[[#This Row],[Kosten/jaar excl. BTW]]*1.21</f>
        <v>0</v>
      </c>
      <c r="I51" s="258"/>
    </row>
    <row r="52" spans="1:9" ht="15" customHeight="1">
      <c r="A52" s="182">
        <v>7</v>
      </c>
      <c r="B52" s="212" t="str">
        <f>VLOOKUP(OverzichtGlas[[#This Row],[Code Locatie]],Samenvattingschoonmaak[[#All],[Code Locatie]:[Locatie]],2,FALSE)</f>
        <v>Het Vlier</v>
      </c>
      <c r="C52" s="182">
        <v>3</v>
      </c>
      <c r="D52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52" s="85">
        <v>1241.8</v>
      </c>
      <c r="F52" s="154">
        <v>2</v>
      </c>
      <c r="G52" s="184">
        <f>IF(C52&gt;0,VLOOKUP(OverzichtGlas[[#This Row],[Code taak]],InvulGlas[],3,0)*E52*F52,0)</f>
        <v>0</v>
      </c>
      <c r="H52" s="184">
        <f>OverzichtGlas[[#This Row],[Kosten/jaar excl. BTW]]*1.21</f>
        <v>0</v>
      </c>
      <c r="I52" s="182"/>
    </row>
    <row r="53" spans="1:9" ht="15" customHeight="1">
      <c r="A53" s="182">
        <v>7</v>
      </c>
      <c r="B53" s="212" t="str">
        <f>VLOOKUP(OverzichtGlas[[#This Row],[Code Locatie]],Samenvattingschoonmaak[[#All],[Code Locatie]:[Locatie]],2,FALSE)</f>
        <v>Het Vlier</v>
      </c>
      <c r="C53" s="213"/>
      <c r="D53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53" s="85"/>
      <c r="F53" s="213"/>
      <c r="G53" s="184">
        <f>IF(C53&gt;0,VLOOKUP(OverzichtGlas[[#This Row],[Code taak]],InvulGlas[],3,0)*E53*F53,0)</f>
        <v>0</v>
      </c>
      <c r="H53" s="184">
        <f>OverzichtGlas[[#This Row],[Kosten/jaar excl. BTW]]*1.21</f>
        <v>0</v>
      </c>
      <c r="I53" s="182"/>
    </row>
    <row r="54" spans="1:9" ht="15" customHeight="1">
      <c r="A54" s="182">
        <v>7</v>
      </c>
      <c r="B54" s="212" t="str">
        <f>VLOOKUP(OverzichtGlas[[#This Row],[Code Locatie]],Samenvattingschoonmaak[[#All],[Code Locatie]:[Locatie]],2,FALSE)</f>
        <v>Het Vlier</v>
      </c>
      <c r="C54" s="213"/>
      <c r="D54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54" s="85"/>
      <c r="F54" s="213"/>
      <c r="G54" s="184">
        <f>IF(C54&gt;0,VLOOKUP(OverzichtGlas[[#This Row],[Code taak]],InvulGlas[],3,0)*E54*F54,0)</f>
        <v>0</v>
      </c>
      <c r="H54" s="184">
        <f>OverzichtGlas[[#This Row],[Kosten/jaar excl. BTW]]*1.21</f>
        <v>0</v>
      </c>
      <c r="I54" s="182"/>
    </row>
    <row r="55" spans="1:9" ht="15" customHeight="1">
      <c r="A55" s="182">
        <v>8</v>
      </c>
      <c r="B55" s="212" t="str">
        <f>VLOOKUP(OverzichtGlas[[#This Row],[Code Locatie]],Samenvattingschoonmaak[[#All],[Code Locatie]:[Locatie]],2,FALSE)</f>
        <v>Arkelstijn</v>
      </c>
      <c r="C55" s="182">
        <v>1</v>
      </c>
      <c r="D55" s="183" t="str">
        <f>IF(OverzichtGlas[[#This Row],[Code taak]]&gt;0,VLOOKUP(OverzichtGlas[[#This Row],[Code taak]],$A$8:$B$21,2,FALSE),"Hier vult u de inzet van eventuele hoogwerkers in")</f>
        <v>Gevelglas binnenzijde</v>
      </c>
      <c r="E55" s="85">
        <v>621.1</v>
      </c>
      <c r="F55" s="154">
        <v>2</v>
      </c>
      <c r="G55" s="184">
        <f>IF(C55&gt;0,VLOOKUP(OverzichtGlas[[#This Row],[Code taak]],InvulGlas[],3,0)*E55*F55,0)</f>
        <v>0</v>
      </c>
      <c r="H55" s="184">
        <f>OverzichtGlas[[#This Row],[Kosten/jaar excl. BTW]]*1.21</f>
        <v>0</v>
      </c>
      <c r="I55" s="182"/>
    </row>
    <row r="56" spans="1:9" ht="15" customHeight="1">
      <c r="A56" s="182">
        <v>8</v>
      </c>
      <c r="B56" s="212" t="str">
        <f>VLOOKUP(OverzichtGlas[[#This Row],[Code Locatie]],Samenvattingschoonmaak[[#All],[Code Locatie]:[Locatie]],2,FALSE)</f>
        <v>Arkelstijn</v>
      </c>
      <c r="C56" s="182">
        <v>2</v>
      </c>
      <c r="D56" s="183" t="str">
        <f>IF(OverzichtGlas[[#This Row],[Code taak]]&gt;0,VLOOKUP(OverzichtGlas[[#This Row],[Code taak]],$A$8:$B$21,2,FALSE),"Hier vult u de inzet van eventuele hoogwerkers in")</f>
        <v>Gevelglas buitenzijde</v>
      </c>
      <c r="E56" s="85">
        <v>621.1</v>
      </c>
      <c r="F56" s="154">
        <v>2</v>
      </c>
      <c r="G56" s="184">
        <f>IF(C56&gt;0,VLOOKUP(OverzichtGlas[[#This Row],[Code taak]],InvulGlas[],3,0)*E56*F56,0)</f>
        <v>0</v>
      </c>
      <c r="H56" s="184">
        <f>OverzichtGlas[[#This Row],[Kosten/jaar excl. BTW]]*1.21</f>
        <v>0</v>
      </c>
      <c r="I56" s="182"/>
    </row>
    <row r="57" spans="1:9" ht="15" customHeight="1">
      <c r="A57" s="182">
        <v>8</v>
      </c>
      <c r="B57" s="212" t="str">
        <f>VLOOKUP(OverzichtGlas[[#This Row],[Code Locatie]],Samenvattingschoonmaak[[#All],[Code Locatie]:[Locatie]],2,FALSE)</f>
        <v>Arkelstijn</v>
      </c>
      <c r="C57" s="182">
        <v>3</v>
      </c>
      <c r="D57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57" s="85">
        <v>415</v>
      </c>
      <c r="F57" s="154">
        <v>2</v>
      </c>
      <c r="G57" s="184">
        <f>IF(C57&gt;0,VLOOKUP(OverzichtGlas[[#This Row],[Code taak]],InvulGlas[],3,0)*E57*F57,0)</f>
        <v>0</v>
      </c>
      <c r="H57" s="184">
        <f>OverzichtGlas[[#This Row],[Kosten/jaar excl. BTW]]*1.21</f>
        <v>0</v>
      </c>
      <c r="I57" s="182"/>
    </row>
    <row r="58" spans="1:9" ht="15" customHeight="1">
      <c r="A58" s="182">
        <v>8</v>
      </c>
      <c r="B58" s="212" t="str">
        <f>VLOOKUP(OverzichtGlas[[#This Row],[Code Locatie]],Samenvattingschoonmaak[[#All],[Code Locatie]:[Locatie]],2,FALSE)</f>
        <v>Arkelstijn</v>
      </c>
      <c r="C58" s="213"/>
      <c r="D58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58" s="85"/>
      <c r="F58" s="213"/>
      <c r="G58" s="184">
        <f>IF(C58&gt;0,VLOOKUP(OverzichtGlas[[#This Row],[Code taak]],InvulGlas[],3,0)*E58*F58,0)</f>
        <v>0</v>
      </c>
      <c r="H58" s="184">
        <f>OverzichtGlas[[#This Row],[Kosten/jaar excl. BTW]]*1.21</f>
        <v>0</v>
      </c>
      <c r="I58" s="182"/>
    </row>
    <row r="59" spans="1:9" ht="15" customHeight="1">
      <c r="A59" s="182">
        <v>8</v>
      </c>
      <c r="B59" s="212" t="str">
        <f>VLOOKUP(OverzichtGlas[[#This Row],[Code Locatie]],Samenvattingschoonmaak[[#All],[Code Locatie]:[Locatie]],2,FALSE)</f>
        <v>Arkelstijn</v>
      </c>
      <c r="C59" s="213"/>
      <c r="D59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59" s="85"/>
      <c r="F59" s="213"/>
      <c r="G59" s="184">
        <f>IF(C59&gt;0,VLOOKUP(OverzichtGlas[[#This Row],[Code taak]],InvulGlas[],3,0)*E59*F59,0)</f>
        <v>0</v>
      </c>
      <c r="H59" s="184">
        <f>OverzichtGlas[[#This Row],[Kosten/jaar excl. BTW]]*1.21</f>
        <v>0</v>
      </c>
      <c r="I59" s="182"/>
    </row>
    <row r="60" spans="1:9" ht="15" customHeight="1">
      <c r="A60" s="214" t="s">
        <v>1910</v>
      </c>
      <c r="B60" s="215"/>
      <c r="C60" s="214"/>
      <c r="D60" s="216"/>
      <c r="E60" s="214"/>
      <c r="F60" s="214"/>
      <c r="G60" s="217">
        <f>SUBTOTAL(109,OverzichtGlas[Kosten/jaar excl. BTW])</f>
        <v>0</v>
      </c>
      <c r="H60" s="217">
        <f>SUBTOTAL(109,OverzichtGlas[Kosten/jaar incl. BTW])</f>
        <v>0</v>
      </c>
      <c r="I60" s="214"/>
    </row>
    <row r="61" spans="1:9" ht="15" customHeight="1">
      <c r="C61" s="24"/>
      <c r="D61" s="4"/>
    </row>
    <row r="62" spans="1:9" ht="15" customHeight="1">
      <c r="C62" s="24"/>
      <c r="D62" s="4"/>
    </row>
    <row r="63" spans="1:9" ht="15" customHeight="1">
      <c r="C63" s="24"/>
      <c r="D63" s="4"/>
    </row>
    <row r="64" spans="1:9" ht="15" customHeight="1">
      <c r="C64" s="24"/>
      <c r="D64" s="4"/>
    </row>
    <row r="65" spans="3:4" ht="15" customHeight="1">
      <c r="C65" s="24"/>
      <c r="D65" s="4"/>
    </row>
    <row r="66" spans="3:4" ht="15" customHeight="1">
      <c r="C66" s="24"/>
      <c r="D66" s="4"/>
    </row>
    <row r="67" spans="3:4" ht="15" customHeight="1">
      <c r="C67" s="24"/>
      <c r="D67" s="4"/>
    </row>
    <row r="68" spans="3:4" ht="15" customHeight="1">
      <c r="C68" s="24"/>
      <c r="D68" s="4"/>
    </row>
    <row r="69" spans="3:4" ht="15" customHeight="1">
      <c r="C69" s="24"/>
      <c r="D69" s="4"/>
    </row>
    <row r="70" spans="3:4" ht="15" customHeight="1">
      <c r="C70" s="24"/>
      <c r="D70" s="4"/>
    </row>
    <row r="71" spans="3:4" ht="15" customHeight="1">
      <c r="C71" s="24"/>
      <c r="D71" s="4"/>
    </row>
    <row r="72" spans="3:4" ht="15" customHeight="1">
      <c r="C72" s="24"/>
      <c r="D72" s="4"/>
    </row>
    <row r="73" spans="3:4" ht="15" customHeight="1">
      <c r="C73" s="24"/>
      <c r="D73" s="4"/>
    </row>
    <row r="74" spans="3:4" ht="15" customHeight="1">
      <c r="C74" s="24"/>
      <c r="D74" s="4"/>
    </row>
    <row r="75" spans="3:4" ht="15" customHeight="1">
      <c r="C75" s="24"/>
      <c r="D75" s="4"/>
    </row>
    <row r="76" spans="3:4" ht="15" customHeight="1">
      <c r="C76" s="24"/>
      <c r="D76" s="4"/>
    </row>
    <row r="77" spans="3:4" ht="15" customHeight="1">
      <c r="C77" s="24"/>
      <c r="D77" s="4"/>
    </row>
    <row r="78" spans="3:4" ht="15" customHeight="1">
      <c r="C78" s="24"/>
      <c r="D78" s="4"/>
    </row>
    <row r="79" spans="3:4" ht="15" customHeight="1">
      <c r="C79" s="24"/>
      <c r="D79" s="4"/>
    </row>
    <row r="80" spans="3:4" ht="15" customHeight="1">
      <c r="C80" s="24"/>
      <c r="D80" s="4"/>
    </row>
    <row r="81" spans="3:4" ht="15" customHeight="1">
      <c r="C81" s="24"/>
      <c r="D81" s="4"/>
    </row>
    <row r="82" spans="3:4" ht="15" customHeight="1">
      <c r="C82" s="24"/>
      <c r="D82" s="4"/>
    </row>
    <row r="83" spans="3:4" ht="15" customHeight="1">
      <c r="C83" s="24"/>
      <c r="D83" s="4"/>
    </row>
    <row r="84" spans="3:4" ht="15" customHeight="1">
      <c r="C84" s="24"/>
      <c r="D84" s="4"/>
    </row>
    <row r="85" spans="3:4" ht="15" customHeight="1">
      <c r="C85" s="24"/>
      <c r="D85" s="4"/>
    </row>
    <row r="86" spans="3:4" ht="15" customHeight="1">
      <c r="C86" s="24"/>
      <c r="D86" s="4"/>
    </row>
    <row r="87" spans="3:4" ht="15" customHeight="1">
      <c r="C87" s="24"/>
      <c r="D87" s="4"/>
    </row>
    <row r="88" spans="3:4" ht="15" customHeight="1">
      <c r="C88" s="24"/>
      <c r="D88" s="4"/>
    </row>
    <row r="89" spans="3:4" ht="15" customHeight="1">
      <c r="C89" s="24"/>
      <c r="D89" s="4"/>
    </row>
    <row r="90" spans="3:4" ht="15" customHeight="1">
      <c r="C90" s="24"/>
      <c r="D90" s="4"/>
    </row>
    <row r="91" spans="3:4" ht="15" customHeight="1">
      <c r="C91" s="24"/>
      <c r="D91" s="4"/>
    </row>
    <row r="92" spans="3:4" ht="15" customHeight="1">
      <c r="C92" s="24"/>
      <c r="D92" s="4"/>
    </row>
    <row r="93" spans="3:4" ht="15" customHeight="1">
      <c r="C93" s="24"/>
      <c r="D93" s="4"/>
    </row>
    <row r="94" spans="3:4" ht="15" customHeight="1">
      <c r="C94" s="24"/>
      <c r="D94" s="4"/>
    </row>
    <row r="95" spans="3:4" ht="15" customHeight="1">
      <c r="C95" s="24"/>
      <c r="D95" s="4"/>
    </row>
    <row r="96" spans="3:4" ht="15" customHeight="1">
      <c r="C96" s="24"/>
      <c r="D96" s="4"/>
    </row>
    <row r="97" spans="3:4" ht="15" customHeight="1">
      <c r="C97" s="24"/>
      <c r="D97" s="4"/>
    </row>
    <row r="98" spans="3:4" ht="15" customHeight="1">
      <c r="C98" s="24"/>
      <c r="D98" s="4"/>
    </row>
    <row r="99" spans="3:4" ht="15" customHeight="1">
      <c r="C99" s="24"/>
      <c r="D99" s="4"/>
    </row>
    <row r="100" spans="3:4" ht="15" customHeight="1">
      <c r="C100" s="24"/>
      <c r="D100" s="4"/>
    </row>
    <row r="101" spans="3:4" ht="15" customHeight="1">
      <c r="C101" s="24"/>
      <c r="D101" s="4"/>
    </row>
    <row r="102" spans="3:4" ht="15" customHeight="1">
      <c r="C102" s="24"/>
      <c r="D102" s="4"/>
    </row>
    <row r="103" spans="3:4" ht="15" customHeight="1">
      <c r="C103" s="24"/>
      <c r="D103" s="4"/>
    </row>
    <row r="104" spans="3:4" ht="15" customHeight="1">
      <c r="C104" s="24"/>
      <c r="D104" s="4"/>
    </row>
    <row r="105" spans="3:4" ht="15" customHeight="1">
      <c r="C105" s="24"/>
      <c r="D105" s="4"/>
    </row>
    <row r="106" spans="3:4" ht="15" customHeight="1">
      <c r="C106" s="24"/>
      <c r="D106" s="4"/>
    </row>
    <row r="107" spans="3:4" ht="15" customHeight="1">
      <c r="C107" s="24"/>
      <c r="D107" s="4"/>
    </row>
    <row r="108" spans="3:4" ht="15" customHeight="1">
      <c r="C108" s="24"/>
      <c r="D108" s="4"/>
    </row>
    <row r="109" spans="3:4" ht="15" customHeight="1">
      <c r="C109" s="24"/>
      <c r="D109" s="4"/>
    </row>
    <row r="110" spans="3:4" ht="15" customHeight="1">
      <c r="C110" s="24"/>
      <c r="D110" s="4"/>
    </row>
    <row r="111" spans="3:4" ht="15" customHeight="1">
      <c r="C111" s="24"/>
      <c r="D111" s="4"/>
    </row>
    <row r="112" spans="3:4" ht="15" customHeight="1">
      <c r="C112" s="24"/>
      <c r="D112" s="4"/>
    </row>
    <row r="113" spans="3:4" ht="15" customHeight="1">
      <c r="C113" s="24"/>
      <c r="D113" s="4"/>
    </row>
    <row r="114" spans="3:4" ht="15" customHeight="1">
      <c r="C114" s="24"/>
      <c r="D114" s="4"/>
    </row>
    <row r="115" spans="3:4" ht="15" customHeight="1">
      <c r="C115" s="24"/>
      <c r="D115" s="4"/>
    </row>
    <row r="116" spans="3:4" ht="15" customHeight="1">
      <c r="C116" s="24"/>
      <c r="D116" s="4"/>
    </row>
    <row r="117" spans="3:4" ht="15" customHeight="1">
      <c r="C117" s="24"/>
      <c r="D117" s="4"/>
    </row>
    <row r="118" spans="3:4" ht="15" customHeight="1">
      <c r="C118" s="24"/>
      <c r="D118" s="4"/>
    </row>
    <row r="119" spans="3:4" ht="15" customHeight="1">
      <c r="C119" s="24"/>
      <c r="D119" s="4"/>
    </row>
    <row r="120" spans="3:4" ht="15" customHeight="1">
      <c r="C120" s="24"/>
      <c r="D120" s="4"/>
    </row>
  </sheetData>
  <mergeCells count="3">
    <mergeCell ref="A1:G1"/>
    <mergeCell ref="A2:G2"/>
    <mergeCell ref="E7:I7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Props1.xml><?xml version="1.0" encoding="utf-8"?>
<ds:datastoreItem xmlns:ds="http://schemas.openxmlformats.org/officeDocument/2006/customXml" ds:itemID="{63B7634F-63FB-45A0-9462-3A84813F7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33D99E-ECD5-4C42-B5BA-B8D8A9305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42007-A804-4F44-AC9D-FC8087898404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9</vt:i4>
      </vt:variant>
    </vt:vector>
  </HeadingPairs>
  <TitlesOfParts>
    <vt:vector size="21" baseType="lpstr">
      <vt:lpstr>Overnamegegevens</vt:lpstr>
      <vt:lpstr>Opleverstaat dagelijks</vt:lpstr>
      <vt:lpstr>Werkprogramma periodiek</vt:lpstr>
      <vt:lpstr>Werkprogramma dieptereinigen</vt:lpstr>
      <vt:lpstr>Tariefsopbouw</vt:lpstr>
      <vt:lpstr>Prestatiefactoren</vt:lpstr>
      <vt:lpstr>Ruimtestaat</vt:lpstr>
      <vt:lpstr>Vloeronderhoud</vt:lpstr>
      <vt:lpstr>Glasbewassing</vt:lpstr>
      <vt:lpstr>Extra werkzaamheden</vt:lpstr>
      <vt:lpstr>Regie en afroep</vt:lpstr>
      <vt:lpstr>Totalisatie</vt:lpstr>
      <vt:lpstr>'Extra werkzaamheden'!Afdrukbereik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dieptereinigen'!Afdrukbereik</vt:lpstr>
      <vt:lpstr>'Ruimtestaat'!Afdruktitels</vt:lpstr>
    </vt:vector>
  </TitlesOfParts>
  <Manager/>
  <Company>Facet Facilitaire Diensten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subject/>
  <dc:creator>Mark Reichenfeld</dc:creator>
  <cp:keywords/>
  <dc:description/>
  <cp:lastModifiedBy>Thijs van Duiven | Inkada Inkoop &amp; Advies</cp:lastModifiedBy>
  <cp:revision/>
  <dcterms:created xsi:type="dcterms:W3CDTF">1999-03-23T11:24:21Z</dcterms:created>
  <dcterms:modified xsi:type="dcterms:W3CDTF">2022-07-14T11:03:34Z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0x0101008CDD5E775C179747BB1B7437EBAC9E52</vt:lpwstr>
  </property>
  <property fmtid="{D5CDD505-2E9C-101B-9397-08002B2CF9AE}" pid="3" name="MediaServiceImageTags">
    <vt:lpwstr/>
  </property>
</Properties>
</file>