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SORG/Schoonmaak 2022/NvI/NVI 1/"/>
    </mc:Choice>
  </mc:AlternateContent>
  <xr:revisionPtr revIDLastSave="0" documentId="8_{AF2A766F-CD29-4DB0-836F-26020EE13569}" xr6:coauthVersionLast="47" xr6:coauthVersionMax="47" xr10:uidLastSave="{00000000-0000-0000-0000-000000000000}"/>
  <bookViews>
    <workbookView xWindow="28680" yWindow="-120" windowWidth="29040" windowHeight="15840" tabRatio="786" firstSheet="4" activeTab="14" xr2:uid="{00000000-000D-0000-FFFF-FFFF00000000}"/>
  </bookViews>
  <sheets>
    <sheet name="Overnamegegevens" sheetId="30" r:id="rId1"/>
    <sheet name="Opleverstaat dagelijks" sheetId="21" r:id="rId2"/>
    <sheet name="Werkprogramma periodiek" sheetId="27" r:id="rId3"/>
    <sheet name="Werkprogramma dieptereinigen" sheetId="28" r:id="rId4"/>
    <sheet name="Tariefsopbouw" sheetId="2" r:id="rId5"/>
    <sheet name="Prestatiefactoren" sheetId="11" r:id="rId6"/>
    <sheet name="Ruimtestaat" sheetId="13" r:id="rId7"/>
    <sheet name="Vloeronderhoud" sheetId="25" r:id="rId8"/>
    <sheet name="Glasbewassing" sheetId="29" r:id="rId9"/>
    <sheet name="Extra werkzaamheden" sheetId="26" r:id="rId10"/>
    <sheet name="Reinigingsmiddelen" sheetId="31" r:id="rId11"/>
    <sheet name="korting reinigings" sheetId="33" r:id="rId12"/>
    <sheet name="logistiek" sheetId="34" r:id="rId13"/>
    <sheet name="Regie en afroep" sheetId="24" r:id="rId14"/>
    <sheet name="Totalisatie" sheetId="19" r:id="rId15"/>
  </sheets>
  <externalReferences>
    <externalReference r:id="rId16"/>
    <externalReference r:id="rId17"/>
  </externalReferences>
  <definedNames>
    <definedName name="_1F" localSheetId="9" hidden="1">[1]Psychiatrie!#REF!</definedName>
    <definedName name="_1F" localSheetId="7" hidden="1">[1]Psychiatrie!#REF!</definedName>
    <definedName name="_1F" hidden="1">[1]Psychiatrie!#REF!</definedName>
    <definedName name="_2_0_F" localSheetId="9" hidden="1">[1]Psychiatrie!#REF!</definedName>
    <definedName name="_2_0_F" localSheetId="7" hidden="1">[1]Psychiatrie!#REF!</definedName>
    <definedName name="_2_0_F" hidden="1">[1]Psychiatrie!#REF!</definedName>
    <definedName name="_Dist_Bin" localSheetId="9" hidden="1">#REF!</definedName>
    <definedName name="_Dist_Bin" localSheetId="7" hidden="1">#REF!</definedName>
    <definedName name="_Dist_Bin" hidden="1">#REF!</definedName>
    <definedName name="_Dist_Values" localSheetId="9" hidden="1">#REF!</definedName>
    <definedName name="_Dist_Values" localSheetId="7" hidden="1">#REF!</definedName>
    <definedName name="_Dist_Values" hidden="1">#REF!</definedName>
    <definedName name="_Fill" localSheetId="9" hidden="1">'[2]#REF'!#REF!</definedName>
    <definedName name="_Fill" localSheetId="7" hidden="1">'[2]#REF'!#REF!</definedName>
    <definedName name="_Fill" hidden="1">'[2]#REF'!#REF!</definedName>
    <definedName name="_xlnm._FilterDatabase" localSheetId="10" hidden="1">Reinigingsmiddelen!$A$4:$N$122</definedName>
    <definedName name="_xlnm._FilterDatabase" localSheetId="6" hidden="1">'Ruimtestaat'!$B$4:$S$106</definedName>
    <definedName name="_xlnm._FilterDatabase" localSheetId="14" hidden="1">Totalisatie!#REF!</definedName>
    <definedName name="_Key1" localSheetId="9" hidden="1">'[2]#REF'!#REF!</definedName>
    <definedName name="_Key1" localSheetId="7" hidden="1">'[2]#REF'!#REF!</definedName>
    <definedName name="_Key1" hidden="1">'[2]#REF'!#REF!</definedName>
    <definedName name="_Order1" hidden="1">255</definedName>
    <definedName name="_Sort" localSheetId="9" hidden="1">#REF!</definedName>
    <definedName name="_Sort" localSheetId="7" hidden="1">#REF!</definedName>
    <definedName name="_Sort" hidden="1">#REF!</definedName>
    <definedName name="_Table1_In1" localSheetId="9" hidden="1">#REF!</definedName>
    <definedName name="_Table1_In1" localSheetId="7" hidden="1">#REF!</definedName>
    <definedName name="_Table1_In1" hidden="1">#REF!</definedName>
    <definedName name="_Table1_Out" localSheetId="9" hidden="1">#REF!</definedName>
    <definedName name="_Table1_Out" localSheetId="7" hidden="1">#REF!</definedName>
    <definedName name="_Table1_Out" hidden="1">#REF!</definedName>
    <definedName name="_Toc233614100" localSheetId="13">'Regie en afroep'!#REF!</definedName>
    <definedName name="_Toc256089721" localSheetId="13">'Regie en afroep'!#REF!</definedName>
    <definedName name="AccessDatabase" hidden="1">"C:\data\excel\BASISWP.mdb"</definedName>
    <definedName name="_xlnm.Print_Area" localSheetId="9">'Extra werkzaamheden'!$A$1:$H$18</definedName>
    <definedName name="_xlnm.Print_Area" localSheetId="1">'Opleverstaat dagelijks'!#REF!</definedName>
    <definedName name="_xlnm.Print_Area" localSheetId="5">Prestatiefactoren!$A$1:$F$50</definedName>
    <definedName name="_xlnm.Print_Area" localSheetId="13">'Regie en afroep'!$A$1:$D$41</definedName>
    <definedName name="_xlnm.Print_Area" localSheetId="6">'Ruimtestaat'!$A$1:$AG$106</definedName>
    <definedName name="_xlnm.Print_Area" localSheetId="4">Tariefsopbouw!$A$1:$Q$42</definedName>
    <definedName name="_xlnm.Print_Area" localSheetId="14">Totalisatie!$A$1:$H$25</definedName>
    <definedName name="_xlnm.Print_Area" localSheetId="7">Vloeronderhoud!$A$1:$H$25</definedName>
    <definedName name="_xlnm.Print_Area" localSheetId="3">'Werkprogramma dieptereinigen'!$A$1:$A$15</definedName>
    <definedName name="_xlnm.Print_Titles" localSheetId="6">'Ruimtestaat'!$A:$H,'Ruimtestaat'!$2:$4</definedName>
    <definedName name="arbeidsprestatie" localSheetId="9">Prestatiefactoren!#REF!</definedName>
    <definedName name="arbeidsprestatie" localSheetId="7">Prestatiefactoren!#REF!</definedName>
    <definedName name="arbeidsprestatie">Prestatiefactoren!#REF!</definedName>
    <definedName name="freq" localSheetId="9">'Opleverstaat dagelijks'!#REF!</definedName>
    <definedName name="freq" localSheetId="7">'Opleverstaat dagelijks'!#REF!</definedName>
    <definedName name="freq">'Opleverstaat dagelijks'!#REF!</definedName>
    <definedName name="OLE_LINK9" localSheetId="13">'Regie en afroep'!#REF!</definedName>
    <definedName name="programma">#REF!</definedName>
    <definedName name="R_Code" localSheetId="9">Prestatiefactoren!#REF!</definedName>
    <definedName name="R_Code" localSheetId="7">Prestatiefactoren!#REF!</definedName>
    <definedName name="R_Code">Prestatiefactoren!#REF!</definedName>
    <definedName name="Vl_Code" localSheetId="9">Prestatiefactoren!#REF!</definedName>
    <definedName name="Vl_Code" localSheetId="7">Prestatiefactoren!#REF!</definedName>
    <definedName name="Vl_Code">Prestatiefactoren!#REF!</definedName>
    <definedName name="vloer" localSheetId="9">'Opleverstaat dagelijks'!#REF!</definedName>
    <definedName name="vloer" localSheetId="7">'Opleverstaat dagelijks'!#REF!</definedName>
    <definedName name="vloer">'Opleverstaat dagelijks'!#REF!</definedName>
    <definedName name="wk" localSheetId="9">'Opleverstaat dagelijks'!#REF!</definedName>
    <definedName name="wk" localSheetId="7">'Opleverstaat dagelijks'!#REF!</definedName>
    <definedName name="wk">'Opleverstaat dagelijks'!#REF!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9" l="1"/>
  <c r="H13" i="19"/>
  <c r="H14" i="19"/>
  <c r="H15" i="19"/>
  <c r="H3" i="34"/>
  <c r="G28" i="29"/>
  <c r="H6" i="34"/>
  <c r="H5" i="34"/>
  <c r="H4" i="34"/>
  <c r="J125" i="31"/>
  <c r="B13" i="33"/>
  <c r="H7" i="34" l="1"/>
  <c r="H16" i="19"/>
  <c r="I5" i="31"/>
  <c r="K5" i="31" s="1"/>
  <c r="I6" i="31"/>
  <c r="K6" i="31" s="1"/>
  <c r="I7" i="31"/>
  <c r="K7" i="31" s="1"/>
  <c r="I8" i="31"/>
  <c r="K8" i="31" s="1"/>
  <c r="G12" i="19" s="1"/>
  <c r="I9" i="31"/>
  <c r="K9" i="31" s="1"/>
  <c r="I10" i="31"/>
  <c r="K10" i="31" s="1"/>
  <c r="I11" i="31"/>
  <c r="K11" i="31" s="1"/>
  <c r="I12" i="31"/>
  <c r="K12" i="31" s="1"/>
  <c r="I13" i="31"/>
  <c r="K13" i="31" s="1"/>
  <c r="I14" i="31"/>
  <c r="K14" i="31" s="1"/>
  <c r="I15" i="31"/>
  <c r="K15" i="31" s="1"/>
  <c r="I16" i="31"/>
  <c r="K16" i="31" s="1"/>
  <c r="I17" i="31"/>
  <c r="K17" i="31" s="1"/>
  <c r="I18" i="31"/>
  <c r="K18" i="31" s="1"/>
  <c r="I19" i="31"/>
  <c r="K19" i="31" s="1"/>
  <c r="I20" i="31"/>
  <c r="K20" i="31" s="1"/>
  <c r="I21" i="31"/>
  <c r="K21" i="31" s="1"/>
  <c r="I22" i="31"/>
  <c r="K22" i="31" s="1"/>
  <c r="I23" i="31"/>
  <c r="K23" i="31" s="1"/>
  <c r="I24" i="31"/>
  <c r="K24" i="31" s="1"/>
  <c r="I25" i="31"/>
  <c r="K25" i="31" s="1"/>
  <c r="G15" i="19" s="1"/>
  <c r="I15" i="19" s="1"/>
  <c r="I26" i="31"/>
  <c r="K26" i="31" s="1"/>
  <c r="I27" i="31"/>
  <c r="K27" i="31" s="1"/>
  <c r="I28" i="31"/>
  <c r="K28" i="31" s="1"/>
  <c r="I29" i="31"/>
  <c r="K29" i="31" s="1"/>
  <c r="I30" i="31"/>
  <c r="K30" i="31" s="1"/>
  <c r="I31" i="31"/>
  <c r="K31" i="31" s="1"/>
  <c r="I32" i="31"/>
  <c r="K32" i="31" s="1"/>
  <c r="I33" i="31"/>
  <c r="K33" i="31" s="1"/>
  <c r="I34" i="31"/>
  <c r="K34" i="31" s="1"/>
  <c r="I35" i="31"/>
  <c r="K35" i="31" s="1"/>
  <c r="I36" i="31"/>
  <c r="K36" i="31" s="1"/>
  <c r="I37" i="31"/>
  <c r="K37" i="31" s="1"/>
  <c r="I38" i="31"/>
  <c r="K38" i="31" s="1"/>
  <c r="I39" i="31"/>
  <c r="K39" i="31" s="1"/>
  <c r="I40" i="31"/>
  <c r="K40" i="31" s="1"/>
  <c r="I41" i="31"/>
  <c r="K41" i="31" s="1"/>
  <c r="I42" i="31"/>
  <c r="K42" i="31" s="1"/>
  <c r="I43" i="31"/>
  <c r="K43" i="31" s="1"/>
  <c r="I44" i="31"/>
  <c r="K44" i="31" s="1"/>
  <c r="I45" i="31"/>
  <c r="K45" i="31" s="1"/>
  <c r="I46" i="31"/>
  <c r="K46" i="31" s="1"/>
  <c r="I47" i="31"/>
  <c r="K47" i="31" s="1"/>
  <c r="I48" i="31"/>
  <c r="K48" i="31" s="1"/>
  <c r="I49" i="31"/>
  <c r="K49" i="31" s="1"/>
  <c r="I50" i="31"/>
  <c r="K50" i="31" s="1"/>
  <c r="I51" i="31"/>
  <c r="K51" i="31" s="1"/>
  <c r="I52" i="31"/>
  <c r="K52" i="31" s="1"/>
  <c r="I53" i="31"/>
  <c r="K53" i="31" s="1"/>
  <c r="I54" i="31"/>
  <c r="K54" i="31" s="1"/>
  <c r="I55" i="31"/>
  <c r="K55" i="31" s="1"/>
  <c r="I56" i="31"/>
  <c r="K56" i="31" s="1"/>
  <c r="I57" i="31"/>
  <c r="K57" i="31" s="1"/>
  <c r="I58" i="31"/>
  <c r="K58" i="31" s="1"/>
  <c r="I59" i="31"/>
  <c r="K59" i="31" s="1"/>
  <c r="I60" i="31"/>
  <c r="K60" i="31" s="1"/>
  <c r="I61" i="31"/>
  <c r="K61" i="31" s="1"/>
  <c r="I62" i="31"/>
  <c r="K62" i="31" s="1"/>
  <c r="I63" i="31"/>
  <c r="K63" i="31" s="1"/>
  <c r="I64" i="31"/>
  <c r="K64" i="31" s="1"/>
  <c r="I65" i="31"/>
  <c r="K65" i="31" s="1"/>
  <c r="I66" i="31"/>
  <c r="K66" i="31" s="1"/>
  <c r="I67" i="31"/>
  <c r="K67" i="31" s="1"/>
  <c r="I68" i="31"/>
  <c r="K68" i="31" s="1"/>
  <c r="I69" i="31"/>
  <c r="K69" i="31" s="1"/>
  <c r="I70" i="31"/>
  <c r="K70" i="31" s="1"/>
  <c r="I71" i="31"/>
  <c r="K71" i="31" s="1"/>
  <c r="I72" i="31"/>
  <c r="K72" i="31" s="1"/>
  <c r="I73" i="31"/>
  <c r="K73" i="31" s="1"/>
  <c r="I74" i="31"/>
  <c r="K74" i="31" s="1"/>
  <c r="I75" i="31"/>
  <c r="K75" i="31" s="1"/>
  <c r="I76" i="31"/>
  <c r="K76" i="31" s="1"/>
  <c r="I77" i="31"/>
  <c r="K77" i="31" s="1"/>
  <c r="I78" i="31"/>
  <c r="K78" i="31" s="1"/>
  <c r="I79" i="31"/>
  <c r="K79" i="31" s="1"/>
  <c r="I80" i="31"/>
  <c r="K80" i="31" s="1"/>
  <c r="I81" i="31"/>
  <c r="K81" i="31" s="1"/>
  <c r="I82" i="31"/>
  <c r="K82" i="31" s="1"/>
  <c r="I83" i="31"/>
  <c r="K83" i="31" s="1"/>
  <c r="I84" i="31"/>
  <c r="K84" i="31" s="1"/>
  <c r="I85" i="31"/>
  <c r="K85" i="31" s="1"/>
  <c r="I86" i="31"/>
  <c r="K86" i="31" s="1"/>
  <c r="I87" i="31"/>
  <c r="K87" i="31" s="1"/>
  <c r="I88" i="31"/>
  <c r="K88" i="31" s="1"/>
  <c r="I89" i="31"/>
  <c r="K89" i="31" s="1"/>
  <c r="I90" i="31"/>
  <c r="K90" i="31" s="1"/>
  <c r="I91" i="31"/>
  <c r="K91" i="31" s="1"/>
  <c r="I92" i="31"/>
  <c r="K92" i="31" s="1"/>
  <c r="I93" i="31"/>
  <c r="K93" i="31" s="1"/>
  <c r="I94" i="31"/>
  <c r="K94" i="31" s="1"/>
  <c r="I95" i="31"/>
  <c r="K95" i="31" s="1"/>
  <c r="I96" i="31"/>
  <c r="K96" i="31" s="1"/>
  <c r="I97" i="31"/>
  <c r="K97" i="31" s="1"/>
  <c r="I98" i="31"/>
  <c r="K98" i="31" s="1"/>
  <c r="I99" i="31"/>
  <c r="K99" i="31" s="1"/>
  <c r="I100" i="31"/>
  <c r="K100" i="31" s="1"/>
  <c r="I101" i="31"/>
  <c r="K101" i="31" s="1"/>
  <c r="I102" i="31"/>
  <c r="K102" i="31" s="1"/>
  <c r="I103" i="31"/>
  <c r="K103" i="31" s="1"/>
  <c r="I104" i="31"/>
  <c r="K104" i="31" s="1"/>
  <c r="I105" i="31"/>
  <c r="K105" i="31" s="1"/>
  <c r="I106" i="31"/>
  <c r="K106" i="31" s="1"/>
  <c r="I107" i="31"/>
  <c r="K107" i="31" s="1"/>
  <c r="I108" i="31"/>
  <c r="K108" i="31" s="1"/>
  <c r="I109" i="31"/>
  <c r="K109" i="31" s="1"/>
  <c r="I110" i="31"/>
  <c r="K110" i="31" s="1"/>
  <c r="I111" i="31"/>
  <c r="K111" i="31" s="1"/>
  <c r="I112" i="31"/>
  <c r="K112" i="31" s="1"/>
  <c r="I113" i="31"/>
  <c r="K113" i="31" s="1"/>
  <c r="I114" i="31"/>
  <c r="K114" i="31" s="1"/>
  <c r="I115" i="31"/>
  <c r="K115" i="31" s="1"/>
  <c r="I116" i="31"/>
  <c r="K116" i="31" s="1"/>
  <c r="I117" i="31"/>
  <c r="K117" i="31" s="1"/>
  <c r="I118" i="31"/>
  <c r="K118" i="31" s="1"/>
  <c r="I119" i="31"/>
  <c r="K119" i="31" s="1"/>
  <c r="I120" i="31"/>
  <c r="K120" i="31" s="1"/>
  <c r="I121" i="31"/>
  <c r="K121" i="31" s="1"/>
  <c r="I122" i="31"/>
  <c r="K122" i="31" s="1"/>
  <c r="G14" i="19" l="1"/>
  <c r="I14" i="19" s="1"/>
  <c r="G13" i="19"/>
  <c r="I13" i="19" s="1"/>
  <c r="K124" i="31"/>
  <c r="E17" i="26"/>
  <c r="B17" i="26"/>
  <c r="D17" i="26"/>
  <c r="H17" i="26"/>
  <c r="D24" i="29"/>
  <c r="D25" i="29"/>
  <c r="D26" i="29"/>
  <c r="D27" i="29"/>
  <c r="D28" i="29"/>
  <c r="D29" i="29"/>
  <c r="G16" i="19" l="1"/>
  <c r="G29" i="29"/>
  <c r="H29" i="29" s="1"/>
  <c r="H28" i="29"/>
  <c r="G27" i="29"/>
  <c r="H27" i="29" s="1"/>
  <c r="G26" i="29"/>
  <c r="H26" i="29" s="1"/>
  <c r="G25" i="29"/>
  <c r="H25" i="29" s="1"/>
  <c r="G24" i="29"/>
  <c r="D23" i="25"/>
  <c r="Z45" i="13"/>
  <c r="AB45" i="13" s="1"/>
  <c r="T45" i="13"/>
  <c r="V45" i="13" s="1"/>
  <c r="P45" i="13"/>
  <c r="K45" i="13"/>
  <c r="E45" i="13"/>
  <c r="D45" i="13"/>
  <c r="C45" i="13"/>
  <c r="B45" i="13"/>
  <c r="G30" i="29" l="1"/>
  <c r="H24" i="29"/>
  <c r="H30" i="29" s="1"/>
  <c r="AE45" i="13"/>
  <c r="AC45" i="13"/>
  <c r="AA45" i="13"/>
  <c r="U45" i="13"/>
  <c r="W45" i="13" s="1"/>
  <c r="AF45" i="13" l="1"/>
  <c r="I32" i="2" l="1"/>
  <c r="K32" i="2" s="1"/>
  <c r="M32" i="2" s="1"/>
  <c r="O32" i="2" s="1"/>
  <c r="Q32" i="2" s="1"/>
  <c r="I31" i="2"/>
  <c r="K31" i="2" s="1"/>
  <c r="M31" i="2" s="1"/>
  <c r="O31" i="2" s="1"/>
  <c r="Q31" i="2" s="1"/>
  <c r="I30" i="2"/>
  <c r="K30" i="2" s="1"/>
  <c r="M30" i="2" s="1"/>
  <c r="O30" i="2" s="1"/>
  <c r="Q30" i="2" s="1"/>
  <c r="I25" i="2"/>
  <c r="K25" i="2" s="1"/>
  <c r="M25" i="2" s="1"/>
  <c r="O25" i="2" s="1"/>
  <c r="Q25" i="2" s="1"/>
  <c r="I23" i="2"/>
  <c r="K23" i="2" s="1"/>
  <c r="M23" i="2" s="1"/>
  <c r="O23" i="2" s="1"/>
  <c r="Q23" i="2" s="1"/>
  <c r="I22" i="2"/>
  <c r="K22" i="2" s="1"/>
  <c r="M22" i="2" s="1"/>
  <c r="O22" i="2" s="1"/>
  <c r="Q22" i="2" s="1"/>
  <c r="I21" i="2"/>
  <c r="K21" i="2" s="1"/>
  <c r="E9" i="2"/>
  <c r="E10" i="2" s="1"/>
  <c r="I10" i="2" s="1"/>
  <c r="K10" i="2" s="1"/>
  <c r="M10" i="2" s="1"/>
  <c r="O10" i="2" s="1"/>
  <c r="Q10" i="2" s="1"/>
  <c r="D9" i="2"/>
  <c r="E8" i="2"/>
  <c r="E7" i="2"/>
  <c r="E6" i="2"/>
  <c r="E5" i="2"/>
  <c r="M21" i="2" l="1"/>
  <c r="E13" i="2"/>
  <c r="E15" i="2"/>
  <c r="I15" i="2" s="1"/>
  <c r="K15" i="2" s="1"/>
  <c r="M15" i="2" s="1"/>
  <c r="O15" i="2" s="1"/>
  <c r="Q15" i="2" s="1"/>
  <c r="E24" i="2"/>
  <c r="E14" i="2"/>
  <c r="I14" i="2" s="1"/>
  <c r="K14" i="2" s="1"/>
  <c r="M14" i="2" s="1"/>
  <c r="O14" i="2" s="1"/>
  <c r="Q14" i="2" s="1"/>
  <c r="E16" i="2"/>
  <c r="I16" i="2" s="1"/>
  <c r="K16" i="2" s="1"/>
  <c r="M16" i="2" s="1"/>
  <c r="O16" i="2" s="1"/>
  <c r="Q16" i="2" s="1"/>
  <c r="E17" i="2"/>
  <c r="I17" i="2" s="1"/>
  <c r="K17" i="2" s="1"/>
  <c r="M17" i="2" s="1"/>
  <c r="O17" i="2" s="1"/>
  <c r="Q17" i="2" s="1"/>
  <c r="I24" i="2" l="1"/>
  <c r="E26" i="2"/>
  <c r="I13" i="2"/>
  <c r="E18" i="2"/>
  <c r="O21" i="2"/>
  <c r="K24" i="2" l="1"/>
  <c r="I26" i="2"/>
  <c r="Q21" i="2"/>
  <c r="E29" i="2"/>
  <c r="K13" i="2"/>
  <c r="I18" i="2"/>
  <c r="K18" i="2" l="1"/>
  <c r="M13" i="2"/>
  <c r="I29" i="2"/>
  <c r="E33" i="2"/>
  <c r="M24" i="2"/>
  <c r="K26" i="2"/>
  <c r="O13" i="2" l="1"/>
  <c r="M18" i="2"/>
  <c r="O24" i="2"/>
  <c r="M26" i="2"/>
  <c r="K29" i="2"/>
  <c r="I33" i="2"/>
  <c r="I35" i="2" s="1"/>
  <c r="E35" i="2"/>
  <c r="D41" i="2"/>
  <c r="D40" i="2"/>
  <c r="AD45" i="13" s="1"/>
  <c r="D39" i="2"/>
  <c r="X45" i="13" l="1"/>
  <c r="AG45" i="13" s="1"/>
  <c r="E41" i="2"/>
  <c r="D21" i="2"/>
  <c r="D30" i="2"/>
  <c r="D38" i="2"/>
  <c r="D31" i="2"/>
  <c r="D25" i="2"/>
  <c r="D32" i="2"/>
  <c r="D23" i="2"/>
  <c r="D22" i="2"/>
  <c r="Q13" i="2"/>
  <c r="Q18" i="2" s="1"/>
  <c r="O18" i="2"/>
  <c r="I37" i="2"/>
  <c r="K33" i="2"/>
  <c r="K35" i="2" s="1"/>
  <c r="K37" i="2" s="1"/>
  <c r="M29" i="2"/>
  <c r="E39" i="2"/>
  <c r="E40" i="2"/>
  <c r="Q24" i="2"/>
  <c r="Q26" i="2" s="1"/>
  <c r="O26" i="2"/>
  <c r="I39" i="2" l="1"/>
  <c r="F10" i="26"/>
  <c r="G10" i="26" s="1"/>
  <c r="K39" i="2"/>
  <c r="I41" i="2"/>
  <c r="K41" i="2" s="1"/>
  <c r="E12" i="29"/>
  <c r="F12" i="29" s="1"/>
  <c r="E16" i="29"/>
  <c r="F16" i="29" s="1"/>
  <c r="E20" i="29"/>
  <c r="F20" i="29" s="1"/>
  <c r="E9" i="29"/>
  <c r="F9" i="29" s="1"/>
  <c r="E13" i="29"/>
  <c r="F13" i="29" s="1"/>
  <c r="E17" i="29"/>
  <c r="F17" i="29" s="1"/>
  <c r="E21" i="29"/>
  <c r="F21" i="29" s="1"/>
  <c r="E10" i="29"/>
  <c r="F10" i="29" s="1"/>
  <c r="E14" i="29"/>
  <c r="F14" i="29" s="1"/>
  <c r="E18" i="29"/>
  <c r="F18" i="29" s="1"/>
  <c r="E11" i="29"/>
  <c r="F11" i="29" s="1"/>
  <c r="E15" i="29"/>
  <c r="F15" i="29" s="1"/>
  <c r="E19" i="29"/>
  <c r="F19" i="29" s="1"/>
  <c r="E10" i="24"/>
  <c r="F10" i="24" s="1"/>
  <c r="E14" i="24"/>
  <c r="F14" i="24" s="1"/>
  <c r="E18" i="24"/>
  <c r="F18" i="24" s="1"/>
  <c r="E22" i="24"/>
  <c r="F22" i="24" s="1"/>
  <c r="E26" i="24"/>
  <c r="F26" i="24" s="1"/>
  <c r="E30" i="24"/>
  <c r="F30" i="24" s="1"/>
  <c r="E34" i="24"/>
  <c r="F34" i="24" s="1"/>
  <c r="E38" i="24"/>
  <c r="F38" i="24" s="1"/>
  <c r="F11" i="26"/>
  <c r="G11" i="26" s="1"/>
  <c r="E11" i="25"/>
  <c r="F11" i="25" s="1"/>
  <c r="E15" i="25"/>
  <c r="F15" i="25" s="1"/>
  <c r="E12" i="25"/>
  <c r="F12" i="25" s="1"/>
  <c r="E13" i="24"/>
  <c r="F13" i="24" s="1"/>
  <c r="E21" i="24"/>
  <c r="F21" i="24" s="1"/>
  <c r="E29" i="24"/>
  <c r="F29" i="24" s="1"/>
  <c r="E33" i="24"/>
  <c r="F33" i="24" s="1"/>
  <c r="F9" i="26"/>
  <c r="G9" i="26" s="1"/>
  <c r="E10" i="25"/>
  <c r="F10" i="25" s="1"/>
  <c r="E11" i="24"/>
  <c r="F11" i="24" s="1"/>
  <c r="E15" i="24"/>
  <c r="F15" i="24" s="1"/>
  <c r="E19" i="24"/>
  <c r="F19" i="24" s="1"/>
  <c r="E23" i="24"/>
  <c r="F23" i="24" s="1"/>
  <c r="E27" i="24"/>
  <c r="F27" i="24" s="1"/>
  <c r="E31" i="24"/>
  <c r="F31" i="24" s="1"/>
  <c r="E35" i="24"/>
  <c r="F35" i="24" s="1"/>
  <c r="E39" i="24"/>
  <c r="F39" i="24" s="1"/>
  <c r="E16" i="25"/>
  <c r="F16" i="25" s="1"/>
  <c r="E9" i="24"/>
  <c r="F9" i="24" s="1"/>
  <c r="E17" i="24"/>
  <c r="F17" i="24" s="1"/>
  <c r="E25" i="24"/>
  <c r="F25" i="24" s="1"/>
  <c r="E37" i="24"/>
  <c r="F37" i="24" s="1"/>
  <c r="E14" i="25"/>
  <c r="F14" i="25" s="1"/>
  <c r="E12" i="24"/>
  <c r="F12" i="24" s="1"/>
  <c r="E16" i="24"/>
  <c r="F16" i="24" s="1"/>
  <c r="E20" i="24"/>
  <c r="F20" i="24" s="1"/>
  <c r="E24" i="24"/>
  <c r="F24" i="24" s="1"/>
  <c r="E28" i="24"/>
  <c r="F28" i="24" s="1"/>
  <c r="E32" i="24"/>
  <c r="F32" i="24" s="1"/>
  <c r="E36" i="24"/>
  <c r="F36" i="24" s="1"/>
  <c r="E40" i="24"/>
  <c r="F40" i="24" s="1"/>
  <c r="E9" i="25"/>
  <c r="F9" i="25" s="1"/>
  <c r="E13" i="25"/>
  <c r="F13" i="25" s="1"/>
  <c r="E17" i="25"/>
  <c r="F17" i="25" s="1"/>
  <c r="I40" i="2"/>
  <c r="K40" i="2" s="1"/>
  <c r="O29" i="2"/>
  <c r="M33" i="2"/>
  <c r="M35" i="2" s="1"/>
  <c r="M37" i="2" s="1"/>
  <c r="I38" i="2"/>
  <c r="K38" i="2" s="1"/>
  <c r="E38" i="2"/>
  <c r="H10" i="26" l="1"/>
  <c r="G36" i="24"/>
  <c r="G15" i="24"/>
  <c r="G33" i="24"/>
  <c r="G28" i="24"/>
  <c r="G12" i="24"/>
  <c r="G17" i="24"/>
  <c r="G39" i="24"/>
  <c r="G23" i="24"/>
  <c r="G21" i="24"/>
  <c r="G32" i="24"/>
  <c r="G16" i="24"/>
  <c r="G25" i="24"/>
  <c r="G27" i="24"/>
  <c r="G11" i="24"/>
  <c r="G29" i="24"/>
  <c r="G34" i="24"/>
  <c r="G18" i="24"/>
  <c r="G15" i="29"/>
  <c r="G10" i="29"/>
  <c r="G9" i="29"/>
  <c r="G30" i="24"/>
  <c r="G14" i="24"/>
  <c r="G11" i="29"/>
  <c r="G21" i="29"/>
  <c r="G20" i="29"/>
  <c r="G40" i="24"/>
  <c r="G24" i="24"/>
  <c r="G9" i="24"/>
  <c r="G35" i="24"/>
  <c r="G19" i="24"/>
  <c r="H9" i="26"/>
  <c r="G13" i="24"/>
  <c r="H11" i="26"/>
  <c r="G26" i="24"/>
  <c r="G10" i="24"/>
  <c r="G18" i="29"/>
  <c r="G17" i="29"/>
  <c r="G16" i="29"/>
  <c r="M41" i="2"/>
  <c r="G9" i="25"/>
  <c r="G13" i="25"/>
  <c r="G17" i="25"/>
  <c r="G14" i="25"/>
  <c r="G16" i="25"/>
  <c r="G10" i="25"/>
  <c r="G12" i="25"/>
  <c r="G11" i="25"/>
  <c r="G15" i="25"/>
  <c r="G20" i="24"/>
  <c r="G37" i="24"/>
  <c r="G31" i="24"/>
  <c r="G38" i="24"/>
  <c r="G22" i="24"/>
  <c r="G19" i="29"/>
  <c r="G14" i="29"/>
  <c r="G13" i="29"/>
  <c r="G12" i="29"/>
  <c r="Q29" i="2"/>
  <c r="Q33" i="2" s="1"/>
  <c r="Q35" i="2" s="1"/>
  <c r="O33" i="2"/>
  <c r="O35" i="2" s="1"/>
  <c r="O37" i="2" s="1"/>
  <c r="M39" i="2"/>
  <c r="M38" i="2"/>
  <c r="M40" i="2"/>
  <c r="I10" i="26" l="1"/>
  <c r="O41" i="2"/>
  <c r="H10" i="25"/>
  <c r="H14" i="25"/>
  <c r="H11" i="25"/>
  <c r="H15" i="25"/>
  <c r="H17" i="25"/>
  <c r="H9" i="25"/>
  <c r="H13" i="25"/>
  <c r="H12" i="25"/>
  <c r="H16" i="25"/>
  <c r="H14" i="29"/>
  <c r="H31" i="24"/>
  <c r="H40" i="24"/>
  <c r="H14" i="24"/>
  <c r="H15" i="29"/>
  <c r="H16" i="24"/>
  <c r="H18" i="29"/>
  <c r="H13" i="24"/>
  <c r="H17" i="24"/>
  <c r="H24" i="24"/>
  <c r="H27" i="24"/>
  <c r="H19" i="29"/>
  <c r="H37" i="24"/>
  <c r="I9" i="26"/>
  <c r="H15" i="24"/>
  <c r="H23" i="24"/>
  <c r="H34" i="24"/>
  <c r="H32" i="24"/>
  <c r="H10" i="24"/>
  <c r="H19" i="24"/>
  <c r="H9" i="29"/>
  <c r="H30" i="24"/>
  <c r="H33" i="24"/>
  <c r="O38" i="2"/>
  <c r="H12" i="29"/>
  <c r="H22" i="24"/>
  <c r="H20" i="24"/>
  <c r="H35" i="24"/>
  <c r="H20" i="29"/>
  <c r="H28" i="24"/>
  <c r="H11" i="24"/>
  <c r="H16" i="29"/>
  <c r="H26" i="24"/>
  <c r="H36" i="24"/>
  <c r="H29" i="24"/>
  <c r="H21" i="24"/>
  <c r="H39" i="24"/>
  <c r="I39" i="24" s="1"/>
  <c r="O39" i="2"/>
  <c r="H13" i="29"/>
  <c r="H38" i="24"/>
  <c r="H9" i="24"/>
  <c r="H11" i="29"/>
  <c r="H10" i="29"/>
  <c r="H17" i="29"/>
  <c r="I11" i="26"/>
  <c r="J11" i="26" s="1"/>
  <c r="H21" i="29"/>
  <c r="H25" i="24"/>
  <c r="H12" i="24"/>
  <c r="H18" i="24"/>
  <c r="O40" i="2"/>
  <c r="Q37" i="2"/>
  <c r="I17" i="29" l="1"/>
  <c r="I28" i="24"/>
  <c r="I30" i="24"/>
  <c r="J9" i="26"/>
  <c r="I16" i="24"/>
  <c r="J10" i="26"/>
  <c r="I32" i="24"/>
  <c r="I24" i="24"/>
  <c r="I11" i="29"/>
  <c r="I36" i="24"/>
  <c r="I18" i="24"/>
  <c r="I22" i="24"/>
  <c r="I31" i="24"/>
  <c r="I26" i="24"/>
  <c r="I12" i="24"/>
  <c r="I9" i="24"/>
  <c r="I20" i="29"/>
  <c r="I12" i="29"/>
  <c r="I9" i="29"/>
  <c r="I34" i="24"/>
  <c r="I37" i="24"/>
  <c r="I17" i="24"/>
  <c r="I15" i="29"/>
  <c r="I14" i="29"/>
  <c r="Q41" i="2"/>
  <c r="I11" i="25"/>
  <c r="I15" i="25"/>
  <c r="I16" i="25"/>
  <c r="I14" i="25"/>
  <c r="I12" i="25"/>
  <c r="I10" i="25"/>
  <c r="I9" i="25"/>
  <c r="I13" i="25"/>
  <c r="I17" i="25"/>
  <c r="I38" i="24"/>
  <c r="I16" i="29"/>
  <c r="I19" i="24"/>
  <c r="I23" i="24"/>
  <c r="I19" i="29"/>
  <c r="I13" i="24"/>
  <c r="I14" i="24"/>
  <c r="I25" i="24"/>
  <c r="I21" i="24"/>
  <c r="I35" i="24"/>
  <c r="I21" i="29"/>
  <c r="I10" i="29"/>
  <c r="I13" i="29"/>
  <c r="I29" i="24"/>
  <c r="I11" i="24"/>
  <c r="I20" i="24"/>
  <c r="I33" i="24"/>
  <c r="I10" i="24"/>
  <c r="I15" i="24"/>
  <c r="I27" i="24"/>
  <c r="I18" i="29"/>
  <c r="I40" i="24"/>
  <c r="Q38" i="2"/>
  <c r="Q39" i="2"/>
  <c r="Q40" i="2"/>
  <c r="F23" i="25" l="1"/>
  <c r="H23" i="25" s="1"/>
  <c r="B23" i="25"/>
  <c r="Z88" i="13"/>
  <c r="AA88" i="13" s="1"/>
  <c r="T88" i="13"/>
  <c r="U88" i="13" s="1"/>
  <c r="P88" i="13"/>
  <c r="K88" i="13"/>
  <c r="E88" i="13"/>
  <c r="D88" i="13"/>
  <c r="C88" i="13"/>
  <c r="B88" i="13"/>
  <c r="V88" i="13" l="1"/>
  <c r="W88" i="13" s="1"/>
  <c r="X88" i="13" s="1"/>
  <c r="AB88" i="13"/>
  <c r="AE88" i="13" l="1"/>
  <c r="AC88" i="13"/>
  <c r="AD88" i="13" s="1"/>
  <c r="AF88" i="13" l="1"/>
  <c r="Z20" i="13" l="1"/>
  <c r="AB20" i="13" s="1"/>
  <c r="T20" i="13"/>
  <c r="V20" i="13" s="1"/>
  <c r="P20" i="13"/>
  <c r="K20" i="13"/>
  <c r="E20" i="13"/>
  <c r="D20" i="13"/>
  <c r="C20" i="13"/>
  <c r="B20" i="13"/>
  <c r="Z5" i="13"/>
  <c r="AA5" i="13" s="1"/>
  <c r="T5" i="13"/>
  <c r="V5" i="13" s="1"/>
  <c r="P5" i="13"/>
  <c r="K5" i="13"/>
  <c r="E5" i="13"/>
  <c r="D5" i="13"/>
  <c r="C5" i="13"/>
  <c r="B5" i="13"/>
  <c r="AC20" i="13" l="1"/>
  <c r="AD20" i="13" s="1"/>
  <c r="AE20" i="13"/>
  <c r="U20" i="13"/>
  <c r="W20" i="13" s="1"/>
  <c r="X20" i="13" s="1"/>
  <c r="AA20" i="13"/>
  <c r="U5" i="13"/>
  <c r="W5" i="13" s="1"/>
  <c r="X5" i="13" s="1"/>
  <c r="AB5" i="13"/>
  <c r="AF20" i="13" l="1"/>
  <c r="AC5" i="13"/>
  <c r="AD5" i="13" s="1"/>
  <c r="AE5" i="13"/>
  <c r="K9" i="13"/>
  <c r="AF5" i="13" l="1"/>
  <c r="Z106" i="13" l="1"/>
  <c r="AB106" i="13" s="1"/>
  <c r="T106" i="13"/>
  <c r="V106" i="13" s="1"/>
  <c r="P106" i="13"/>
  <c r="K106" i="13"/>
  <c r="E106" i="13"/>
  <c r="D106" i="13"/>
  <c r="C106" i="13"/>
  <c r="B106" i="13"/>
  <c r="Z100" i="13"/>
  <c r="AB100" i="13" s="1"/>
  <c r="T100" i="13"/>
  <c r="V100" i="13" s="1"/>
  <c r="P100" i="13"/>
  <c r="K100" i="13"/>
  <c r="E100" i="13"/>
  <c r="D100" i="13"/>
  <c r="C100" i="13"/>
  <c r="B100" i="13"/>
  <c r="Z99" i="13"/>
  <c r="AB99" i="13" s="1"/>
  <c r="T99" i="13"/>
  <c r="V99" i="13" s="1"/>
  <c r="P99" i="13"/>
  <c r="K99" i="13"/>
  <c r="E99" i="13"/>
  <c r="D99" i="13"/>
  <c r="C99" i="13"/>
  <c r="B99" i="13"/>
  <c r="Z60" i="13"/>
  <c r="AB60" i="13" s="1"/>
  <c r="T60" i="13"/>
  <c r="V60" i="13" s="1"/>
  <c r="P60" i="13"/>
  <c r="K60" i="13"/>
  <c r="E60" i="13"/>
  <c r="D60" i="13"/>
  <c r="C60" i="13"/>
  <c r="B60" i="13"/>
  <c r="Z59" i="13"/>
  <c r="AA59" i="13" s="1"/>
  <c r="T59" i="13"/>
  <c r="V59" i="13" s="1"/>
  <c r="P59" i="13"/>
  <c r="K59" i="13"/>
  <c r="E59" i="13"/>
  <c r="D59" i="13"/>
  <c r="C59" i="13"/>
  <c r="B59" i="13"/>
  <c r="Z58" i="13"/>
  <c r="AA58" i="13" s="1"/>
  <c r="T58" i="13"/>
  <c r="U58" i="13" s="1"/>
  <c r="P58" i="13"/>
  <c r="K58" i="13"/>
  <c r="E58" i="13"/>
  <c r="D58" i="13"/>
  <c r="C58" i="13"/>
  <c r="B58" i="13"/>
  <c r="Z57" i="13"/>
  <c r="AB57" i="13" s="1"/>
  <c r="T57" i="13"/>
  <c r="V57" i="13" s="1"/>
  <c r="P57" i="13"/>
  <c r="K57" i="13"/>
  <c r="E57" i="13"/>
  <c r="D57" i="13"/>
  <c r="C57" i="13"/>
  <c r="B57" i="13"/>
  <c r="Z61" i="13"/>
  <c r="AB61" i="13" s="1"/>
  <c r="T61" i="13"/>
  <c r="V61" i="13" s="1"/>
  <c r="P61" i="13"/>
  <c r="K61" i="13"/>
  <c r="E61" i="13"/>
  <c r="D61" i="13"/>
  <c r="C61" i="13"/>
  <c r="B61" i="13"/>
  <c r="U106" i="13" l="1"/>
  <c r="W106" i="13" s="1"/>
  <c r="X106" i="13" s="1"/>
  <c r="AC106" i="13"/>
  <c r="AD106" i="13" s="1"/>
  <c r="AE106" i="13"/>
  <c r="AA106" i="13"/>
  <c r="U99" i="13"/>
  <c r="W99" i="13" s="1"/>
  <c r="X99" i="13" s="1"/>
  <c r="U100" i="13"/>
  <c r="W100" i="13" s="1"/>
  <c r="X100" i="13" s="1"/>
  <c r="AC100" i="13"/>
  <c r="AD100" i="13" s="1"/>
  <c r="AE100" i="13"/>
  <c r="AA100" i="13"/>
  <c r="AC99" i="13"/>
  <c r="AD99" i="13" s="1"/>
  <c r="AE99" i="13"/>
  <c r="AA99" i="13"/>
  <c r="U57" i="13"/>
  <c r="W57" i="13" s="1"/>
  <c r="X57" i="13" s="1"/>
  <c r="U60" i="13"/>
  <c r="W60" i="13" s="1"/>
  <c r="X60" i="13" s="1"/>
  <c r="AB58" i="13"/>
  <c r="AC58" i="13" s="1"/>
  <c r="AD58" i="13" s="1"/>
  <c r="AA57" i="13"/>
  <c r="V58" i="13"/>
  <c r="W58" i="13" s="1"/>
  <c r="X58" i="13" s="1"/>
  <c r="AB59" i="13"/>
  <c r="AC59" i="13" s="1"/>
  <c r="AD59" i="13" s="1"/>
  <c r="AC57" i="13"/>
  <c r="AD57" i="13" s="1"/>
  <c r="AE57" i="13"/>
  <c r="AC60" i="13"/>
  <c r="AD60" i="13" s="1"/>
  <c r="AE60" i="13"/>
  <c r="U59" i="13"/>
  <c r="W59" i="13" s="1"/>
  <c r="X59" i="13" s="1"/>
  <c r="AA60" i="13"/>
  <c r="U61" i="13"/>
  <c r="W61" i="13" s="1"/>
  <c r="X61" i="13" s="1"/>
  <c r="AC61" i="13"/>
  <c r="AD61" i="13" s="1"/>
  <c r="AE61" i="13"/>
  <c r="AA61" i="13"/>
  <c r="Z48" i="13"/>
  <c r="AA48" i="13" s="1"/>
  <c r="T48" i="13"/>
  <c r="V48" i="13" s="1"/>
  <c r="P48" i="13"/>
  <c r="K48" i="13"/>
  <c r="E48" i="13"/>
  <c r="D48" i="13"/>
  <c r="C48" i="13"/>
  <c r="B48" i="13"/>
  <c r="Z47" i="13"/>
  <c r="AB47" i="13" s="1"/>
  <c r="T47" i="13"/>
  <c r="V47" i="13" s="1"/>
  <c r="P47" i="13"/>
  <c r="K47" i="13"/>
  <c r="E47" i="13"/>
  <c r="D47" i="13"/>
  <c r="C47" i="13"/>
  <c r="B47" i="13"/>
  <c r="E29" i="13"/>
  <c r="D29" i="13"/>
  <c r="C29" i="13"/>
  <c r="B29" i="13"/>
  <c r="K29" i="13"/>
  <c r="P29" i="13"/>
  <c r="T29" i="13"/>
  <c r="U29" i="13" s="1"/>
  <c r="T28" i="13"/>
  <c r="Z29" i="13"/>
  <c r="AB29" i="13" s="1"/>
  <c r="AC29" i="13" s="1"/>
  <c r="AD29" i="13" s="1"/>
  <c r="AF106" i="13" l="1"/>
  <c r="AF100" i="13"/>
  <c r="AE59" i="13"/>
  <c r="AF99" i="13"/>
  <c r="AE58" i="13"/>
  <c r="AF59" i="13"/>
  <c r="AF58" i="13"/>
  <c r="AF60" i="13"/>
  <c r="AF57" i="13"/>
  <c r="AF61" i="13"/>
  <c r="U48" i="13"/>
  <c r="W48" i="13" s="1"/>
  <c r="X48" i="13" s="1"/>
  <c r="AB48" i="13"/>
  <c r="AA29" i="13"/>
  <c r="AE47" i="13"/>
  <c r="AC47" i="13"/>
  <c r="AD47" i="13" s="1"/>
  <c r="U47" i="13"/>
  <c r="W47" i="13" s="1"/>
  <c r="X47" i="13" s="1"/>
  <c r="AA47" i="13"/>
  <c r="V29" i="13"/>
  <c r="AE29" i="13" s="1"/>
  <c r="D15" i="26"/>
  <c r="D16" i="26"/>
  <c r="W29" i="13" l="1"/>
  <c r="X29" i="13" s="1"/>
  <c r="AC48" i="13"/>
  <c r="AD48" i="13" s="1"/>
  <c r="AE48" i="13"/>
  <c r="AF47" i="13"/>
  <c r="T38" i="13"/>
  <c r="U38" i="13" s="1"/>
  <c r="Z38" i="13"/>
  <c r="T39" i="13"/>
  <c r="Z39" i="13"/>
  <c r="T40" i="13"/>
  <c r="Z40" i="13"/>
  <c r="T41" i="13"/>
  <c r="Z41" i="13"/>
  <c r="AB41" i="13" s="1"/>
  <c r="T42" i="13"/>
  <c r="U42" i="13" s="1"/>
  <c r="Z42" i="13"/>
  <c r="T43" i="13"/>
  <c r="V43" i="13" s="1"/>
  <c r="Z43" i="13"/>
  <c r="AB43" i="13" s="1"/>
  <c r="T44" i="13"/>
  <c r="Z44" i="13"/>
  <c r="T46" i="13"/>
  <c r="Z46" i="13"/>
  <c r="T49" i="13"/>
  <c r="V49" i="13" s="1"/>
  <c r="Z49" i="13"/>
  <c r="T50" i="13"/>
  <c r="Z50" i="13"/>
  <c r="T51" i="13"/>
  <c r="Z51" i="13"/>
  <c r="AB51" i="13" s="1"/>
  <c r="T52" i="13"/>
  <c r="V52" i="13" s="1"/>
  <c r="Z52" i="13"/>
  <c r="AB52" i="13" s="1"/>
  <c r="AC52" i="13" s="1"/>
  <c r="AD52" i="13" s="1"/>
  <c r="T53" i="13"/>
  <c r="V53" i="13" s="1"/>
  <c r="Z53" i="13"/>
  <c r="T54" i="13"/>
  <c r="Z54" i="13"/>
  <c r="T55" i="13"/>
  <c r="U55" i="13" s="1"/>
  <c r="Z55" i="13"/>
  <c r="T56" i="13"/>
  <c r="Z56" i="13"/>
  <c r="AB56" i="13" s="1"/>
  <c r="T62" i="13"/>
  <c r="Z62" i="13"/>
  <c r="T63" i="13"/>
  <c r="Z63" i="13"/>
  <c r="T64" i="13"/>
  <c r="U64" i="13" s="1"/>
  <c r="W64" i="13" s="1"/>
  <c r="X64" i="13" s="1"/>
  <c r="Z64" i="13"/>
  <c r="AB64" i="13" s="1"/>
  <c r="T65" i="13"/>
  <c r="U65" i="13" s="1"/>
  <c r="Z65" i="13"/>
  <c r="AB65" i="13" s="1"/>
  <c r="AC65" i="13" s="1"/>
  <c r="AD65" i="13" s="1"/>
  <c r="T66" i="13"/>
  <c r="V66" i="13" s="1"/>
  <c r="Z66" i="13"/>
  <c r="T67" i="13"/>
  <c r="Z67" i="13"/>
  <c r="AB67" i="13" s="1"/>
  <c r="AC67" i="13" s="1"/>
  <c r="AD67" i="13" s="1"/>
  <c r="T68" i="13"/>
  <c r="U68" i="13" s="1"/>
  <c r="Z68" i="13"/>
  <c r="AA68" i="13" s="1"/>
  <c r="T69" i="13"/>
  <c r="U69" i="13" s="1"/>
  <c r="Z69" i="13"/>
  <c r="T70" i="13"/>
  <c r="Z70" i="13"/>
  <c r="T71" i="13"/>
  <c r="Z71" i="13"/>
  <c r="AA71" i="13" s="1"/>
  <c r="T72" i="13"/>
  <c r="Z72" i="13"/>
  <c r="AB72" i="13" s="1"/>
  <c r="T73" i="13"/>
  <c r="V73" i="13" s="1"/>
  <c r="Z73" i="13"/>
  <c r="T74" i="13"/>
  <c r="Z74" i="13"/>
  <c r="T75" i="13"/>
  <c r="Z75" i="13"/>
  <c r="AA75" i="13" s="1"/>
  <c r="T76" i="13"/>
  <c r="V76" i="13" s="1"/>
  <c r="Z76" i="13"/>
  <c r="T77" i="13"/>
  <c r="Z77" i="13"/>
  <c r="T78" i="13"/>
  <c r="Z78" i="13"/>
  <c r="AA78" i="13" s="1"/>
  <c r="T79" i="13"/>
  <c r="U79" i="13" s="1"/>
  <c r="Z79" i="13"/>
  <c r="AB79" i="13" s="1"/>
  <c r="AC79" i="13" s="1"/>
  <c r="AD79" i="13" s="1"/>
  <c r="T80" i="13"/>
  <c r="U80" i="13" s="1"/>
  <c r="Z80" i="13"/>
  <c r="AB80" i="13" s="1"/>
  <c r="T81" i="13"/>
  <c r="V81" i="13" s="1"/>
  <c r="Z81" i="13"/>
  <c r="T82" i="13"/>
  <c r="Z82" i="13"/>
  <c r="T83" i="13"/>
  <c r="U83" i="13" s="1"/>
  <c r="Z83" i="13"/>
  <c r="AA83" i="13" s="1"/>
  <c r="T84" i="13"/>
  <c r="Z84" i="13"/>
  <c r="AB84" i="13" s="1"/>
  <c r="T85" i="13"/>
  <c r="Z85" i="13"/>
  <c r="T86" i="13"/>
  <c r="Z86" i="13"/>
  <c r="AB86" i="13" s="1"/>
  <c r="AC86" i="13" s="1"/>
  <c r="AD86" i="13" s="1"/>
  <c r="T87" i="13"/>
  <c r="V87" i="13" s="1"/>
  <c r="Z87" i="13"/>
  <c r="T89" i="13"/>
  <c r="Z89" i="13"/>
  <c r="AB89" i="13" s="1"/>
  <c r="AC89" i="13" s="1"/>
  <c r="AD89" i="13" s="1"/>
  <c r="T90" i="13"/>
  <c r="Z90" i="13"/>
  <c r="AA90" i="13" s="1"/>
  <c r="T91" i="13"/>
  <c r="U91" i="13" s="1"/>
  <c r="Z91" i="13"/>
  <c r="T92" i="13"/>
  <c r="Z92" i="13"/>
  <c r="T93" i="13"/>
  <c r="Z93" i="13"/>
  <c r="AA93" i="13" s="1"/>
  <c r="T94" i="13"/>
  <c r="Z94" i="13"/>
  <c r="T95" i="13"/>
  <c r="Z95" i="13"/>
  <c r="T96" i="13"/>
  <c r="Z96" i="13"/>
  <c r="T97" i="13"/>
  <c r="Z97" i="13"/>
  <c r="T98" i="13"/>
  <c r="V98" i="13" s="1"/>
  <c r="Z98" i="13"/>
  <c r="AB98" i="13" s="1"/>
  <c r="T101" i="13"/>
  <c r="V101" i="13" s="1"/>
  <c r="Z101" i="13"/>
  <c r="AB101" i="13" s="1"/>
  <c r="AC101" i="13" s="1"/>
  <c r="AD101" i="13" s="1"/>
  <c r="T102" i="13"/>
  <c r="V102" i="13" s="1"/>
  <c r="Z102" i="13"/>
  <c r="AA102" i="13" s="1"/>
  <c r="T103" i="13"/>
  <c r="U103" i="13" s="1"/>
  <c r="Z103" i="13"/>
  <c r="AB103" i="13" s="1"/>
  <c r="T104" i="13"/>
  <c r="V104" i="13" s="1"/>
  <c r="Z104" i="13"/>
  <c r="T105" i="13"/>
  <c r="V105" i="13" s="1"/>
  <c r="Z105" i="13"/>
  <c r="AB105" i="13" s="1"/>
  <c r="AC105" i="13" s="1"/>
  <c r="AD105" i="13" s="1"/>
  <c r="T7" i="13"/>
  <c r="U7" i="13" s="1"/>
  <c r="Z7" i="13"/>
  <c r="AA7" i="13" s="1"/>
  <c r="T8" i="13"/>
  <c r="Z8" i="13"/>
  <c r="AB8" i="13" s="1"/>
  <c r="AC8" i="13" s="1"/>
  <c r="AD8" i="13" s="1"/>
  <c r="T9" i="13"/>
  <c r="V9" i="13" s="1"/>
  <c r="Z9" i="13"/>
  <c r="T10" i="13"/>
  <c r="Z10" i="13"/>
  <c r="AA10" i="13" s="1"/>
  <c r="T11" i="13"/>
  <c r="U11" i="13" s="1"/>
  <c r="Z11" i="13"/>
  <c r="AA11" i="13" s="1"/>
  <c r="T12" i="13"/>
  <c r="V12" i="13" s="1"/>
  <c r="Z12" i="13"/>
  <c r="AB12" i="13" s="1"/>
  <c r="AC12" i="13" s="1"/>
  <c r="AD12" i="13" s="1"/>
  <c r="T13" i="13"/>
  <c r="V13" i="13" s="1"/>
  <c r="Z13" i="13"/>
  <c r="T14" i="13"/>
  <c r="Z14" i="13"/>
  <c r="AA14" i="13" s="1"/>
  <c r="T15" i="13"/>
  <c r="U15" i="13" s="1"/>
  <c r="Z15" i="13"/>
  <c r="AB15" i="13" s="1"/>
  <c r="AC15" i="13" s="1"/>
  <c r="AD15" i="13" s="1"/>
  <c r="T16" i="13"/>
  <c r="U16" i="13" s="1"/>
  <c r="Z16" i="13"/>
  <c r="T17" i="13"/>
  <c r="Z17" i="13"/>
  <c r="T18" i="13"/>
  <c r="Z18" i="13"/>
  <c r="AA18" i="13" s="1"/>
  <c r="T19" i="13"/>
  <c r="U19" i="13" s="1"/>
  <c r="Z19" i="13"/>
  <c r="AA19" i="13" s="1"/>
  <c r="T21" i="13"/>
  <c r="Z21" i="13"/>
  <c r="T22" i="13"/>
  <c r="V22" i="13" s="1"/>
  <c r="Z22" i="13"/>
  <c r="T23" i="13"/>
  <c r="Z23" i="13"/>
  <c r="AA23" i="13" s="1"/>
  <c r="T24" i="13"/>
  <c r="U24" i="13" s="1"/>
  <c r="Z24" i="13"/>
  <c r="AB24" i="13" s="1"/>
  <c r="AC24" i="13" s="1"/>
  <c r="AD24" i="13" s="1"/>
  <c r="T25" i="13"/>
  <c r="U25" i="13" s="1"/>
  <c r="Z25" i="13"/>
  <c r="AB25" i="13" s="1"/>
  <c r="AC25" i="13" s="1"/>
  <c r="AD25" i="13" s="1"/>
  <c r="T26" i="13"/>
  <c r="V26" i="13" s="1"/>
  <c r="Z26" i="13"/>
  <c r="T27" i="13"/>
  <c r="Z27" i="13"/>
  <c r="AA27" i="13" s="1"/>
  <c r="Z28" i="13"/>
  <c r="AB28" i="13" s="1"/>
  <c r="AC28" i="13" s="1"/>
  <c r="AD28" i="13" s="1"/>
  <c r="T30" i="13"/>
  <c r="U30" i="13" s="1"/>
  <c r="Z30" i="13"/>
  <c r="AB30" i="13" s="1"/>
  <c r="AC30" i="13" s="1"/>
  <c r="AD30" i="13" s="1"/>
  <c r="T31" i="13"/>
  <c r="V31" i="13" s="1"/>
  <c r="Z31" i="13"/>
  <c r="T32" i="13"/>
  <c r="Z32" i="13"/>
  <c r="AA32" i="13" s="1"/>
  <c r="T33" i="13"/>
  <c r="U33" i="13" s="1"/>
  <c r="Z33" i="13"/>
  <c r="AA33" i="13" s="1"/>
  <c r="T34" i="13"/>
  <c r="U34" i="13" s="1"/>
  <c r="Z34" i="13"/>
  <c r="AB34" i="13" s="1"/>
  <c r="AC34" i="13" s="1"/>
  <c r="AD34" i="13" s="1"/>
  <c r="T35" i="13"/>
  <c r="U35" i="13" s="1"/>
  <c r="Z35" i="13"/>
  <c r="AB35" i="13" s="1"/>
  <c r="AC35" i="13" s="1"/>
  <c r="AD35" i="13" s="1"/>
  <c r="T36" i="13"/>
  <c r="V36" i="13" s="1"/>
  <c r="Z36" i="13"/>
  <c r="AA36" i="13" s="1"/>
  <c r="T37" i="13"/>
  <c r="U37" i="13" s="1"/>
  <c r="Z37" i="13"/>
  <c r="AB37" i="13" s="1"/>
  <c r="AC37" i="13" s="1"/>
  <c r="AD37" i="13" s="1"/>
  <c r="AA15" i="13" l="1"/>
  <c r="AF29" i="13"/>
  <c r="AF48" i="13"/>
  <c r="AA64" i="13"/>
  <c r="AB33" i="13"/>
  <c r="AC33" i="13" s="1"/>
  <c r="AD33" i="13" s="1"/>
  <c r="AA35" i="13"/>
  <c r="V34" i="13"/>
  <c r="AE34" i="13" s="1"/>
  <c r="V16" i="13"/>
  <c r="W16" i="13" s="1"/>
  <c r="X16" i="13" s="1"/>
  <c r="AA98" i="13"/>
  <c r="AA67" i="13"/>
  <c r="AB23" i="13"/>
  <c r="AC23" i="13" s="1"/>
  <c r="AD23" i="13" s="1"/>
  <c r="V19" i="13"/>
  <c r="W19" i="13" s="1"/>
  <c r="X19" i="13" s="1"/>
  <c r="AB78" i="13"/>
  <c r="AC78" i="13" s="1"/>
  <c r="AD78" i="13" s="1"/>
  <c r="AB7" i="13"/>
  <c r="AC7" i="13" s="1"/>
  <c r="AD7" i="13" s="1"/>
  <c r="AA24" i="13"/>
  <c r="AB83" i="13"/>
  <c r="AC83" i="13" s="1"/>
  <c r="AD83" i="13" s="1"/>
  <c r="U73" i="13"/>
  <c r="W73" i="13" s="1"/>
  <c r="X73" i="13" s="1"/>
  <c r="AB71" i="13"/>
  <c r="AC71" i="13" s="1"/>
  <c r="AD71" i="13" s="1"/>
  <c r="AA25" i="13"/>
  <c r="U98" i="13"/>
  <c r="W98" i="13" s="1"/>
  <c r="X98" i="13" s="1"/>
  <c r="U76" i="13"/>
  <c r="W76" i="13" s="1"/>
  <c r="X76" i="13" s="1"/>
  <c r="U43" i="13"/>
  <c r="W43" i="13" s="1"/>
  <c r="X43" i="13" s="1"/>
  <c r="AA43" i="13"/>
  <c r="AB32" i="13"/>
  <c r="AC32" i="13" s="1"/>
  <c r="AD32" i="13" s="1"/>
  <c r="U26" i="13"/>
  <c r="W26" i="13" s="1"/>
  <c r="X26" i="13" s="1"/>
  <c r="V25" i="13"/>
  <c r="AE25" i="13" s="1"/>
  <c r="V24" i="13"/>
  <c r="AE24" i="13" s="1"/>
  <c r="AA8" i="13"/>
  <c r="U105" i="13"/>
  <c r="W105" i="13" s="1"/>
  <c r="U104" i="13"/>
  <c r="W104" i="13" s="1"/>
  <c r="X104" i="13" s="1"/>
  <c r="U101" i="13"/>
  <c r="W101" i="13" s="1"/>
  <c r="X101" i="13" s="1"/>
  <c r="V91" i="13"/>
  <c r="W91" i="13" s="1"/>
  <c r="X91" i="13" s="1"/>
  <c r="AA86" i="13"/>
  <c r="AA79" i="13"/>
  <c r="AA72" i="13"/>
  <c r="V68" i="13"/>
  <c r="W68" i="13" s="1"/>
  <c r="X68" i="13" s="1"/>
  <c r="V55" i="13"/>
  <c r="W55" i="13" s="1"/>
  <c r="X55" i="13" s="1"/>
  <c r="U49" i="13"/>
  <c r="W49" i="13" s="1"/>
  <c r="X49" i="13" s="1"/>
  <c r="V42" i="13"/>
  <c r="AE52" i="13"/>
  <c r="AE101" i="13"/>
  <c r="AA51" i="13"/>
  <c r="AB11" i="13"/>
  <c r="AC11" i="13" s="1"/>
  <c r="AD11" i="13" s="1"/>
  <c r="AE105" i="13"/>
  <c r="AB93" i="13"/>
  <c r="AC93" i="13" s="1"/>
  <c r="AD93" i="13" s="1"/>
  <c r="V80" i="13"/>
  <c r="AE80" i="13" s="1"/>
  <c r="V69" i="13"/>
  <c r="W69" i="13" s="1"/>
  <c r="X69" i="13" s="1"/>
  <c r="AB68" i="13"/>
  <c r="V65" i="13"/>
  <c r="AE65" i="13" s="1"/>
  <c r="AA37" i="13"/>
  <c r="AB18" i="13"/>
  <c r="AC18" i="13" s="1"/>
  <c r="AD18" i="13" s="1"/>
  <c r="AB14" i="13"/>
  <c r="AC14" i="13" s="1"/>
  <c r="AD14" i="13" s="1"/>
  <c r="V7" i="13"/>
  <c r="AA105" i="13"/>
  <c r="AB90" i="13"/>
  <c r="AC90" i="13" s="1"/>
  <c r="AD90" i="13" s="1"/>
  <c r="AA89" i="13"/>
  <c r="AA41" i="13"/>
  <c r="V17" i="13"/>
  <c r="U17" i="13"/>
  <c r="U94" i="13"/>
  <c r="V94" i="13"/>
  <c r="U28" i="13"/>
  <c r="V28" i="13"/>
  <c r="AE28" i="13" s="1"/>
  <c r="V89" i="13"/>
  <c r="AE89" i="13" s="1"/>
  <c r="U89" i="13"/>
  <c r="AB76" i="13"/>
  <c r="AA76" i="13"/>
  <c r="AB49" i="13"/>
  <c r="AA49" i="13"/>
  <c r="V44" i="13"/>
  <c r="U44" i="13"/>
  <c r="AA38" i="13"/>
  <c r="AB38" i="13"/>
  <c r="V35" i="13"/>
  <c r="AE35" i="13" s="1"/>
  <c r="V33" i="13"/>
  <c r="W33" i="13" s="1"/>
  <c r="X33" i="13" s="1"/>
  <c r="V30" i="13"/>
  <c r="AE30" i="13" s="1"/>
  <c r="AA28" i="13"/>
  <c r="AB19" i="13"/>
  <c r="U12" i="13"/>
  <c r="W12" i="13" s="1"/>
  <c r="X12" i="13" s="1"/>
  <c r="AC98" i="13"/>
  <c r="AD98" i="13" s="1"/>
  <c r="AE98" i="13"/>
  <c r="V92" i="13"/>
  <c r="U92" i="13"/>
  <c r="AA82" i="13"/>
  <c r="AB82" i="13"/>
  <c r="AC82" i="13" s="1"/>
  <c r="AD82" i="13" s="1"/>
  <c r="V79" i="13"/>
  <c r="AE79" i="13" s="1"/>
  <c r="V74" i="13"/>
  <c r="U74" i="13"/>
  <c r="AA55" i="13"/>
  <c r="AB55" i="13"/>
  <c r="AC55" i="13" s="1"/>
  <c r="AD55" i="13" s="1"/>
  <c r="AC51" i="13"/>
  <c r="AD51" i="13" s="1"/>
  <c r="AB97" i="13"/>
  <c r="AC97" i="13" s="1"/>
  <c r="AD97" i="13" s="1"/>
  <c r="AA97" i="13"/>
  <c r="AC84" i="13"/>
  <c r="AD84" i="13" s="1"/>
  <c r="AA50" i="13"/>
  <c r="AB50" i="13"/>
  <c r="AC50" i="13" s="1"/>
  <c r="AD50" i="13" s="1"/>
  <c r="U95" i="13"/>
  <c r="V95" i="13"/>
  <c r="V37" i="13"/>
  <c r="W37" i="13" s="1"/>
  <c r="X37" i="13" s="1"/>
  <c r="AA34" i="13"/>
  <c r="U21" i="13"/>
  <c r="AB16" i="13"/>
  <c r="AA16" i="13"/>
  <c r="V11" i="13"/>
  <c r="W11" i="13" s="1"/>
  <c r="X11" i="13" s="1"/>
  <c r="U8" i="13"/>
  <c r="V8" i="13"/>
  <c r="AE8" i="13" s="1"/>
  <c r="AA91" i="13"/>
  <c r="AB91" i="13"/>
  <c r="AC91" i="13" s="1"/>
  <c r="AD91" i="13" s="1"/>
  <c r="AA84" i="13"/>
  <c r="AA63" i="13"/>
  <c r="AB63" i="13"/>
  <c r="AC63" i="13" s="1"/>
  <c r="AD63" i="13" s="1"/>
  <c r="AA56" i="13"/>
  <c r="V15" i="13"/>
  <c r="W15" i="13" s="1"/>
  <c r="X15" i="13" s="1"/>
  <c r="AB10" i="13"/>
  <c r="AC10" i="13" s="1"/>
  <c r="AD10" i="13" s="1"/>
  <c r="U9" i="13"/>
  <c r="W9" i="13" s="1"/>
  <c r="X9" i="13" s="1"/>
  <c r="AA103" i="13"/>
  <c r="U87" i="13"/>
  <c r="W87" i="13" s="1"/>
  <c r="X87" i="13" s="1"/>
  <c r="U84" i="13"/>
  <c r="V84" i="13"/>
  <c r="AE84" i="13" s="1"/>
  <c r="V83" i="13"/>
  <c r="W83" i="13" s="1"/>
  <c r="X83" i="13" s="1"/>
  <c r="V77" i="13"/>
  <c r="U77" i="13"/>
  <c r="U72" i="13"/>
  <c r="V72" i="13"/>
  <c r="AE72" i="13" s="1"/>
  <c r="V64" i="13"/>
  <c r="AE64" i="13" s="1"/>
  <c r="U56" i="13"/>
  <c r="V56" i="13"/>
  <c r="AE56" i="13" s="1"/>
  <c r="U52" i="13"/>
  <c r="W52" i="13" s="1"/>
  <c r="U51" i="13"/>
  <c r="V51" i="13"/>
  <c r="AE51" i="13" s="1"/>
  <c r="AA46" i="13"/>
  <c r="AB46" i="13"/>
  <c r="AC46" i="13" s="1"/>
  <c r="AD46" i="13" s="1"/>
  <c r="AA42" i="13"/>
  <c r="AB42" i="13"/>
  <c r="AC42" i="13" s="1"/>
  <c r="AD42" i="13" s="1"/>
  <c r="AA94" i="13"/>
  <c r="AB94" i="13"/>
  <c r="AA85" i="13"/>
  <c r="AB85" i="13"/>
  <c r="AC85" i="13" s="1"/>
  <c r="AD85" i="13" s="1"/>
  <c r="U75" i="13"/>
  <c r="AB73" i="13"/>
  <c r="AA73" i="13"/>
  <c r="AC64" i="13"/>
  <c r="AA54" i="13"/>
  <c r="AB54" i="13"/>
  <c r="AC54" i="13" s="1"/>
  <c r="AD54" i="13" s="1"/>
  <c r="U39" i="13"/>
  <c r="V39" i="13"/>
  <c r="W42" i="13"/>
  <c r="X42" i="13" s="1"/>
  <c r="V38" i="13"/>
  <c r="W38" i="13" s="1"/>
  <c r="X38" i="13" s="1"/>
  <c r="V93" i="13"/>
  <c r="U93" i="13"/>
  <c r="AA104" i="13"/>
  <c r="AB104" i="13"/>
  <c r="V70" i="13"/>
  <c r="U70" i="13"/>
  <c r="AB102" i="13"/>
  <c r="V96" i="13"/>
  <c r="U96" i="13"/>
  <c r="V40" i="13"/>
  <c r="U40" i="13"/>
  <c r="V90" i="13"/>
  <c r="U90" i="13"/>
  <c r="V97" i="13"/>
  <c r="U97" i="13"/>
  <c r="U78" i="13"/>
  <c r="V78" i="13"/>
  <c r="AC103" i="13"/>
  <c r="AD103" i="13" s="1"/>
  <c r="AC72" i="13"/>
  <c r="AD72" i="13" s="1"/>
  <c r="U102" i="13"/>
  <c r="W102" i="13" s="1"/>
  <c r="X102" i="13" s="1"/>
  <c r="AB95" i="13"/>
  <c r="AA95" i="13"/>
  <c r="AB92" i="13"/>
  <c r="AA92" i="13"/>
  <c r="AB87" i="13"/>
  <c r="AA87" i="13"/>
  <c r="U81" i="13"/>
  <c r="W81" i="13" s="1"/>
  <c r="X81" i="13" s="1"/>
  <c r="AB96" i="13"/>
  <c r="AA96" i="13"/>
  <c r="AA53" i="13"/>
  <c r="AB53" i="13"/>
  <c r="V103" i="13"/>
  <c r="W103" i="13" s="1"/>
  <c r="X103" i="13" s="1"/>
  <c r="AA101" i="13"/>
  <c r="U86" i="13"/>
  <c r="V86" i="13"/>
  <c r="AE86" i="13" s="1"/>
  <c r="U85" i="13"/>
  <c r="V85" i="13"/>
  <c r="AA80" i="13"/>
  <c r="U71" i="13"/>
  <c r="V71" i="13"/>
  <c r="AC80" i="13"/>
  <c r="AD80" i="13" s="1"/>
  <c r="AA77" i="13"/>
  <c r="AB77" i="13"/>
  <c r="AA66" i="13"/>
  <c r="AB66" i="13"/>
  <c r="V62" i="13"/>
  <c r="U62" i="13"/>
  <c r="AA40" i="13"/>
  <c r="AB40" i="13"/>
  <c r="AA70" i="13"/>
  <c r="AB70" i="13"/>
  <c r="U67" i="13"/>
  <c r="V67" i="13"/>
  <c r="AE67" i="13" s="1"/>
  <c r="U54" i="13"/>
  <c r="V54" i="13"/>
  <c r="AC43" i="13"/>
  <c r="AD43" i="13" s="1"/>
  <c r="AE43" i="13"/>
  <c r="AB39" i="13"/>
  <c r="AA39" i="13"/>
  <c r="U82" i="13"/>
  <c r="V82" i="13"/>
  <c r="AA81" i="13"/>
  <c r="AB81" i="13"/>
  <c r="AB69" i="13"/>
  <c r="AA69" i="13"/>
  <c r="AC56" i="13"/>
  <c r="AD56" i="13" s="1"/>
  <c r="AC41" i="13"/>
  <c r="AD41" i="13" s="1"/>
  <c r="U41" i="13"/>
  <c r="V41" i="13"/>
  <c r="AE41" i="13" s="1"/>
  <c r="U66" i="13"/>
  <c r="W66" i="13" s="1"/>
  <c r="X66" i="13" s="1"/>
  <c r="AA65" i="13"/>
  <c r="U63" i="13"/>
  <c r="V63" i="13"/>
  <c r="AA62" i="13"/>
  <c r="AB62" i="13"/>
  <c r="U53" i="13"/>
  <c r="W53" i="13" s="1"/>
  <c r="X53" i="13" s="1"/>
  <c r="AA52" i="13"/>
  <c r="U46" i="13"/>
  <c r="V46" i="13"/>
  <c r="AA44" i="13"/>
  <c r="AB44" i="13"/>
  <c r="AA74" i="13"/>
  <c r="AB74" i="13"/>
  <c r="U50" i="13"/>
  <c r="V50" i="13"/>
  <c r="AA9" i="13"/>
  <c r="AB9" i="13"/>
  <c r="U32" i="13"/>
  <c r="W32" i="13" s="1"/>
  <c r="X32" i="13" s="1"/>
  <c r="V32" i="13"/>
  <c r="AA31" i="13"/>
  <c r="AB31" i="13"/>
  <c r="AA22" i="13"/>
  <c r="AB22" i="13"/>
  <c r="AA13" i="13"/>
  <c r="AB13" i="13"/>
  <c r="W30" i="13"/>
  <c r="X30" i="13" s="1"/>
  <c r="U10" i="13"/>
  <c r="V10" i="13"/>
  <c r="U23" i="13"/>
  <c r="V23" i="13"/>
  <c r="U14" i="13"/>
  <c r="V14" i="13"/>
  <c r="AE12" i="13"/>
  <c r="AB36" i="13"/>
  <c r="U36" i="13"/>
  <c r="W36" i="13" s="1"/>
  <c r="X36" i="13" s="1"/>
  <c r="U31" i="13"/>
  <c r="W31" i="13" s="1"/>
  <c r="X31" i="13" s="1"/>
  <c r="AA30" i="13"/>
  <c r="U27" i="13"/>
  <c r="AA26" i="13"/>
  <c r="AB26" i="13"/>
  <c r="U22" i="13"/>
  <c r="W22" i="13" s="1"/>
  <c r="X22" i="13" s="1"/>
  <c r="AA21" i="13"/>
  <c r="U18" i="13"/>
  <c r="V18" i="13"/>
  <c r="AA17" i="13"/>
  <c r="AB17" i="13"/>
  <c r="U13" i="13"/>
  <c r="W13" i="13" s="1"/>
  <c r="X13" i="13" s="1"/>
  <c r="AA12" i="13"/>
  <c r="E93" i="13"/>
  <c r="D93" i="13"/>
  <c r="C93" i="13"/>
  <c r="B93" i="13"/>
  <c r="K93" i="13"/>
  <c r="P93" i="13"/>
  <c r="K102" i="13"/>
  <c r="AF52" i="13" l="1"/>
  <c r="X52" i="13"/>
  <c r="AF64" i="13"/>
  <c r="AD64" i="13"/>
  <c r="AF105" i="13"/>
  <c r="X105" i="13"/>
  <c r="W34" i="13"/>
  <c r="W8" i="13"/>
  <c r="W78" i="13"/>
  <c r="X78" i="13" s="1"/>
  <c r="W67" i="13"/>
  <c r="X67" i="13" s="1"/>
  <c r="W79" i="13"/>
  <c r="W24" i="13"/>
  <c r="W80" i="13"/>
  <c r="W40" i="13"/>
  <c r="X40" i="13" s="1"/>
  <c r="AE46" i="13"/>
  <c r="AF33" i="13"/>
  <c r="W65" i="13"/>
  <c r="AE83" i="13"/>
  <c r="W35" i="13"/>
  <c r="AE7" i="13"/>
  <c r="AE50" i="13"/>
  <c r="AE23" i="13"/>
  <c r="AE97" i="13"/>
  <c r="W74" i="13"/>
  <c r="X74" i="13" s="1"/>
  <c r="AE18" i="13"/>
  <c r="W96" i="13"/>
  <c r="X96" i="13" s="1"/>
  <c r="W39" i="13"/>
  <c r="X39" i="13" s="1"/>
  <c r="W84" i="13"/>
  <c r="W89" i="13"/>
  <c r="W17" i="13"/>
  <c r="X17" i="13" s="1"/>
  <c r="W25" i="13"/>
  <c r="AE33" i="13"/>
  <c r="W95" i="13"/>
  <c r="X95" i="13" s="1"/>
  <c r="W7" i="13"/>
  <c r="AE54" i="13"/>
  <c r="AE78" i="13"/>
  <c r="AF32" i="13"/>
  <c r="AE63" i="13"/>
  <c r="AE71" i="13"/>
  <c r="AE10" i="13"/>
  <c r="AE14" i="13"/>
  <c r="AE93" i="13"/>
  <c r="AE85" i="13"/>
  <c r="AE90" i="13"/>
  <c r="AF42" i="13"/>
  <c r="AE37" i="13"/>
  <c r="AE32" i="13"/>
  <c r="AE55" i="13"/>
  <c r="AE91" i="13"/>
  <c r="AE11" i="13"/>
  <c r="AC68" i="13"/>
  <c r="AE68" i="13"/>
  <c r="AF98" i="13"/>
  <c r="AF15" i="13"/>
  <c r="AF37" i="13"/>
  <c r="AF12" i="13"/>
  <c r="AC94" i="13"/>
  <c r="AD94" i="13" s="1"/>
  <c r="AE94" i="13"/>
  <c r="AF11" i="13"/>
  <c r="AC38" i="13"/>
  <c r="AD38" i="13" s="1"/>
  <c r="AE38" i="13"/>
  <c r="AC76" i="13"/>
  <c r="AD76" i="13" s="1"/>
  <c r="AE76" i="13"/>
  <c r="W94" i="13"/>
  <c r="X94" i="13" s="1"/>
  <c r="AE15" i="13"/>
  <c r="W18" i="13"/>
  <c r="W10" i="13"/>
  <c r="X10" i="13" s="1"/>
  <c r="AE42" i="13"/>
  <c r="W63" i="13"/>
  <c r="W41" i="13"/>
  <c r="X41" i="13" s="1"/>
  <c r="AE82" i="13"/>
  <c r="AE103" i="13"/>
  <c r="W51" i="13"/>
  <c r="X51" i="13" s="1"/>
  <c r="W72" i="13"/>
  <c r="X72" i="13" s="1"/>
  <c r="AF55" i="13"/>
  <c r="AC19" i="13"/>
  <c r="AD19" i="13" s="1"/>
  <c r="AE19" i="13"/>
  <c r="AC49" i="13"/>
  <c r="AD49" i="13" s="1"/>
  <c r="AE49" i="13"/>
  <c r="W28" i="13"/>
  <c r="X28" i="13" s="1"/>
  <c r="W14" i="13"/>
  <c r="W86" i="13"/>
  <c r="W56" i="13"/>
  <c r="X56" i="13" s="1"/>
  <c r="AC16" i="13"/>
  <c r="AD16" i="13" s="1"/>
  <c r="AE16" i="13"/>
  <c r="W62" i="13"/>
  <c r="X62" i="13" s="1"/>
  <c r="W90" i="13"/>
  <c r="AF101" i="13"/>
  <c r="AC73" i="13"/>
  <c r="AD73" i="13" s="1"/>
  <c r="AE73" i="13"/>
  <c r="W77" i="13"/>
  <c r="X77" i="13" s="1"/>
  <c r="W92" i="13"/>
  <c r="X92" i="13" s="1"/>
  <c r="W44" i="13"/>
  <c r="X44" i="13" s="1"/>
  <c r="AE44" i="13"/>
  <c r="AC44" i="13"/>
  <c r="AD44" i="13" s="1"/>
  <c r="AF91" i="13"/>
  <c r="AE92" i="13"/>
  <c r="AC92" i="13"/>
  <c r="AD92" i="13" s="1"/>
  <c r="AF83" i="13"/>
  <c r="W50" i="13"/>
  <c r="X50" i="13" s="1"/>
  <c r="AC69" i="13"/>
  <c r="AD69" i="13" s="1"/>
  <c r="AE69" i="13"/>
  <c r="AC74" i="13"/>
  <c r="AD74" i="13" s="1"/>
  <c r="AE74" i="13"/>
  <c r="W46" i="13"/>
  <c r="X46" i="13" s="1"/>
  <c r="W82" i="13"/>
  <c r="X82" i="13" s="1"/>
  <c r="AC39" i="13"/>
  <c r="AD39" i="13" s="1"/>
  <c r="AE39" i="13"/>
  <c r="AE70" i="13"/>
  <c r="AC70" i="13"/>
  <c r="AD70" i="13" s="1"/>
  <c r="W71" i="13"/>
  <c r="X71" i="13" s="1"/>
  <c r="AE96" i="13"/>
  <c r="AC96" i="13"/>
  <c r="AD96" i="13" s="1"/>
  <c r="AC95" i="13"/>
  <c r="AD95" i="13" s="1"/>
  <c r="AE95" i="13"/>
  <c r="AF103" i="13"/>
  <c r="W97" i="13"/>
  <c r="X97" i="13" s="1"/>
  <c r="W70" i="13"/>
  <c r="X70" i="13" s="1"/>
  <c r="W93" i="13"/>
  <c r="AE81" i="13"/>
  <c r="AC81" i="13"/>
  <c r="AD81" i="13" s="1"/>
  <c r="AE40" i="13"/>
  <c r="AC40" i="13"/>
  <c r="AD40" i="13" s="1"/>
  <c r="AE66" i="13"/>
  <c r="AC66" i="13"/>
  <c r="AD66" i="13" s="1"/>
  <c r="AE77" i="13"/>
  <c r="AC77" i="13"/>
  <c r="AD77" i="13" s="1"/>
  <c r="AC87" i="13"/>
  <c r="AD87" i="13" s="1"/>
  <c r="AE87" i="13"/>
  <c r="AE62" i="13"/>
  <c r="AC62" i="13"/>
  <c r="AD62" i="13" s="1"/>
  <c r="AF43" i="13"/>
  <c r="AE102" i="13"/>
  <c r="AC102" i="13"/>
  <c r="AD102" i="13" s="1"/>
  <c r="W54" i="13"/>
  <c r="X54" i="13" s="1"/>
  <c r="W85" i="13"/>
  <c r="AE53" i="13"/>
  <c r="AC53" i="13"/>
  <c r="AD53" i="13" s="1"/>
  <c r="AC104" i="13"/>
  <c r="AD104" i="13" s="1"/>
  <c r="AE104" i="13"/>
  <c r="AE36" i="13"/>
  <c r="AC36" i="13"/>
  <c r="AD36" i="13" s="1"/>
  <c r="AE26" i="13"/>
  <c r="AC26" i="13"/>
  <c r="AD26" i="13" s="1"/>
  <c r="W23" i="13"/>
  <c r="X23" i="13" s="1"/>
  <c r="AE13" i="13"/>
  <c r="AC13" i="13"/>
  <c r="AD13" i="13" s="1"/>
  <c r="AE22" i="13"/>
  <c r="AC22" i="13"/>
  <c r="AD22" i="13" s="1"/>
  <c r="AE31" i="13"/>
  <c r="AC31" i="13"/>
  <c r="AD31" i="13" s="1"/>
  <c r="AF30" i="13"/>
  <c r="AE17" i="13"/>
  <c r="AC17" i="13"/>
  <c r="AD17" i="13" s="1"/>
  <c r="AE9" i="13"/>
  <c r="AC9" i="13"/>
  <c r="AD9" i="13" s="1"/>
  <c r="P30" i="13"/>
  <c r="K30" i="13"/>
  <c r="E30" i="13"/>
  <c r="D30" i="13"/>
  <c r="C30" i="13"/>
  <c r="B30" i="13"/>
  <c r="P28" i="13"/>
  <c r="K28" i="13"/>
  <c r="E28" i="13"/>
  <c r="D28" i="13"/>
  <c r="C28" i="13"/>
  <c r="B28" i="13"/>
  <c r="P94" i="13"/>
  <c r="K94" i="13"/>
  <c r="E94" i="13"/>
  <c r="D94" i="13"/>
  <c r="C94" i="13"/>
  <c r="B94" i="13"/>
  <c r="P82" i="13"/>
  <c r="K82" i="13"/>
  <c r="E82" i="13"/>
  <c r="D82" i="13"/>
  <c r="C82" i="13"/>
  <c r="B82" i="13"/>
  <c r="AF67" i="13" l="1"/>
  <c r="AF78" i="13"/>
  <c r="AF18" i="13"/>
  <c r="X18" i="13"/>
  <c r="AF80" i="13"/>
  <c r="X80" i="13"/>
  <c r="AF8" i="13"/>
  <c r="X8" i="13"/>
  <c r="AF85" i="13"/>
  <c r="X85" i="13"/>
  <c r="AF7" i="13"/>
  <c r="X7" i="13"/>
  <c r="AF34" i="13"/>
  <c r="X34" i="13"/>
  <c r="AF68" i="13"/>
  <c r="AD68" i="13"/>
  <c r="AF25" i="13"/>
  <c r="X25" i="13"/>
  <c r="AF84" i="13"/>
  <c r="X84" i="13"/>
  <c r="AF24" i="13"/>
  <c r="X24" i="13"/>
  <c r="AF90" i="13"/>
  <c r="X90" i="13"/>
  <c r="AF86" i="13"/>
  <c r="X86" i="13"/>
  <c r="AF63" i="13"/>
  <c r="X63" i="13"/>
  <c r="AF35" i="13"/>
  <c r="X35" i="13"/>
  <c r="AF65" i="13"/>
  <c r="X65" i="13"/>
  <c r="AF79" i="13"/>
  <c r="X79" i="13"/>
  <c r="AF93" i="13"/>
  <c r="X93" i="13"/>
  <c r="AF14" i="13"/>
  <c r="X14" i="13"/>
  <c r="AF89" i="13"/>
  <c r="X89" i="13"/>
  <c r="AF94" i="13"/>
  <c r="AF73" i="13"/>
  <c r="AF19" i="13"/>
  <c r="AF10" i="13"/>
  <c r="AF41" i="13"/>
  <c r="AF51" i="13"/>
  <c r="AF76" i="13"/>
  <c r="AF38" i="13"/>
  <c r="AF56" i="13"/>
  <c r="AF72" i="13"/>
  <c r="AF16" i="13"/>
  <c r="AF28" i="13"/>
  <c r="AF49" i="13"/>
  <c r="AF102" i="13"/>
  <c r="AF74" i="13"/>
  <c r="AF77" i="13"/>
  <c r="AF40" i="13"/>
  <c r="AF97" i="13"/>
  <c r="AF44" i="13"/>
  <c r="AF87" i="13"/>
  <c r="AF104" i="13"/>
  <c r="AF62" i="13"/>
  <c r="AF54" i="13"/>
  <c r="AF66" i="13"/>
  <c r="AF81" i="13"/>
  <c r="AF95" i="13"/>
  <c r="AF96" i="13"/>
  <c r="AF70" i="13"/>
  <c r="AF82" i="13"/>
  <c r="AF50" i="13"/>
  <c r="AF92" i="13"/>
  <c r="AF53" i="13"/>
  <c r="AF71" i="13"/>
  <c r="AF39" i="13"/>
  <c r="AF46" i="13"/>
  <c r="AF69" i="13"/>
  <c r="AF31" i="13"/>
  <c r="AF13" i="13"/>
  <c r="AF26" i="13"/>
  <c r="AF9" i="13"/>
  <c r="AF22" i="13"/>
  <c r="AF17" i="13"/>
  <c r="AF23" i="13"/>
  <c r="AF36" i="13"/>
  <c r="AB27" i="13" l="1"/>
  <c r="V27" i="13"/>
  <c r="W27" i="13" s="1"/>
  <c r="X27" i="13" s="1"/>
  <c r="AB75" i="13"/>
  <c r="V75" i="13"/>
  <c r="W75" i="13" s="1"/>
  <c r="X75" i="13" s="1"/>
  <c r="AB21" i="13"/>
  <c r="V21" i="13"/>
  <c r="W21" i="13" s="1"/>
  <c r="X21" i="13" s="1"/>
  <c r="AC21" i="13" l="1"/>
  <c r="AD21" i="13" s="1"/>
  <c r="AE21" i="13"/>
  <c r="AC75" i="13"/>
  <c r="AD75" i="13" s="1"/>
  <c r="AE75" i="13"/>
  <c r="AC27" i="13"/>
  <c r="AD27" i="13" s="1"/>
  <c r="AE27" i="13"/>
  <c r="F21" i="25"/>
  <c r="F22" i="25"/>
  <c r="F24" i="25"/>
  <c r="AF27" i="13" l="1"/>
  <c r="AF21" i="13"/>
  <c r="AF7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1" i="13"/>
  <c r="E22" i="13"/>
  <c r="E23" i="13"/>
  <c r="E24" i="13"/>
  <c r="E25" i="13"/>
  <c r="E26" i="13"/>
  <c r="E27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6" i="13"/>
  <c r="E49" i="13"/>
  <c r="E50" i="13"/>
  <c r="E51" i="13"/>
  <c r="E52" i="13"/>
  <c r="E53" i="13"/>
  <c r="E54" i="13"/>
  <c r="E55" i="13"/>
  <c r="E56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3" i="13"/>
  <c r="E84" i="13"/>
  <c r="E85" i="13"/>
  <c r="E86" i="13"/>
  <c r="E87" i="13"/>
  <c r="E89" i="13"/>
  <c r="E90" i="13"/>
  <c r="E91" i="13"/>
  <c r="E92" i="13"/>
  <c r="E95" i="13"/>
  <c r="E96" i="13"/>
  <c r="E97" i="13"/>
  <c r="E98" i="13"/>
  <c r="E101" i="13"/>
  <c r="E102" i="13"/>
  <c r="E103" i="13"/>
  <c r="E104" i="13"/>
  <c r="E10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1" i="13"/>
  <c r="D22" i="13"/>
  <c r="D23" i="13"/>
  <c r="D24" i="13"/>
  <c r="D25" i="13"/>
  <c r="D26" i="13"/>
  <c r="D27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6" i="13"/>
  <c r="D49" i="13"/>
  <c r="D50" i="13"/>
  <c r="D51" i="13"/>
  <c r="D52" i="13"/>
  <c r="D53" i="13"/>
  <c r="D54" i="13"/>
  <c r="D55" i="13"/>
  <c r="D56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3" i="13"/>
  <c r="D84" i="13"/>
  <c r="D85" i="13"/>
  <c r="D86" i="13"/>
  <c r="D87" i="13"/>
  <c r="D89" i="13"/>
  <c r="D90" i="13"/>
  <c r="D91" i="13"/>
  <c r="D92" i="13"/>
  <c r="D95" i="13"/>
  <c r="D96" i="13"/>
  <c r="D97" i="13"/>
  <c r="D98" i="13"/>
  <c r="D101" i="13"/>
  <c r="D102" i="13"/>
  <c r="D103" i="13"/>
  <c r="D104" i="13"/>
  <c r="D10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1" i="13"/>
  <c r="C22" i="13"/>
  <c r="C23" i="13"/>
  <c r="C24" i="13"/>
  <c r="C25" i="13"/>
  <c r="C26" i="13"/>
  <c r="C27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6" i="13"/>
  <c r="C49" i="13"/>
  <c r="C50" i="13"/>
  <c r="C51" i="13"/>
  <c r="C52" i="13"/>
  <c r="C53" i="13"/>
  <c r="C54" i="13"/>
  <c r="C55" i="13"/>
  <c r="C56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3" i="13"/>
  <c r="C84" i="13"/>
  <c r="C85" i="13"/>
  <c r="C86" i="13"/>
  <c r="C87" i="13"/>
  <c r="C89" i="13"/>
  <c r="C90" i="13"/>
  <c r="C91" i="13"/>
  <c r="C92" i="13"/>
  <c r="C95" i="13"/>
  <c r="C96" i="13"/>
  <c r="C97" i="13"/>
  <c r="C98" i="13"/>
  <c r="C101" i="13"/>
  <c r="C102" i="13"/>
  <c r="C103" i="13"/>
  <c r="C104" i="13"/>
  <c r="C105" i="13"/>
  <c r="H15" i="26" l="1"/>
  <c r="H16" i="26"/>
  <c r="B12" i="19" l="1"/>
  <c r="T6" i="13" l="1"/>
  <c r="B24" i="25"/>
  <c r="B22" i="25"/>
  <c r="B21" i="25"/>
  <c r="C7" i="19"/>
  <c r="P6" i="13"/>
  <c r="P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1" i="13"/>
  <c r="P22" i="13"/>
  <c r="P23" i="13"/>
  <c r="P24" i="13"/>
  <c r="P25" i="13"/>
  <c r="P26" i="13"/>
  <c r="P27" i="13"/>
  <c r="P31" i="13"/>
  <c r="P32" i="13"/>
  <c r="P33" i="13"/>
  <c r="P34" i="13"/>
  <c r="P35" i="13"/>
  <c r="P36" i="13"/>
  <c r="P37" i="13"/>
  <c r="P38" i="13"/>
  <c r="P39" i="13"/>
  <c r="P40" i="13"/>
  <c r="P41" i="13"/>
  <c r="P42" i="13"/>
  <c r="P43" i="13"/>
  <c r="P44" i="13"/>
  <c r="P46" i="13"/>
  <c r="P49" i="13"/>
  <c r="P50" i="13"/>
  <c r="P51" i="13"/>
  <c r="P52" i="13"/>
  <c r="P53" i="13"/>
  <c r="P54" i="13"/>
  <c r="P55" i="13"/>
  <c r="P56" i="13"/>
  <c r="P62" i="13"/>
  <c r="P63" i="13"/>
  <c r="P64" i="13"/>
  <c r="P65" i="13"/>
  <c r="P66" i="13"/>
  <c r="P67" i="13"/>
  <c r="P68" i="13"/>
  <c r="P69" i="13"/>
  <c r="P70" i="13"/>
  <c r="P71" i="13"/>
  <c r="P72" i="13"/>
  <c r="P73" i="13"/>
  <c r="P74" i="13"/>
  <c r="P75" i="13"/>
  <c r="P76" i="13"/>
  <c r="P77" i="13"/>
  <c r="P78" i="13"/>
  <c r="P79" i="13"/>
  <c r="P80" i="13"/>
  <c r="P81" i="13"/>
  <c r="P83" i="13"/>
  <c r="P84" i="13"/>
  <c r="P85" i="13"/>
  <c r="P86" i="13"/>
  <c r="P87" i="13"/>
  <c r="P89" i="13"/>
  <c r="P90" i="13"/>
  <c r="P91" i="13"/>
  <c r="P92" i="13"/>
  <c r="P95" i="13"/>
  <c r="P96" i="13"/>
  <c r="P97" i="13"/>
  <c r="P98" i="13"/>
  <c r="P101" i="13"/>
  <c r="P102" i="13"/>
  <c r="P103" i="13"/>
  <c r="P104" i="13"/>
  <c r="P105" i="13"/>
  <c r="K25" i="13"/>
  <c r="K26" i="13"/>
  <c r="K27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6" i="13"/>
  <c r="K49" i="13"/>
  <c r="K50" i="13"/>
  <c r="K51" i="13"/>
  <c r="K52" i="13"/>
  <c r="K53" i="13"/>
  <c r="K54" i="13"/>
  <c r="K55" i="13"/>
  <c r="K56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3" i="13"/>
  <c r="K84" i="13"/>
  <c r="K85" i="13"/>
  <c r="K86" i="13"/>
  <c r="K87" i="13"/>
  <c r="K89" i="13"/>
  <c r="K90" i="13"/>
  <c r="K91" i="13"/>
  <c r="K92" i="13"/>
  <c r="K95" i="13"/>
  <c r="K96" i="13"/>
  <c r="K97" i="13"/>
  <c r="K98" i="13"/>
  <c r="K101" i="13"/>
  <c r="K103" i="13"/>
  <c r="K104" i="13"/>
  <c r="K105" i="13"/>
  <c r="B7" i="19" l="1"/>
  <c r="H21" i="25"/>
  <c r="H22" i="25"/>
  <c r="H24" i="25"/>
  <c r="E16" i="26"/>
  <c r="E15" i="26"/>
  <c r="B15" i="26"/>
  <c r="B16" i="26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1" i="13"/>
  <c r="B22" i="13"/>
  <c r="B23" i="13"/>
  <c r="B24" i="13"/>
  <c r="B25" i="13"/>
  <c r="B26" i="13"/>
  <c r="B27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6" i="13"/>
  <c r="B49" i="13"/>
  <c r="B50" i="13"/>
  <c r="B51" i="13"/>
  <c r="B52" i="13"/>
  <c r="B53" i="13"/>
  <c r="B54" i="13"/>
  <c r="B55" i="13"/>
  <c r="B56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3" i="13"/>
  <c r="B84" i="13"/>
  <c r="B85" i="13"/>
  <c r="B86" i="13"/>
  <c r="B87" i="13"/>
  <c r="B89" i="13"/>
  <c r="B90" i="13"/>
  <c r="B91" i="13"/>
  <c r="B92" i="13"/>
  <c r="B95" i="13"/>
  <c r="B96" i="13"/>
  <c r="B97" i="13"/>
  <c r="B98" i="13"/>
  <c r="B101" i="13"/>
  <c r="B102" i="13"/>
  <c r="B103" i="13"/>
  <c r="B104" i="13"/>
  <c r="B105" i="13"/>
  <c r="B6" i="13"/>
  <c r="B27" i="29" l="1"/>
  <c r="B26" i="29"/>
  <c r="B28" i="29"/>
  <c r="B29" i="29"/>
  <c r="B24" i="29"/>
  <c r="B25" i="29"/>
  <c r="D12" i="19"/>
  <c r="H25" i="25"/>
  <c r="E12" i="19" l="1"/>
  <c r="I12" i="19" s="1"/>
  <c r="D16" i="19"/>
  <c r="D24" i="25"/>
  <c r="D22" i="25"/>
  <c r="D21" i="25"/>
  <c r="Z6" i="13"/>
  <c r="AA6" i="13" s="1"/>
  <c r="K7" i="13"/>
  <c r="K8" i="13"/>
  <c r="K10" i="13"/>
  <c r="K11" i="13"/>
  <c r="K12" i="13"/>
  <c r="K13" i="13"/>
  <c r="K14" i="13"/>
  <c r="K15" i="13"/>
  <c r="K16" i="13"/>
  <c r="K17" i="13"/>
  <c r="K18" i="13"/>
  <c r="K19" i="13"/>
  <c r="K21" i="13"/>
  <c r="K22" i="13"/>
  <c r="K23" i="13"/>
  <c r="K24" i="13"/>
  <c r="K6" i="13"/>
  <c r="E16" i="19" l="1"/>
  <c r="C8" i="19"/>
  <c r="AB6" i="13"/>
  <c r="AC6" i="13" l="1"/>
  <c r="AD6" i="13" s="1"/>
  <c r="AG97" i="13" l="1"/>
  <c r="AG94" i="13"/>
  <c r="AG56" i="13"/>
  <c r="AG19" i="13"/>
  <c r="AG49" i="13"/>
  <c r="AG95" i="13"/>
  <c r="AG29" i="13"/>
  <c r="AG28" i="13"/>
  <c r="AG27" i="13"/>
  <c r="AG77" i="13"/>
  <c r="AG11" i="13"/>
  <c r="AG72" i="13"/>
  <c r="AG71" i="13"/>
  <c r="AG8" i="13"/>
  <c r="AG12" i="13"/>
  <c r="AG68" i="13"/>
  <c r="AG64" i="13"/>
  <c r="AG67" i="13"/>
  <c r="AG86" i="13"/>
  <c r="AG63" i="13"/>
  <c r="AG82" i="13"/>
  <c r="AG50" i="13"/>
  <c r="AG7" i="13"/>
  <c r="AG93" i="13"/>
  <c r="AG41" i="13"/>
  <c r="AG90" i="13"/>
  <c r="AG51" i="13"/>
  <c r="AG42" i="13"/>
  <c r="AG96" i="13"/>
  <c r="AG62" i="13"/>
  <c r="AG76" i="13"/>
  <c r="AG92" i="13"/>
  <c r="AG36" i="13"/>
  <c r="AG74" i="13"/>
  <c r="AG16" i="13"/>
  <c r="AG38" i="13"/>
  <c r="AG70" i="13"/>
  <c r="AG39" i="13"/>
  <c r="AG33" i="13"/>
  <c r="AG14" i="13"/>
  <c r="AG105" i="13"/>
  <c r="AG23" i="13"/>
  <c r="AG52" i="13"/>
  <c r="F12" i="19"/>
  <c r="H18" i="26"/>
  <c r="AG17" i="13"/>
  <c r="AG21" i="13"/>
  <c r="AG24" i="13"/>
  <c r="V6" i="13"/>
  <c r="AE6" i="13" s="1"/>
  <c r="U6" i="13"/>
  <c r="F16" i="19" l="1"/>
  <c r="AG73" i="13"/>
  <c r="AG15" i="13"/>
  <c r="AG44" i="13"/>
  <c r="AG65" i="13"/>
  <c r="AG83" i="13"/>
  <c r="AG31" i="13"/>
  <c r="AG18" i="13"/>
  <c r="AG103" i="13"/>
  <c r="AG75" i="13"/>
  <c r="AG32" i="13"/>
  <c r="AG87" i="13"/>
  <c r="AG66" i="13"/>
  <c r="AG37" i="13"/>
  <c r="AG10" i="13"/>
  <c r="AG85" i="13"/>
  <c r="AG53" i="13"/>
  <c r="AG69" i="13"/>
  <c r="AG54" i="13"/>
  <c r="AG22" i="13"/>
  <c r="AG84" i="13"/>
  <c r="AG46" i="13"/>
  <c r="AG25" i="13"/>
  <c r="AG30" i="13"/>
  <c r="AG99" i="13"/>
  <c r="AG60" i="13"/>
  <c r="AG61" i="13"/>
  <c r="AG106" i="13"/>
  <c r="AG100" i="13"/>
  <c r="AG57" i="13"/>
  <c r="AG20" i="13"/>
  <c r="AG91" i="13"/>
  <c r="AG59" i="13"/>
  <c r="AG48" i="13"/>
  <c r="AG88" i="13"/>
  <c r="AG47" i="13"/>
  <c r="AG58" i="13"/>
  <c r="AG5" i="13"/>
  <c r="AG98" i="13"/>
  <c r="AG78" i="13"/>
  <c r="AG81" i="13"/>
  <c r="AG35" i="13"/>
  <c r="AG79" i="13"/>
  <c r="AG34" i="13"/>
  <c r="AG101" i="13"/>
  <c r="AG89" i="13"/>
  <c r="AG13" i="13"/>
  <c r="AG55" i="13"/>
  <c r="AG80" i="13"/>
  <c r="AG9" i="13"/>
  <c r="AG40" i="13"/>
  <c r="AG102" i="13"/>
  <c r="AG43" i="13"/>
  <c r="AG26" i="13"/>
  <c r="AG104" i="13"/>
  <c r="W6" i="13"/>
  <c r="X6" i="13" l="1"/>
  <c r="AG6" i="13" s="1"/>
  <c r="AF6" i="13"/>
  <c r="D7" i="19" l="1"/>
  <c r="D8" i="19" s="1"/>
  <c r="G7" i="19" l="1"/>
  <c r="E7" i="19" l="1"/>
  <c r="E8" i="19" s="1"/>
  <c r="C12" i="19"/>
  <c r="G8" i="19"/>
  <c r="H7" i="19"/>
  <c r="I16" i="19" l="1"/>
  <c r="F8" i="19"/>
  <c r="H8" i="19"/>
  <c r="C16" i="19"/>
  <c r="F7" i="19"/>
</calcChain>
</file>

<file path=xl/sharedStrings.xml><?xml version="1.0" encoding="utf-8"?>
<sst xmlns="http://schemas.openxmlformats.org/spreadsheetml/2006/main" count="2315" uniqueCount="825">
  <si>
    <t>1 x per maand</t>
  </si>
  <si>
    <t>5 x per week</t>
  </si>
  <si>
    <t>5w</t>
  </si>
  <si>
    <t xml:space="preserve"> </t>
  </si>
  <si>
    <t>Vakantiedagen, -toeslag, feestdagen</t>
  </si>
  <si>
    <t>Suppletie ziekengeld</t>
  </si>
  <si>
    <t>Sociale lasten</t>
  </si>
  <si>
    <t>Materialen</t>
  </si>
  <si>
    <t>Middelen</t>
  </si>
  <si>
    <t>Afschrijving machines</t>
  </si>
  <si>
    <t>Directe leiding</t>
  </si>
  <si>
    <t>Indirecte leiding</t>
  </si>
  <si>
    <t>3 x per week</t>
  </si>
  <si>
    <t>1 x per week</t>
  </si>
  <si>
    <t>2 x per week</t>
  </si>
  <si>
    <t>1w</t>
  </si>
  <si>
    <t>1m</t>
  </si>
  <si>
    <t>2w</t>
  </si>
  <si>
    <t>3w</t>
  </si>
  <si>
    <t>10w</t>
  </si>
  <si>
    <t>4w</t>
  </si>
  <si>
    <t>4 x per week</t>
  </si>
  <si>
    <t>Sanitair</t>
  </si>
  <si>
    <t>Ruimte code</t>
  </si>
  <si>
    <t>Weekend</t>
  </si>
  <si>
    <t>2ww</t>
  </si>
  <si>
    <t>1ww</t>
  </si>
  <si>
    <t>1 x per weekend</t>
  </si>
  <si>
    <t>2 x per weekend</t>
  </si>
  <si>
    <t>5 x per week met naloop</t>
  </si>
  <si>
    <t>Plaats</t>
  </si>
  <si>
    <t>Gebouw gedeelte</t>
  </si>
  <si>
    <t>Oppervlak (netto)</t>
  </si>
  <si>
    <t>Totaal</t>
  </si>
  <si>
    <t>Code</t>
  </si>
  <si>
    <t>Tariefsopbouw</t>
  </si>
  <si>
    <t>kosten / jaar</t>
  </si>
  <si>
    <t>uren / jaar</t>
  </si>
  <si>
    <t>Tapijt</t>
  </si>
  <si>
    <t>Vloer afwerking</t>
  </si>
  <si>
    <t>Entree</t>
  </si>
  <si>
    <t>Wassen handdoeken</t>
  </si>
  <si>
    <t>Prijs per stuk</t>
  </si>
  <si>
    <t>Wassen theedoeken</t>
  </si>
  <si>
    <t>prijs per stuk</t>
  </si>
  <si>
    <t>Verwijderen kauwgom buitenterrein</t>
  </si>
  <si>
    <t>Vlek verwijderen textiele bekleding zitvlak stoelen</t>
  </si>
  <si>
    <t>Prijs per beurt</t>
  </si>
  <si>
    <t xml:space="preserve">Reinigen van plafonds </t>
  </si>
  <si>
    <t>prijs per m²</t>
  </si>
  <si>
    <t>Reinigen van vitrage</t>
  </si>
  <si>
    <t>Reinigen van kunststoflamellen</t>
  </si>
  <si>
    <t>Reinigen van stoffenlamellen</t>
  </si>
  <si>
    <t>Reinigen van horizontale kunststoflamellen (luxaflex)</t>
  </si>
  <si>
    <t xml:space="preserve">Het verwijderen van aanslag per unit incl. (de-)montage </t>
  </si>
  <si>
    <t>Het desinfecteren van alle sanitaire onderdelen</t>
  </si>
  <si>
    <t>prijs per toiletunit</t>
  </si>
  <si>
    <t xml:space="preserve">Vegen van het buitenterrein </t>
  </si>
  <si>
    <t>Wastafel</t>
  </si>
  <si>
    <t>Magazijnen/bergingen</t>
  </si>
  <si>
    <t>Kantoren</t>
  </si>
  <si>
    <t>Reproruimte</t>
  </si>
  <si>
    <t>Vergader/spreekkamers</t>
  </si>
  <si>
    <t>Gangen/hallen</t>
  </si>
  <si>
    <t>Trappenhuizen/lift</t>
  </si>
  <si>
    <t>Keuken/pantry</t>
  </si>
  <si>
    <t>Niet in onderhoud</t>
  </si>
  <si>
    <t>Postcode</t>
  </si>
  <si>
    <t>Adres</t>
  </si>
  <si>
    <t>Gymzaal</t>
  </si>
  <si>
    <t>Toestelberging</t>
  </si>
  <si>
    <t>Inspectie categorie</t>
  </si>
  <si>
    <t>Schoonmaakmedewerker</t>
  </si>
  <si>
    <t>Meewerkend leidinggevende</t>
  </si>
  <si>
    <t>Totaal geindexeerd uurloon</t>
  </si>
  <si>
    <r>
      <t>Prijs per m</t>
    </r>
    <r>
      <rPr>
        <vertAlign val="superscript"/>
        <sz val="9"/>
        <rFont val="Verdana"/>
        <family val="2"/>
      </rPr>
      <t>2</t>
    </r>
  </si>
  <si>
    <t>Loonkosten:</t>
  </si>
  <si>
    <t>Directe kosten:</t>
  </si>
  <si>
    <t>Indirecte kosten:</t>
  </si>
  <si>
    <t>Overheadkosten</t>
  </si>
  <si>
    <t>Winst en risico</t>
  </si>
  <si>
    <t>Loon:</t>
  </si>
  <si>
    <t>Subtotaal Loonkosten</t>
  </si>
  <si>
    <t>Subtotaal Directe kosten</t>
  </si>
  <si>
    <t>Subtotaal Indirecte kosten</t>
  </si>
  <si>
    <t>% v.h. loon</t>
  </si>
  <si>
    <t>% v.h. loon incl. loonkosten</t>
  </si>
  <si>
    <t>Rekentarieven</t>
  </si>
  <si>
    <t>€</t>
  </si>
  <si>
    <t>Standaard</t>
  </si>
  <si>
    <t>Eindejaarsuitkering</t>
  </si>
  <si>
    <t>Overige directe kosten</t>
  </si>
  <si>
    <t>Overige indirecte kosten</t>
  </si>
  <si>
    <t>Overige loonkosten</t>
  </si>
  <si>
    <t>Ochtend/avond</t>
  </si>
  <si>
    <t>ma. t/m vr. 6:00 - 21:30 uur</t>
  </si>
  <si>
    <t>ma. t/m vr. 21:30 - 6:00 uur</t>
  </si>
  <si>
    <t>vr. 21:30 t/m ma. 6:00 uur</t>
  </si>
  <si>
    <t>Feestdag</t>
  </si>
  <si>
    <t>Erkende feestdagen</t>
  </si>
  <si>
    <t>Tarief 
excl. 21% BTW</t>
  </si>
  <si>
    <t>Tarief 
incl. 21% BTW</t>
  </si>
  <si>
    <t>% opslag op loonkosten</t>
  </si>
  <si>
    <t>Tarief</t>
  </si>
  <si>
    <t xml:space="preserve">Over te nemen personeel </t>
  </si>
  <si>
    <t>Totale berekende productieve ureninzet (contractjaar 1)</t>
  </si>
  <si>
    <t>Norm (5w)</t>
  </si>
  <si>
    <t>Ruimte omschrijving</t>
  </si>
  <si>
    <t>Vloersoort omschrijving</t>
  </si>
  <si>
    <t>Aanpassing norm</t>
  </si>
  <si>
    <t>T</t>
  </si>
  <si>
    <t>L</t>
  </si>
  <si>
    <t>S</t>
  </si>
  <si>
    <t>P</t>
  </si>
  <si>
    <t>Vloerafwerkingen met beschermlaag, zoals linoleum, marmoleum e.d.</t>
  </si>
  <si>
    <t>Textiele vloerafwerking, zoals tapijt, schoonloopmat, flotex e.d.</t>
  </si>
  <si>
    <t>Harde vloeren zonder zonder extra behandeling, zoals steen, beton e.d.</t>
  </si>
  <si>
    <t>Vloeren zonder beschermlaag, die wel behandeling nodig hebben, zoals pvc e.d.</t>
  </si>
  <si>
    <t>Aanpassing standaardnorm o.b.v. frequentie</t>
  </si>
  <si>
    <t>Frequentie omschrijving</t>
  </si>
  <si>
    <t>2,5w</t>
  </si>
  <si>
    <t>2,5 x per week (om-de-dag)</t>
  </si>
  <si>
    <t>Prestatie</t>
  </si>
  <si>
    <t>Etage</t>
  </si>
  <si>
    <t>Ruimte- nummer</t>
  </si>
  <si>
    <t>Ruimtesoort</t>
  </si>
  <si>
    <t>Vloer code</t>
  </si>
  <si>
    <t>Frequentie werkdagen</t>
  </si>
  <si>
    <t>Frequentie weekend</t>
  </si>
  <si>
    <t>Aantal weken/jr</t>
  </si>
  <si>
    <t>Norm (m2/uur)</t>
  </si>
  <si>
    <t>Prest. (m2 /jaar)</t>
  </si>
  <si>
    <t>Steen</t>
  </si>
  <si>
    <t>PVC</t>
  </si>
  <si>
    <t>Pantry</t>
  </si>
  <si>
    <t>Naam</t>
  </si>
  <si>
    <t>Lino</t>
  </si>
  <si>
    <t>Oppervlakte n.i.o.</t>
  </si>
  <si>
    <t>Opmerking</t>
  </si>
  <si>
    <t>uren / jaar werkdagen</t>
  </si>
  <si>
    <t>kosten / jaar werkdagen</t>
  </si>
  <si>
    <t>Uitvoeringen werkdagen</t>
  </si>
  <si>
    <t>Norm (m2/uur) werkdagen</t>
  </si>
  <si>
    <t>Prest. (m2 /jaar) werkdagen</t>
  </si>
  <si>
    <t>Norm (m2/uur) weekend</t>
  </si>
  <si>
    <t>Prest. (m2 /jaar) weekend</t>
  </si>
  <si>
    <t>uren / jaar weekend</t>
  </si>
  <si>
    <t>kosten / jaar weekend</t>
  </si>
  <si>
    <t>Uitvoeringen weekend</t>
  </si>
  <si>
    <t>Locatie</t>
  </si>
  <si>
    <t>Kosten/jaar excl. BTW</t>
  </si>
  <si>
    <t>Eenheid</t>
  </si>
  <si>
    <t>Prijs</t>
  </si>
  <si>
    <t>Werkzaamheden</t>
  </si>
  <si>
    <t>Prijs per m2 per beurt, incl. in- en uitruimen</t>
  </si>
  <si>
    <t>Prijs per m2 per beurt, incl. in- en uitruimen, minimaal 2 lagen, kruislings</t>
  </si>
  <si>
    <t>Tapijtreinigen, sproei-extractiemethode</t>
  </si>
  <si>
    <t>Tapijtreinigen, poedermethode</t>
  </si>
  <si>
    <t>Vloersoort</t>
  </si>
  <si>
    <t>Oppervlakte</t>
  </si>
  <si>
    <t>Sprayen/opblokken</t>
  </si>
  <si>
    <t>Diepstrippen, sealen en conserveren</t>
  </si>
  <si>
    <t>Schuren en lakken houten vloer</t>
  </si>
  <si>
    <t>Frequentie (uitv./jaar)</t>
  </si>
  <si>
    <t>Handmatig schrobben en droogzuigen</t>
  </si>
  <si>
    <t>Vloeronderhoud</t>
  </si>
  <si>
    <t>Ruimtestaat</t>
  </si>
  <si>
    <t>Oppervlakte i/o</t>
  </si>
  <si>
    <t>Uren / jaar</t>
  </si>
  <si>
    <t>Kosten / jaar</t>
  </si>
  <si>
    <t>Kosten / m2</t>
  </si>
  <si>
    <t>Vloeronderhoud
Kosten / jaar</t>
  </si>
  <si>
    <t>Extra Werkzaamheden
Kosten / jaar</t>
  </si>
  <si>
    <t>Totalisatie (excl. BTW)</t>
  </si>
  <si>
    <t>Kolom1</t>
  </si>
  <si>
    <t>Schoonmaakonderhoud
Kosten / jaar</t>
  </si>
  <si>
    <t>Prijs excl. BTW</t>
  </si>
  <si>
    <t>Extra Werkzaamheden</t>
  </si>
  <si>
    <t xml:space="preserve">Aan genoemde aantallen kunnen geen rechten worden ontleend. </t>
  </si>
  <si>
    <t>Prijs
Excl. BTW</t>
  </si>
  <si>
    <t>Regie- en afroepwerkzaamheden</t>
  </si>
  <si>
    <t>Genoemde aantallen zijn fictief en dienen om een vergelijkingsprijs op te stellen</t>
  </si>
  <si>
    <t>Werkzaamheid</t>
  </si>
  <si>
    <t>Prijs per uur</t>
  </si>
  <si>
    <t>Regiewerkzaamheden (schoonmaakonderhoud, ma-vr. tussen 6:00 en 21:30)</t>
  </si>
  <si>
    <t>Specialistische regiewerkzaamheden  (ma-vr. tussen 6:00 en 21:30)</t>
  </si>
  <si>
    <t>Servicewerkzaamheden (eenvoudige facilitaire dienstverlening, gastheer/-vrouw etc, ma-vr. tussen 6:00 en 21:30)</t>
  </si>
  <si>
    <t>Cateringwerkzaamheden (ma-vr. tussen 6:00 en 21:30)</t>
  </si>
  <si>
    <t>Prijs per stuk per beurt</t>
  </si>
  <si>
    <t>Vaatwasser inruimen, activeren en uitruimen</t>
  </si>
  <si>
    <t>Reinigen koelkast binnen- en buitenzijde</t>
  </si>
  <si>
    <t>Reinigen van magnetron binnen- en buitenzijde</t>
  </si>
  <si>
    <t>Reinigen van koffieautomaat binnen- en buitenzijde</t>
  </si>
  <si>
    <t>Calamiteitenservice inclusief materialen en middelen</t>
  </si>
  <si>
    <t>Prijs per stuk per jaar</t>
  </si>
  <si>
    <t>Buiten</t>
  </si>
  <si>
    <t>Intensief reinigen voegen tegelwanden</t>
  </si>
  <si>
    <r>
      <t>Prijs per m</t>
    </r>
    <r>
      <rPr>
        <vertAlign val="superscript"/>
        <sz val="9"/>
        <rFont val="Verdana"/>
        <family val="2"/>
      </rPr>
      <t xml:space="preserve">2 </t>
    </r>
    <r>
      <rPr>
        <sz val="9"/>
        <rFont val="Verdana"/>
        <family val="2"/>
      </rPr>
      <t>per beurt</t>
    </r>
  </si>
  <si>
    <t>Regie per uur</t>
  </si>
  <si>
    <t>De opgegeven prijzen zijn tijdens de gehele contractduur van toepassing als afroepprijs.</t>
  </si>
  <si>
    <t>Machinaal schrobben en droogzuigen</t>
  </si>
  <si>
    <t>Natuursteen conserveren, bijv. marmer, travertin of leisteen</t>
  </si>
  <si>
    <t>Textiel reinigen</t>
  </si>
  <si>
    <t>Dieptereiniging sanitair</t>
  </si>
  <si>
    <t>Klein technisch onderhoud, verhelpen techische gebreken</t>
  </si>
  <si>
    <t>Wanden en plafonds</t>
  </si>
  <si>
    <t>Matten</t>
  </si>
  <si>
    <t>Schoonloopmat klein (85x150) incl. levering en tweewekelijks wisselen</t>
  </si>
  <si>
    <t>Schoonloopmat middel (115x150) incl. levering en tweewekelijks wisselen</t>
  </si>
  <si>
    <t>Schoonloopmat groot (150x200) incl. levering en tweewekelijks wisselen</t>
  </si>
  <si>
    <t>Toelichting</t>
  </si>
  <si>
    <t>Kolom2</t>
  </si>
  <si>
    <t>Inspectiecategorie</t>
  </si>
  <si>
    <t>Gemiddeld brutoloon</t>
  </si>
  <si>
    <t>Code Locatie</t>
  </si>
  <si>
    <t>Code Taak</t>
  </si>
  <si>
    <r>
      <rPr>
        <b/>
        <sz val="9"/>
        <rFont val="Verdana"/>
        <family val="2"/>
      </rPr>
      <t>Alle</t>
    </r>
    <r>
      <rPr>
        <sz val="9"/>
        <rFont val="Verdana"/>
        <family val="2"/>
      </rPr>
      <t xml:space="preserve"> groen gearceerde velden dienen ingevuld te worden, overige cellen mogen niet gewijzigd worden</t>
    </r>
  </si>
  <si>
    <t>Alle groen gearceerde velden dienen ingevuld te worden, overige cellen mogen niet gewijzigd worden</t>
  </si>
  <si>
    <r>
      <t xml:space="preserve">Alle </t>
    </r>
    <r>
      <rPr>
        <sz val="9"/>
        <rFont val="Verdana"/>
        <family val="2"/>
      </rPr>
      <t>groen gearceerde velden dienen ingevuld te worden, overige cellen mogen niet gewijzigd worden</t>
    </r>
  </si>
  <si>
    <t>Totalisatie</t>
  </si>
  <si>
    <t>Totaalprijs
Kosten / jaar</t>
  </si>
  <si>
    <t>Locaties</t>
  </si>
  <si>
    <t>Rechtsgeldig ondertekening</t>
  </si>
  <si>
    <t>Functie</t>
  </si>
  <si>
    <t>Plaats, datum</t>
  </si>
  <si>
    <t>Handtekening</t>
  </si>
  <si>
    <t>Naam Inschrijver:</t>
  </si>
  <si>
    <t>% van de prod. uren</t>
  </si>
  <si>
    <t>Bijlage 5 dient in Excel format te worden toegevoegd, deze pagina dient daarnaast rechtsgeldig ondertekend als PDF te worden toegevoegd.</t>
  </si>
  <si>
    <t>Samenvatting schoonmaakonderhoud</t>
  </si>
  <si>
    <t>prijs per toiletunit*</t>
  </si>
  <si>
    <t>* zie tabblad Werkprogramma voor definities</t>
  </si>
  <si>
    <r>
      <t>Alle groen gearceerde velden dienen ingevuld te worden, overige cellen mogen niet gewijzigd worden (</t>
    </r>
    <r>
      <rPr>
        <sz val="9"/>
        <rFont val="Verdana"/>
        <family val="2"/>
      </rPr>
      <t>m.u.v. de tabel Rechtsgeldige Ondertekening), waar alle stippellijnen ingevuld dienen te worden)</t>
    </r>
  </si>
  <si>
    <t>……………</t>
  </si>
  <si>
    <t>De opgegeven prijzen zijn tijdens de gehele contractduur van toepassing als all-in afroepprijs.</t>
  </si>
  <si>
    <t>Aanpassing standaardnorm schoonmaakonderhoud o.b.v. locatie</t>
  </si>
  <si>
    <t>Standaardnorm schoonmaakonderhoud per ruimtegroep / werkprogramma</t>
  </si>
  <si>
    <t>Aanpassing standaardnorm schoonmaakonderhoud o.b.v. vloersoort</t>
  </si>
  <si>
    <t>Frequentie (uitv. per jaar)</t>
  </si>
  <si>
    <t>Volledig reinigen kunststofwanden (maximaal 6 meter hoog)</t>
  </si>
  <si>
    <t>Volledig reinigen geschilderde wanden (maximaal 6 meter hoog)</t>
  </si>
  <si>
    <t>Volledig reinigen tegelwanden (maximaal 6 meter hoog)</t>
  </si>
  <si>
    <t xml:space="preserve">Opdrachtgever heeft tijdens de gehele contractduur het recht frequenties en uitvoermomenten aan te passen of werkzaamheden aan derden uit te besteden. </t>
  </si>
  <si>
    <t>Werkdagen</t>
  </si>
  <si>
    <t>Weekenddagen</t>
  </si>
  <si>
    <t>Totaal (werkdagen + weekenddagen</t>
  </si>
  <si>
    <t>Reinigen van keukenkastjes binnen- en buitenzijde</t>
  </si>
  <si>
    <t>2027</t>
  </si>
  <si>
    <t>2024</t>
  </si>
  <si>
    <t>2026</t>
  </si>
  <si>
    <t>2025</t>
  </si>
  <si>
    <t>Lift</t>
  </si>
  <si>
    <t>Aan genoemde aantallen kunnen geen rechten worden ontleend. Werkzaamheden worden enkel in overleg met en na opdracht van Opdrachtgever uitgevoerd.</t>
  </si>
  <si>
    <t>Indexatie</t>
  </si>
  <si>
    <t>Soort indexatie</t>
  </si>
  <si>
    <t>Percentage</t>
  </si>
  <si>
    <t>Tarief excl btw</t>
  </si>
  <si>
    <t>CAO</t>
  </si>
  <si>
    <t>CBS index</t>
  </si>
  <si>
    <t>Gemiddelde
indexering</t>
  </si>
  <si>
    <t>2028</t>
  </si>
  <si>
    <t>Opleverstaat schoonmaak</t>
  </si>
  <si>
    <t>Element</t>
  </si>
  <si>
    <t>Onderdeel</t>
  </si>
  <si>
    <t>Reinheidsniveau</t>
  </si>
  <si>
    <t>Acceptabel</t>
  </si>
  <si>
    <t>(dagelijks toegestane afwijking)</t>
  </si>
  <si>
    <t>Inventaris :</t>
  </si>
  <si>
    <t>Algemeen</t>
  </si>
  <si>
    <t>Alle inventarisonderdelen dienen vrij te zijn van: stickers, lijmresten en kauwgom.</t>
  </si>
  <si>
    <t xml:space="preserve">Aanrechtblad </t>
  </si>
  <si>
    <t>Geheel buitenzijde</t>
  </si>
  <si>
    <t>Stof-, vlek-, aanslag en streepvrij</t>
  </si>
  <si>
    <t>Lichte stofvorming, enkele vingertasten en zichtbare vlekken max. 1 tot 3 st.</t>
  </si>
  <si>
    <t>Audiovisuele middelen</t>
  </si>
  <si>
    <t>Lichte stofvorming bovenzijde</t>
  </si>
  <si>
    <t>Afvalbak/prullenbak</t>
  </si>
  <si>
    <t>Inhoud, plastic zak</t>
  </si>
  <si>
    <t>Inhoud geleegd, schone plastic zak aanwezig. Afwezigheid van fruitvliegjes</t>
  </si>
  <si>
    <t>Lichte stofvorming, enkele vinger tasten of kleine zichtbare vlekken max 3 tot 7 st.</t>
  </si>
  <si>
    <t>Geheel</t>
  </si>
  <si>
    <t>Stof-, vlek-, aanslag en streepvrij. Afwezigheid van fruitvliegjes.</t>
  </si>
  <si>
    <t>Afval</t>
  </si>
  <si>
    <t>Afgevoerd naar containers</t>
  </si>
  <si>
    <t>Balie</t>
  </si>
  <si>
    <t>Enkele vinger tasten of kleine zichtbare vlekken max 1 tot 3 st.</t>
  </si>
  <si>
    <t>Brandblusapparatuur</t>
  </si>
  <si>
    <t>Lichte stofvorming</t>
  </si>
  <si>
    <t>Bureau/Tafel/Incl. onderlegger</t>
  </si>
  <si>
    <t>Enkele vinger tasten of kleine zichtbare vlekken, max. 3 tot 7 st.</t>
  </si>
  <si>
    <t>Bureaulamp</t>
  </si>
  <si>
    <t>Enkele vinger tasten of kleine zichtbare vlekken, max. 3 tot 7 st., lichte stofvorming op voetlamp</t>
  </si>
  <si>
    <t>Kapstok/Garderoberek</t>
  </si>
  <si>
    <t>Lichte stofvorming, enkele vinger tasten en zichtbare vlekken max. 1 tot 3 st.</t>
  </si>
  <si>
    <t>Kast hoog</t>
  </si>
  <si>
    <t>Lichte stofvorming bovenzijde, enkele vinger tasten of kleine zichtbare vlekken max 3 tot 7 st.</t>
  </si>
  <si>
    <t>Kast laag/Ladenblok</t>
  </si>
  <si>
    <t>Enkele vinger tasten of kleine zichtbare vlekken, max. 3 tot 7 st</t>
  </si>
  <si>
    <t>Lampen</t>
  </si>
  <si>
    <t>Locker</t>
  </si>
  <si>
    <t>Papierbak</t>
  </si>
  <si>
    <t>Inhoud</t>
  </si>
  <si>
    <t>Inhoud geleegd, stof en vlekvrij</t>
  </si>
  <si>
    <t>PC, incl. toebehoren</t>
  </si>
  <si>
    <t>Lichte stofvorming bovenzijde, enkele vinger tasten en kleine zichtbare vlekken max. 1 tot 3 st.</t>
  </si>
  <si>
    <t>Plantenbak</t>
  </si>
  <si>
    <t>Enkele vinger tasten of kleine zichtbare vlekken max. 3 tot 7 st., enkele schopstrepen max. 3 tot 7 st.</t>
  </si>
  <si>
    <t>Plinten/kabelgoten</t>
  </si>
  <si>
    <t>Lichte stofvorming bovenzijde, enkele vinger tasten of zichtbare vlekken max 7 tot 10 st., enkele schopstrepen max. 3 tot 7 st</t>
  </si>
  <si>
    <t>Printer/copier</t>
  </si>
  <si>
    <t>Stoel/bank/kruk</t>
  </si>
  <si>
    <t>Licht stofvorming in naden, enkele vinger tasten of kleine zichtbare vlekken max. 3 tot 7 st. op achterzijde leuning</t>
  </si>
  <si>
    <t>Telefoon</t>
  </si>
  <si>
    <t>Vitrinekast</t>
  </si>
  <si>
    <t>Whiteboard/Schoolbord/Krijtrichel</t>
  </si>
  <si>
    <t>Bouwdelen :</t>
  </si>
  <si>
    <t>Alle bouwdelen dienen vrij te zijn van: stickers, lijmresten en kauwgom.</t>
  </si>
  <si>
    <t>Deur/deurglas</t>
  </si>
  <si>
    <t>Enkele vinger tasten of kleine zichtbare vlekken max. 7 tot 10 stuks, enkele schopstrepen max. 1 tot 3 st.</t>
  </si>
  <si>
    <t>Separatieglas</t>
  </si>
  <si>
    <t>Enkele vinger tasten of kleine zichtbare vlekken max. 3 tot 7 st.</t>
  </si>
  <si>
    <t>Kabelgoot</t>
  </si>
  <si>
    <t>Lichte stofvorming bovenzijde, enkele vinger tasten of zichtbare vlekken max 7 tot 10 st., enkele schopstrepen max. 3 tot 7 st.</t>
  </si>
  <si>
    <t>Lichtknop/contact/</t>
  </si>
  <si>
    <t>Lichte stofvorming bovenzijde, enkele vinger tasten of kleine zichtbare vlekken max 1 tot 3 st.</t>
  </si>
  <si>
    <t>Plafond</t>
  </si>
  <si>
    <t>Geen zichtbare spinrag, lichte stofvorming en kleine zichtbare vlekken max. 3 stuks</t>
  </si>
  <si>
    <t>Plafond rooster</t>
  </si>
  <si>
    <t>Radiator/convectorkast/paneel</t>
  </si>
  <si>
    <t>Randen</t>
  </si>
  <si>
    <t>Enkele vinger tasten of kleine zichtbare vlekken max. 1 tot 3 st., enkele schopstrepen max. 1 tot 3 st</t>
  </si>
  <si>
    <t>Richels</t>
  </si>
  <si>
    <t>Lichte stofvorming, enkele vinger tasten of kleine zichtbare vlekken max. 3 tot 7 st., enkele schopstrepen max. 3 tot 7 st.</t>
  </si>
  <si>
    <t>Trapleuning / balustrade</t>
  </si>
  <si>
    <t>Lichte stofvorming bovenzijde, enkele vinger tasten of kleine zichtbare vlekken max 1 tot 3 st</t>
  </si>
  <si>
    <t>Vensterbank</t>
  </si>
  <si>
    <t>Ventilatierooster</t>
  </si>
  <si>
    <t>Verlichtingsarmatuur en buizen &lt; 2.00 m</t>
  </si>
  <si>
    <t>Buitenzijde entree</t>
  </si>
  <si>
    <t>Grofvuil-, stof-, vlek-, aanslag en streepvrij</t>
  </si>
  <si>
    <t>Geen losliggend en/of zichtbaar vuil en enkele zichtbare vlekken max 8 st</t>
  </si>
  <si>
    <t>Wanden</t>
  </si>
  <si>
    <t>Enkele vingertasten of kleine zichtbare vlekken max. 3 tot 7 st., enkele schopstrepen max. 3 tot 7 st., geen vlekken en schopstrepen tot om 3,5m hoogte</t>
  </si>
  <si>
    <t>Sanitaire elementen:</t>
  </si>
  <si>
    <t xml:space="preserve">Alle sanitaire elementen dienen vrij te zijn van: stickers, lijmresten, kauwgom, zeepresten en huidvetten. </t>
  </si>
  <si>
    <t>Aut. handdoek/zeep/lucht</t>
  </si>
  <si>
    <t>Stof-, vlek-, aanslag en streepvrij en bijgevuld</t>
  </si>
  <si>
    <t>Lichte stofvorming bovenzijde, enkele vinger tasten of zichtbare vlekken max. 3 tot 7 st.</t>
  </si>
  <si>
    <t>Borstel- en borstelhouder</t>
  </si>
  <si>
    <t>Lichte stofvorming bovenzijde, enkele vinger tasten of zichtbare vlekken max. 7 tot 10 st</t>
  </si>
  <si>
    <t>Doorspoelinstallatie</t>
  </si>
  <si>
    <t>Enkele vinger tasten of zichtbare vlekken max. 1 tot 3 st.</t>
  </si>
  <si>
    <t>Kalkvrij</t>
  </si>
  <si>
    <t>Handgreep/steun</t>
  </si>
  <si>
    <t>Hygienebox</t>
  </si>
  <si>
    <t>Schaam-tussenschot</t>
  </si>
  <si>
    <t>Spiegel</t>
  </si>
  <si>
    <t>Enkele vinger tasten of kleine zichtbare vlekken, max. 1 tot 3 st. Enkele waterdruppels toegestaan.</t>
  </si>
  <si>
    <t>Toiletpot-bril/Urinoir/Doorspoelinst.</t>
  </si>
  <si>
    <t>Enkele zichtbare vlekken max. 3 tot 7 st.</t>
  </si>
  <si>
    <t>Toiletrolhouder</t>
  </si>
  <si>
    <t>Lichte stofvorming bovenzijde, enkele vinger tasten of zichtbare vlekken max. 7 tot 10 st.</t>
  </si>
  <si>
    <t>Wand sanitair/Planchet</t>
  </si>
  <si>
    <t>Stof-, vlek-, aanslag en streepvrij. Geen zeepresten</t>
  </si>
  <si>
    <t>Vloer :</t>
  </si>
  <si>
    <t>Alle vloeren dienen vrij te zijn van stickers, lijmresten en kauwgom</t>
  </si>
  <si>
    <t>Harde vloeren (steen / pvc)</t>
  </si>
  <si>
    <t>Bureaukamers</t>
  </si>
  <si>
    <t>Grofvuil-, stof-, vlek-, aanslag en streepvrij. Geen schopstrepen</t>
  </si>
  <si>
    <t>Leslokalen</t>
  </si>
  <si>
    <t>Verkeersruimte</t>
  </si>
  <si>
    <t xml:space="preserve">Geen losliggend en/of zichtbaar vuil en enkele zichtbare vlekken max 10 st.  </t>
  </si>
  <si>
    <t>Sanitaire ruimten</t>
  </si>
  <si>
    <t xml:space="preserve">Geen losliggend en/of zichtbaar vuil en enkele zichtbare vlekken max 1 st.  </t>
  </si>
  <si>
    <t>Sport ruimten</t>
  </si>
  <si>
    <t>Linoleum</t>
  </si>
  <si>
    <t>Grofvuil-, stof-, vlekvrij</t>
  </si>
  <si>
    <t>Handeling</t>
  </si>
  <si>
    <t>vochtig afnemen</t>
  </si>
  <si>
    <t>Radiatoren</t>
  </si>
  <si>
    <t>Verlichtingsarmatuur en buizen &gt; 2.00 m</t>
  </si>
  <si>
    <t>Toiletborstel/-houder</t>
  </si>
  <si>
    <t>Sanitaire ruimte</t>
  </si>
  <si>
    <t>Diepreiniging volgens programma</t>
  </si>
  <si>
    <t>periodiek vloeronderhoud conform afspraak</t>
  </si>
  <si>
    <t>Verwijderen van vervuiling in spoelranden, afvoersluitingen en restant van de binnenzijde van het toilet</t>
  </si>
  <si>
    <t>De drukspoeler controleren op goede werking en ontdoen van aanslag op de buitenzijde</t>
  </si>
  <si>
    <t>De spoelpijp ontdoen van aanslag</t>
  </si>
  <si>
    <t>Het verwijderen van vervuiling van schaamschotten</t>
  </si>
  <si>
    <t>Volledig (diep)reinigen van de deur (beide zijden), (tegel-)wanden, vloeren en putjes (in- en uitwendig), randen en richels</t>
  </si>
  <si>
    <t>Het reinigen van het toilet/urinoir aan de buitenzijde</t>
  </si>
  <si>
    <t>De toiletbril ontdoen van aanslag, demonteren van een bril met brugstuk (teneinde het vuil eronder te verwijderen) en weer monteren</t>
  </si>
  <si>
    <t>De buitenzijde van de stortbak ontdoen van aanslag en vuil (gietijzer alleen buitenzijde)</t>
  </si>
  <si>
    <t>Het verwijderen van organische en anorganische vervuiling op de binnen- en buitenzijde van de wastafel</t>
  </si>
  <si>
    <t>Alle spiegels reinigen</t>
  </si>
  <si>
    <t>De gehele vloer en alle wanden reinigen met fantomat</t>
  </si>
  <si>
    <t>Reinigen ramen/kozijnen</t>
  </si>
  <si>
    <t>Alarmsensoren</t>
  </si>
  <si>
    <t>Geen zichtbare spinrag, geen stofvorming en kleine zichtbare vlekken max. 3 stuks</t>
  </si>
  <si>
    <t>Omschrijving</t>
  </si>
  <si>
    <t>Handelingen dieptereiniging 2 x per jaar</t>
  </si>
  <si>
    <t>Utrechtseweg 230</t>
  </si>
  <si>
    <t>3818 ET</t>
  </si>
  <si>
    <t>Amersfoort</t>
  </si>
  <si>
    <t>Kinderopvang</t>
  </si>
  <si>
    <t>Bibliotheek/OLC</t>
  </si>
  <si>
    <t>Garderobes</t>
  </si>
  <si>
    <t>Kantine/Aula</t>
  </si>
  <si>
    <t>Personeelskamer/Rookruimte</t>
  </si>
  <si>
    <t>Praktijklokalen</t>
  </si>
  <si>
    <t>kleedruimten</t>
  </si>
  <si>
    <t>Ve</t>
  </si>
  <si>
    <t>Bu</t>
  </si>
  <si>
    <t>Sa</t>
  </si>
  <si>
    <t>Le</t>
  </si>
  <si>
    <t>Sp</t>
  </si>
  <si>
    <t>A Vleugel</t>
  </si>
  <si>
    <t>Begane grond</t>
  </si>
  <si>
    <t>A001</t>
  </si>
  <si>
    <t>LESLOKAAL</t>
  </si>
  <si>
    <t>A003</t>
  </si>
  <si>
    <t>A004</t>
  </si>
  <si>
    <t>A006</t>
  </si>
  <si>
    <t>A008</t>
  </si>
  <si>
    <t>A010</t>
  </si>
  <si>
    <t>A013</t>
  </si>
  <si>
    <t>A015</t>
  </si>
  <si>
    <t>1e Verdieping</t>
  </si>
  <si>
    <t>A101</t>
  </si>
  <si>
    <t>A106</t>
  </si>
  <si>
    <t>A107</t>
  </si>
  <si>
    <t>A108</t>
  </si>
  <si>
    <t>A112</t>
  </si>
  <si>
    <t>Computerlokaal</t>
  </si>
  <si>
    <t>2e Verdieping</t>
  </si>
  <si>
    <t>A203</t>
  </si>
  <si>
    <t>A204</t>
  </si>
  <si>
    <t>A205</t>
  </si>
  <si>
    <t>A206</t>
  </si>
  <si>
    <t>A207</t>
  </si>
  <si>
    <t>A209</t>
  </si>
  <si>
    <t>A212</t>
  </si>
  <si>
    <t>A213</t>
  </si>
  <si>
    <t>A214</t>
  </si>
  <si>
    <t>A215</t>
  </si>
  <si>
    <t>A217</t>
  </si>
  <si>
    <t>B Vleugel</t>
  </si>
  <si>
    <t>B014</t>
  </si>
  <si>
    <t>B016/017</t>
  </si>
  <si>
    <t>B020</t>
  </si>
  <si>
    <t>B022/23</t>
  </si>
  <si>
    <t>containeropslag</t>
  </si>
  <si>
    <t>gangpad</t>
  </si>
  <si>
    <t>B112</t>
  </si>
  <si>
    <t>B115</t>
  </si>
  <si>
    <t>B120</t>
  </si>
  <si>
    <t>B124</t>
  </si>
  <si>
    <t>B125</t>
  </si>
  <si>
    <t>B126</t>
  </si>
  <si>
    <t>B127</t>
  </si>
  <si>
    <t>B201</t>
  </si>
  <si>
    <t>computerlokaal</t>
  </si>
  <si>
    <t>B208</t>
  </si>
  <si>
    <t>B209</t>
  </si>
  <si>
    <t>B214</t>
  </si>
  <si>
    <t>B216</t>
  </si>
  <si>
    <t>COMPUTERLOKAAL</t>
  </si>
  <si>
    <t>B. GANG</t>
  </si>
  <si>
    <t>B301</t>
  </si>
  <si>
    <t>B306</t>
  </si>
  <si>
    <t>B307</t>
  </si>
  <si>
    <t>C Vleugel</t>
  </si>
  <si>
    <t>C001</t>
  </si>
  <si>
    <t>C002</t>
  </si>
  <si>
    <t>C003</t>
  </si>
  <si>
    <t>C004</t>
  </si>
  <si>
    <t>C005</t>
  </si>
  <si>
    <t>gang</t>
  </si>
  <si>
    <t>GANG</t>
  </si>
  <si>
    <t>E Vleugel</t>
  </si>
  <si>
    <t>E007</t>
  </si>
  <si>
    <t>E016</t>
  </si>
  <si>
    <t>E017</t>
  </si>
  <si>
    <t>E102</t>
  </si>
  <si>
    <t>E104</t>
  </si>
  <si>
    <t>E109</t>
  </si>
  <si>
    <t>E118</t>
  </si>
  <si>
    <t>D Vleugel</t>
  </si>
  <si>
    <t>D001</t>
  </si>
  <si>
    <t>D003</t>
  </si>
  <si>
    <t>D007</t>
  </si>
  <si>
    <t>D008</t>
  </si>
  <si>
    <t>D009</t>
  </si>
  <si>
    <t xml:space="preserve">LESKEUKEN </t>
  </si>
  <si>
    <t>D024/25</t>
  </si>
  <si>
    <t>D026/27</t>
  </si>
  <si>
    <t>D101</t>
  </si>
  <si>
    <t>D102</t>
  </si>
  <si>
    <t>D103</t>
  </si>
  <si>
    <t>D105</t>
  </si>
  <si>
    <t>D109 A</t>
  </si>
  <si>
    <t>D 109 B</t>
  </si>
  <si>
    <t>D 111</t>
  </si>
  <si>
    <t>D 112</t>
  </si>
  <si>
    <t>D 113</t>
  </si>
  <si>
    <t>D 114</t>
  </si>
  <si>
    <t>D201</t>
  </si>
  <si>
    <t>D203</t>
  </si>
  <si>
    <t>D205</t>
  </si>
  <si>
    <t>D208</t>
  </si>
  <si>
    <t>D209</t>
  </si>
  <si>
    <t>D210</t>
  </si>
  <si>
    <t>TRAP</t>
  </si>
  <si>
    <t>F Vleugel</t>
  </si>
  <si>
    <t>F002</t>
  </si>
  <si>
    <t>theorie/praktijklok</t>
  </si>
  <si>
    <t>F004</t>
  </si>
  <si>
    <t>theorie/comp lok</t>
  </si>
  <si>
    <t>F005</t>
  </si>
  <si>
    <t>praktijk lokaal</t>
  </si>
  <si>
    <t>F012</t>
  </si>
  <si>
    <t>F013</t>
  </si>
  <si>
    <t>F014</t>
  </si>
  <si>
    <t>F015</t>
  </si>
  <si>
    <t>Kantoor</t>
  </si>
  <si>
    <t>F016</t>
  </si>
  <si>
    <t>F017</t>
  </si>
  <si>
    <t>F018</t>
  </si>
  <si>
    <t>magazijn</t>
  </si>
  <si>
    <t>F019</t>
  </si>
  <si>
    <t>F020</t>
  </si>
  <si>
    <t>hal met computers</t>
  </si>
  <si>
    <t>F021</t>
  </si>
  <si>
    <t>GF</t>
  </si>
  <si>
    <t xml:space="preserve">gang F </t>
  </si>
  <si>
    <t>E1</t>
  </si>
  <si>
    <t xml:space="preserve">entree </t>
  </si>
  <si>
    <t>E2</t>
  </si>
  <si>
    <t xml:space="preserve">nooduitgang </t>
  </si>
  <si>
    <t>Flotex</t>
  </si>
  <si>
    <t>Nora/Lino</t>
  </si>
  <si>
    <t>Mat</t>
  </si>
  <si>
    <t>B211</t>
  </si>
  <si>
    <t>linoleum</t>
  </si>
  <si>
    <t>Polymeren</t>
  </si>
  <si>
    <t>Glasbewassing</t>
  </si>
  <si>
    <t>Code taak</t>
  </si>
  <si>
    <t>Glassoort/voorziening</t>
  </si>
  <si>
    <t>Gevelglas binnenzijde</t>
  </si>
  <si>
    <t>Prijs per m2 per beurt</t>
  </si>
  <si>
    <t>Gevelglas buitenzijde</t>
  </si>
  <si>
    <t>Separatieglas (enkel gemeten, dubbel te wassen)</t>
  </si>
  <si>
    <t>Fietsenstalling</t>
  </si>
  <si>
    <t>Beplating wassen</t>
  </si>
  <si>
    <t>Lichtkoepels (enkel gemeten, dubbel te wassen)</t>
  </si>
  <si>
    <t>Overkapping</t>
  </si>
  <si>
    <t>Voorzetramen</t>
  </si>
  <si>
    <t>H1</t>
  </si>
  <si>
    <t>Hoogwerker buiten max 12 meter</t>
  </si>
  <si>
    <t>H2</t>
  </si>
  <si>
    <t>Hoogwerker buiten max 16 meter</t>
  </si>
  <si>
    <t>H3</t>
  </si>
  <si>
    <t>Hoogwerker buiten max 20 meter</t>
  </si>
  <si>
    <t>H4</t>
  </si>
  <si>
    <t>Spinhoogwerker</t>
  </si>
  <si>
    <t>Oppervlakte of dagen</t>
  </si>
  <si>
    <t>Frequentie</t>
  </si>
  <si>
    <t>Kosten/jaar incl. BTW</t>
  </si>
  <si>
    <t>Zonnepanelen</t>
  </si>
  <si>
    <t>Geboorte- datum</t>
  </si>
  <si>
    <t>Datum in dienst</t>
  </si>
  <si>
    <t>Branche datum</t>
  </si>
  <si>
    <t>Soort  contract</t>
  </si>
  <si>
    <t>Aantal uur op object per week</t>
  </si>
  <si>
    <t>&gt; 1,5 jaar op object?</t>
  </si>
  <si>
    <t>Functiecode</t>
  </si>
  <si>
    <t>Loongroep</t>
  </si>
  <si>
    <t>Basis-uurloon</t>
  </si>
  <si>
    <t>OT Dienstjaren</t>
  </si>
  <si>
    <t>VET toeslag</t>
  </si>
  <si>
    <t>Pers. Toeslag</t>
  </si>
  <si>
    <t>Reiskosten op basis van CAO</t>
  </si>
  <si>
    <t>Reiskosten boven CAO voor 31-12-2007 afgesproken</t>
  </si>
  <si>
    <t>In het bezit van basisvak-diploma? Ja/Nee</t>
  </si>
  <si>
    <t>Opleverstaat schoonmaak periodiek (tijdens vakanties uitvoeren) 1 x per jaar</t>
  </si>
  <si>
    <t>Hoornbeeck College Amersfoort</t>
  </si>
  <si>
    <t>onbepaalde tijd</t>
  </si>
  <si>
    <t>ja</t>
  </si>
  <si>
    <t>interieurverzorgster</t>
  </si>
  <si>
    <t>Prijs per stuks</t>
  </si>
  <si>
    <t>*</t>
  </si>
  <si>
    <t>Bij ziekte of verlof van de eigendienst medewerkers wordt opdrachtnemer gevraagd om deze te vervangen. Aan de genoemde uren kunnen geen rechten worden ontleent</t>
  </si>
  <si>
    <t>Dieptereiniging afzuigkappen</t>
  </si>
  <si>
    <t>Vervanging eigendienst medewerkers*</t>
  </si>
  <si>
    <t>prijs per uur</t>
  </si>
  <si>
    <t>Glasbewassing
Kosten / jaar</t>
  </si>
  <si>
    <t>Reinigingsmiddelen</t>
  </si>
  <si>
    <t>Reinigingsmiddelen Kosten / jaar</t>
  </si>
  <si>
    <t>Reinigenhoutwerk buitenzijde incl. goten</t>
  </si>
  <si>
    <t>prijs per jaar per beurt</t>
  </si>
  <si>
    <t>Aantal stuks/ uren/ m2</t>
  </si>
  <si>
    <t>Artikelnr</t>
  </si>
  <si>
    <t>Artikelomschrijving</t>
  </si>
  <si>
    <t>verpakking</t>
  </si>
  <si>
    <t>eenheid</t>
  </si>
  <si>
    <t>Handschoen Nitril M</t>
  </si>
  <si>
    <t xml:space="preserve"> pk/100st (10 </t>
  </si>
  <si>
    <t xml:space="preserve"> pk</t>
  </si>
  <si>
    <t>Handschoen Nitril L</t>
  </si>
  <si>
    <t>Afvalzak 60x80cm T20 GR 500st</t>
  </si>
  <si>
    <t xml:space="preserve"> ds/500 st    </t>
  </si>
  <si>
    <t xml:space="preserve"> ds</t>
  </si>
  <si>
    <t>Hygiene zakjes</t>
  </si>
  <si>
    <t xml:space="preserve"> ds/1000 st   </t>
  </si>
  <si>
    <t>Miraclean spons Vileda</t>
  </si>
  <si>
    <t xml:space="preserve"> pk/12 st     </t>
  </si>
  <si>
    <t>Werkdoek Micro heavy blauw</t>
  </si>
  <si>
    <t xml:space="preserve"> st (10/pk)   </t>
  </si>
  <si>
    <t>pk</t>
  </si>
  <si>
    <t xml:space="preserve"> st</t>
  </si>
  <si>
    <t>Vlakmop Ultraspeed microplus</t>
  </si>
  <si>
    <t xml:space="preserve"> st (20/ds)   </t>
  </si>
  <si>
    <t>Theedoek</t>
  </si>
  <si>
    <t xml:space="preserve"> st/ 10 ds    </t>
  </si>
  <si>
    <t>ds</t>
  </si>
  <si>
    <t>Vaatwastablet Winner 7 in 1</t>
  </si>
  <si>
    <t xml:space="preserve"> ds/6x30st    </t>
  </si>
  <si>
    <t>Handveger cocos ongelakt</t>
  </si>
  <si>
    <t xml:space="preserve"> st/ 30 ds    </t>
  </si>
  <si>
    <t>Afvalzak MAX HDPE 80x110bl</t>
  </si>
  <si>
    <t xml:space="preserve"> ds/15x20 st  </t>
  </si>
  <si>
    <t>Vaatwasmiddel Winner 2100 ZW</t>
  </si>
  <si>
    <t xml:space="preserve"> cn/12,5kg    </t>
  </si>
  <si>
    <t xml:space="preserve"> kg</t>
  </si>
  <si>
    <t>Stofzak Numatic NVM-01C Hepa</t>
  </si>
  <si>
    <t xml:space="preserve"> pk/10 st     </t>
  </si>
  <si>
    <t>Schuurspons grip rz</t>
  </si>
  <si>
    <t>Schuurspons grip bl</t>
  </si>
  <si>
    <t>Afvalzak 70x110 T30 wi</t>
  </si>
  <si>
    <t>Afvalzak LDPE 60x70 T30 zw</t>
  </si>
  <si>
    <t xml:space="preserve"> ds (20x25st) </t>
  </si>
  <si>
    <t>Afvalzak MAX 60x80 non komo gs</t>
  </si>
  <si>
    <t xml:space="preserve"> ds/25x20 st  </t>
  </si>
  <si>
    <t>Handschoen Patron X-long XXL</t>
  </si>
  <si>
    <t xml:space="preserve"> pk/50 st     </t>
  </si>
  <si>
    <t>WC Lemon vloeibaar Greencare</t>
  </si>
  <si>
    <t xml:space="preserve"> 10x750ml     </t>
  </si>
  <si>
    <t>fl</t>
  </si>
  <si>
    <t>Werkdoek Micro heavy groen</t>
  </si>
  <si>
    <t>Tablefit Kiehl</t>
  </si>
  <si>
    <t xml:space="preserve"> 6x750ml      </t>
  </si>
  <si>
    <t>Alcoholspray Exclusiva 750ml</t>
  </si>
  <si>
    <t>Afvalzak 90x110 T50 gs</t>
  </si>
  <si>
    <t xml:space="preserve"> ds/10x15 st  </t>
  </si>
  <si>
    <t>Glass cleaner Greencare</t>
  </si>
  <si>
    <t>Keradet Aktiv Kiehl</t>
  </si>
  <si>
    <t xml:space="preserve"> cn/10 lt     </t>
  </si>
  <si>
    <t>ArenasExet 2 Kiehl</t>
  </si>
  <si>
    <t xml:space="preserve"> fl (6x500ml) </t>
  </si>
  <si>
    <t>Afvalzak MAX LDPE 65/25x140 bl</t>
  </si>
  <si>
    <t xml:space="preserve"> ds/10x10 st  </t>
  </si>
  <si>
    <t>Mopemmer 25 lt Ultraspeed</t>
  </si>
  <si>
    <t xml:space="preserve"> st (10/ds)   </t>
  </si>
  <si>
    <t>Afvalzak KOMO</t>
  </si>
  <si>
    <t xml:space="preserve"> rl (20rl/ds) </t>
  </si>
  <si>
    <t>Schoonmaakazijn</t>
  </si>
  <si>
    <t xml:space="preserve"> 15x1 lt      </t>
  </si>
  <si>
    <t>Vloeibaar schuurmiddel Cif lem</t>
  </si>
  <si>
    <t xml:space="preserve"> 8x750ml      </t>
  </si>
  <si>
    <t>cn</t>
  </si>
  <si>
    <t>Raamwisser 45cm Unger Ergo H</t>
  </si>
  <si>
    <t>Schuurspons ass.kleur 10st</t>
  </si>
  <si>
    <t>Emmer 6 ltr Origo</t>
  </si>
  <si>
    <t xml:space="preserve"> 10x1/doos    </t>
  </si>
  <si>
    <t>Schrapmeshouder 25 cm lang</t>
  </si>
  <si>
    <t>Pedaalemmerzak 50x55 15my tr</t>
  </si>
  <si>
    <t xml:space="preserve"> ds/20x50 st  </t>
  </si>
  <si>
    <t>Zaalveger kunststof cocos 40cm</t>
  </si>
  <si>
    <t>Microsysteemdoek M2000 ROOD</t>
  </si>
  <si>
    <t>Citrusreiniger spray</t>
  </si>
  <si>
    <t xml:space="preserve"> 12x400 ml    </t>
  </si>
  <si>
    <t>Toiletblok WC-eend</t>
  </si>
  <si>
    <t xml:space="preserve"> ds/12 st     </t>
  </si>
  <si>
    <t>Werkborstel COP bl</t>
  </si>
  <si>
    <t xml:space="preserve"> st/ 12 ds    </t>
  </si>
  <si>
    <t>Zaalveger cocos 60 cm stklem</t>
  </si>
  <si>
    <t>Oxydex 2034 eis spray</t>
  </si>
  <si>
    <t xml:space="preserve"> 12x250 ml    </t>
  </si>
  <si>
    <t>Universeel B allesreiniger</t>
  </si>
  <si>
    <t xml:space="preserve"> 12x1 lt      </t>
  </si>
  <si>
    <t>Alcoholgel voor handen 500ml</t>
  </si>
  <si>
    <t xml:space="preserve"> ds (20x500ml </t>
  </si>
  <si>
    <t>Afvalzak LDPE 70x110 T50 groen</t>
  </si>
  <si>
    <t xml:space="preserve"> ds/10x25 st  </t>
  </si>
  <si>
    <t>Keukendoek bl/wi</t>
  </si>
  <si>
    <t xml:space="preserve"> st (6st/pk)  </t>
  </si>
  <si>
    <t>Glansspoelmiddel Winner</t>
  </si>
  <si>
    <t>Telescoopsteel Vileda 100-180</t>
  </si>
  <si>
    <t xml:space="preserve"> st (10st/ds) </t>
  </si>
  <si>
    <t>Zaalveger SB 60 cm combi zw/ge</t>
  </si>
  <si>
    <t xml:space="preserve"> st (6/ds)    </t>
  </si>
  <si>
    <t>Stofblik en veger lang +deksel</t>
  </si>
  <si>
    <t>Stofblik + veger soft grip</t>
  </si>
  <si>
    <t xml:space="preserve"> st (6/ ds)   </t>
  </si>
  <si>
    <t>Pers + hendel Ultraspeed Pro</t>
  </si>
  <si>
    <t xml:space="preserve"> st (8/ds)    </t>
  </si>
  <si>
    <t>Bleekmiddel Glorix 24 hr</t>
  </si>
  <si>
    <t xml:space="preserve"> 15x750 ml    </t>
  </si>
  <si>
    <t>Toiletborstel nylon ZWART</t>
  </si>
  <si>
    <t xml:space="preserve"> st           </t>
  </si>
  <si>
    <t>Afwasmiddel extra citroen</t>
  </si>
  <si>
    <t>Tawip FR 66 C navulbaar Tana</t>
  </si>
  <si>
    <t xml:space="preserve"> 4x2 lt       </t>
  </si>
  <si>
    <t>Brise OneTouch Cherry 10ml nav</t>
  </si>
  <si>
    <t xml:space="preserve"> ds/ 12x2st   </t>
  </si>
  <si>
    <t>Brise one touch nav.lavend10ml</t>
  </si>
  <si>
    <t>Brise OneTouch Ocean Adventure</t>
  </si>
  <si>
    <t xml:space="preserve"> ds (6x10ml)  </t>
  </si>
  <si>
    <t>Handveger SB hoek/voeg</t>
  </si>
  <si>
    <t xml:space="preserve"> st (12/ds)   </t>
  </si>
  <si>
    <t>Handveger SB zacht</t>
  </si>
  <si>
    <t>Tanet SR 15 Greencare</t>
  </si>
  <si>
    <t xml:space="preserve"> cn/5 lt      </t>
  </si>
  <si>
    <t>Stofz.Nilf.UZ920/22/30/GD930</t>
  </si>
  <si>
    <t xml:space="preserve"> 10 st/pak    </t>
  </si>
  <si>
    <t>Tanet Orange Greencare</t>
  </si>
  <si>
    <t xml:space="preserve"> 2x5lt        </t>
  </si>
  <si>
    <t>Steel COP alu 1500x32mm ge</t>
  </si>
  <si>
    <t>Steel COP alu 1500x32mm zw</t>
  </si>
  <si>
    <t xml:space="preserve"> st / 10ds    </t>
  </si>
  <si>
    <t>Vloertrekker SB 45 cm ge/ro</t>
  </si>
  <si>
    <t>Schrapmes Unger 10cm res.RB100</t>
  </si>
  <si>
    <t xml:space="preserve"> se/10 st     </t>
  </si>
  <si>
    <t>Handsprayer compleet ro</t>
  </si>
  <si>
    <t>Zaalveger SB 30 cm combi zw/ge</t>
  </si>
  <si>
    <t>Ecodos 3 vloerreiniger Ultra</t>
  </si>
  <si>
    <t xml:space="preserve"> 3x1,8 kg</t>
  </si>
  <si>
    <t>Apesin chloortabletten Tana</t>
  </si>
  <si>
    <t xml:space="preserve"> pt/810gram   </t>
  </si>
  <si>
    <t xml:space="preserve"> pt</t>
  </si>
  <si>
    <t>Eloxa Prima Kiehl</t>
  </si>
  <si>
    <t>Ontschuimer Kiehl</t>
  </si>
  <si>
    <t xml:space="preserve"> 6x1lt        </t>
  </si>
  <si>
    <t>Toiletborstel nylon</t>
  </si>
  <si>
    <t>Handschoen Vinyl M wit</t>
  </si>
  <si>
    <t xml:space="preserve"> pk/100 st    </t>
  </si>
  <si>
    <t>Handschoen Vinyl L wit</t>
  </si>
  <si>
    <t>Stofzak Nilfisk GD5 voorfilter</t>
  </si>
  <si>
    <t xml:space="preserve"> pk/5 st      </t>
  </si>
  <si>
    <t>Handsprayer compleet bl</t>
  </si>
  <si>
    <t>Handsprayer compleet gr</t>
  </si>
  <si>
    <t>Solid med</t>
  </si>
  <si>
    <t xml:space="preserve"> 4x4,5 kg/ds  </t>
  </si>
  <si>
    <t>Waspoeder Winner premium box</t>
  </si>
  <si>
    <t xml:space="preserve"> ton/ 8 kg    </t>
  </si>
  <si>
    <t xml:space="preserve"> tn</t>
  </si>
  <si>
    <t>Plumeau vol 82cm lang</t>
  </si>
  <si>
    <t>Ecodos 1 Interieurreiniger</t>
  </si>
  <si>
    <t xml:space="preserve"> ds/3x1,8 kg  </t>
  </si>
  <si>
    <t>Alcoholvloeistof Exclusiva 80%</t>
  </si>
  <si>
    <t xml:space="preserve"> cn/5lt       </t>
  </si>
  <si>
    <t xml:space="preserve"> cn</t>
  </si>
  <si>
    <t>90 Pompkoppen 5 mm gr XSP02503</t>
  </si>
  <si>
    <t xml:space="preserve"> 2st/pk       </t>
  </si>
  <si>
    <t>Poetsdoek Tork 130081 Wiper440</t>
  </si>
  <si>
    <t xml:space="preserve"> pk/2 rl      </t>
  </si>
  <si>
    <t>Handschoen Nitril XL</t>
  </si>
  <si>
    <t>Handsprayer pistool 1/2 lt gr</t>
  </si>
  <si>
    <t>Handsprayer pistool 1/2 lt bl</t>
  </si>
  <si>
    <t>Handsprayer pistool 1/2 lt ro</t>
  </si>
  <si>
    <t>Super Tip Top</t>
  </si>
  <si>
    <t>Alcohol vloeistof Exclusiva 80%</t>
  </si>
  <si>
    <t>Waspoeder Ariel 9,1kg 140sc3XL</t>
  </si>
  <si>
    <t xml:space="preserve"> pk/9,1 kg    </t>
  </si>
  <si>
    <t>Carburatorreiniger</t>
  </si>
  <si>
    <t>Remmenreiniger</t>
  </si>
  <si>
    <t xml:space="preserve"> 12x500 ml    </t>
  </si>
  <si>
    <t>Totaal kosten</t>
  </si>
  <si>
    <t>Afname Hoeveelheid</t>
  </si>
  <si>
    <t>Categorie</t>
  </si>
  <si>
    <t>overig</t>
  </si>
  <si>
    <t>interieur</t>
  </si>
  <si>
    <t>sanitair</t>
  </si>
  <si>
    <t>vloer</t>
  </si>
  <si>
    <t>prijs per eenheid bruto</t>
  </si>
  <si>
    <t>Kortings percentage</t>
  </si>
  <si>
    <t>Totaal kosten excl korting</t>
  </si>
  <si>
    <t>materiaal</t>
  </si>
  <si>
    <t>keuken</t>
  </si>
  <si>
    <t>assortiments groep</t>
  </si>
  <si>
    <t>Kortingspercentage op bruto prijslijst per groep</t>
  </si>
  <si>
    <t>sanitaire hulpmaterialen</t>
  </si>
  <si>
    <t>vloeronderhoud machines</t>
  </si>
  <si>
    <t>kosten per drop in te vullen door inschrijver</t>
  </si>
  <si>
    <t xml:space="preserve">Locatie </t>
  </si>
  <si>
    <t>adres</t>
  </si>
  <si>
    <t>postcode</t>
  </si>
  <si>
    <t>plaats</t>
  </si>
  <si>
    <t>Aantal drops per locatie per levering (drop = afleverplek)</t>
  </si>
  <si>
    <t>Aantal afdelingdrops per jaar</t>
  </si>
  <si>
    <t>Totaal kosten drops</t>
  </si>
  <si>
    <t>gemiddelde korting op assortiment</t>
  </si>
  <si>
    <t>sanitaire reinigingsmiddelen</t>
  </si>
  <si>
    <t>interieur reinigingsmiddelen</t>
  </si>
  <si>
    <t>interieur hulpmaterialen</t>
  </si>
  <si>
    <t>vloer hulpmaterialen</t>
  </si>
  <si>
    <t>vloer reinigingsmiddelen</t>
  </si>
  <si>
    <t>Totaal kortingspercentage</t>
  </si>
  <si>
    <t>bestellingen moeten herkenbaar aangeleverd worden</t>
  </si>
  <si>
    <t>Van Lodenstein College Barneveld</t>
  </si>
  <si>
    <t>Van Lodenstein College Kesteren</t>
  </si>
  <si>
    <t>Lunterseweg 94</t>
  </si>
  <si>
    <t>3772 TS</t>
  </si>
  <si>
    <t>Barneveld</t>
  </si>
  <si>
    <t>Kasteelstraat 2</t>
  </si>
  <si>
    <t>4041 JB</t>
  </si>
  <si>
    <t>Kesteren</t>
  </si>
  <si>
    <t>Van Lodenstein College Amersfoort</t>
  </si>
  <si>
    <t>Utrechtseweg 228</t>
  </si>
  <si>
    <t xml:space="preserve">3818 ET </t>
  </si>
  <si>
    <t>Kosten per drop</t>
  </si>
  <si>
    <t>Logistiek</t>
  </si>
  <si>
    <t>kortingspercentage per productgroep</t>
  </si>
  <si>
    <t>Fantomatten sanitaire ruimte van 10 m2</t>
  </si>
  <si>
    <t>Stoomreinigen sanitaire ruimte van 10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</si>
</sst>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&quot;fl&quot;\ * #,##0.00_-;_-&quot;fl&quot;\ * #,##0.00\-;_-&quot;fl&quot;\ * &quot;-&quot;??_-;_-@_-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00"/>
    <numFmt numFmtId="170" formatCode="0.000%"/>
    <numFmt numFmtId="171" formatCode="_([$€]* #,##0.00_);_([$€]* \(#,##0.00\);_([$€]* &quot;-&quot;??_);_(@_)"/>
    <numFmt numFmtId="172" formatCode="_-[$€-2]\ * #,##0.00_-;_-[$€-2]\ * #,##0.00\-;_-[$€-2]\ * &quot;-&quot;??_-;_-@_-"/>
    <numFmt numFmtId="173" formatCode="_ [$€-413]\ * #,##0.00_ ;_ [$€-413]\ * \-#,##0.00_ ;_ [$€-413]\ * &quot;-&quot;??_ ;_ @_ "/>
    <numFmt numFmtId="174" formatCode="0\ &quot;m2&quot;"/>
    <numFmt numFmtId="175" formatCode="_-&quot;F&quot;\ * #,##0_-;_-&quot;F&quot;\ * #,##0\-;_-&quot;F&quot;\ * &quot;-&quot;_-;_-@_-"/>
    <numFmt numFmtId="176" formatCode="_-&quot;F&quot;\ * #,##0.00_-;_-&quot;F&quot;\ * #,##0.00\-;_-&quot;F&quot;\ * &quot;-&quot;??_-;_-@_-"/>
    <numFmt numFmtId="177" formatCode="General\ &quot;m²&quot;"/>
    <numFmt numFmtId="178" formatCode="0.00\ &quot;m²&quot;"/>
    <numFmt numFmtId="179" formatCode="_(* #,##0_);_(* \(#,##0\);_(* &quot;-&quot;??_);_(@_)"/>
    <numFmt numFmtId="180" formatCode="#,##0.0"/>
    <numFmt numFmtId="181" formatCode="#,##0_ ;\-#,##0\ "/>
    <numFmt numFmtId="182" formatCode="#,##0.0_ ;\-#,##0.0\ "/>
    <numFmt numFmtId="183" formatCode="_ [$€-2]\ * #,##0.00_ ;_ [$€-2]\ * \-#,##0.00_ ;_ [$€-2]\ * &quot;-&quot;??_ ;_ @_ "/>
    <numFmt numFmtId="184" formatCode="&quot;€&quot;\ #,##0.00"/>
    <numFmt numFmtId="185" formatCode="_(* #,##0.0_);_(* \(#,##0.0\);_(* &quot;-&quot;??_);_(@_)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36"/>
      <name val="Univers"/>
      <family val="2"/>
    </font>
    <font>
      <b/>
      <sz val="10"/>
      <name val="Arial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9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</font>
    <font>
      <sz val="9"/>
      <color indexed="9"/>
      <name val="Verdana"/>
      <family val="2"/>
    </font>
    <font>
      <u/>
      <sz val="9"/>
      <name val="Verdana"/>
      <family val="2"/>
    </font>
    <font>
      <vertAlign val="superscript"/>
      <sz val="9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u/>
      <sz val="12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1"/>
      <name val="Verdana"/>
      <family val="2"/>
    </font>
    <font>
      <sz val="9"/>
      <color theme="4"/>
      <name val="Verdana"/>
      <family val="2"/>
    </font>
    <font>
      <b/>
      <sz val="12"/>
      <color theme="0"/>
      <name val="Verdana"/>
      <family val="2"/>
    </font>
    <font>
      <b/>
      <sz val="10"/>
      <color theme="0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222222"/>
      <name val="Arial"/>
      <family val="2"/>
    </font>
    <font>
      <sz val="9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9"/>
      <name val="Geneva"/>
    </font>
    <font>
      <sz val="10"/>
      <color indexed="8"/>
      <name val="Arial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sz val="9"/>
      <color rgb="FFFFFFFF"/>
      <name val="Verdan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rgb="FF1F497D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sz val="9"/>
      <color theme="1"/>
      <name val="Verdana"/>
    </font>
  </fonts>
  <fills count="2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10" fillId="0" borderId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8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>
      <alignment horizontal="center" vertical="center" textRotation="90" wrapText="1"/>
    </xf>
    <xf numFmtId="0" fontId="12" fillId="2" borderId="1"/>
    <xf numFmtId="174" fontId="6" fillId="0" borderId="0"/>
    <xf numFmtId="0" fontId="13" fillId="0" borderId="0" applyNumberFormat="0" applyBorder="0">
      <protection locked="0"/>
    </xf>
    <xf numFmtId="0" fontId="14" fillId="0" borderId="0"/>
    <xf numFmtId="0" fontId="15" fillId="3" borderId="2" applyNumberFormat="0" applyFont="0" applyFill="0" applyBorder="0" applyAlignment="0">
      <alignment horizontal="right"/>
    </xf>
    <xf numFmtId="0" fontId="12" fillId="4" borderId="3" applyNumberFormat="0" applyFont="0" applyBorder="0">
      <alignment horizontal="center"/>
    </xf>
    <xf numFmtId="0" fontId="8" fillId="0" borderId="0"/>
    <xf numFmtId="0" fontId="19" fillId="0" borderId="0"/>
    <xf numFmtId="0" fontId="2" fillId="0" borderId="0"/>
    <xf numFmtId="167" fontId="2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2" borderId="1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6" fillId="0" borderId="0"/>
    <xf numFmtId="44" fontId="51" fillId="0" borderId="0" applyFont="0" applyFill="0" applyBorder="0" applyAlignment="0" applyProtection="0"/>
  </cellStyleXfs>
  <cellXfs count="396">
    <xf numFmtId="0" fontId="0" fillId="0" borderId="0" xfId="0"/>
    <xf numFmtId="0" fontId="22" fillId="0" borderId="0" xfId="0" applyFont="1" applyAlignment="1">
      <alignment horizontal="center"/>
    </xf>
    <xf numFmtId="0" fontId="22" fillId="0" borderId="0" xfId="0" applyFont="1"/>
    <xf numFmtId="0" fontId="28" fillId="0" borderId="0" xfId="29" applyFont="1"/>
    <xf numFmtId="0" fontId="22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2" fontId="22" fillId="0" borderId="0" xfId="0" applyNumberFormat="1" applyFont="1"/>
    <xf numFmtId="0" fontId="22" fillId="0" borderId="0" xfId="30" applyFont="1" applyAlignment="1">
      <alignment vertical="center"/>
    </xf>
    <xf numFmtId="164" fontId="22" fillId="5" borderId="9" xfId="0" applyNumberFormat="1" applyFont="1" applyFill="1" applyBorder="1" applyAlignment="1">
      <alignment horizontal="left" vertical="center"/>
    </xf>
    <xf numFmtId="10" fontId="22" fillId="5" borderId="9" xfId="0" applyNumberFormat="1" applyFont="1" applyFill="1" applyBorder="1" applyAlignment="1">
      <alignment horizontal="center" vertical="center"/>
    </xf>
    <xf numFmtId="10" fontId="22" fillId="0" borderId="9" xfId="0" applyNumberFormat="1" applyFont="1" applyBorder="1" applyAlignment="1">
      <alignment horizontal="center" vertical="center"/>
    </xf>
    <xf numFmtId="173" fontId="22" fillId="0" borderId="9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9" fontId="22" fillId="0" borderId="9" xfId="0" applyNumberFormat="1" applyFont="1" applyBorder="1" applyAlignment="1">
      <alignment horizontal="center" vertical="center"/>
    </xf>
    <xf numFmtId="173" fontId="22" fillId="0" borderId="9" xfId="0" applyNumberFormat="1" applyFont="1" applyBorder="1" applyAlignment="1" applyProtection="1">
      <alignment vertical="center"/>
      <protection locked="0"/>
    </xf>
    <xf numFmtId="173" fontId="22" fillId="0" borderId="9" xfId="2" applyNumberFormat="1" applyFont="1" applyBorder="1" applyAlignment="1" applyProtection="1">
      <alignment horizontal="left" vertical="center"/>
      <protection hidden="1"/>
    </xf>
    <xf numFmtId="0" fontId="22" fillId="0" borderId="9" xfId="0" applyFont="1" applyBorder="1" applyAlignment="1">
      <alignment horizontal="left" vertical="center"/>
    </xf>
    <xf numFmtId="0" fontId="22" fillId="0" borderId="0" xfId="30" applyFont="1" applyAlignment="1">
      <alignment vertical="center" wrapText="1"/>
    </xf>
    <xf numFmtId="0" fontId="22" fillId="0" borderId="0" xfId="3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2" fontId="22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164" fontId="22" fillId="0" borderId="0" xfId="8" applyFont="1" applyAlignment="1">
      <alignment vertical="center"/>
    </xf>
    <xf numFmtId="0" fontId="24" fillId="0" borderId="0" xfId="0" applyFont="1" applyAlignment="1">
      <alignment vertical="center"/>
    </xf>
    <xf numFmtId="3" fontId="22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horizontal="left" vertical="center"/>
    </xf>
    <xf numFmtId="164" fontId="22" fillId="6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22" fillId="0" borderId="0" xfId="8" applyNumberFormat="1" applyFont="1" applyAlignment="1">
      <alignment vertical="center"/>
    </xf>
    <xf numFmtId="0" fontId="33" fillId="7" borderId="9" xfId="0" applyFont="1" applyFill="1" applyBorder="1" applyAlignment="1">
      <alignment vertical="center"/>
    </xf>
    <xf numFmtId="0" fontId="29" fillId="0" borderId="0" xfId="29" applyFont="1"/>
    <xf numFmtId="3" fontId="33" fillId="7" borderId="9" xfId="0" applyNumberFormat="1" applyFont="1" applyFill="1" applyBorder="1" applyAlignment="1">
      <alignment vertical="center"/>
    </xf>
    <xf numFmtId="180" fontId="33" fillId="7" borderId="9" xfId="0" applyNumberFormat="1" applyFont="1" applyFill="1" applyBorder="1" applyAlignment="1">
      <alignment vertical="center"/>
    </xf>
    <xf numFmtId="1" fontId="33" fillId="7" borderId="9" xfId="0" applyNumberFormat="1" applyFont="1" applyFill="1" applyBorder="1" applyAlignment="1">
      <alignment vertical="center"/>
    </xf>
    <xf numFmtId="173" fontId="33" fillId="7" borderId="9" xfId="0" applyNumberFormat="1" applyFont="1" applyFill="1" applyBorder="1" applyAlignment="1">
      <alignment vertical="center"/>
    </xf>
    <xf numFmtId="0" fontId="28" fillId="0" borderId="0" xfId="29" applyFont="1" applyAlignment="1">
      <alignment horizontal="center" vertical="center"/>
    </xf>
    <xf numFmtId="173" fontId="32" fillId="9" borderId="13" xfId="0" applyNumberFormat="1" applyFont="1" applyFill="1" applyBorder="1" applyAlignment="1">
      <alignment horizontal="center" vertical="center" wrapText="1"/>
    </xf>
    <xf numFmtId="1" fontId="33" fillId="8" borderId="0" xfId="30" applyNumberFormat="1" applyFont="1" applyFill="1" applyAlignment="1">
      <alignment horizontal="center" vertical="center"/>
    </xf>
    <xf numFmtId="0" fontId="33" fillId="8" borderId="0" xfId="30" applyFont="1" applyFill="1" applyAlignment="1">
      <alignment horizontal="left" vertical="center"/>
    </xf>
    <xf numFmtId="1" fontId="33" fillId="7" borderId="0" xfId="30" applyNumberFormat="1" applyFont="1" applyFill="1" applyAlignment="1">
      <alignment horizontal="center" vertical="center"/>
    </xf>
    <xf numFmtId="0" fontId="33" fillId="7" borderId="0" xfId="30" applyFont="1" applyFill="1" applyAlignment="1">
      <alignment horizontal="left" vertical="center"/>
    </xf>
    <xf numFmtId="0" fontId="32" fillId="9" borderId="0" xfId="0" applyFont="1" applyFill="1" applyAlignment="1">
      <alignment horizontal="center" vertical="center" wrapText="1"/>
    </xf>
    <xf numFmtId="0" fontId="32" fillId="9" borderId="0" xfId="0" applyFont="1" applyFill="1" applyAlignment="1">
      <alignment vertical="center" wrapText="1"/>
    </xf>
    <xf numFmtId="164" fontId="32" fillId="9" borderId="0" xfId="0" applyNumberFormat="1" applyFont="1" applyFill="1" applyAlignment="1">
      <alignment horizontal="center" vertical="center" wrapText="1"/>
    </xf>
    <xf numFmtId="0" fontId="33" fillId="8" borderId="0" xfId="0" applyFont="1" applyFill="1" applyAlignment="1">
      <alignment horizontal="center" vertical="center"/>
    </xf>
    <xf numFmtId="0" fontId="33" fillId="8" borderId="0" xfId="0" applyFont="1" applyFill="1" applyAlignment="1">
      <alignment vertical="center"/>
    </xf>
    <xf numFmtId="164" fontId="33" fillId="5" borderId="0" xfId="0" applyNumberFormat="1" applyFont="1" applyFill="1" applyAlignment="1">
      <alignment horizontal="center" vertical="center"/>
    </xf>
    <xf numFmtId="0" fontId="33" fillId="7" borderId="0" xfId="0" applyFont="1" applyFill="1" applyAlignment="1">
      <alignment horizontal="center" vertical="center"/>
    </xf>
    <xf numFmtId="0" fontId="33" fillId="7" borderId="0" xfId="0" applyFont="1" applyFill="1" applyAlignment="1">
      <alignment vertical="center"/>
    </xf>
    <xf numFmtId="0" fontId="33" fillId="8" borderId="0" xfId="0" applyFont="1" applyFill="1" applyAlignment="1">
      <alignment horizontal="left" vertical="center"/>
    </xf>
    <xf numFmtId="4" fontId="33" fillId="7" borderId="0" xfId="0" applyNumberFormat="1" applyFont="1" applyFill="1" applyAlignment="1">
      <alignment horizontal="left" vertical="center"/>
    </xf>
    <xf numFmtId="4" fontId="33" fillId="8" borderId="0" xfId="0" applyNumberFormat="1" applyFont="1" applyFill="1" applyAlignment="1">
      <alignment horizontal="left" vertical="center"/>
    </xf>
    <xf numFmtId="0" fontId="33" fillId="7" borderId="0" xfId="0" applyFont="1" applyFill="1" applyAlignment="1">
      <alignment horizontal="left" vertical="center"/>
    </xf>
    <xf numFmtId="4" fontId="32" fillId="9" borderId="0" xfId="0" applyNumberFormat="1" applyFont="1" applyFill="1" applyAlignment="1">
      <alignment horizontal="center" vertical="center" wrapText="1"/>
    </xf>
    <xf numFmtId="164" fontId="32" fillId="9" borderId="0" xfId="8" applyFont="1" applyFill="1" applyBorder="1" applyAlignment="1">
      <alignment horizontal="center" vertical="center" wrapText="1"/>
    </xf>
    <xf numFmtId="0" fontId="22" fillId="6" borderId="0" xfId="0" applyFont="1" applyFill="1"/>
    <xf numFmtId="0" fontId="22" fillId="6" borderId="0" xfId="0" applyFont="1" applyFill="1" applyAlignment="1">
      <alignment horizontal="center"/>
    </xf>
    <xf numFmtId="0" fontId="22" fillId="6" borderId="0" xfId="0" applyFont="1" applyFill="1" applyAlignment="1">
      <alignment wrapText="1"/>
    </xf>
    <xf numFmtId="0" fontId="22" fillId="0" borderId="0" xfId="0" applyFont="1" applyAlignment="1">
      <alignment horizontal="center" vertical="center" textRotation="90"/>
    </xf>
    <xf numFmtId="0" fontId="22" fillId="0" borderId="9" xfId="0" applyFont="1" applyBorder="1" applyAlignment="1">
      <alignment horizontal="center" vertical="center" textRotation="90"/>
    </xf>
    <xf numFmtId="0" fontId="30" fillId="0" borderId="0" xfId="3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textRotation="90" wrapText="1"/>
    </xf>
    <xf numFmtId="173" fontId="22" fillId="5" borderId="0" xfId="0" applyNumberFormat="1" applyFont="1" applyFill="1" applyAlignment="1">
      <alignment vertical="center"/>
    </xf>
    <xf numFmtId="0" fontId="22" fillId="6" borderId="0" xfId="0" applyFont="1" applyFill="1" applyAlignment="1">
      <alignment horizontal="center" vertical="center" textRotation="90"/>
    </xf>
    <xf numFmtId="0" fontId="22" fillId="6" borderId="0" xfId="0" applyFont="1" applyFill="1" applyAlignment="1">
      <alignment vertical="center"/>
    </xf>
    <xf numFmtId="168" fontId="22" fillId="0" borderId="0" xfId="19" applyFont="1" applyFill="1" applyBorder="1" applyAlignment="1">
      <alignment horizontal="center" vertical="center" wrapText="1"/>
    </xf>
    <xf numFmtId="173" fontId="22" fillId="0" borderId="0" xfId="0" applyNumberFormat="1" applyFont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2" fillId="6" borderId="0" xfId="0" applyFont="1" applyFill="1" applyAlignment="1">
      <alignment vertical="center" wrapText="1"/>
    </xf>
    <xf numFmtId="2" fontId="22" fillId="6" borderId="0" xfId="0" applyNumberFormat="1" applyFont="1" applyFill="1"/>
    <xf numFmtId="2" fontId="24" fillId="6" borderId="0" xfId="0" applyNumberFormat="1" applyFont="1" applyFill="1" applyAlignment="1">
      <alignment vertical="center"/>
    </xf>
    <xf numFmtId="0" fontId="22" fillId="6" borderId="0" xfId="0" applyFont="1" applyFill="1" applyAlignment="1">
      <alignment horizontal="center" vertical="center"/>
    </xf>
    <xf numFmtId="0" fontId="36" fillId="6" borderId="10" xfId="30" applyFont="1" applyFill="1" applyBorder="1" applyAlignment="1">
      <alignment vertical="center" wrapText="1"/>
    </xf>
    <xf numFmtId="0" fontId="32" fillId="10" borderId="9" xfId="0" applyFont="1" applyFill="1" applyBorder="1" applyAlignment="1">
      <alignment horizontal="center" vertical="center" wrapText="1"/>
    </xf>
    <xf numFmtId="170" fontId="32" fillId="10" borderId="9" xfId="0" applyNumberFormat="1" applyFont="1" applyFill="1" applyBorder="1" applyAlignment="1">
      <alignment horizontal="center" vertical="center" wrapText="1"/>
    </xf>
    <xf numFmtId="0" fontId="31" fillId="10" borderId="7" xfId="0" applyFont="1" applyFill="1" applyBorder="1" applyAlignment="1">
      <alignment vertical="center" wrapText="1"/>
    </xf>
    <xf numFmtId="0" fontId="31" fillId="10" borderId="4" xfId="0" applyFont="1" applyFill="1" applyBorder="1" applyAlignment="1">
      <alignment vertical="center" wrapText="1"/>
    </xf>
    <xf numFmtId="0" fontId="22" fillId="0" borderId="0" xfId="30" applyFont="1" applyAlignment="1">
      <alignment horizontal="center" vertical="center" wrapText="1"/>
    </xf>
    <xf numFmtId="0" fontId="24" fillId="6" borderId="0" xfId="0" applyFont="1" applyFill="1" applyAlignment="1">
      <alignment horizontal="left" vertical="center"/>
    </xf>
    <xf numFmtId="2" fontId="24" fillId="5" borderId="0" xfId="0" applyNumberFormat="1" applyFont="1" applyFill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2" fontId="24" fillId="6" borderId="0" xfId="0" applyNumberFormat="1" applyFont="1" applyFill="1" applyAlignment="1">
      <alignment horizontal="center" vertical="center"/>
    </xf>
    <xf numFmtId="0" fontId="23" fillId="0" borderId="0" xfId="30" applyFont="1" applyAlignment="1">
      <alignment horizontal="center" vertical="center"/>
    </xf>
    <xf numFmtId="9" fontId="24" fillId="5" borderId="0" xfId="38" applyFont="1" applyFill="1" applyBorder="1" applyAlignment="1">
      <alignment horizontal="center" vertical="center"/>
    </xf>
    <xf numFmtId="2" fontId="22" fillId="6" borderId="0" xfId="0" applyNumberFormat="1" applyFont="1" applyFill="1" applyAlignment="1">
      <alignment vertical="center"/>
    </xf>
    <xf numFmtId="17" fontId="22" fillId="6" borderId="0" xfId="0" applyNumberFormat="1" applyFont="1" applyFill="1" applyAlignment="1">
      <alignment horizontal="center" vertical="center"/>
    </xf>
    <xf numFmtId="177" fontId="22" fillId="6" borderId="0" xfId="0" applyNumberFormat="1" applyFont="1" applyFill="1" applyAlignment="1">
      <alignment vertical="center"/>
    </xf>
    <xf numFmtId="177" fontId="22" fillId="6" borderId="0" xfId="0" applyNumberFormat="1" applyFont="1" applyFill="1" applyAlignment="1">
      <alignment horizontal="center" vertical="center"/>
    </xf>
    <xf numFmtId="178" fontId="22" fillId="0" borderId="0" xfId="0" applyNumberFormat="1" applyFont="1" applyAlignment="1">
      <alignment vertical="center"/>
    </xf>
    <xf numFmtId="0" fontId="22" fillId="0" borderId="0" xfId="0" applyFont="1" applyAlignment="1" applyProtection="1">
      <alignment horizontal="center" vertical="center"/>
      <protection hidden="1"/>
    </xf>
    <xf numFmtId="1" fontId="22" fillId="0" borderId="0" xfId="0" applyNumberFormat="1" applyFont="1" applyAlignment="1">
      <alignment horizontal="center" vertical="center"/>
    </xf>
    <xf numFmtId="179" fontId="22" fillId="0" borderId="0" xfId="19" applyNumberFormat="1" applyFont="1" applyFill="1" applyBorder="1" applyAlignment="1" applyProtection="1">
      <alignment horizontal="center" vertical="center"/>
      <protection hidden="1"/>
    </xf>
    <xf numFmtId="2" fontId="22" fillId="0" borderId="0" xfId="0" applyNumberFormat="1" applyFont="1" applyAlignment="1" applyProtection="1">
      <alignment horizontal="center" vertical="center"/>
      <protection hidden="1"/>
    </xf>
    <xf numFmtId="164" fontId="22" fillId="0" borderId="0" xfId="0" applyNumberFormat="1" applyFont="1" applyAlignment="1" applyProtection="1">
      <alignment horizontal="right" vertical="center"/>
      <protection hidden="1"/>
    </xf>
    <xf numFmtId="169" fontId="22" fillId="0" borderId="0" xfId="0" applyNumberFormat="1" applyFont="1" applyAlignment="1" applyProtection="1">
      <alignment horizontal="center" vertical="center"/>
      <protection hidden="1"/>
    </xf>
    <xf numFmtId="168" fontId="22" fillId="0" borderId="0" xfId="19" applyFont="1" applyFill="1" applyBorder="1" applyAlignment="1" applyProtection="1">
      <alignment horizontal="right" vertical="center"/>
      <protection hidden="1"/>
    </xf>
    <xf numFmtId="164" fontId="22" fillId="0" borderId="0" xfId="0" applyNumberFormat="1" applyFont="1" applyAlignment="1">
      <alignment vertical="center"/>
    </xf>
    <xf numFmtId="2" fontId="22" fillId="6" borderId="0" xfId="0" applyNumberFormat="1" applyFont="1" applyFill="1" applyAlignment="1" applyProtection="1">
      <alignment vertical="center"/>
      <protection hidden="1"/>
    </xf>
    <xf numFmtId="178" fontId="22" fillId="0" borderId="0" xfId="0" applyNumberFormat="1" applyFont="1" applyAlignment="1">
      <alignment horizontal="center" vertical="center"/>
    </xf>
    <xf numFmtId="177" fontId="22" fillId="0" borderId="0" xfId="0" applyNumberFormat="1" applyFont="1" applyAlignment="1">
      <alignment vertical="center"/>
    </xf>
    <xf numFmtId="177" fontId="22" fillId="0" borderId="0" xfId="0" applyNumberFormat="1" applyFont="1" applyAlignment="1">
      <alignment horizontal="center" vertical="center"/>
    </xf>
    <xf numFmtId="0" fontId="22" fillId="0" borderId="0" xfId="0" applyFont="1" applyAlignment="1" applyProtection="1">
      <alignment vertical="center"/>
      <protection hidden="1"/>
    </xf>
    <xf numFmtId="169" fontId="22" fillId="0" borderId="0" xfId="0" applyNumberFormat="1" applyFont="1" applyAlignment="1" applyProtection="1">
      <alignment vertical="center"/>
      <protection hidden="1"/>
    </xf>
    <xf numFmtId="2" fontId="22" fillId="0" borderId="0" xfId="0" applyNumberFormat="1" applyFont="1" applyAlignment="1" applyProtection="1">
      <alignment vertical="center"/>
      <protection hidden="1"/>
    </xf>
    <xf numFmtId="168" fontId="22" fillId="0" borderId="0" xfId="19" applyFont="1" applyFill="1" applyBorder="1" applyAlignment="1">
      <alignment vertical="center"/>
    </xf>
    <xf numFmtId="173" fontId="22" fillId="0" borderId="0" xfId="0" applyNumberFormat="1" applyFont="1" applyAlignment="1">
      <alignment vertical="center"/>
    </xf>
    <xf numFmtId="0" fontId="31" fillId="9" borderId="17" xfId="0" applyFont="1" applyFill="1" applyBorder="1" applyAlignment="1">
      <alignment horizontal="center" vertical="center" wrapText="1"/>
    </xf>
    <xf numFmtId="9" fontId="37" fillId="5" borderId="20" xfId="38" applyFont="1" applyFill="1" applyBorder="1" applyAlignment="1">
      <alignment horizontal="center" vertical="center"/>
    </xf>
    <xf numFmtId="2" fontId="31" fillId="0" borderId="15" xfId="0" applyNumberFormat="1" applyFont="1" applyBorder="1" applyAlignment="1">
      <alignment vertical="center" wrapText="1"/>
    </xf>
    <xf numFmtId="2" fontId="31" fillId="0" borderId="16" xfId="0" applyNumberFormat="1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169" fontId="22" fillId="0" borderId="0" xfId="0" applyNumberFormat="1" applyFont="1" applyAlignment="1">
      <alignment vertical="center"/>
    </xf>
    <xf numFmtId="0" fontId="33" fillId="0" borderId="19" xfId="30" applyFont="1" applyBorder="1" applyAlignment="1">
      <alignment vertical="center"/>
    </xf>
    <xf numFmtId="0" fontId="33" fillId="0" borderId="18" xfId="30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22" fillId="6" borderId="0" xfId="0" applyFont="1" applyFill="1" applyAlignment="1">
      <alignment horizontal="left" vertical="center"/>
    </xf>
    <xf numFmtId="0" fontId="22" fillId="6" borderId="0" xfId="0" applyFont="1" applyFill="1" applyAlignment="1">
      <alignment horizontal="center" wrapText="1"/>
    </xf>
    <xf numFmtId="169" fontId="22" fillId="6" borderId="0" xfId="0" applyNumberFormat="1" applyFont="1" applyFill="1"/>
    <xf numFmtId="0" fontId="24" fillId="6" borderId="0" xfId="0" applyFont="1" applyFill="1" applyAlignment="1">
      <alignment horizontal="center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wrapText="1"/>
    </xf>
    <xf numFmtId="173" fontId="25" fillId="0" borderId="0" xfId="0" applyNumberFormat="1" applyFont="1" applyAlignment="1">
      <alignment horizontal="left" vertical="center"/>
    </xf>
    <xf numFmtId="173" fontId="22" fillId="6" borderId="0" xfId="0" applyNumberFormat="1" applyFont="1" applyFill="1" applyAlignment="1">
      <alignment horizontal="center" vertical="center"/>
    </xf>
    <xf numFmtId="173" fontId="32" fillId="9" borderId="0" xfId="8" applyNumberFormat="1" applyFont="1" applyFill="1" applyBorder="1" applyAlignment="1">
      <alignment horizontal="center" vertical="center" wrapText="1"/>
    </xf>
    <xf numFmtId="4" fontId="32" fillId="9" borderId="5" xfId="0" applyNumberFormat="1" applyFont="1" applyFill="1" applyBorder="1" applyAlignment="1">
      <alignment horizontal="center" vertical="center" wrapText="1"/>
    </xf>
    <xf numFmtId="173" fontId="33" fillId="7" borderId="14" xfId="0" applyNumberFormat="1" applyFont="1" applyFill="1" applyBorder="1" applyAlignment="1">
      <alignment vertical="center"/>
    </xf>
    <xf numFmtId="0" fontId="32" fillId="9" borderId="9" xfId="0" applyFont="1" applyFill="1" applyBorder="1" applyAlignment="1">
      <alignment horizontal="center" vertical="center" wrapText="1"/>
    </xf>
    <xf numFmtId="0" fontId="32" fillId="9" borderId="9" xfId="0" applyFont="1" applyFill="1" applyBorder="1" applyAlignment="1">
      <alignment horizontal="left" vertical="center" wrapText="1"/>
    </xf>
    <xf numFmtId="168" fontId="32" fillId="9" borderId="9" xfId="19" applyFont="1" applyFill="1" applyBorder="1" applyAlignment="1">
      <alignment horizontal="center" vertical="center" wrapText="1"/>
    </xf>
    <xf numFmtId="173" fontId="32" fillId="9" borderId="9" xfId="0" applyNumberFormat="1" applyFont="1" applyFill="1" applyBorder="1" applyAlignment="1">
      <alignment horizontal="center" vertical="center" wrapText="1"/>
    </xf>
    <xf numFmtId="0" fontId="33" fillId="7" borderId="9" xfId="0" applyFont="1" applyFill="1" applyBorder="1" applyAlignment="1">
      <alignment horizontal="center" vertical="center"/>
    </xf>
    <xf numFmtId="0" fontId="28" fillId="0" borderId="0" xfId="29" applyFont="1" applyAlignment="1">
      <alignment horizontal="center"/>
    </xf>
    <xf numFmtId="0" fontId="33" fillId="7" borderId="9" xfId="0" applyFont="1" applyFill="1" applyBorder="1" applyAlignment="1">
      <alignment horizontal="left" vertical="center"/>
    </xf>
    <xf numFmtId="0" fontId="33" fillId="8" borderId="9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vertical="center"/>
    </xf>
    <xf numFmtId="183" fontId="22" fillId="7" borderId="9" xfId="0" applyNumberFormat="1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vertical="center"/>
    </xf>
    <xf numFmtId="0" fontId="22" fillId="7" borderId="4" xfId="0" applyFont="1" applyFill="1" applyBorder="1" applyAlignment="1">
      <alignment vertical="center"/>
    </xf>
    <xf numFmtId="0" fontId="22" fillId="7" borderId="14" xfId="0" applyFont="1" applyFill="1" applyBorder="1" applyAlignment="1">
      <alignment vertical="center"/>
    </xf>
    <xf numFmtId="0" fontId="33" fillId="0" borderId="0" xfId="0" applyFont="1" applyAlignment="1">
      <alignment horizontal="center" vertical="center" textRotation="90"/>
    </xf>
    <xf numFmtId="0" fontId="33" fillId="0" borderId="0" xfId="0" applyFont="1"/>
    <xf numFmtId="173" fontId="37" fillId="13" borderId="9" xfId="0" applyNumberFormat="1" applyFont="1" applyFill="1" applyBorder="1" applyAlignment="1">
      <alignment vertical="center"/>
    </xf>
    <xf numFmtId="170" fontId="33" fillId="13" borderId="9" xfId="0" applyNumberFormat="1" applyFont="1" applyFill="1" applyBorder="1" applyAlignment="1">
      <alignment horizontal="center" vertical="center"/>
    </xf>
    <xf numFmtId="171" fontId="33" fillId="13" borderId="9" xfId="2" applyFont="1" applyFill="1" applyBorder="1" applyAlignment="1" applyProtection="1">
      <alignment horizontal="left" vertical="center"/>
      <protection locked="0"/>
    </xf>
    <xf numFmtId="172" fontId="33" fillId="13" borderId="9" xfId="31" applyNumberFormat="1" applyFont="1" applyFill="1" applyBorder="1" applyAlignment="1" applyProtection="1">
      <alignment horizontal="left" vertical="center"/>
      <protection hidden="1"/>
    </xf>
    <xf numFmtId="170" fontId="33" fillId="13" borderId="9" xfId="0" applyNumberFormat="1" applyFont="1" applyFill="1" applyBorder="1" applyAlignment="1" applyProtection="1">
      <alignment horizontal="center" vertical="center"/>
      <protection locked="0"/>
    </xf>
    <xf numFmtId="172" fontId="33" fillId="13" borderId="9" xfId="2" applyNumberFormat="1" applyFont="1" applyFill="1" applyBorder="1" applyAlignment="1" applyProtection="1">
      <alignment horizontal="left" vertical="center"/>
      <protection hidden="1"/>
    </xf>
    <xf numFmtId="0" fontId="39" fillId="0" borderId="0" xfId="0" applyFont="1" applyAlignment="1">
      <alignment vertical="center"/>
    </xf>
    <xf numFmtId="2" fontId="22" fillId="0" borderId="0" xfId="0" applyNumberFormat="1" applyFont="1" applyAlignment="1">
      <alignment horizontal="center" vertical="center"/>
    </xf>
    <xf numFmtId="0" fontId="40" fillId="13" borderId="9" xfId="0" applyFont="1" applyFill="1" applyBorder="1" applyAlignment="1">
      <alignment horizontal="center" vertical="center"/>
    </xf>
    <xf numFmtId="0" fontId="40" fillId="13" borderId="9" xfId="0" applyFont="1" applyFill="1" applyBorder="1" applyAlignment="1">
      <alignment vertical="center"/>
    </xf>
    <xf numFmtId="173" fontId="40" fillId="13" borderId="9" xfId="0" applyNumberFormat="1" applyFont="1" applyFill="1" applyBorder="1" applyAlignment="1">
      <alignment vertical="center"/>
    </xf>
    <xf numFmtId="0" fontId="41" fillId="13" borderId="9" xfId="0" applyFont="1" applyFill="1" applyBorder="1" applyAlignment="1">
      <alignment horizontal="center" vertical="center"/>
    </xf>
    <xf numFmtId="0" fontId="41" fillId="13" borderId="9" xfId="0" applyFont="1" applyFill="1" applyBorder="1" applyAlignment="1">
      <alignment vertical="center"/>
    </xf>
    <xf numFmtId="181" fontId="41" fillId="13" borderId="9" xfId="0" applyNumberFormat="1" applyFont="1" applyFill="1" applyBorder="1" applyAlignment="1">
      <alignment vertical="center"/>
    </xf>
    <xf numFmtId="182" fontId="41" fillId="13" borderId="9" xfId="0" applyNumberFormat="1" applyFont="1" applyFill="1" applyBorder="1" applyAlignment="1">
      <alignment vertical="center"/>
    </xf>
    <xf numFmtId="173" fontId="41" fillId="13" borderId="9" xfId="0" applyNumberFormat="1" applyFont="1" applyFill="1" applyBorder="1" applyAlignment="1">
      <alignment vertical="center"/>
    </xf>
    <xf numFmtId="173" fontId="41" fillId="13" borderId="0" xfId="0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164" fontId="22" fillId="0" borderId="0" xfId="8" applyFont="1" applyAlignment="1">
      <alignment horizontal="right" vertical="center"/>
    </xf>
    <xf numFmtId="2" fontId="25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32" fillId="9" borderId="0" xfId="0" applyNumberFormat="1" applyFont="1" applyFill="1" applyAlignment="1">
      <alignment horizontal="right" vertical="center" wrapText="1"/>
    </xf>
    <xf numFmtId="4" fontId="33" fillId="0" borderId="0" xfId="0" applyNumberFormat="1" applyFont="1" applyAlignment="1">
      <alignment horizontal="right" vertical="center"/>
    </xf>
    <xf numFmtId="0" fontId="42" fillId="0" borderId="0" xfId="0" applyFont="1"/>
    <xf numFmtId="177" fontId="43" fillId="0" borderId="0" xfId="0" applyNumberFormat="1" applyFont="1" applyAlignment="1">
      <alignment vertical="center"/>
    </xf>
    <xf numFmtId="0" fontId="43" fillId="0" borderId="0" xfId="0" applyFont="1" applyAlignment="1">
      <alignment horizontal="center" vertical="center"/>
    </xf>
    <xf numFmtId="178" fontId="43" fillId="0" borderId="0" xfId="0" applyNumberFormat="1" applyFont="1" applyAlignment="1">
      <alignment horizontal="center" vertical="center"/>
    </xf>
    <xf numFmtId="177" fontId="43" fillId="0" borderId="0" xfId="0" applyNumberFormat="1" applyFont="1" applyAlignment="1">
      <alignment horizontal="center" vertical="center"/>
    </xf>
    <xf numFmtId="4" fontId="33" fillId="0" borderId="0" xfId="0" applyNumberFormat="1" applyFont="1" applyAlignment="1">
      <alignment horizontal="center" vertical="center"/>
    </xf>
    <xf numFmtId="173" fontId="28" fillId="0" borderId="0" xfId="29" applyNumberFormat="1" applyFont="1"/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177" fontId="44" fillId="0" borderId="0" xfId="0" applyNumberFormat="1" applyFont="1" applyAlignment="1">
      <alignment vertical="center"/>
    </xf>
    <xf numFmtId="177" fontId="44" fillId="0" borderId="0" xfId="0" applyNumberFormat="1" applyFont="1" applyAlignment="1">
      <alignment horizontal="center" vertical="center"/>
    </xf>
    <xf numFmtId="1" fontId="45" fillId="0" borderId="0" xfId="0" applyNumberFormat="1" applyFont="1" applyAlignment="1">
      <alignment horizontal="center" vertical="center"/>
    </xf>
    <xf numFmtId="0" fontId="22" fillId="0" borderId="9" xfId="0" applyFont="1" applyBorder="1" applyAlignment="1">
      <alignment vertical="center"/>
    </xf>
    <xf numFmtId="170" fontId="22" fillId="5" borderId="9" xfId="0" applyNumberFormat="1" applyFont="1" applyFill="1" applyBorder="1" applyAlignment="1">
      <alignment horizontal="center" vertical="center"/>
    </xf>
    <xf numFmtId="0" fontId="33" fillId="12" borderId="0" xfId="0" applyFont="1" applyFill="1" applyAlignment="1">
      <alignment horizontal="center" vertical="center"/>
    </xf>
    <xf numFmtId="0" fontId="33" fillId="12" borderId="0" xfId="0" applyFont="1" applyFill="1" applyAlignment="1">
      <alignment horizontal="left" vertical="center"/>
    </xf>
    <xf numFmtId="0" fontId="33" fillId="12" borderId="0" xfId="0" applyFont="1" applyFill="1" applyAlignment="1">
      <alignment vertical="center"/>
    </xf>
    <xf numFmtId="0" fontId="33" fillId="12" borderId="0" xfId="0" applyFont="1" applyFill="1" applyAlignment="1">
      <alignment horizontal="right" vertical="center"/>
    </xf>
    <xf numFmtId="173" fontId="33" fillId="12" borderId="0" xfId="0" applyNumberFormat="1" applyFont="1" applyFill="1" applyAlignment="1">
      <alignment horizontal="center" vertical="center"/>
    </xf>
    <xf numFmtId="0" fontId="31" fillId="10" borderId="9" xfId="0" applyFont="1" applyFill="1" applyBorder="1" applyAlignment="1">
      <alignment vertical="center" wrapText="1"/>
    </xf>
    <xf numFmtId="9" fontId="22" fillId="0" borderId="9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170" fontId="22" fillId="0" borderId="0" xfId="0" applyNumberFormat="1" applyFont="1" applyAlignment="1">
      <alignment vertical="center"/>
    </xf>
    <xf numFmtId="172" fontId="22" fillId="0" borderId="9" xfId="31" applyNumberFormat="1" applyFont="1" applyBorder="1" applyAlignment="1" applyProtection="1">
      <alignment horizontal="left" vertical="center"/>
      <protection hidden="1"/>
    </xf>
    <xf numFmtId="183" fontId="22" fillId="0" borderId="9" xfId="0" applyNumberFormat="1" applyFont="1" applyBorder="1" applyAlignment="1">
      <alignment vertical="center"/>
    </xf>
    <xf numFmtId="9" fontId="22" fillId="0" borderId="9" xfId="44" applyFont="1" applyBorder="1" applyAlignment="1">
      <alignment vertical="center"/>
    </xf>
    <xf numFmtId="170" fontId="22" fillId="0" borderId="0" xfId="0" applyNumberFormat="1" applyFont="1" applyAlignment="1" applyProtection="1">
      <alignment horizontal="center" vertical="center"/>
      <protection locked="0"/>
    </xf>
    <xf numFmtId="166" fontId="22" fillId="0" borderId="0" xfId="0" applyNumberFormat="1" applyFont="1" applyAlignment="1" applyProtection="1">
      <alignment horizontal="left" vertical="center"/>
      <protection hidden="1"/>
    </xf>
    <xf numFmtId="170" fontId="22" fillId="0" borderId="9" xfId="0" applyNumberFormat="1" applyFont="1" applyBorder="1" applyAlignment="1">
      <alignment horizontal="center" vertical="center"/>
    </xf>
    <xf numFmtId="44" fontId="22" fillId="5" borderId="9" xfId="45" applyFont="1" applyFill="1" applyBorder="1" applyAlignment="1">
      <alignment horizontal="center" vertical="center"/>
    </xf>
    <xf numFmtId="171" fontId="22" fillId="0" borderId="9" xfId="0" applyNumberFormat="1" applyFont="1" applyBorder="1" applyAlignment="1">
      <alignment vertical="center"/>
    </xf>
    <xf numFmtId="171" fontId="22" fillId="0" borderId="9" xfId="2" applyFont="1" applyBorder="1" applyAlignment="1" applyProtection="1">
      <alignment horizontal="left" vertical="center"/>
      <protection locked="0"/>
    </xf>
    <xf numFmtId="170" fontId="22" fillId="0" borderId="0" xfId="0" applyNumberFormat="1" applyFont="1" applyAlignment="1">
      <alignment horizontal="center" vertical="center"/>
    </xf>
    <xf numFmtId="172" fontId="22" fillId="0" borderId="0" xfId="31" applyNumberFormat="1" applyFont="1" applyAlignment="1" applyProtection="1">
      <alignment horizontal="left" vertical="center"/>
      <protection hidden="1"/>
    </xf>
    <xf numFmtId="170" fontId="22" fillId="0" borderId="9" xfId="44" applyNumberFormat="1" applyFont="1" applyFill="1" applyBorder="1" applyAlignment="1">
      <alignment horizontal="center" vertical="center"/>
    </xf>
    <xf numFmtId="171" fontId="22" fillId="0" borderId="0" xfId="2" applyFont="1" applyAlignment="1" applyProtection="1">
      <alignment horizontal="left" vertical="center"/>
      <protection locked="0"/>
    </xf>
    <xf numFmtId="10" fontId="32" fillId="10" borderId="9" xfId="0" applyNumberFormat="1" applyFont="1" applyFill="1" applyBorder="1" applyAlignment="1">
      <alignment horizontal="center" vertical="center" wrapText="1"/>
    </xf>
    <xf numFmtId="44" fontId="33" fillId="0" borderId="20" xfId="45" applyFont="1" applyFill="1" applyBorder="1" applyAlignment="1">
      <alignment horizontal="left" vertical="center"/>
    </xf>
    <xf numFmtId="44" fontId="33" fillId="8" borderId="20" xfId="0" applyNumberFormat="1" applyFont="1" applyFill="1" applyBorder="1" applyAlignment="1">
      <alignment horizontal="left" vertical="center"/>
    </xf>
    <xf numFmtId="44" fontId="33" fillId="7" borderId="20" xfId="45" applyFont="1" applyFill="1" applyBorder="1" applyAlignment="1">
      <alignment horizontal="left" vertical="center"/>
    </xf>
    <xf numFmtId="44" fontId="33" fillId="8" borderId="20" xfId="45" applyFont="1" applyFill="1" applyBorder="1" applyAlignment="1">
      <alignment horizontal="left" vertical="center"/>
    </xf>
    <xf numFmtId="44" fontId="22" fillId="0" borderId="0" xfId="0" applyNumberFormat="1" applyFont="1" applyAlignment="1">
      <alignment vertical="center"/>
    </xf>
    <xf numFmtId="44" fontId="22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4" fontId="33" fillId="0" borderId="0" xfId="0" applyNumberFormat="1" applyFont="1" applyAlignment="1">
      <alignment vertical="center"/>
    </xf>
    <xf numFmtId="173" fontId="33" fillId="0" borderId="0" xfId="0" applyNumberFormat="1" applyFont="1" applyAlignment="1">
      <alignment horizontal="center" vertical="center"/>
    </xf>
    <xf numFmtId="0" fontId="33" fillId="13" borderId="0" xfId="0" applyFont="1" applyFill="1" applyAlignment="1">
      <alignment horizontal="left" vertical="center" wrapText="1"/>
    </xf>
    <xf numFmtId="44" fontId="22" fillId="0" borderId="20" xfId="45" applyFont="1" applyFill="1" applyBorder="1" applyAlignment="1">
      <alignment horizontal="left" vertical="center"/>
    </xf>
    <xf numFmtId="44" fontId="22" fillId="0" borderId="20" xfId="0" applyNumberFormat="1" applyFont="1" applyBorder="1" applyAlignment="1">
      <alignment horizontal="left" vertical="center"/>
    </xf>
    <xf numFmtId="173" fontId="22" fillId="0" borderId="0" xfId="0" applyNumberFormat="1" applyFont="1" applyAlignment="1">
      <alignment horizontal="left" vertical="center"/>
    </xf>
    <xf numFmtId="44" fontId="22" fillId="0" borderId="0" xfId="0" applyNumberFormat="1" applyFont="1" applyAlignment="1">
      <alignment horizontal="left" vertical="center"/>
    </xf>
    <xf numFmtId="0" fontId="2" fillId="0" borderId="0" xfId="42" applyAlignment="1">
      <alignment wrapText="1"/>
    </xf>
    <xf numFmtId="0" fontId="2" fillId="0" borderId="9" xfId="46" applyFont="1" applyBorder="1" applyAlignment="1">
      <alignment horizontal="left" vertical="center" wrapText="1"/>
    </xf>
    <xf numFmtId="49" fontId="47" fillId="0" borderId="9" xfId="46" applyNumberFormat="1" applyFont="1" applyBorder="1" applyAlignment="1" applyProtection="1">
      <alignment horizontal="left" vertical="center" wrapText="1"/>
      <protection hidden="1"/>
    </xf>
    <xf numFmtId="0" fontId="2" fillId="6" borderId="9" xfId="46" applyFont="1" applyFill="1" applyBorder="1" applyAlignment="1">
      <alignment horizontal="left" vertical="center" wrapText="1"/>
    </xf>
    <xf numFmtId="49" fontId="47" fillId="6" borderId="9" xfId="46" applyNumberFormat="1" applyFont="1" applyFill="1" applyBorder="1" applyAlignment="1" applyProtection="1">
      <alignment horizontal="left" vertical="center" wrapText="1"/>
      <protection hidden="1"/>
    </xf>
    <xf numFmtId="0" fontId="47" fillId="0" borderId="9" xfId="46" applyFont="1" applyBorder="1" applyAlignment="1">
      <alignment horizontal="left" vertical="center" wrapText="1"/>
    </xf>
    <xf numFmtId="0" fontId="2" fillId="0" borderId="0" xfId="42" applyAlignment="1">
      <alignment horizontal="left" vertical="center" wrapText="1"/>
    </xf>
    <xf numFmtId="0" fontId="22" fillId="0" borderId="5" xfId="30" applyFont="1" applyBorder="1" applyAlignment="1">
      <alignment vertical="center"/>
    </xf>
    <xf numFmtId="0" fontId="22" fillId="6" borderId="5" xfId="30" applyFont="1" applyFill="1" applyBorder="1" applyAlignment="1">
      <alignment vertical="center"/>
    </xf>
    <xf numFmtId="0" fontId="22" fillId="0" borderId="10" xfId="30" applyFont="1" applyBorder="1" applyAlignment="1">
      <alignment vertical="center"/>
    </xf>
    <xf numFmtId="180" fontId="33" fillId="0" borderId="0" xfId="0" applyNumberFormat="1" applyFont="1" applyAlignment="1">
      <alignment horizontal="center" vertical="center"/>
    </xf>
    <xf numFmtId="4" fontId="39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44" fontId="33" fillId="0" borderId="23" xfId="45" applyFont="1" applyFill="1" applyBorder="1" applyAlignment="1">
      <alignment horizontal="left" vertical="center"/>
    </xf>
    <xf numFmtId="0" fontId="31" fillId="9" borderId="0" xfId="0" applyFont="1" applyFill="1" applyAlignment="1">
      <alignment horizontal="center" vertical="center" wrapText="1"/>
    </xf>
    <xf numFmtId="4" fontId="31" fillId="9" borderId="0" xfId="0" applyNumberFormat="1" applyFont="1" applyFill="1" applyAlignment="1">
      <alignment horizontal="center" vertical="center" wrapText="1"/>
    </xf>
    <xf numFmtId="164" fontId="31" fillId="9" borderId="0" xfId="40" applyFont="1" applyFill="1" applyAlignment="1">
      <alignment horizontal="center" vertical="center" wrapText="1"/>
    </xf>
    <xf numFmtId="4" fontId="31" fillId="9" borderId="5" xfId="40" applyNumberFormat="1" applyFont="1" applyFill="1" applyBorder="1" applyAlignment="1">
      <alignment horizontal="center" vertical="center" wrapText="1"/>
    </xf>
    <xf numFmtId="4" fontId="31" fillId="9" borderId="5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3" fillId="5" borderId="0" xfId="0" applyFont="1" applyFill="1" applyAlignment="1">
      <alignment horizontal="center" vertical="center"/>
    </xf>
    <xf numFmtId="0" fontId="33" fillId="11" borderId="0" xfId="0" applyFont="1" applyFill="1" applyAlignment="1">
      <alignment horizontal="center" vertical="center"/>
    </xf>
    <xf numFmtId="0" fontId="33" fillId="11" borderId="0" xfId="0" applyFont="1" applyFill="1" applyAlignment="1">
      <alignment horizontal="left" vertical="center"/>
    </xf>
    <xf numFmtId="0" fontId="33" fillId="11" borderId="0" xfId="0" applyFont="1" applyFill="1" applyAlignment="1">
      <alignment vertical="center"/>
    </xf>
    <xf numFmtId="173" fontId="33" fillId="11" borderId="0" xfId="0" applyNumberFormat="1" applyFont="1" applyFill="1" applyAlignment="1">
      <alignment horizontal="center" vertical="center"/>
    </xf>
    <xf numFmtId="0" fontId="33" fillId="0" borderId="20" xfId="45" applyNumberFormat="1" applyFont="1" applyFill="1" applyBorder="1" applyAlignment="1">
      <alignment horizontal="left" vertical="center"/>
    </xf>
    <xf numFmtId="0" fontId="50" fillId="15" borderId="9" xfId="0" applyFont="1" applyFill="1" applyBorder="1" applyAlignment="1">
      <alignment horizontal="left" vertical="center" wrapText="1"/>
    </xf>
    <xf numFmtId="0" fontId="33" fillId="0" borderId="9" xfId="0" applyFont="1" applyBorder="1" applyAlignment="1">
      <alignment horizontal="right" vertical="center"/>
    </xf>
    <xf numFmtId="14" fontId="33" fillId="0" borderId="9" xfId="0" applyNumberFormat="1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168" fontId="33" fillId="0" borderId="9" xfId="20" applyFont="1" applyBorder="1" applyAlignment="1">
      <alignment horizontal="right" vertical="center"/>
    </xf>
    <xf numFmtId="0" fontId="33" fillId="0" borderId="9" xfId="0" applyFont="1" applyBorder="1" applyAlignment="1">
      <alignment horizontal="center" vertical="center"/>
    </xf>
    <xf numFmtId="184" fontId="33" fillId="0" borderId="9" xfId="45" applyNumberFormat="1" applyFont="1" applyBorder="1" applyAlignment="1">
      <alignment horizontal="center" vertical="center"/>
    </xf>
    <xf numFmtId="44" fontId="33" fillId="0" borderId="9" xfId="45" applyFont="1" applyBorder="1" applyAlignment="1">
      <alignment vertical="center"/>
    </xf>
    <xf numFmtId="185" fontId="33" fillId="0" borderId="9" xfId="20" applyNumberFormat="1" applyFont="1" applyBorder="1" applyAlignment="1">
      <alignment vertical="center"/>
    </xf>
    <xf numFmtId="0" fontId="33" fillId="0" borderId="0" xfId="0" applyFont="1" applyAlignment="1">
      <alignment horizontal="center"/>
    </xf>
    <xf numFmtId="3" fontId="33" fillId="0" borderId="0" xfId="0" applyNumberFormat="1" applyFont="1" applyAlignment="1">
      <alignment horizontal="center" vertical="center"/>
    </xf>
    <xf numFmtId="4" fontId="33" fillId="11" borderId="0" xfId="0" applyNumberFormat="1" applyFont="1" applyFill="1" applyAlignment="1">
      <alignment horizontal="right" vertical="center"/>
    </xf>
    <xf numFmtId="0" fontId="39" fillId="0" borderId="0" xfId="0" applyFont="1" applyAlignment="1">
      <alignment horizontal="center" vertical="center" wrapText="1"/>
    </xf>
    <xf numFmtId="0" fontId="2" fillId="0" borderId="9" xfId="0" applyFont="1" applyBorder="1"/>
    <xf numFmtId="44" fontId="2" fillId="16" borderId="9" xfId="47" applyFont="1" applyFill="1" applyBorder="1"/>
    <xf numFmtId="0" fontId="22" fillId="0" borderId="9" xfId="0" applyFont="1" applyBorder="1" applyAlignment="1">
      <alignment horizontal="center" vertical="center"/>
    </xf>
    <xf numFmtId="0" fontId="2" fillId="0" borderId="14" xfId="0" applyFont="1" applyBorder="1"/>
    <xf numFmtId="0" fontId="22" fillId="0" borderId="14" xfId="0" applyFont="1" applyBorder="1" applyAlignment="1">
      <alignment vertical="center"/>
    </xf>
    <xf numFmtId="44" fontId="2" fillId="0" borderId="7" xfId="47" applyFont="1" applyBorder="1"/>
    <xf numFmtId="0" fontId="22" fillId="0" borderId="7" xfId="0" applyFont="1" applyBorder="1" applyAlignment="1">
      <alignment vertical="center"/>
    </xf>
    <xf numFmtId="0" fontId="2" fillId="0" borderId="13" xfId="0" applyFont="1" applyBorder="1"/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2" fillId="0" borderId="22" xfId="0" applyFont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horizontal="center" vertical="center"/>
    </xf>
    <xf numFmtId="173" fontId="22" fillId="0" borderId="24" xfId="0" applyNumberFormat="1" applyFont="1" applyBorder="1" applyAlignment="1">
      <alignment vertical="center"/>
    </xf>
    <xf numFmtId="44" fontId="22" fillId="0" borderId="8" xfId="0" applyNumberFormat="1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9" fontId="2" fillId="16" borderId="7" xfId="38" applyFont="1" applyFill="1" applyBorder="1"/>
    <xf numFmtId="44" fontId="2" fillId="0" borderId="7" xfId="47" applyFont="1" applyFill="1" applyBorder="1"/>
    <xf numFmtId="44" fontId="22" fillId="0" borderId="7" xfId="0" applyNumberFormat="1" applyFont="1" applyBorder="1" applyAlignment="1">
      <alignment vertical="center"/>
    </xf>
    <xf numFmtId="0" fontId="54" fillId="0" borderId="0" xfId="0" applyFont="1"/>
    <xf numFmtId="0" fontId="54" fillId="0" borderId="9" xfId="0" applyFont="1" applyBorder="1"/>
    <xf numFmtId="0" fontId="56" fillId="18" borderId="0" xfId="0" applyFont="1" applyFill="1" applyAlignment="1">
      <alignment horizontal="center" vertical="center"/>
    </xf>
    <xf numFmtId="0" fontId="57" fillId="0" borderId="0" xfId="0" applyFont="1" applyAlignment="1">
      <alignment wrapText="1"/>
    </xf>
    <xf numFmtId="0" fontId="57" fillId="0" borderId="0" xfId="0" applyFont="1"/>
    <xf numFmtId="0" fontId="58" fillId="17" borderId="9" xfId="0" applyFont="1" applyFill="1" applyBorder="1" applyAlignment="1">
      <alignment horizontal="center" vertical="center"/>
    </xf>
    <xf numFmtId="0" fontId="58" fillId="17" borderId="9" xfId="0" applyFont="1" applyFill="1" applyBorder="1" applyAlignment="1">
      <alignment horizontal="center" vertical="center" wrapText="1"/>
    </xf>
    <xf numFmtId="0" fontId="59" fillId="17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58" fillId="17" borderId="9" xfId="0" applyNumberFormat="1" applyFont="1" applyFill="1" applyBorder="1" applyAlignment="1">
      <alignment vertical="center" wrapText="1"/>
    </xf>
    <xf numFmtId="0" fontId="57" fillId="6" borderId="9" xfId="0" applyFont="1" applyFill="1" applyBorder="1" applyAlignment="1">
      <alignment horizontal="left" vertical="center"/>
    </xf>
    <xf numFmtId="0" fontId="57" fillId="19" borderId="9" xfId="0" applyFont="1" applyFill="1" applyBorder="1" applyAlignment="1">
      <alignment horizontal="center" vertical="center"/>
    </xf>
    <xf numFmtId="44" fontId="57" fillId="19" borderId="9" xfId="0" applyNumberFormat="1" applyFont="1" applyFill="1" applyBorder="1" applyAlignment="1">
      <alignment horizontal="center" vertical="center"/>
    </xf>
    <xf numFmtId="0" fontId="60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44" fontId="57" fillId="17" borderId="9" xfId="0" applyNumberFormat="1" applyFont="1" applyFill="1" applyBorder="1" applyAlignment="1">
      <alignment horizontal="center" vertical="center"/>
    </xf>
    <xf numFmtId="0" fontId="61" fillId="0" borderId="0" xfId="0" applyFont="1"/>
    <xf numFmtId="0" fontId="0" fillId="0" borderId="0" xfId="0" applyAlignment="1">
      <alignment wrapText="1"/>
    </xf>
    <xf numFmtId="0" fontId="2" fillId="0" borderId="22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173" fontId="2" fillId="0" borderId="24" xfId="0" applyNumberFormat="1" applyFont="1" applyBorder="1" applyAlignment="1">
      <alignment vertical="center"/>
    </xf>
    <xf numFmtId="44" fontId="2" fillId="0" borderId="8" xfId="47" applyFont="1" applyFill="1" applyBorder="1" applyAlignment="1">
      <alignment vertical="center"/>
    </xf>
    <xf numFmtId="44" fontId="39" fillId="0" borderId="8" xfId="47" applyFont="1" applyBorder="1" applyAlignment="1">
      <alignment vertical="center"/>
    </xf>
    <xf numFmtId="9" fontId="2" fillId="0" borderId="24" xfId="38" applyFont="1" applyBorder="1" applyAlignment="1">
      <alignment vertical="center"/>
    </xf>
    <xf numFmtId="44" fontId="39" fillId="0" borderId="24" xfId="47" applyFont="1" applyFill="1" applyBorder="1" applyAlignment="1">
      <alignment vertical="center"/>
    </xf>
    <xf numFmtId="44" fontId="53" fillId="0" borderId="11" xfId="47" applyFont="1" applyFill="1" applyBorder="1" applyAlignment="1">
      <alignment horizontal="center"/>
    </xf>
    <xf numFmtId="44" fontId="53" fillId="0" borderId="0" xfId="47" applyFont="1" applyFill="1" applyBorder="1" applyAlignment="1">
      <alignment horizontal="center"/>
    </xf>
    <xf numFmtId="9" fontId="22" fillId="5" borderId="4" xfId="38" applyFont="1" applyFill="1" applyBorder="1" applyAlignment="1">
      <alignment horizontal="center" vertical="center"/>
    </xf>
    <xf numFmtId="0" fontId="62" fillId="9" borderId="9" xfId="0" applyFont="1" applyFill="1" applyBorder="1"/>
    <xf numFmtId="0" fontId="62" fillId="9" borderId="9" xfId="0" applyFont="1" applyFill="1" applyBorder="1" applyAlignment="1">
      <alignment wrapText="1"/>
    </xf>
    <xf numFmtId="0" fontId="56" fillId="18" borderId="0" xfId="0" applyFont="1" applyFill="1" applyAlignment="1">
      <alignment horizontal="left" vertical="center"/>
    </xf>
    <xf numFmtId="44" fontId="20" fillId="16" borderId="9" xfId="47" applyFont="1" applyFill="1" applyBorder="1"/>
    <xf numFmtId="9" fontId="62" fillId="9" borderId="9" xfId="38" applyFont="1" applyFill="1" applyBorder="1" applyAlignment="1">
      <alignment horizontal="center"/>
    </xf>
    <xf numFmtId="44" fontId="58" fillId="17" borderId="9" xfId="47" applyFont="1" applyFill="1" applyBorder="1" applyAlignment="1">
      <alignment horizontal="center" vertical="center" wrapText="1"/>
    </xf>
    <xf numFmtId="173" fontId="33" fillId="0" borderId="9" xfId="0" applyNumberFormat="1" applyFont="1" applyBorder="1" applyAlignment="1">
      <alignment vertical="center"/>
    </xf>
    <xf numFmtId="0" fontId="63" fillId="0" borderId="9" xfId="0" applyFont="1" applyBorder="1" applyAlignment="1">
      <alignment vertical="center"/>
    </xf>
    <xf numFmtId="173" fontId="63" fillId="0" borderId="9" xfId="0" applyNumberFormat="1" applyFont="1" applyBorder="1" applyAlignment="1">
      <alignment vertical="center"/>
    </xf>
    <xf numFmtId="0" fontId="35" fillId="10" borderId="8" xfId="30" applyFont="1" applyFill="1" applyBorder="1" applyAlignment="1">
      <alignment horizontal="center" vertical="center" wrapText="1"/>
    </xf>
    <xf numFmtId="0" fontId="35" fillId="10" borderId="11" xfId="3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9" xfId="0" applyFont="1" applyBorder="1" applyAlignment="1">
      <alignment vertical="center"/>
    </xf>
    <xf numFmtId="0" fontId="37" fillId="13" borderId="7" xfId="0" applyFont="1" applyFill="1" applyBorder="1" applyAlignment="1">
      <alignment horizontal="left" vertical="center"/>
    </xf>
    <xf numFmtId="0" fontId="37" fillId="13" borderId="4" xfId="0" applyFont="1" applyFill="1" applyBorder="1" applyAlignment="1">
      <alignment horizontal="left" vertical="center"/>
    </xf>
    <xf numFmtId="0" fontId="37" fillId="13" borderId="14" xfId="0" applyFont="1" applyFill="1" applyBorder="1" applyAlignment="1">
      <alignment horizontal="left" vertical="center"/>
    </xf>
    <xf numFmtId="0" fontId="31" fillId="10" borderId="7" xfId="0" applyFont="1" applyFill="1" applyBorder="1" applyAlignment="1">
      <alignment horizontal="left" vertical="center" wrapText="1"/>
    </xf>
    <xf numFmtId="0" fontId="31" fillId="10" borderId="4" xfId="0" applyFont="1" applyFill="1" applyBorder="1" applyAlignment="1">
      <alignment horizontal="left" vertical="center" wrapText="1"/>
    </xf>
    <xf numFmtId="0" fontId="31" fillId="10" borderId="14" xfId="0" applyFont="1" applyFill="1" applyBorder="1" applyAlignment="1">
      <alignment horizontal="left" vertical="center" wrapText="1"/>
    </xf>
    <xf numFmtId="10" fontId="22" fillId="5" borderId="7" xfId="0" applyNumberFormat="1" applyFont="1" applyFill="1" applyBorder="1" applyAlignment="1">
      <alignment horizontal="left" vertical="center"/>
    </xf>
    <xf numFmtId="10" fontId="22" fillId="5" borderId="4" xfId="0" applyNumberFormat="1" applyFont="1" applyFill="1" applyBorder="1" applyAlignment="1">
      <alignment horizontal="left" vertical="center"/>
    </xf>
    <xf numFmtId="10" fontId="22" fillId="5" borderId="14" xfId="0" applyNumberFormat="1" applyFont="1" applyFill="1" applyBorder="1" applyAlignment="1">
      <alignment horizontal="left" vertical="center"/>
    </xf>
    <xf numFmtId="0" fontId="37" fillId="13" borderId="9" xfId="0" applyFont="1" applyFill="1" applyBorder="1" applyAlignment="1">
      <alignment horizontal="center" vertical="center"/>
    </xf>
    <xf numFmtId="9" fontId="22" fillId="0" borderId="7" xfId="0" applyNumberFormat="1" applyFont="1" applyBorder="1" applyAlignment="1">
      <alignment horizontal="left" vertical="center" wrapText="1"/>
    </xf>
    <xf numFmtId="9" fontId="22" fillId="0" borderId="14" xfId="0" applyNumberFormat="1" applyFont="1" applyBorder="1" applyAlignment="1">
      <alignment horizontal="left" vertical="center" wrapText="1"/>
    </xf>
    <xf numFmtId="0" fontId="30" fillId="0" borderId="0" xfId="30" applyFont="1" applyAlignment="1">
      <alignment horizontal="center" vertical="center"/>
    </xf>
    <xf numFmtId="170" fontId="22" fillId="5" borderId="9" xfId="0" applyNumberFormat="1" applyFont="1" applyFill="1" applyBorder="1" applyAlignment="1">
      <alignment horizontal="center" vertical="center"/>
    </xf>
    <xf numFmtId="9" fontId="22" fillId="0" borderId="7" xfId="0" applyNumberFormat="1" applyFont="1" applyBorder="1" applyAlignment="1">
      <alignment horizontal="left" vertical="center"/>
    </xf>
    <xf numFmtId="9" fontId="22" fillId="0" borderId="4" xfId="0" applyNumberFormat="1" applyFont="1" applyBorder="1" applyAlignment="1">
      <alignment horizontal="left" vertical="center"/>
    </xf>
    <xf numFmtId="9" fontId="22" fillId="0" borderId="14" xfId="0" applyNumberFormat="1" applyFont="1" applyBorder="1" applyAlignment="1">
      <alignment horizontal="left" vertical="center"/>
    </xf>
    <xf numFmtId="0" fontId="24" fillId="0" borderId="9" xfId="30" applyFont="1" applyBorder="1" applyAlignment="1">
      <alignment horizontal="center" vertical="center"/>
    </xf>
    <xf numFmtId="0" fontId="31" fillId="10" borderId="10" xfId="0" applyFont="1" applyFill="1" applyBorder="1" applyAlignment="1">
      <alignment horizontal="center" vertical="center" wrapText="1"/>
    </xf>
    <xf numFmtId="0" fontId="31" fillId="10" borderId="12" xfId="0" applyFont="1" applyFill="1" applyBorder="1" applyAlignment="1">
      <alignment horizontal="center" vertical="center" wrapText="1"/>
    </xf>
    <xf numFmtId="0" fontId="31" fillId="10" borderId="13" xfId="0" applyFont="1" applyFill="1" applyBorder="1" applyAlignment="1">
      <alignment horizontal="center" vertical="center" wrapText="1"/>
    </xf>
    <xf numFmtId="170" fontId="24" fillId="5" borderId="7" xfId="0" applyNumberFormat="1" applyFont="1" applyFill="1" applyBorder="1" applyAlignment="1">
      <alignment horizontal="center" vertical="center"/>
    </xf>
    <xf numFmtId="170" fontId="22" fillId="5" borderId="4" xfId="0" applyNumberFormat="1" applyFont="1" applyFill="1" applyBorder="1" applyAlignment="1">
      <alignment horizontal="center" vertical="center"/>
    </xf>
    <xf numFmtId="0" fontId="30" fillId="0" borderId="6" xfId="30" applyFont="1" applyBorder="1" applyAlignment="1">
      <alignment horizontal="center" vertical="center"/>
    </xf>
    <xf numFmtId="0" fontId="24" fillId="13" borderId="7" xfId="0" applyFont="1" applyFill="1" applyBorder="1" applyAlignment="1">
      <alignment horizontal="center" vertical="center"/>
    </xf>
    <xf numFmtId="0" fontId="24" fillId="13" borderId="4" xfId="0" applyFont="1" applyFill="1" applyBorder="1" applyAlignment="1">
      <alignment horizontal="center" vertical="center"/>
    </xf>
    <xf numFmtId="0" fontId="24" fillId="13" borderId="14" xfId="0" applyFont="1" applyFill="1" applyBorder="1" applyAlignment="1">
      <alignment horizontal="center" vertical="center"/>
    </xf>
    <xf numFmtId="0" fontId="24" fillId="14" borderId="8" xfId="0" applyFont="1" applyFill="1" applyBorder="1" applyAlignment="1">
      <alignment horizontal="center" vertical="center"/>
    </xf>
    <xf numFmtId="0" fontId="24" fillId="14" borderId="21" xfId="0" applyFont="1" applyFill="1" applyBorder="1" applyAlignment="1">
      <alignment horizontal="center" vertical="center"/>
    </xf>
    <xf numFmtId="0" fontId="24" fillId="14" borderId="22" xfId="0" applyFont="1" applyFill="1" applyBorder="1" applyAlignment="1">
      <alignment horizontal="center" vertical="center"/>
    </xf>
    <xf numFmtId="0" fontId="24" fillId="13" borderId="8" xfId="0" applyFont="1" applyFill="1" applyBorder="1" applyAlignment="1">
      <alignment horizontal="center" vertical="center"/>
    </xf>
    <xf numFmtId="0" fontId="24" fillId="13" borderId="21" xfId="0" applyFont="1" applyFill="1" applyBorder="1" applyAlignment="1">
      <alignment horizontal="center" vertical="center"/>
    </xf>
    <xf numFmtId="0" fontId="24" fillId="13" borderId="22" xfId="0" applyFont="1" applyFill="1" applyBorder="1" applyAlignment="1">
      <alignment horizontal="center" vertical="center"/>
    </xf>
    <xf numFmtId="170" fontId="24" fillId="5" borderId="9" xfId="0" applyNumberFormat="1" applyFont="1" applyFill="1" applyBorder="1" applyAlignment="1">
      <alignment horizontal="center" vertical="center"/>
    </xf>
    <xf numFmtId="170" fontId="22" fillId="5" borderId="14" xfId="0" applyNumberFormat="1" applyFont="1" applyFill="1" applyBorder="1" applyAlignment="1">
      <alignment horizontal="center" vertical="center"/>
    </xf>
    <xf numFmtId="4" fontId="22" fillId="0" borderId="9" xfId="0" applyNumberFormat="1" applyFont="1" applyBorder="1" applyAlignment="1">
      <alignment horizontal="center" vertical="center"/>
    </xf>
    <xf numFmtId="170" fontId="22" fillId="5" borderId="7" xfId="0" applyNumberFormat="1" applyFont="1" applyFill="1" applyBorder="1" applyAlignment="1">
      <alignment horizontal="center" vertical="center"/>
    </xf>
    <xf numFmtId="0" fontId="62" fillId="9" borderId="7" xfId="0" applyFont="1" applyFill="1" applyBorder="1" applyAlignment="1">
      <alignment horizontal="center"/>
    </xf>
    <xf numFmtId="0" fontId="62" fillId="9" borderId="14" xfId="0" applyFont="1" applyFill="1" applyBorder="1" applyAlignment="1">
      <alignment horizontal="center"/>
    </xf>
    <xf numFmtId="170" fontId="22" fillId="5" borderId="7" xfId="0" applyNumberFormat="1" applyFont="1" applyFill="1" applyBorder="1" applyAlignment="1">
      <alignment horizontal="left" vertical="center"/>
    </xf>
    <xf numFmtId="170" fontId="22" fillId="5" borderId="4" xfId="0" applyNumberFormat="1" applyFont="1" applyFill="1" applyBorder="1" applyAlignment="1">
      <alignment horizontal="left" vertical="center"/>
    </xf>
    <xf numFmtId="0" fontId="22" fillId="0" borderId="8" xfId="0" applyFont="1" applyBorder="1" applyAlignment="1">
      <alignment horizontal="center" vertical="center" textRotation="90"/>
    </xf>
    <xf numFmtId="0" fontId="22" fillId="0" borderId="11" xfId="0" applyFont="1" applyBorder="1" applyAlignment="1">
      <alignment horizontal="center" vertical="center" textRotation="90"/>
    </xf>
    <xf numFmtId="0" fontId="22" fillId="0" borderId="12" xfId="0" applyFont="1" applyBorder="1" applyAlignment="1">
      <alignment horizontal="center" vertical="center" textRotation="90"/>
    </xf>
    <xf numFmtId="0" fontId="22" fillId="0" borderId="8" xfId="0" applyFont="1" applyBorder="1" applyAlignment="1">
      <alignment horizontal="center" vertical="center" textRotation="90" wrapText="1"/>
    </xf>
    <xf numFmtId="0" fontId="22" fillId="0" borderId="11" xfId="0" applyFont="1" applyBorder="1" applyAlignment="1">
      <alignment horizontal="center" vertical="center" textRotation="90" wrapText="1"/>
    </xf>
    <xf numFmtId="0" fontId="22" fillId="0" borderId="12" xfId="0" applyFont="1" applyBorder="1" applyAlignment="1">
      <alignment horizontal="center" vertical="center" textRotation="90" wrapText="1"/>
    </xf>
    <xf numFmtId="49" fontId="22" fillId="7" borderId="7" xfId="0" applyNumberFormat="1" applyFont="1" applyFill="1" applyBorder="1" applyAlignment="1">
      <alignment horizontal="center" vertical="center"/>
    </xf>
    <xf numFmtId="49" fontId="22" fillId="7" borderId="4" xfId="0" applyNumberFormat="1" applyFont="1" applyFill="1" applyBorder="1" applyAlignment="1">
      <alignment horizontal="center" vertical="center"/>
    </xf>
    <xf numFmtId="49" fontId="22" fillId="7" borderId="14" xfId="0" applyNumberFormat="1" applyFont="1" applyFill="1" applyBorder="1" applyAlignment="1">
      <alignment horizontal="center" vertical="center"/>
    </xf>
    <xf numFmtId="49" fontId="22" fillId="8" borderId="7" xfId="0" applyNumberFormat="1" applyFont="1" applyFill="1" applyBorder="1" applyAlignment="1">
      <alignment horizontal="center" vertical="center"/>
    </xf>
    <xf numFmtId="49" fontId="22" fillId="8" borderId="4" xfId="0" applyNumberFormat="1" applyFont="1" applyFill="1" applyBorder="1" applyAlignment="1">
      <alignment horizontal="center" vertical="center"/>
    </xf>
    <xf numFmtId="49" fontId="22" fillId="8" borderId="14" xfId="0" applyNumberFormat="1" applyFont="1" applyFill="1" applyBorder="1" applyAlignment="1">
      <alignment horizontal="center" vertical="center"/>
    </xf>
    <xf numFmtId="0" fontId="22" fillId="8" borderId="7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22" fillId="8" borderId="14" xfId="0" applyFont="1" applyFill="1" applyBorder="1" applyAlignment="1">
      <alignment horizontal="center" vertical="center"/>
    </xf>
    <xf numFmtId="2" fontId="31" fillId="10" borderId="7" xfId="0" applyNumberFormat="1" applyFont="1" applyFill="1" applyBorder="1" applyAlignment="1">
      <alignment horizontal="left" vertical="center"/>
    </xf>
    <xf numFmtId="2" fontId="31" fillId="10" borderId="4" xfId="0" applyNumberFormat="1" applyFont="1" applyFill="1" applyBorder="1" applyAlignment="1">
      <alignment horizontal="left" vertical="center"/>
    </xf>
    <xf numFmtId="49" fontId="31" fillId="10" borderId="4" xfId="29" applyNumberFormat="1" applyFont="1" applyFill="1" applyBorder="1" applyAlignment="1">
      <alignment horizontal="left" vertical="center"/>
    </xf>
    <xf numFmtId="49" fontId="31" fillId="10" borderId="14" xfId="29" applyNumberFormat="1" applyFont="1" applyFill="1" applyBorder="1" applyAlignment="1">
      <alignment horizontal="left" vertical="center"/>
    </xf>
    <xf numFmtId="0" fontId="48" fillId="16" borderId="0" xfId="0" applyFont="1" applyFill="1" applyAlignment="1">
      <alignment horizontal="center" vertical="center"/>
    </xf>
  </cellXfs>
  <cellStyles count="48">
    <cellStyle name="%" xfId="1" xr:uid="{00000000-0005-0000-0000-000000000000}"/>
    <cellStyle name="% 2" xfId="39" xr:uid="{00000000-0005-0000-0000-000001000000}"/>
    <cellStyle name="Euro" xfId="2" xr:uid="{00000000-0005-0000-0000-000002000000}"/>
    <cellStyle name="Euro 10" xfId="3" xr:uid="{00000000-0005-0000-0000-000003000000}"/>
    <cellStyle name="Euro 11" xfId="4" xr:uid="{00000000-0005-0000-0000-000004000000}"/>
    <cellStyle name="Euro 12" xfId="5" xr:uid="{00000000-0005-0000-0000-000005000000}"/>
    <cellStyle name="Euro 13" xfId="6" xr:uid="{00000000-0005-0000-0000-000006000000}"/>
    <cellStyle name="Euro 14" xfId="7" xr:uid="{00000000-0005-0000-0000-000007000000}"/>
    <cellStyle name="Euro 15" xfId="8" xr:uid="{00000000-0005-0000-0000-000008000000}"/>
    <cellStyle name="Euro 15 2" xfId="40" xr:uid="{00000000-0005-0000-0000-000009000000}"/>
    <cellStyle name="Euro 2" xfId="9" xr:uid="{00000000-0005-0000-0000-00000A000000}"/>
    <cellStyle name="Euro 3" xfId="10" xr:uid="{00000000-0005-0000-0000-00000B000000}"/>
    <cellStyle name="Euro 4" xfId="11" xr:uid="{00000000-0005-0000-0000-00000C000000}"/>
    <cellStyle name="Euro 5" xfId="12" xr:uid="{00000000-0005-0000-0000-00000D000000}"/>
    <cellStyle name="Euro 6" xfId="13" xr:uid="{00000000-0005-0000-0000-00000E000000}"/>
    <cellStyle name="Euro 7" xfId="14" xr:uid="{00000000-0005-0000-0000-00000F000000}"/>
    <cellStyle name="Euro 8" xfId="15" xr:uid="{00000000-0005-0000-0000-000010000000}"/>
    <cellStyle name="Euro 9" xfId="16" xr:uid="{00000000-0005-0000-0000-000011000000}"/>
    <cellStyle name="Euro_1.5 Ruimtestaten SRO N2" xfId="17" xr:uid="{00000000-0005-0000-0000-000012000000}"/>
    <cellStyle name="Followed Hyperlink_Adres-Gymzalen.xls" xfId="18" xr:uid="{00000000-0005-0000-0000-000013000000}"/>
    <cellStyle name="Komma" xfId="19" builtinId="3"/>
    <cellStyle name="Komma 2" xfId="20" xr:uid="{00000000-0005-0000-0000-000015000000}"/>
    <cellStyle name="Komma 3" xfId="37" xr:uid="{00000000-0005-0000-0000-000016000000}"/>
    <cellStyle name="Koppen_rekenblad" xfId="21" xr:uid="{00000000-0005-0000-0000-000017000000}"/>
    <cellStyle name="koppenrekenblad2" xfId="22" xr:uid="{00000000-0005-0000-0000-000018000000}"/>
    <cellStyle name="koppenrekenblad2 2" xfId="41" xr:uid="{00000000-0005-0000-0000-000019000000}"/>
    <cellStyle name="m2" xfId="23" xr:uid="{00000000-0005-0000-0000-00001A000000}"/>
    <cellStyle name="NIBa standaard" xfId="24" xr:uid="{00000000-0005-0000-0000-00001B000000}"/>
    <cellStyle name="Ongedefinieerd" xfId="25" xr:uid="{00000000-0005-0000-0000-00001C000000}"/>
    <cellStyle name="prijslijst" xfId="26" xr:uid="{00000000-0005-0000-0000-00001D000000}"/>
    <cellStyle name="Procent" xfId="38" builtinId="5"/>
    <cellStyle name="Procent 2" xfId="35" xr:uid="{00000000-0005-0000-0000-00001F000000}"/>
    <cellStyle name="Procent 3" xfId="44" xr:uid="{00000000-0005-0000-0000-000020000000}"/>
    <cellStyle name="Ruimtestaat_Koppen" xfId="27" xr:uid="{00000000-0005-0000-0000-000021000000}"/>
    <cellStyle name="Standaard" xfId="0" builtinId="0"/>
    <cellStyle name="Standaard 2" xfId="28" xr:uid="{00000000-0005-0000-0000-000023000000}"/>
    <cellStyle name="Standaard 2 2" xfId="42" xr:uid="{00000000-0005-0000-0000-000024000000}"/>
    <cellStyle name="Standaard 3" xfId="29" xr:uid="{00000000-0005-0000-0000-000025000000}"/>
    <cellStyle name="Standaard 3 2" xfId="43" xr:uid="{00000000-0005-0000-0000-000026000000}"/>
    <cellStyle name="Standaard 4" xfId="30" xr:uid="{00000000-0005-0000-0000-000027000000}"/>
    <cellStyle name="Standaard 5" xfId="34" xr:uid="{00000000-0005-0000-0000-000028000000}"/>
    <cellStyle name="Standaard 6" xfId="46" xr:uid="{C8B5C47D-FB13-4B3A-952F-85AF5006DB30}"/>
    <cellStyle name="Valuta" xfId="47" builtinId="4"/>
    <cellStyle name="Valuta 2" xfId="31" xr:uid="{00000000-0005-0000-0000-000029000000}"/>
    <cellStyle name="Valuta 3" xfId="36" xr:uid="{00000000-0005-0000-0000-00002A000000}"/>
    <cellStyle name="Valuta 4" xfId="45" xr:uid="{5C764B3D-82CF-48E6-8C68-A8A71267D96C}"/>
    <cellStyle name="Währung [0]_Aufmaß" xfId="32" xr:uid="{00000000-0005-0000-0000-00002B000000}"/>
    <cellStyle name="Währung_Aufmaß" xfId="33" xr:uid="{00000000-0005-0000-0000-00002C000000}"/>
  </cellStyles>
  <dxfs count="2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82" formatCode="#,##0.0_ ;\-#,##0.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80" formatCode="#,##0.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 &quot;€&quot;\ * #,##0.00_ ;_ &quot;€&quot;\ * \-#,##0.00_ ;_ &quot;€&quot;\ * &quot;-&quot;??_ ;_ @_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0" formatCode="General"/>
      <fill>
        <patternFill patternType="solid">
          <fgColor indexed="64"/>
          <bgColor rgb="FF00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rgb="FF00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solid">
          <fgColor theme="4" tint="0.79998168889431442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  <border outline="0">
        <right style="thin">
          <color theme="0"/>
        </right>
      </border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  <border outline="0">
        <right style="thin">
          <color theme="0"/>
        </right>
      </border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z val="9"/>
        <color theme="1"/>
        <name val="Verdana"/>
        <family val="2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79998168889431442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8" formatCode="0.00\ &quot;m²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346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mmercie\Schoonmaak\Projectadministraties\Pr&#233;%20Kwalificaties%20&amp;%20Aanbestedingen\EA%20Amstelveen%20College\2.%20Originele%20aanvraag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Commercie\Schoonmaak\Projectadministraties\Pr&#233;%20Kwalificaties%20&amp;%20Aanbestedingen\EA%20Amstelveen%20College\2.%20Originele%20aanvraag\Voor..van\meten%20glas\meten%20glas\meten%20glas\meten%20glas\meten%20glas\meten%20glas\meten%20glas\meten%20glas\atir.xls?302656D2" TargetMode="External"/><Relationship Id="rId1" Type="http://schemas.openxmlformats.org/officeDocument/2006/relationships/externalLinkPath" Target="file:///\\302656D2\at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Ruimtegroepen" displayName="Ruimtegroepen" ref="A10:D30" totalsRowShown="0" headerRowDxfId="234" dataDxfId="233" headerRowCellStyle="Standaard 4">
  <autoFilter ref="A10:D30" xr:uid="{00000000-0009-0000-0100-000006000000}"/>
  <tableColumns count="4">
    <tableColumn id="1" xr3:uid="{00000000-0010-0000-0000-000001000000}" name="Code" dataDxfId="232" dataCellStyle="Standaard 4"/>
    <tableColumn id="2" xr3:uid="{00000000-0010-0000-0000-000002000000}" name="Ruimte omschrijving" dataDxfId="231" dataCellStyle="Standaard 4"/>
    <tableColumn id="3" xr3:uid="{00000000-0010-0000-0000-000003000000}" name="Norm (5w)" dataDxfId="230"/>
    <tableColumn id="4" xr3:uid="{00000000-0010-0000-0000-000004000000}" name="Inspectiecategorie" dataDxfId="229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InvulExtra" displayName="InvulExtra" ref="A8:J11" totalsRowShown="0">
  <autoFilter ref="A8:J11" xr:uid="{00000000-0009-0000-0100-000005000000}"/>
  <tableColumns count="10">
    <tableColumn id="1" xr3:uid="{00000000-0010-0000-0900-000001000000}" name="Code Taak" dataDxfId="123"/>
    <tableColumn id="2" xr3:uid="{00000000-0010-0000-0900-000002000000}" name="Werkzaamheid" dataDxfId="122"/>
    <tableColumn id="3" xr3:uid="{00000000-0010-0000-0900-000003000000}" name="Eenheid" dataDxfId="121"/>
    <tableColumn id="4" xr3:uid="{00000000-0010-0000-0900-000004000000}" name="Toelichting" dataDxfId="120"/>
    <tableColumn id="5" xr3:uid="{00000000-0010-0000-0900-000005000000}" name="Prijs_x000a_Excl. BTW" dataDxfId="119"/>
    <tableColumn id="6" xr3:uid="{3FB7F131-71FC-463C-8C00-D6DD0FDF1529}" name="2024" dataDxfId="118" dataCellStyle="Valuta 4">
      <calculatedColumnFormula>InvulExtra[[#This Row],[Prijs
Excl. BTW]]*Tariefsopbouw!$I$37+InvulExtra[[#This Row],[Prijs
Excl. BTW]]</calculatedColumnFormula>
    </tableColumn>
    <tableColumn id="7" xr3:uid="{CED55A0D-B25D-48E4-82C4-67D1CBD29C60}" name="2025" dataDxfId="117">
      <calculatedColumnFormula>InvulExtra[[#This Row],[2024]]*Tariefsopbouw!$K$37+InvulExtra[[#This Row],[2024]]</calculatedColumnFormula>
    </tableColumn>
    <tableColumn id="8" xr3:uid="{F66BBAFC-F378-4A72-A8A0-882B5B42BA69}" name="2026" dataDxfId="116">
      <calculatedColumnFormula>InvulExtra[[#This Row],[2025]]*Tariefsopbouw!$M$37+InvulExtra[[#This Row],[2025]]</calculatedColumnFormula>
    </tableColumn>
    <tableColumn id="9" xr3:uid="{D06F598A-5F46-4D18-8F56-D5615B461E3E}" name="2027" dataDxfId="115">
      <calculatedColumnFormula>InvulExtra[[#This Row],[2026]]*Tariefsopbouw!$O$37+InvulExtra[[#This Row],[2026]]</calculatedColumnFormula>
    </tableColumn>
    <tableColumn id="10" xr3:uid="{ADDE6AC4-A9FB-4C2E-BFEA-AB7183EB36E0}" name="2028" dataDxfId="114">
      <calculatedColumnFormula>InvulExtra[[#This Row],[2027]]*Tariefsopbouw!$Q$37+InvulExtra[[#This Row],[2027]]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OverzichtExtra" displayName="OverzichtExtra" ref="A14:H18" totalsRowCount="1" headerRowDxfId="113" dataDxfId="112" totalsRowDxfId="111">
  <autoFilter ref="A14:H17" xr:uid="{00000000-0009-0000-0100-00000A000000}"/>
  <tableColumns count="8">
    <tableColumn id="9" xr3:uid="{00000000-0010-0000-0A00-000009000000}" name="Code Locatie" dataDxfId="110" totalsRowDxfId="109"/>
    <tableColumn id="1" xr3:uid="{00000000-0010-0000-0A00-000001000000}" name="Locatie" totalsRowLabel="Totaal" dataDxfId="108" totalsRowDxfId="107">
      <calculatedColumnFormula>VLOOKUP(OverzichtExtra[[#This Row],[Code Locatie]],Locaties[],2,0)</calculatedColumnFormula>
    </tableColumn>
    <tableColumn id="3" xr3:uid="{00000000-0010-0000-0A00-000003000000}" name="Code Taak" dataDxfId="106" totalsRowDxfId="105"/>
    <tableColumn id="4" xr3:uid="{00000000-0010-0000-0A00-000004000000}" name="Werkzaamheid" dataDxfId="104" totalsRowDxfId="103">
      <calculatedColumnFormula>IF('Extra werkzaamheden'!$C15&gt;0,VLOOKUP('Extra werkzaamheden'!$C15,$A$8:$B$11,2,0),"")</calculatedColumnFormula>
    </tableColumn>
    <tableColumn id="5" xr3:uid="{00000000-0010-0000-0A00-000005000000}" name="Eenheid" dataDxfId="102" totalsRowDxfId="101"/>
    <tableColumn id="6" xr3:uid="{00000000-0010-0000-0A00-000006000000}" name="Aantal stuks/ uren/ m2" dataDxfId="100" totalsRowDxfId="99"/>
    <tableColumn id="7" xr3:uid="{00000000-0010-0000-0A00-000007000000}" name="Frequentie (uitv. per jaar)" dataDxfId="98" totalsRowDxfId="97"/>
    <tableColumn id="8" xr3:uid="{00000000-0010-0000-0A00-000008000000}" name="Kosten/jaar excl. BTW" totalsRowFunction="sum" dataDxfId="96" totalsRowDxfId="95">
      <calculatedColumnFormula>IF(G15&gt;0,VLOOKUP(OverzichtExtra[[#This Row],[Code Taak]],InvulExtra[],5,2)*F15*G15,0)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9F4A272-419A-4ED0-8B49-E63267E1EEF6}" name="Tabel12" displayName="Tabel12" ref="A4:K125" totalsRowShown="0" headerRowDxfId="94" dataDxfId="92" headerRowBorderDxfId="93" tableBorderDxfId="91" totalsRowBorderDxfId="90">
  <autoFilter ref="A4:K125" xr:uid="{19F4A272-419A-4ED0-8B49-E63267E1EEF6}"/>
  <tableColumns count="11">
    <tableColumn id="1" xr3:uid="{8D477261-1815-4FC6-A8C4-75D67A918642}" name="Naam" dataDxfId="89" totalsRowDxfId="88"/>
    <tableColumn id="2" xr3:uid="{8CC23878-B06A-4B38-94C8-3AFB5AD85129}" name="Artikelnr" dataDxfId="87" totalsRowDxfId="86"/>
    <tableColumn id="3" xr3:uid="{C3E499A2-FD24-4D93-ADF2-823D7251DEED}" name="Categorie" dataDxfId="85" totalsRowDxfId="84"/>
    <tableColumn id="4" xr3:uid="{6A73099D-265E-4DC7-B0A1-589CF193FAB3}" name="Artikelomschrijving" dataDxfId="83" totalsRowDxfId="82"/>
    <tableColumn id="5" xr3:uid="{8130C928-8530-418F-80C8-A2A4790A7B3A}" name="verpakking" dataDxfId="81" totalsRowDxfId="80"/>
    <tableColumn id="6" xr3:uid="{5B45A840-3E0C-4132-96D1-1EE8D0E043B2}" name="Afname Hoeveelheid" dataDxfId="79" totalsRowDxfId="78"/>
    <tableColumn id="7" xr3:uid="{D0211B0E-DFDB-4F4B-B19A-B9953E6E54B7}" name="eenheid" dataDxfId="77" totalsRowDxfId="76"/>
    <tableColumn id="8" xr3:uid="{CD4AA520-09DE-44F2-A69C-B83E52CF09A6}" name="prijs per eenheid bruto" dataDxfId="75" totalsRowDxfId="74" dataCellStyle="Valuta"/>
    <tableColumn id="11" xr3:uid="{2B15E352-077A-4FC9-B050-97C8B8290F66}" name="Totaal kosten excl korting" dataDxfId="73" totalsRowDxfId="72" dataCellStyle="Valuta">
      <calculatedColumnFormula>Tabel12[[#This Row],[Afname Hoeveelheid]]*Tabel12[[#This Row],[prijs per eenheid bruto]]</calculatedColumnFormula>
    </tableColumn>
    <tableColumn id="10" xr3:uid="{33D32FB8-6FC8-4B71-882E-0CC005B1BA05}" name="Kortings percentage" dataDxfId="71" totalsRowDxfId="70" dataCellStyle="Valuta"/>
    <tableColumn id="9" xr3:uid="{0052CBAB-BB90-4BAC-8660-FA1D0EC4EDA4}" name="Totaal kosten" dataDxfId="69" totalsRowDxfId="68" dataCellStyle="Valuta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InvulRegie" displayName="InvulRegie" ref="B8:I41" totalsRowCount="1" headerRowDxfId="67" dataDxfId="66" totalsRowDxfId="65">
  <autoFilter ref="B8:I40" xr:uid="{00000000-0009-0000-0100-00000B000000}"/>
  <tableColumns count="8">
    <tableColumn id="1" xr3:uid="{00000000-0010-0000-0B00-000001000000}" name="Werkzaamheid" totalsRowLabel="Totaal" totalsRowDxfId="64"/>
    <tableColumn id="2" xr3:uid="{00000000-0010-0000-0B00-000002000000}" name="Eenheid" totalsRowDxfId="63"/>
    <tableColumn id="3" xr3:uid="{00000000-0010-0000-0B00-000003000000}" name="Prijs excl. BTW" totalsRowDxfId="62"/>
    <tableColumn id="4" xr3:uid="{20339242-D37F-45D0-B3A9-D5D0277AA005}" name="2024" dataDxfId="61" totalsRowDxfId="60">
      <calculatedColumnFormula>InvulRegie[[#This Row],[Prijs excl. BTW]]*Tariefsopbouw!$I$37+InvulRegie[[#This Row],[Prijs excl. BTW]]</calculatedColumnFormula>
    </tableColumn>
    <tableColumn id="5" xr3:uid="{98710F61-FEB9-4108-AD80-85E42E12F88F}" name="2025" dataDxfId="59" totalsRowDxfId="58">
      <calculatedColumnFormula>InvulRegie[[#This Row],[2024]]*Tariefsopbouw!$K$37+InvulRegie[[#This Row],[2024]]</calculatedColumnFormula>
    </tableColumn>
    <tableColumn id="6" xr3:uid="{DA4A687B-70D0-4179-B678-42FA080B354F}" name="2026" dataDxfId="57" totalsRowDxfId="56">
      <calculatedColumnFormula>InvulRegie[[#This Row],[2025]]*Tariefsopbouw!$M$37+InvulRegie[[#This Row],[2025]]</calculatedColumnFormula>
    </tableColumn>
    <tableColumn id="7" xr3:uid="{FA946E46-8412-420B-AA1A-C1F4D582105F}" name="2027" dataDxfId="55" totalsRowDxfId="54">
      <calculatedColumnFormula>InvulRegie[[#This Row],[2026]]*Tariefsopbouw!$O$37+InvulRegie[[#This Row],[2026]]</calculatedColumnFormula>
    </tableColumn>
    <tableColumn id="8" xr3:uid="{00A92510-BD5B-4E71-BCF5-F352086DB0C7}" name="2028" dataDxfId="53" totalsRowDxfId="52">
      <calculatedColumnFormula>InvulRegie[[#This Row],[2027]]*Tariefsopbouw!$Q$37+InvulRegie[[#This Row],[2027]]</calculatedColumnFormula>
    </tableColumn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Samenvattingschoonmaak" displayName="Samenvattingschoonmaak" ref="A6:H8" totalsRowCount="1" headerRowDxfId="51" dataDxfId="49" totalsRowDxfId="47" headerRowBorderDxfId="50" tableBorderDxfId="48">
  <autoFilter ref="A6:H7" xr:uid="{00000000-0009-0000-0100-00000E000000}"/>
  <tableColumns count="8">
    <tableColumn id="8" xr3:uid="{00000000-0010-0000-0C00-000008000000}" name="Code Locatie" dataDxfId="46" totalsRowDxfId="45"/>
    <tableColumn id="1" xr3:uid="{00000000-0010-0000-0C00-000001000000}" name="Locatie" totalsRowLabel="Totaal" dataDxfId="44" totalsRowDxfId="43"/>
    <tableColumn id="2" xr3:uid="{00000000-0010-0000-0C00-000002000000}" name="Oppervlakte i/o" totalsRowFunction="sum" dataDxfId="42" totalsRowDxfId="41"/>
    <tableColumn id="3" xr3:uid="{00000000-0010-0000-0C00-000003000000}" name="Prest. (m2 /jaar)" totalsRowFunction="sum" dataDxfId="40" totalsRowDxfId="39"/>
    <tableColumn id="4" xr3:uid="{00000000-0010-0000-0C00-000004000000}" name="Uren / jaar" totalsRowFunction="sum" dataDxfId="38" totalsRowDxfId="37"/>
    <tableColumn id="5" xr3:uid="{00000000-0010-0000-0C00-000005000000}" name="Norm (m2/uur)" totalsRowFunction="custom" dataDxfId="36" totalsRowDxfId="35">
      <calculatedColumnFormula>D7/E7</calculatedColumnFormula>
      <totalsRowFormula>Samenvattingschoonmaak[[#Totals],[Prest. (m2 /jaar)]]/Samenvattingschoonmaak[[#Totals],[Uren / jaar]]</totalsRowFormula>
    </tableColumn>
    <tableColumn id="6" xr3:uid="{00000000-0010-0000-0C00-000006000000}" name="Kosten / jaar" totalsRowFunction="sum" dataDxfId="34" totalsRowDxfId="33"/>
    <tableColumn id="7" xr3:uid="{00000000-0010-0000-0C00-000007000000}" name="Kosten / m2" totalsRowFunction="custom" dataDxfId="32" totalsRowDxfId="31">
      <calculatedColumnFormula>G7/C7</calculatedColumnFormula>
      <totalsRowFormula>Samenvattingschoonmaak[[#Totals],[Kosten / jaar]]/Samenvattingschoonmaak[[#Totals],[Oppervlakte i/o]]</totalsRowFormula>
    </tableColumn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otalisatie" displayName="Totalisatie" ref="A11:I16" totalsRowCount="1" headerRowDxfId="30" dataDxfId="28" totalsRowDxfId="26" headerRowBorderDxfId="29" tableBorderDxfId="27">
  <autoFilter ref="A11:I15" xr:uid="{00000000-0009-0000-0100-00000F000000}"/>
  <tableColumns count="9">
    <tableColumn id="8" xr3:uid="{00000000-0010-0000-0D00-000008000000}" name="Code Locatie" dataDxfId="25" totalsRowDxfId="8"/>
    <tableColumn id="1" xr3:uid="{00000000-0010-0000-0D00-000001000000}" name="Locaties" totalsRowLabel="Totaal" dataDxfId="24" totalsRowDxfId="7">
      <calculatedColumnFormula>VLOOKUP(Totalisatie[[#This Row],[Code Locatie]],Locaties[],2,0)</calculatedColumnFormula>
    </tableColumn>
    <tableColumn id="4" xr3:uid="{00000000-0010-0000-0D00-000004000000}" name="Schoonmaakonderhoud_x000a_Kosten / jaar" totalsRowFunction="sum" dataDxfId="23" totalsRowDxfId="6">
      <calculatedColumnFormula>SUMIF('Ruimtestaat'!A:A,Totalisatie[[#This Row],[Code Locatie]],'Ruimtestaat'!AG:AG)</calculatedColumnFormula>
    </tableColumn>
    <tableColumn id="2" xr3:uid="{00000000-0010-0000-0D00-000002000000}" name="Vloeronderhoud_x000a_Kosten / jaar" totalsRowFunction="sum" dataDxfId="22" totalsRowDxfId="5">
      <calculatedColumnFormula>SUMIF(Vloeronderhoud!$A$21:$A$25,Totalisatie[[#This Row],[Code Locatie]],Vloeronderhoud!$H$21:$H$25)</calculatedColumnFormula>
    </tableColumn>
    <tableColumn id="5" xr3:uid="{5CB13E06-06C2-468A-8D93-7F2F329D39F4}" name="Glasbewassing_x000a_Kosten / jaar" totalsRowFunction="sum" dataDxfId="21" totalsRowDxfId="4">
      <calculatedColumnFormula>SUMIF(OverzichtGlas[[Code Locatie]:[Kosten/jaar excl. BTW]],Totalisatie[[#This Row],[Code Locatie]],OverzichtGlas[Kosten/jaar excl. BTW])</calculatedColumnFormula>
    </tableColumn>
    <tableColumn id="3" xr3:uid="{00000000-0010-0000-0D00-000003000000}" name="Extra Werkzaamheden_x000a_Kosten / jaar" totalsRowFunction="sum" dataDxfId="20" totalsRowDxfId="3">
      <calculatedColumnFormula>SUMIF(OverzichtExtra[Code Locatie],Totalisatie[[#This Row],[Code Locatie]],OverzichtExtra[Kosten/jaar excl. BTW])</calculatedColumnFormula>
    </tableColumn>
    <tableColumn id="6" xr3:uid="{A3254AF9-2B3E-4AFD-A1C1-19211183CE55}" name="Reinigingsmiddelen Kosten / jaar" totalsRowFunction="sum" dataDxfId="19" totalsRowDxfId="2">
      <calculatedColumnFormula>SUMIF(Reinigingsmiddelen!A:K,Totalisatie[[#This Row],[Locaties]],Reinigingsmiddelen!K:K)</calculatedColumnFormula>
    </tableColumn>
    <tableColumn id="9" xr3:uid="{2BC6DA75-F495-4252-8113-44D7D92C0DAD}" name="Logistiek" totalsRowFunction="sum" dataDxfId="9" totalsRowDxfId="1">
      <calculatedColumnFormula>SUMIF(logistiek!$A$3:$H$6,Totalisatie[[#This Row],[Locaties]],logistiek!$H$3:$H$6)</calculatedColumnFormula>
    </tableColumn>
    <tableColumn id="7" xr3:uid="{00000000-0010-0000-0D00-000007000000}" name="Totaalprijs_x000a_Kosten / jaar" totalsRowFunction="sum" dataDxfId="0">
      <calculatedColumnFormula>SUM(Totalisatie[[#This Row],[Reinigingsmiddelen Kosten / jaar]:[Logistiek]])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Vloersoorten" displayName="Vloersoorten" ref="A33:F37" totalsRowShown="0" headerRowDxfId="228" dataDxfId="227">
  <autoFilter ref="A33:F37" xr:uid="{00000000-0009-0000-0100-000007000000}"/>
  <tableColumns count="6">
    <tableColumn id="1" xr3:uid="{00000000-0010-0000-0100-000001000000}" name="Code" dataDxfId="226"/>
    <tableColumn id="4" xr3:uid="{00000000-0010-0000-0100-000004000000}" name="Naam" dataDxfId="225"/>
    <tableColumn id="5" xr3:uid="{00000000-0010-0000-0100-000005000000}" name="Aanpassing norm" dataDxfId="224" dataCellStyle="Procent"/>
    <tableColumn id="2" xr3:uid="{00000000-0010-0000-0100-000002000000}" name="Vloersoort omschrijving" dataDxfId="223" dataCellStyle="Standaard 4"/>
    <tableColumn id="7" xr3:uid="{00000000-0010-0000-0100-000007000000}" name="Kolom2" dataDxfId="222" dataCellStyle="Standaard 4"/>
    <tableColumn id="6" xr3:uid="{00000000-0010-0000-0100-000006000000}" name="Kolom1" dataDxfId="221" dataCellStyle="Standaard 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Frequenties" displayName="Frequenties" ref="A40:C50" totalsRowShown="0" headerRowDxfId="220" dataDxfId="219">
  <autoFilter ref="A40:C50" xr:uid="{00000000-0009-0000-0100-000008000000}"/>
  <tableColumns count="3">
    <tableColumn id="1" xr3:uid="{00000000-0010-0000-0200-000001000000}" name="Code" dataDxfId="218" dataCellStyle="Standaard 4"/>
    <tableColumn id="2" xr3:uid="{00000000-0010-0000-0200-000002000000}" name="Frequentie omschrijving" dataDxfId="217" dataCellStyle="Standaard 4"/>
    <tableColumn id="3" xr3:uid="{00000000-0010-0000-0200-000003000000}" name="Aanpassing norm" dataDxfId="216" dataCellStyle="Procent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Locaties" displayName="Locaties" ref="A6:F7" totalsRowShown="0" dataDxfId="215">
  <autoFilter ref="A6:F7" xr:uid="{00000000-0009-0000-0100-00000D000000}"/>
  <tableColumns count="6">
    <tableColumn id="1" xr3:uid="{00000000-0010-0000-0300-000001000000}" name="Code" dataDxfId="214"/>
    <tableColumn id="2" xr3:uid="{00000000-0010-0000-0300-000002000000}" name="Locatie" dataDxfId="213"/>
    <tableColumn id="7" xr3:uid="{00000000-0010-0000-0300-000007000000}" name="Aanpassing norm" dataDxfId="212"/>
    <tableColumn id="3" xr3:uid="{00000000-0010-0000-0300-000003000000}" name="Adres" dataDxfId="211"/>
    <tableColumn id="4" xr3:uid="{00000000-0010-0000-0300-000004000000}" name="Postcode" dataDxfId="210"/>
    <tableColumn id="5" xr3:uid="{00000000-0010-0000-0300-000005000000}" name="Plaats" dataDxfId="209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Ruimtestaat" displayName="Ruimtestaat" ref="A4:AG106" totalsRowShown="0" headerRowDxfId="208" dataDxfId="207">
  <autoFilter ref="A4:AG106" xr:uid="{00000000-0009-0000-0100-000009000000}"/>
  <tableColumns count="33">
    <tableColumn id="32" xr3:uid="{00000000-0010-0000-0400-000020000000}" name="Code" dataDxfId="206"/>
    <tableColumn id="1" xr3:uid="{00000000-0010-0000-0400-000001000000}" name="Locatie" dataDxfId="205"/>
    <tableColumn id="3" xr3:uid="{00000000-0010-0000-0400-000003000000}" name="Adres" dataDxfId="204">
      <calculatedColumnFormula>VLOOKUP(Ruimtestaat[[#This Row],[Code]],Locaties[#All],4,FALSE)</calculatedColumnFormula>
    </tableColumn>
    <tableColumn id="4" xr3:uid="{00000000-0010-0000-0400-000004000000}" name="Postcode" dataDxfId="203">
      <calculatedColumnFormula>VLOOKUP(Ruimtestaat[[#This Row],[Code]],Locaties[#All],5,FALSE)</calculatedColumnFormula>
    </tableColumn>
    <tableColumn id="5" xr3:uid="{00000000-0010-0000-0400-000005000000}" name="Plaats" dataDxfId="202">
      <calculatedColumnFormula>VLOOKUP(Ruimtestaat[[#This Row],[Code]],Locaties[#All],6,FALSE)</calculatedColumnFormula>
    </tableColumn>
    <tableColumn id="2" xr3:uid="{00000000-0010-0000-0400-000002000000}" name="Gebouw gedeelte" dataDxfId="201"/>
    <tableColumn id="6" xr3:uid="{00000000-0010-0000-0400-000006000000}" name="Etage" dataDxfId="200"/>
    <tableColumn id="7" xr3:uid="{00000000-0010-0000-0400-000007000000}" name="Ruimte- nummer" dataDxfId="199"/>
    <tableColumn id="8" xr3:uid="{00000000-0010-0000-0400-000008000000}" name="Ruimte omschrijving" dataDxfId="198"/>
    <tableColumn id="9" xr3:uid="{00000000-0010-0000-0400-000009000000}" name="Ruimte code" dataDxfId="197"/>
    <tableColumn id="10" xr3:uid="{00000000-0010-0000-0400-00000A000000}" name="Ruimtesoort" dataDxfId="196"/>
    <tableColumn id="11" xr3:uid="{00000000-0010-0000-0400-00000B000000}" name="Vloer code" dataDxfId="195"/>
    <tableColumn id="12" xr3:uid="{00000000-0010-0000-0400-00000C000000}" name="Vloer afwerking" dataDxfId="194"/>
    <tableColumn id="13" xr3:uid="{00000000-0010-0000-0400-00000D000000}" name="Oppervlak (netto)" dataDxfId="193"/>
    <tableColumn id="14" xr3:uid="{00000000-0010-0000-0400-00000E000000}" name="Oppervlakte n.i.o." dataDxfId="192"/>
    <tableColumn id="15" xr3:uid="{00000000-0010-0000-0400-00000F000000}" name="Inspectie categorie" dataDxfId="191">
      <calculatedColumnFormula>LEFT(VLOOKUP(Ruimtestaat[[#This Row],[Ruimte code]],Ruimtegroepen[#All],4,1),2)</calculatedColumnFormula>
    </tableColumn>
    <tableColumn id="16" xr3:uid="{00000000-0010-0000-0400-000010000000}" name="Opmerking" dataDxfId="190"/>
    <tableColumn id="17" xr3:uid="{00000000-0010-0000-0400-000011000000}" name="Aantal weken/jr" dataDxfId="189"/>
    <tableColumn id="18" xr3:uid="{00000000-0010-0000-0400-000012000000}" name="Frequentie werkdagen" dataDxfId="188"/>
    <tableColumn id="19" xr3:uid="{00000000-0010-0000-0400-000013000000}" name="Uitvoeringen werkdagen" dataDxfId="187">
      <calculatedColumnFormula>IF(R5&gt;0,IF(RIGHT(Ruimtestaat[[#This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calculatedColumnFormula>
    </tableColumn>
    <tableColumn id="20" xr3:uid="{00000000-0010-0000-0400-000014000000}" name="Norm (m2/uur) werkdagen" dataDxfId="186">
      <calculatedColumnFormula>IF(T5&gt;0,VLOOKUP($J5,Ruimtegroepen[],3,FALSE)*VLOOKUP($L5,Vloersoorten[],3,FALSE)*VLOOKUP($S5,Frequenties[],3,FALSE)*VLOOKUP($A5,Locaties[],3,FALSE),0)</calculatedColumnFormula>
    </tableColumn>
    <tableColumn id="21" xr3:uid="{00000000-0010-0000-0400-000015000000}" name="Prest. (m2 /jaar) werkdagen" dataDxfId="185"/>
    <tableColumn id="22" xr3:uid="{00000000-0010-0000-0400-000016000000}" name="uren / jaar werkdagen" dataDxfId="184">
      <calculatedColumnFormula>IF(U5&gt;0,Ruimtestaat[[#This Row],[Prest. (m2 /jaar) werkdagen]]/Ruimtestaat[[#This Row],[Norm (m2/uur) werkdagen]],0)</calculatedColumnFormula>
    </tableColumn>
    <tableColumn id="23" xr3:uid="{00000000-0010-0000-0400-000017000000}" name="kosten / jaar werkdagen" dataDxfId="183">
      <calculatedColumnFormula>Ruimtestaat[[#This Row],[uren / jaar werkdagen]]*Tariefsopbouw!$E$35</calculatedColumnFormula>
    </tableColumn>
    <tableColumn id="24" xr3:uid="{00000000-0010-0000-0400-000018000000}" name="Frequentie weekend" dataDxfId="182"/>
    <tableColumn id="38" xr3:uid="{00000000-0010-0000-0400-000026000000}" name="Uitvoeringen weekend" dataDxfId="181">
      <calculatedColumnFormula>IF(Ruimtestaat[[#This Row],[Frequentie weekend]]&gt;0,VALUE(LEFT(Y5,1))*R5,0)</calculatedColumnFormula>
    </tableColumn>
    <tableColumn id="25" xr3:uid="{00000000-0010-0000-0400-000019000000}" name="Norm (m2/uur) weekend" dataDxfId="180">
      <calculatedColumnFormula>IF($Z5&gt;0,VLOOKUP($J5,Ruimtegroepen[],3,FALSE)*VLOOKUP($L5,Vloersoorten[],3,FALSE)*VLOOKUP($Y5,Frequenties[],3,FALSE)*VLOOKUP($A1,Locaties[],3,FALSE),0)</calculatedColumnFormula>
    </tableColumn>
    <tableColumn id="26" xr3:uid="{00000000-0010-0000-0400-00001A000000}" name="Prest. (m2 /jaar) weekend" dataDxfId="179"/>
    <tableColumn id="27" xr3:uid="{00000000-0010-0000-0400-00001B000000}" name="uren / jaar weekend" dataDxfId="178"/>
    <tableColumn id="28" xr3:uid="{00000000-0010-0000-0400-00001C000000}" name="kosten / jaar weekend" dataDxfId="177">
      <calculatedColumnFormula>Ruimtestaat[[#This Row],[uren / jaar weekend]]*Tariefsopbouw!$D$40</calculatedColumnFormula>
    </tableColumn>
    <tableColumn id="29" xr3:uid="{00000000-0010-0000-0400-00001D000000}" name="Prest. (m2 /jaar)" dataDxfId="176" dataCellStyle="Komma">
      <calculatedColumnFormula>Ruimtestaat[[#This Row],[Prest. (m2 /jaar) weekend]]+Ruimtestaat[[#This Row],[Prest. (m2 /jaar) werkdagen]]</calculatedColumnFormula>
    </tableColumn>
    <tableColumn id="30" xr3:uid="{00000000-0010-0000-0400-00001E000000}" name="uren / jaar" dataDxfId="175" dataCellStyle="Komma">
      <calculatedColumnFormula>Ruimtestaat[[#This Row],[uren / jaar weekend]]+Ruimtestaat[[#This Row],[uren / jaar werkdagen]]</calculatedColumnFormula>
    </tableColumn>
    <tableColumn id="31" xr3:uid="{00000000-0010-0000-0400-00001F000000}" name="kosten / jaar" dataDxfId="174">
      <calculatedColumnFormula>Ruimtestaat[[#This Row],[kosten / jaar weekend]]+Ruimtestaat[[#This Row],[kosten / jaar werkdagen]]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InvulVloer" displayName="InvulVloer" ref="A8:I17" totalsRowShown="0" headerRowDxfId="173">
  <autoFilter ref="A8:I17" xr:uid="{00000000-0009-0000-0100-000001000000}"/>
  <tableColumns count="9">
    <tableColumn id="1" xr3:uid="{00000000-0010-0000-0700-000001000000}" name="Code Taak" dataDxfId="172"/>
    <tableColumn id="2" xr3:uid="{00000000-0010-0000-0700-000002000000}" name="Werkzaamheden"/>
    <tableColumn id="3" xr3:uid="{00000000-0010-0000-0700-000003000000}" name="Prijs" dataDxfId="171"/>
    <tableColumn id="4" xr3:uid="{00000000-0010-0000-0700-000004000000}" name="Omschrijving" dataDxfId="170"/>
    <tableColumn id="5" xr3:uid="{7B224336-2E90-4786-8885-F9B3CAAAC600}" name="2024" dataDxfId="169" dataCellStyle="Valuta 4">
      <calculatedColumnFormula>InvulVloer[[#This Row],[Prijs]]*Tariefsopbouw!$I$37+InvulVloer[[#This Row],[Prijs]]</calculatedColumnFormula>
    </tableColumn>
    <tableColumn id="6" xr3:uid="{0211B985-6953-45B6-8A6A-749D6F313951}" name="2025" dataDxfId="168">
      <calculatedColumnFormula>InvulVloer[[#This Row],[2024]]*Tariefsopbouw!$K$37+InvulVloer[[#This Row],[2024]]</calculatedColumnFormula>
    </tableColumn>
    <tableColumn id="7" xr3:uid="{9E193464-F35C-49B3-A477-D7B0835ABCF2}" name="2026" dataDxfId="167">
      <calculatedColumnFormula>InvulVloer[[#This Row],[2025]]*Tariefsopbouw!$M$37+InvulVloer[[#This Row],[2025]]</calculatedColumnFormula>
    </tableColumn>
    <tableColumn id="8" xr3:uid="{8069DF64-F4BB-49BA-8609-74BCEBC0E84C}" name="2027" dataDxfId="166">
      <calculatedColumnFormula>InvulVloer[[#This Row],[2026]]*Tariefsopbouw!$O$37+InvulVloer[[#This Row],[2026]]</calculatedColumnFormula>
    </tableColumn>
    <tableColumn id="9" xr3:uid="{FCBF02FF-403C-4DC9-8F5B-108F47020EEA}" name="2028" dataDxfId="165">
      <calculatedColumnFormula>InvulVloer[[#This Row],[2027]]*Tariefsopbouw!$Q$37+InvulVloer[[#This Row],[2027]]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8000000}" name="OverzichtVloer" displayName="OverzichtVloer" ref="A20:H25" totalsRowCount="1" headerRowDxfId="164" dataDxfId="163" totalsRowDxfId="162">
  <autoFilter ref="A20:H24" xr:uid="{00000000-0009-0000-0100-000002000000}"/>
  <tableColumns count="8">
    <tableColumn id="11" xr3:uid="{00000000-0010-0000-0800-00000B000000}" name="Code Locatie" dataDxfId="161" totalsRowDxfId="160"/>
    <tableColumn id="1" xr3:uid="{00000000-0010-0000-0800-000001000000}" name="Locatie" totalsRowLabel="Totaal" dataDxfId="159" totalsRowDxfId="158"/>
    <tableColumn id="3" xr3:uid="{00000000-0010-0000-0800-000003000000}" name="Code Taak" dataDxfId="157" totalsRowDxfId="156"/>
    <tableColumn id="4" xr3:uid="{00000000-0010-0000-0800-000004000000}" name="Werkzaamheden" dataDxfId="155" totalsRowDxfId="154">
      <calculatedColumnFormula>IF(Vloeronderhoud!$C21&gt;0,VLOOKUP(Vloeronderhoud!$C21,$A$8:$B$17,2,FALSE),"")</calculatedColumnFormula>
    </tableColumn>
    <tableColumn id="5" xr3:uid="{00000000-0010-0000-0800-000005000000}" name="Vloersoort" dataDxfId="153" totalsRowDxfId="152"/>
    <tableColumn id="6" xr3:uid="{00000000-0010-0000-0800-000006000000}" name="Oppervlakte" dataDxfId="151" totalsRowDxfId="150">
      <calculatedColumnFormula>SUMIFS('Ruimtestaat'!$N:$N,'Ruimtestaat'!L:L,Vloeronderhoud!E21,'Ruimtestaat'!A:A,Vloeronderhoud!A21)</calculatedColumnFormula>
    </tableColumn>
    <tableColumn id="8" xr3:uid="{00000000-0010-0000-0800-000008000000}" name="Frequentie (uitv./jaar)" dataDxfId="149" totalsRowDxfId="148"/>
    <tableColumn id="9" xr3:uid="{00000000-0010-0000-0800-000009000000}" name="Kosten/jaar excl. BTW" totalsRowFunction="sum" dataDxfId="147" totalsRowDxfId="146">
      <calculatedColumnFormula>G21*#REF!*F21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4FD162E-AAB4-4E0F-9820-DA3D084720A3}" name="InvulGlas" displayName="InvulGlas" ref="A8:I21" totalsRowShown="0" headerRowDxfId="145">
  <autoFilter ref="A8:I21" xr:uid="{04FD162E-AAB4-4E0F-9820-DA3D084720A3}"/>
  <tableColumns count="9">
    <tableColumn id="1" xr3:uid="{A84299A5-2489-4373-A5CF-56B6A0680767}" name="Code taak" dataDxfId="144"/>
    <tableColumn id="2" xr3:uid="{D5E66D0E-A247-4459-88C6-D26F162F04DA}" name="Glassoort/voorziening" dataDxfId="143"/>
    <tableColumn id="3" xr3:uid="{6F917DE0-7F6E-4A2D-8AB5-9878068B82D2}" name="Prijs excl. BTW" dataDxfId="142"/>
    <tableColumn id="4" xr3:uid="{F78CA53C-1329-465A-B112-51E3E8E6B26C}" name="Eenheid" dataDxfId="141"/>
    <tableColumn id="5" xr3:uid="{498072BA-F4E4-490C-A6D7-54F728A207AF}" name="2024" dataDxfId="140">
      <calculatedColumnFormula>(InvulGlas[[#This Row],[Prijs excl. BTW]]*Tariefsopbouw!$I$37)+InvulGlas[[#This Row],[Prijs excl. BTW]]</calculatedColumnFormula>
    </tableColumn>
    <tableColumn id="6" xr3:uid="{D485F8A8-1426-42A2-988B-31B5B9775A69}" name="2025" dataDxfId="139">
      <calculatedColumnFormula>E9*Tariefsopbouw!$K$37+Glasbewassing!E9</calculatedColumnFormula>
    </tableColumn>
    <tableColumn id="7" xr3:uid="{9DE0F90B-CA0B-4DC2-BB61-E07EEE08BBB6}" name="2026" dataDxfId="138">
      <calculatedColumnFormula>F9*Tariefsopbouw!$M$37+Glasbewassing!F9</calculatedColumnFormula>
    </tableColumn>
    <tableColumn id="8" xr3:uid="{E0DF3B92-F897-4A90-BF48-7486B2C8EDC3}" name="2027" dataDxfId="137">
      <calculatedColumnFormula>G9*Tariefsopbouw!$O$37+Glasbewassing!G9</calculatedColumnFormula>
    </tableColumn>
    <tableColumn id="9" xr3:uid="{FF81F91D-819C-4DE7-92BC-1A42A7E9DEE1}" name="2028" dataDxfId="136">
      <calculatedColumnFormula>H9*Tariefsopbouw!$Q$37+Glasbewassing!H9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6A5833D-9F30-422D-AB85-02AC1240C8DD}" name="OverzichtGlas" displayName="OverzichtGlas" ref="A23:I30" totalsRowCount="1" headerRowDxfId="135" dataDxfId="134" totalsRowDxfId="133">
  <autoFilter ref="A23:I29" xr:uid="{36A5833D-9F30-422D-AB85-02AC1240C8DD}"/>
  <sortState xmlns:xlrd2="http://schemas.microsoft.com/office/spreadsheetml/2017/richdata2" ref="A24:G29">
    <sortCondition ref="A24:A29"/>
  </sortState>
  <tableColumns count="9">
    <tableColumn id="1" xr3:uid="{8E39B808-53D7-4D97-80F5-5B83F2011E30}" name="Code Locatie" totalsRowLabel="Totaal" dataDxfId="132" totalsRowDxfId="18"/>
    <tableColumn id="2" xr3:uid="{30B5472F-A13F-4AA5-8A32-6F74ED6DD857}" name="Locatie" dataDxfId="131" totalsRowDxfId="17">
      <calculatedColumnFormula>VLOOKUP(OverzichtGlas[[#This Row],[Code Locatie]],Totalisatie!$A$7:$B$11,2,FALSE)</calculatedColumnFormula>
    </tableColumn>
    <tableColumn id="3" xr3:uid="{9B6B6D18-B205-43CF-9453-E72908FE99A6}" name="Code taak" dataDxfId="130" totalsRowDxfId="16"/>
    <tableColumn id="4" xr3:uid="{9A79B114-9682-4F91-8E03-A285793275D7}" name="Glassoort/voorziening" dataDxfId="129" totalsRowDxfId="15">
      <calculatedColumnFormula>IF(Glasbewassing!$C24&gt;0,VLOOKUP(Glasbewassing!$C24,$A$8:$B$21,2,FALSE),"Hier vult u de inzet van eventuele hoogwerkers in")</calculatedColumnFormula>
    </tableColumn>
    <tableColumn id="5" xr3:uid="{2385C876-CAFD-498B-88CB-FAC1920E9AC9}" name="Oppervlakte of dagen" dataDxfId="128" totalsRowDxfId="14"/>
    <tableColumn id="7" xr3:uid="{9B5127A0-C186-40C0-B114-05543DE85038}" name="Frequentie" dataDxfId="127" totalsRowDxfId="13"/>
    <tableColumn id="8" xr3:uid="{A47B75FF-74DA-420F-8AF4-9D8F4890BC03}" name="Kosten/jaar excl. BTW" totalsRowFunction="sum" dataDxfId="126" totalsRowDxfId="12">
      <calculatedColumnFormula>IF(C24&gt;0,VLOOKUP(OverzichtGlas[[#This Row],[Code taak]],InvulGlas[],3,0)*E24*F24,0)</calculatedColumnFormula>
    </tableColumn>
    <tableColumn id="9" xr3:uid="{BDA3176A-4326-4268-86F8-334144D9FA7C}" name="Kosten/jaar incl. BTW" totalsRowFunction="sum" dataDxfId="125" totalsRowDxfId="11">
      <calculatedColumnFormula>OverzichtGlas[[#This Row],[Kosten/jaar excl. BTW]]*1.21</calculatedColumnFormula>
    </tableColumn>
    <tableColumn id="10" xr3:uid="{F9422D18-0501-41CA-8BE2-B40DB06D1811}" name="Kolom1" dataDxfId="124" totalsRowDxfId="1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5E50-EF5D-47D0-8594-33D0B4CC8310}">
  <sheetPr>
    <tabColor theme="0" tint="-0.14999847407452621"/>
  </sheetPr>
  <dimension ref="A1:R6"/>
  <sheetViews>
    <sheetView zoomScale="90" zoomScaleNormal="90" workbookViewId="0"/>
  </sheetViews>
  <sheetFormatPr defaultRowHeight="12.75"/>
  <cols>
    <col min="1" max="1" width="6" style="150" customWidth="1"/>
    <col min="2" max="2" width="11.5703125" style="150" customWidth="1"/>
    <col min="3" max="3" width="13.85546875" style="150" customWidth="1"/>
    <col min="4" max="4" width="14.7109375" style="150" bestFit="1" customWidth="1"/>
    <col min="5" max="5" width="15.42578125" style="150" bestFit="1" customWidth="1"/>
    <col min="6" max="6" width="14" style="150" bestFit="1" customWidth="1"/>
    <col min="7" max="7" width="10.42578125" style="264" bestFit="1" customWidth="1"/>
    <col min="8" max="8" width="26" style="150" bestFit="1" customWidth="1"/>
    <col min="9" max="9" width="13" style="264" customWidth="1"/>
    <col min="10" max="10" width="13.7109375" style="264" customWidth="1"/>
    <col min="11" max="11" width="9" style="150" bestFit="1" customWidth="1"/>
    <col min="12" max="12" width="12.28515625" style="150" bestFit="1" customWidth="1"/>
    <col min="13" max="13" width="10.7109375" style="150" customWidth="1"/>
    <col min="14" max="14" width="11.7109375" style="150" customWidth="1"/>
    <col min="15" max="15" width="14.140625" style="150" bestFit="1" customWidth="1"/>
    <col min="16" max="16" width="17.7109375" style="150" customWidth="1"/>
    <col min="17" max="17" width="15.85546875" style="264" bestFit="1" customWidth="1"/>
    <col min="18" max="18" width="22.28515625" style="150" bestFit="1" customWidth="1"/>
  </cols>
  <sheetData>
    <row r="1" spans="1:18" ht="45">
      <c r="A1" s="255"/>
      <c r="B1" s="194" t="s">
        <v>569</v>
      </c>
      <c r="C1" s="194" t="s">
        <v>570</v>
      </c>
      <c r="D1" s="194" t="s">
        <v>571</v>
      </c>
      <c r="E1" s="194" t="s">
        <v>572</v>
      </c>
      <c r="F1" s="194" t="s">
        <v>573</v>
      </c>
      <c r="G1" s="194" t="s">
        <v>574</v>
      </c>
      <c r="H1" s="194" t="s">
        <v>223</v>
      </c>
      <c r="I1" s="194" t="s">
        <v>575</v>
      </c>
      <c r="J1" s="194" t="s">
        <v>576</v>
      </c>
      <c r="K1" s="194" t="s">
        <v>577</v>
      </c>
      <c r="L1" s="194" t="s">
        <v>578</v>
      </c>
      <c r="M1" s="194" t="s">
        <v>579</v>
      </c>
      <c r="N1" s="194" t="s">
        <v>580</v>
      </c>
      <c r="O1" s="194" t="s">
        <v>581</v>
      </c>
      <c r="P1" s="194" t="s">
        <v>582</v>
      </c>
      <c r="Q1" s="194" t="s">
        <v>583</v>
      </c>
      <c r="R1" s="194" t="s">
        <v>149</v>
      </c>
    </row>
    <row r="2" spans="1:18">
      <c r="A2" s="256">
        <v>1</v>
      </c>
      <c r="B2" s="257">
        <v>28999</v>
      </c>
      <c r="C2" s="257">
        <v>36682</v>
      </c>
      <c r="D2" s="257"/>
      <c r="E2" s="258" t="s">
        <v>586</v>
      </c>
      <c r="F2" s="259">
        <v>30</v>
      </c>
      <c r="G2" s="260" t="s">
        <v>587</v>
      </c>
      <c r="H2" s="258" t="s">
        <v>588</v>
      </c>
      <c r="I2" s="260"/>
      <c r="J2" s="260">
        <v>1</v>
      </c>
      <c r="K2" s="261">
        <v>13.5</v>
      </c>
      <c r="L2" s="262"/>
      <c r="M2" s="258">
        <v>27.32</v>
      </c>
      <c r="N2" s="258"/>
      <c r="O2" s="260"/>
      <c r="P2" s="260"/>
      <c r="Q2" s="260"/>
      <c r="R2" s="258" t="s">
        <v>403</v>
      </c>
    </row>
    <row r="3" spans="1:18">
      <c r="A3" s="256">
        <v>2</v>
      </c>
      <c r="B3" s="257">
        <v>28052</v>
      </c>
      <c r="C3" s="257">
        <v>42036</v>
      </c>
      <c r="D3" s="257"/>
      <c r="E3" s="258" t="s">
        <v>586</v>
      </c>
      <c r="F3" s="259">
        <v>11.25</v>
      </c>
      <c r="G3" s="260" t="s">
        <v>587</v>
      </c>
      <c r="H3" s="258" t="s">
        <v>588</v>
      </c>
      <c r="I3" s="260"/>
      <c r="J3" s="260">
        <v>1</v>
      </c>
      <c r="K3" s="261">
        <v>13.5</v>
      </c>
      <c r="L3" s="262"/>
      <c r="M3" s="258"/>
      <c r="N3" s="258"/>
      <c r="O3" s="260"/>
      <c r="P3" s="260"/>
      <c r="Q3" s="260"/>
      <c r="R3" s="258" t="s">
        <v>403</v>
      </c>
    </row>
    <row r="4" spans="1:18">
      <c r="A4" s="256">
        <v>3</v>
      </c>
      <c r="B4" s="257">
        <v>21874</v>
      </c>
      <c r="C4" s="257">
        <v>43563</v>
      </c>
      <c r="D4" s="257"/>
      <c r="E4" s="258" t="s">
        <v>586</v>
      </c>
      <c r="F4" s="259">
        <v>20</v>
      </c>
      <c r="G4" s="260" t="s">
        <v>587</v>
      </c>
      <c r="H4" s="258" t="s">
        <v>588</v>
      </c>
      <c r="I4" s="260"/>
      <c r="J4" s="260">
        <v>1</v>
      </c>
      <c r="K4" s="261">
        <v>13.09</v>
      </c>
      <c r="L4" s="263"/>
      <c r="M4" s="258"/>
      <c r="N4" s="258"/>
      <c r="O4" s="260"/>
      <c r="P4" s="260"/>
      <c r="Q4" s="260"/>
      <c r="R4" s="258" t="s">
        <v>403</v>
      </c>
    </row>
    <row r="5" spans="1:18">
      <c r="A5" s="256">
        <v>4</v>
      </c>
      <c r="B5" s="257"/>
      <c r="C5" s="257"/>
      <c r="D5" s="257"/>
      <c r="E5" s="258"/>
      <c r="F5" s="259"/>
      <c r="G5" s="260"/>
      <c r="H5" s="258"/>
      <c r="I5" s="260"/>
      <c r="J5" s="260"/>
      <c r="K5" s="261"/>
      <c r="L5" s="263"/>
      <c r="M5" s="258"/>
      <c r="N5" s="258"/>
      <c r="O5" s="260"/>
      <c r="P5" s="260"/>
      <c r="Q5" s="260"/>
      <c r="R5" s="258"/>
    </row>
    <row r="6" spans="1:18">
      <c r="A6" s="256">
        <v>5</v>
      </c>
      <c r="B6" s="257"/>
      <c r="C6" s="257"/>
      <c r="D6" s="257"/>
      <c r="E6" s="258"/>
      <c r="F6" s="259"/>
      <c r="G6" s="260"/>
      <c r="H6" s="258"/>
      <c r="I6" s="260"/>
      <c r="J6" s="260"/>
      <c r="K6" s="261"/>
      <c r="L6" s="263"/>
      <c r="M6" s="258"/>
      <c r="N6" s="258"/>
      <c r="O6" s="260"/>
      <c r="P6" s="260"/>
      <c r="Q6" s="260"/>
      <c r="R6" s="25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K79"/>
  <sheetViews>
    <sheetView showGridLines="0" zoomScaleNormal="100" zoomScaleSheetLayoutView="100" workbookViewId="0">
      <selection activeCell="B8" sqref="B8"/>
    </sheetView>
  </sheetViews>
  <sheetFormatPr defaultColWidth="9.140625" defaultRowHeight="15" customHeight="1"/>
  <cols>
    <col min="1" max="1" width="9.42578125" style="4" customWidth="1"/>
    <col min="2" max="2" width="39.42578125" style="4" customWidth="1"/>
    <col min="3" max="3" width="13" style="4" customWidth="1"/>
    <col min="4" max="4" width="40.5703125" style="24" customWidth="1"/>
    <col min="5" max="5" width="22.42578125" style="4" customWidth="1"/>
    <col min="6" max="6" width="17.7109375" style="172" bestFit="1" customWidth="1"/>
    <col min="7" max="7" width="20.28515625" style="4" bestFit="1" customWidth="1"/>
    <col min="8" max="8" width="18" style="113" bestFit="1" customWidth="1"/>
    <col min="9" max="10" width="17.7109375" style="4" bestFit="1" customWidth="1"/>
    <col min="11" max="16384" width="9.140625" style="4"/>
  </cols>
  <sheetData>
    <row r="1" spans="1:11" s="7" customFormat="1" ht="22.5" customHeight="1">
      <c r="A1" s="358" t="s">
        <v>177</v>
      </c>
      <c r="B1" s="358"/>
      <c r="C1" s="358"/>
      <c r="D1" s="358"/>
      <c r="E1" s="358"/>
      <c r="F1" s="358"/>
      <c r="G1" s="358"/>
      <c r="H1" s="358"/>
      <c r="I1" s="66"/>
    </row>
    <row r="2" spans="1:11" s="7" customFormat="1" ht="15" customHeight="1">
      <c r="A2" s="371" t="s">
        <v>217</v>
      </c>
      <c r="B2" s="357"/>
      <c r="C2" s="357"/>
      <c r="D2" s="357"/>
      <c r="E2" s="357"/>
      <c r="F2" s="357"/>
      <c r="G2" s="357"/>
      <c r="H2" s="369"/>
    </row>
    <row r="3" spans="1:11" ht="15" customHeight="1">
      <c r="B3" s="24"/>
      <c r="D3" s="4"/>
    </row>
    <row r="4" spans="1:11" ht="15" customHeight="1">
      <c r="A4" s="4" t="s">
        <v>178</v>
      </c>
      <c r="B4" s="24"/>
      <c r="D4" s="4"/>
    </row>
    <row r="5" spans="1:11" ht="15" customHeight="1">
      <c r="A5" s="4" t="s">
        <v>242</v>
      </c>
      <c r="B5" s="24"/>
      <c r="D5" s="4"/>
    </row>
    <row r="6" spans="1:11" ht="15" customHeight="1">
      <c r="A6" s="4" t="s">
        <v>199</v>
      </c>
      <c r="B6" s="24"/>
      <c r="D6" s="4"/>
    </row>
    <row r="7" spans="1:11" ht="15" customHeight="1">
      <c r="B7" s="28"/>
      <c r="C7" s="28"/>
      <c r="D7" s="23"/>
      <c r="E7" s="23"/>
      <c r="G7" s="29"/>
      <c r="H7" s="131"/>
    </row>
    <row r="8" spans="1:11" s="19" customFormat="1" ht="26.25" customHeight="1">
      <c r="A8" s="47" t="s">
        <v>215</v>
      </c>
      <c r="B8" s="48" t="s">
        <v>182</v>
      </c>
      <c r="C8" s="47" t="s">
        <v>151</v>
      </c>
      <c r="D8" s="47" t="s">
        <v>210</v>
      </c>
      <c r="E8" s="49" t="s">
        <v>179</v>
      </c>
      <c r="F8" s="47" t="s">
        <v>248</v>
      </c>
      <c r="G8" s="47" t="s">
        <v>250</v>
      </c>
      <c r="H8" s="47" t="s">
        <v>249</v>
      </c>
      <c r="I8" s="47" t="s">
        <v>247</v>
      </c>
      <c r="J8" s="47" t="s">
        <v>260</v>
      </c>
    </row>
    <row r="9" spans="1:11" ht="15" customHeight="1">
      <c r="A9" s="218">
        <v>1</v>
      </c>
      <c r="B9" s="240" t="s">
        <v>592</v>
      </c>
      <c r="C9" s="168" t="s">
        <v>44</v>
      </c>
      <c r="D9" s="168"/>
      <c r="E9" s="52">
        <v>0</v>
      </c>
      <c r="F9" s="212" t="e">
        <f>InvulExtra[[#This Row],[Prijs
Excl. BTW]]*Tariefsopbouw!$I$37+InvulExtra[[#This Row],[Prijs
Excl. BTW]]</f>
        <v>#DIV/0!</v>
      </c>
      <c r="G9" s="212" t="e">
        <f>InvulExtra[[#This Row],[2024]]*Tariefsopbouw!$K$37+InvulExtra[[#This Row],[2024]]</f>
        <v>#DIV/0!</v>
      </c>
      <c r="H9" s="212" t="e">
        <f>InvulExtra[[#This Row],[2025]]*Tariefsopbouw!$M$37+InvulExtra[[#This Row],[2025]]</f>
        <v>#DIV/0!</v>
      </c>
      <c r="I9" s="212" t="e">
        <f>InvulExtra[[#This Row],[2026]]*Tariefsopbouw!$O$37+InvulExtra[[#This Row],[2026]]</f>
        <v>#DIV/0!</v>
      </c>
      <c r="J9" s="212" t="e">
        <f>InvulExtra[[#This Row],[2027]]*Tariefsopbouw!$Q$37+InvulExtra[[#This Row],[2027]]</f>
        <v>#DIV/0!</v>
      </c>
    </row>
    <row r="10" spans="1:11" ht="15" customHeight="1">
      <c r="A10" s="218">
        <v>2</v>
      </c>
      <c r="B10" s="168" t="s">
        <v>593</v>
      </c>
      <c r="C10" s="168" t="s">
        <v>594</v>
      </c>
      <c r="D10" s="168"/>
      <c r="E10" s="52">
        <v>0</v>
      </c>
      <c r="F10" s="212" t="e">
        <f>InvulExtra[[#This Row],[Prijs
Excl. BTW]]*Tariefsopbouw!$I$37+InvulExtra[[#This Row],[Prijs
Excl. BTW]]</f>
        <v>#DIV/0!</v>
      </c>
      <c r="G10" s="212" t="e">
        <f>InvulExtra[[#This Row],[2024]]*Tariefsopbouw!$K$37+InvulExtra[[#This Row],[2024]]</f>
        <v>#DIV/0!</v>
      </c>
      <c r="H10" s="212" t="e">
        <f>InvulExtra[[#This Row],[2025]]*Tariefsopbouw!$M$37+InvulExtra[[#This Row],[2025]]</f>
        <v>#DIV/0!</v>
      </c>
      <c r="I10" s="212" t="e">
        <f>InvulExtra[[#This Row],[2026]]*Tariefsopbouw!$O$37+InvulExtra[[#This Row],[2026]]</f>
        <v>#DIV/0!</v>
      </c>
      <c r="J10" s="212" t="e">
        <f>InvulExtra[[#This Row],[2027]]*Tariefsopbouw!$Q$37+InvulExtra[[#This Row],[2027]]</f>
        <v>#DIV/0!</v>
      </c>
    </row>
    <row r="11" spans="1:11" ht="15" customHeight="1">
      <c r="A11" s="218">
        <v>3</v>
      </c>
      <c r="B11" s="168" t="s">
        <v>598</v>
      </c>
      <c r="C11" s="168" t="s">
        <v>599</v>
      </c>
      <c r="D11" s="168"/>
      <c r="E11" s="52">
        <v>0</v>
      </c>
      <c r="F11" s="212" t="e">
        <f>InvulExtra[[#This Row],[Prijs
Excl. BTW]]*Tariefsopbouw!$I$37+InvulExtra[[#This Row],[Prijs
Excl. BTW]]</f>
        <v>#DIV/0!</v>
      </c>
      <c r="G11" s="212" t="e">
        <f>InvulExtra[[#This Row],[2024]]*Tariefsopbouw!$K$37+InvulExtra[[#This Row],[2024]]</f>
        <v>#DIV/0!</v>
      </c>
      <c r="H11" s="212" t="e">
        <f>InvulExtra[[#This Row],[2025]]*Tariefsopbouw!$M$37+InvulExtra[[#This Row],[2025]]</f>
        <v>#DIV/0!</v>
      </c>
      <c r="I11" s="212" t="e">
        <f>InvulExtra[[#This Row],[2026]]*Tariefsopbouw!$O$37+InvulExtra[[#This Row],[2026]]</f>
        <v>#DIV/0!</v>
      </c>
      <c r="J11" s="212" t="e">
        <f>InvulExtra[[#This Row],[2027]]*Tariefsopbouw!$Q$37+InvulExtra[[#This Row],[2027]]</f>
        <v>#DIV/0!</v>
      </c>
    </row>
    <row r="12" spans="1:11" ht="15" customHeight="1">
      <c r="B12" s="24"/>
      <c r="C12" s="24"/>
      <c r="D12" s="4"/>
      <c r="E12" s="31"/>
      <c r="G12" s="30"/>
      <c r="H12" s="132"/>
      <c r="I12" s="31"/>
    </row>
    <row r="13" spans="1:11" ht="15" customHeight="1">
      <c r="C13" s="25"/>
      <c r="D13" s="25"/>
      <c r="K13" s="32"/>
    </row>
    <row r="14" spans="1:11" s="22" customFormat="1" ht="26.25" customHeight="1">
      <c r="A14" s="134" t="s">
        <v>214</v>
      </c>
      <c r="B14" s="47" t="s">
        <v>149</v>
      </c>
      <c r="C14" s="47" t="s">
        <v>215</v>
      </c>
      <c r="D14" s="59" t="s">
        <v>182</v>
      </c>
      <c r="E14" s="59" t="s">
        <v>151</v>
      </c>
      <c r="F14" s="59" t="s">
        <v>600</v>
      </c>
      <c r="G14" s="59" t="s">
        <v>238</v>
      </c>
      <c r="H14" s="133" t="s">
        <v>150</v>
      </c>
      <c r="K14" s="33"/>
    </row>
    <row r="15" spans="1:11" ht="15" customHeight="1">
      <c r="A15" s="218">
        <v>1</v>
      </c>
      <c r="B15" s="168" t="str">
        <f>VLOOKUP(OverzichtExtra[[#This Row],[Code Locatie]],Locaties[],2,0)</f>
        <v>Hoornbeeck College Amersfoort</v>
      </c>
      <c r="C15" s="218">
        <v>1</v>
      </c>
      <c r="D15" s="237" t="str">
        <f>IF('Extra werkzaamheden'!$C15&gt;0,VLOOKUP('Extra werkzaamheden'!$C15,$A$8:$B$11,2,0),"")</f>
        <v>Dieptereiniging afzuigkappen</v>
      </c>
      <c r="E15" s="180" t="str">
        <f>VLOOKUP(OverzichtExtra[[#This Row],[Code Taak]],InvulExtra[#All],3,0)</f>
        <v>prijs per stuk</v>
      </c>
      <c r="F15" s="174">
        <v>8</v>
      </c>
      <c r="G15" s="265">
        <v>1</v>
      </c>
      <c r="H15" s="220">
        <f>IF(G15&gt;0,VLOOKUP(OverzichtExtra[[#This Row],[Code Taak]],InvulExtra[],5,2)*F15*G15,0)</f>
        <v>0</v>
      </c>
      <c r="K15" s="32"/>
    </row>
    <row r="16" spans="1:11" ht="15" customHeight="1">
      <c r="A16" s="218">
        <v>1</v>
      </c>
      <c r="B16" s="168" t="str">
        <f>VLOOKUP(OverzichtExtra[[#This Row],[Code Locatie]],Locaties[],2,0)</f>
        <v>Hoornbeeck College Amersfoort</v>
      </c>
      <c r="C16" s="218">
        <v>2</v>
      </c>
      <c r="D16" s="237" t="str">
        <f>IF('Extra werkzaamheden'!$C16&gt;0,VLOOKUP('Extra werkzaamheden'!$C16,$A$8:$B$11,2,0),"")</f>
        <v>Vervanging eigendienst medewerkers*</v>
      </c>
      <c r="E16" s="180" t="str">
        <f>VLOOKUP(OverzichtExtra[[#This Row],[Code Taak]],InvulExtra[#All],3,0)</f>
        <v>prijs per uur</v>
      </c>
      <c r="F16" s="174">
        <v>2</v>
      </c>
      <c r="G16" s="265">
        <v>40</v>
      </c>
      <c r="H16" s="220">
        <f>IF(G16&gt;0,VLOOKUP(OverzichtExtra[[#This Row],[Code Taak]],InvulExtra[],5,2)*F16*G16,0)</f>
        <v>0</v>
      </c>
      <c r="K16" s="32"/>
    </row>
    <row r="17" spans="1:11" ht="15" customHeight="1">
      <c r="A17" s="218">
        <v>1</v>
      </c>
      <c r="B17" s="168" t="str">
        <f>VLOOKUP(OverzichtExtra[[#This Row],[Code Locatie]],Locaties[],2,0)</f>
        <v>Hoornbeeck College Amersfoort</v>
      </c>
      <c r="C17" s="218">
        <v>3</v>
      </c>
      <c r="D17" s="237" t="str">
        <f>IF('Extra werkzaamheden'!$C17&gt;0,VLOOKUP('Extra werkzaamheden'!$C17,$A$8:$B$11,2,0),"")</f>
        <v>Reinigenhoutwerk buitenzijde incl. goten</v>
      </c>
      <c r="E17" s="180" t="str">
        <f>VLOOKUP(OverzichtExtra[[#This Row],[Code Taak]],InvulExtra[#All],3,0)</f>
        <v>prijs per jaar per beurt</v>
      </c>
      <c r="F17" s="174">
        <v>1500</v>
      </c>
      <c r="G17" s="265">
        <v>1</v>
      </c>
      <c r="H17" s="220">
        <f>IF(G17&gt;0,VLOOKUP(OverzichtExtra[[#This Row],[Code Taak]],InvulExtra[],5,2)*F17*G17,0)</f>
        <v>0</v>
      </c>
      <c r="K17" s="32"/>
    </row>
    <row r="18" spans="1:11" ht="15" customHeight="1">
      <c r="A18" s="250"/>
      <c r="B18" s="251" t="s">
        <v>33</v>
      </c>
      <c r="C18" s="250"/>
      <c r="D18" s="252"/>
      <c r="E18" s="250"/>
      <c r="F18" s="266"/>
      <c r="G18" s="250"/>
      <c r="H18" s="253">
        <f>SUBTOTAL(109,OverzichtExtra[Kosten/jaar excl. BTW])</f>
        <v>0</v>
      </c>
    </row>
    <row r="19" spans="1:11" ht="15" customHeight="1">
      <c r="C19" s="24"/>
      <c r="D19" s="4"/>
    </row>
    <row r="20" spans="1:11" ht="15" customHeight="1">
      <c r="A20" s="4" t="s">
        <v>590</v>
      </c>
      <c r="B20" s="4" t="s">
        <v>591</v>
      </c>
      <c r="C20" s="24"/>
      <c r="D20" s="4"/>
    </row>
    <row r="21" spans="1:11" ht="15" customHeight="1">
      <c r="C21" s="24"/>
      <c r="D21" s="4"/>
    </row>
    <row r="22" spans="1:11" ht="15" customHeight="1">
      <c r="C22" s="24"/>
      <c r="D22" s="4"/>
    </row>
    <row r="23" spans="1:11" ht="15" customHeight="1">
      <c r="C23" s="24"/>
      <c r="D23" s="4"/>
    </row>
    <row r="24" spans="1:11" ht="15" customHeight="1">
      <c r="C24" s="24"/>
      <c r="D24" s="4"/>
    </row>
    <row r="25" spans="1:11" ht="15" customHeight="1">
      <c r="C25" s="24"/>
      <c r="D25" s="4"/>
    </row>
    <row r="26" spans="1:11" ht="15" customHeight="1">
      <c r="C26" s="24"/>
      <c r="D26" s="4"/>
    </row>
    <row r="27" spans="1:11" ht="15" customHeight="1">
      <c r="C27" s="24"/>
      <c r="D27" s="4"/>
    </row>
    <row r="28" spans="1:11" ht="15" customHeight="1">
      <c r="C28" s="24"/>
      <c r="D28" s="4"/>
    </row>
    <row r="29" spans="1:11" ht="15" customHeight="1">
      <c r="C29" s="24"/>
      <c r="D29" s="4"/>
    </row>
    <row r="30" spans="1:11" ht="15" customHeight="1">
      <c r="C30" s="24"/>
      <c r="D30" s="4"/>
    </row>
    <row r="31" spans="1:11" ht="15" customHeight="1">
      <c r="C31" s="24"/>
      <c r="D31" s="4"/>
    </row>
    <row r="32" spans="1:11" ht="15" customHeight="1">
      <c r="C32" s="24"/>
      <c r="D32" s="4"/>
    </row>
    <row r="33" spans="3:4" ht="15" customHeight="1">
      <c r="C33" s="24"/>
      <c r="D33" s="4"/>
    </row>
    <row r="34" spans="3:4" ht="15" customHeight="1">
      <c r="C34" s="24"/>
      <c r="D34" s="4"/>
    </row>
    <row r="35" spans="3:4" ht="15" customHeight="1">
      <c r="C35" s="24"/>
      <c r="D35" s="4"/>
    </row>
    <row r="36" spans="3:4" ht="15" customHeight="1">
      <c r="C36" s="24"/>
      <c r="D36" s="4"/>
    </row>
    <row r="37" spans="3:4" ht="15" customHeight="1">
      <c r="C37" s="24"/>
      <c r="D37" s="4"/>
    </row>
    <row r="38" spans="3:4" ht="15" customHeight="1">
      <c r="C38" s="24"/>
      <c r="D38" s="4"/>
    </row>
    <row r="39" spans="3:4" ht="15" customHeight="1">
      <c r="C39" s="24"/>
      <c r="D39" s="4"/>
    </row>
    <row r="40" spans="3:4" ht="15" customHeight="1">
      <c r="C40" s="24"/>
      <c r="D40" s="4"/>
    </row>
    <row r="41" spans="3:4" ht="15" customHeight="1">
      <c r="C41" s="24"/>
      <c r="D41" s="4"/>
    </row>
    <row r="42" spans="3:4" ht="15" customHeight="1">
      <c r="C42" s="24"/>
      <c r="D42" s="4"/>
    </row>
    <row r="43" spans="3:4" ht="15" customHeight="1">
      <c r="C43" s="24"/>
      <c r="D43" s="4"/>
    </row>
    <row r="44" spans="3:4" ht="15" customHeight="1">
      <c r="C44" s="24"/>
      <c r="D44" s="4"/>
    </row>
    <row r="45" spans="3:4" ht="15" customHeight="1">
      <c r="C45" s="24"/>
      <c r="D45" s="4"/>
    </row>
    <row r="46" spans="3:4" ht="15" customHeight="1">
      <c r="C46" s="24"/>
      <c r="D46" s="4"/>
    </row>
    <row r="47" spans="3:4" ht="15" customHeight="1">
      <c r="C47" s="24"/>
      <c r="D47" s="4"/>
    </row>
    <row r="48" spans="3:4" ht="15" customHeight="1">
      <c r="C48" s="24"/>
      <c r="D48" s="4"/>
    </row>
    <row r="49" spans="3:4" ht="15" customHeight="1">
      <c r="C49" s="24"/>
      <c r="D49" s="4"/>
    </row>
    <row r="50" spans="3:4" ht="15" customHeight="1">
      <c r="C50" s="24"/>
      <c r="D50" s="4"/>
    </row>
    <row r="51" spans="3:4" ht="15" customHeight="1">
      <c r="C51" s="24"/>
      <c r="D51" s="4"/>
    </row>
    <row r="52" spans="3:4" ht="15" customHeight="1">
      <c r="C52" s="24"/>
      <c r="D52" s="4"/>
    </row>
    <row r="53" spans="3:4" ht="15" customHeight="1">
      <c r="C53" s="24"/>
      <c r="D53" s="4"/>
    </row>
    <row r="54" spans="3:4" ht="15" customHeight="1">
      <c r="C54" s="24"/>
      <c r="D54" s="4"/>
    </row>
    <row r="55" spans="3:4" ht="15" customHeight="1">
      <c r="C55" s="24"/>
      <c r="D55" s="4"/>
    </row>
    <row r="56" spans="3:4" ht="15" customHeight="1">
      <c r="C56" s="24"/>
      <c r="D56" s="4"/>
    </row>
    <row r="57" spans="3:4" ht="15" customHeight="1">
      <c r="C57" s="24"/>
      <c r="D57" s="4"/>
    </row>
    <row r="58" spans="3:4" ht="15" customHeight="1">
      <c r="C58" s="24"/>
      <c r="D58" s="4"/>
    </row>
    <row r="59" spans="3:4" ht="15" customHeight="1">
      <c r="C59" s="24"/>
      <c r="D59" s="4"/>
    </row>
    <row r="60" spans="3:4" ht="15" customHeight="1">
      <c r="C60" s="24"/>
      <c r="D60" s="4"/>
    </row>
    <row r="61" spans="3:4" ht="15" customHeight="1">
      <c r="C61" s="24"/>
      <c r="D61" s="4"/>
    </row>
    <row r="62" spans="3:4" ht="15" customHeight="1">
      <c r="C62" s="24"/>
      <c r="D62" s="4"/>
    </row>
    <row r="63" spans="3:4" ht="15" customHeight="1">
      <c r="C63" s="24"/>
      <c r="D63" s="4"/>
    </row>
    <row r="64" spans="3:4" ht="15" customHeight="1">
      <c r="C64" s="24"/>
      <c r="D64" s="4"/>
    </row>
    <row r="65" spans="3:4" ht="15" customHeight="1">
      <c r="C65" s="24"/>
      <c r="D65" s="4"/>
    </row>
    <row r="66" spans="3:4" ht="15" customHeight="1">
      <c r="C66" s="24"/>
      <c r="D66" s="4"/>
    </row>
    <row r="67" spans="3:4" ht="15" customHeight="1">
      <c r="C67" s="24"/>
      <c r="D67" s="4"/>
    </row>
    <row r="68" spans="3:4" ht="15" customHeight="1">
      <c r="C68" s="24"/>
      <c r="D68" s="4"/>
    </row>
    <row r="69" spans="3:4" ht="15" customHeight="1">
      <c r="C69" s="24"/>
      <c r="D69" s="4"/>
    </row>
    <row r="70" spans="3:4" ht="15" customHeight="1">
      <c r="C70" s="24"/>
      <c r="D70" s="4"/>
    </row>
    <row r="71" spans="3:4" ht="15" customHeight="1">
      <c r="C71" s="24"/>
      <c r="D71" s="4"/>
    </row>
    <row r="72" spans="3:4" ht="15" customHeight="1">
      <c r="C72" s="24"/>
      <c r="D72" s="4"/>
    </row>
    <row r="73" spans="3:4" ht="15" customHeight="1">
      <c r="C73" s="24"/>
      <c r="D73" s="4"/>
    </row>
    <row r="74" spans="3:4" ht="15" customHeight="1">
      <c r="C74" s="24"/>
      <c r="D74" s="4"/>
    </row>
    <row r="75" spans="3:4" ht="15" customHeight="1">
      <c r="C75" s="24"/>
      <c r="D75" s="4"/>
    </row>
    <row r="76" spans="3:4" ht="15" customHeight="1">
      <c r="C76" s="24"/>
      <c r="D76" s="4"/>
    </row>
    <row r="77" spans="3:4" ht="15" customHeight="1">
      <c r="C77" s="24"/>
      <c r="D77" s="4"/>
    </row>
    <row r="78" spans="3:4" ht="15" customHeight="1">
      <c r="C78" s="24"/>
      <c r="D78" s="4"/>
    </row>
    <row r="79" spans="3:4" ht="15" customHeight="1">
      <c r="C79" s="24"/>
      <c r="D79" s="4"/>
    </row>
  </sheetData>
  <mergeCells count="2">
    <mergeCell ref="A2:H2"/>
    <mergeCell ref="A1:H1"/>
  </mergeCells>
  <pageMargins left="0.70866141732283472" right="0.70866141732283472" top="0.35433070866141736" bottom="0.47244094488188981" header="0.31496062992125984" footer="0.31496062992125984"/>
  <pageSetup paperSize="9" scale="62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111D6-0A31-41B0-BD1F-7D349D6DFF0D}">
  <sheetPr>
    <tabColor theme="0" tint="-0.14999847407452621"/>
  </sheetPr>
  <dimension ref="A1:L125"/>
  <sheetViews>
    <sheetView workbookViewId="0">
      <pane ySplit="4" topLeftCell="A103" activePane="bottomLeft" state="frozen"/>
      <selection pane="bottomLeft" activeCell="K124" sqref="K124"/>
    </sheetView>
  </sheetViews>
  <sheetFormatPr defaultColWidth="9.140625" defaultRowHeight="11.25"/>
  <cols>
    <col min="1" max="1" width="30.85546875" style="4" bestFit="1" customWidth="1"/>
    <col min="2" max="2" width="10.85546875" style="4" customWidth="1"/>
    <col min="3" max="3" width="12" style="4" customWidth="1"/>
    <col min="4" max="4" width="31.7109375" style="4" bestFit="1" customWidth="1"/>
    <col min="5" max="5" width="13.42578125" style="24" bestFit="1" customWidth="1"/>
    <col min="6" max="6" width="13" style="4" customWidth="1"/>
    <col min="7" max="7" width="10.5703125" style="113" customWidth="1"/>
    <col min="8" max="9" width="14.7109375" style="4" customWidth="1"/>
    <col min="10" max="10" width="13.5703125" style="4" bestFit="1" customWidth="1"/>
    <col min="11" max="11" width="11.85546875" style="4" bestFit="1" customWidth="1"/>
    <col min="12" max="16384" width="9.140625" style="4"/>
  </cols>
  <sheetData>
    <row r="1" spans="1:12" s="7" customFormat="1" ht="22.5" customHeight="1">
      <c r="A1" s="358" t="s">
        <v>596</v>
      </c>
      <c r="B1" s="358"/>
      <c r="C1" s="358"/>
      <c r="D1" s="358"/>
      <c r="E1" s="358"/>
      <c r="F1" s="358"/>
      <c r="G1" s="358"/>
      <c r="H1" s="66"/>
      <c r="I1" s="66"/>
      <c r="J1" s="66"/>
    </row>
    <row r="2" spans="1:12" s="7" customFormat="1" ht="15" customHeight="1">
      <c r="A2" s="371" t="s">
        <v>217</v>
      </c>
      <c r="B2" s="357"/>
      <c r="C2" s="357"/>
      <c r="D2" s="357"/>
      <c r="E2" s="357"/>
      <c r="F2" s="357"/>
      <c r="G2" s="369"/>
    </row>
    <row r="3" spans="1:12" ht="15" customHeight="1">
      <c r="B3" s="24"/>
      <c r="C3" s="24"/>
      <c r="E3" s="4"/>
    </row>
    <row r="4" spans="1:12" ht="27" customHeight="1">
      <c r="A4" s="275" t="s">
        <v>135</v>
      </c>
      <c r="B4" s="276" t="s">
        <v>601</v>
      </c>
      <c r="C4" s="276" t="s">
        <v>779</v>
      </c>
      <c r="D4" s="276" t="s">
        <v>602</v>
      </c>
      <c r="E4" s="276" t="s">
        <v>603</v>
      </c>
      <c r="F4" s="277" t="s">
        <v>778</v>
      </c>
      <c r="G4" s="276" t="s">
        <v>604</v>
      </c>
      <c r="H4" s="277" t="s">
        <v>784</v>
      </c>
      <c r="I4" s="278" t="s">
        <v>786</v>
      </c>
      <c r="J4" s="278" t="s">
        <v>785</v>
      </c>
      <c r="K4" s="278" t="s">
        <v>777</v>
      </c>
      <c r="L4" s="157"/>
    </row>
    <row r="5" spans="1:12" ht="12.75">
      <c r="A5" s="271" t="s">
        <v>809</v>
      </c>
      <c r="B5" s="268">
        <v>1337311</v>
      </c>
      <c r="C5" s="268" t="s">
        <v>787</v>
      </c>
      <c r="D5" s="268" t="s">
        <v>605</v>
      </c>
      <c r="E5" s="268" t="s">
        <v>606</v>
      </c>
      <c r="F5" s="268">
        <v>10</v>
      </c>
      <c r="G5" s="268" t="s">
        <v>607</v>
      </c>
      <c r="H5" s="269">
        <v>5</v>
      </c>
      <c r="I5" s="286">
        <f>Tabel12[[#This Row],[Afname Hoeveelheid]]*Tabel12[[#This Row],[prijs per eenheid bruto]]</f>
        <v>50</v>
      </c>
      <c r="J5" s="285">
        <v>0</v>
      </c>
      <c r="K5" s="273">
        <f>Tabel12[[#This Row],[Totaal kosten excl korting]]*(1-Tabel12[[#This Row],[Kortings percentage]])</f>
        <v>50</v>
      </c>
      <c r="L5" s="157"/>
    </row>
    <row r="6" spans="1:12" ht="12.75">
      <c r="A6" s="271" t="s">
        <v>809</v>
      </c>
      <c r="B6" s="268">
        <v>1337321</v>
      </c>
      <c r="C6" s="268" t="s">
        <v>787</v>
      </c>
      <c r="D6" s="268" t="s">
        <v>608</v>
      </c>
      <c r="E6" s="268" t="s">
        <v>606</v>
      </c>
      <c r="F6" s="268">
        <v>10</v>
      </c>
      <c r="G6" s="268" t="s">
        <v>607</v>
      </c>
      <c r="H6" s="269">
        <v>5</v>
      </c>
      <c r="I6" s="286">
        <f>Tabel12[[#This Row],[Afname Hoeveelheid]]*Tabel12[[#This Row],[prijs per eenheid bruto]]</f>
        <v>50</v>
      </c>
      <c r="J6" s="285">
        <v>0</v>
      </c>
      <c r="K6" s="273">
        <f>Tabel12[[#This Row],[Totaal kosten excl korting]]*(1-Tabel12[[#This Row],[Kortings percentage]])</f>
        <v>50</v>
      </c>
      <c r="L6" s="32"/>
    </row>
    <row r="7" spans="1:12" s="22" customFormat="1" ht="12.75">
      <c r="A7" s="271" t="s">
        <v>810</v>
      </c>
      <c r="B7" s="268">
        <v>4050000</v>
      </c>
      <c r="C7" s="268" t="s">
        <v>781</v>
      </c>
      <c r="D7" s="268" t="s">
        <v>609</v>
      </c>
      <c r="E7" s="268" t="s">
        <v>610</v>
      </c>
      <c r="F7" s="268">
        <v>2</v>
      </c>
      <c r="G7" s="268" t="s">
        <v>611</v>
      </c>
      <c r="H7" s="269">
        <v>5</v>
      </c>
      <c r="I7" s="286">
        <f>Tabel12[[#This Row],[Afname Hoeveelheid]]*Tabel12[[#This Row],[prijs per eenheid bruto]]</f>
        <v>10</v>
      </c>
      <c r="J7" s="285">
        <v>0</v>
      </c>
      <c r="K7" s="273">
        <f>Tabel12[[#This Row],[Totaal kosten excl korting]]*(1-Tabel12[[#This Row],[Kortings percentage]])</f>
        <v>10</v>
      </c>
      <c r="L7" s="267"/>
    </row>
    <row r="8" spans="1:12" ht="12.75">
      <c r="A8" s="271" t="s">
        <v>585</v>
      </c>
      <c r="B8" s="268">
        <v>511000</v>
      </c>
      <c r="C8" s="268" t="s">
        <v>782</v>
      </c>
      <c r="D8" s="268" t="s">
        <v>612</v>
      </c>
      <c r="E8" s="268" t="s">
        <v>613</v>
      </c>
      <c r="F8" s="268">
        <v>1</v>
      </c>
      <c r="G8" s="268" t="s">
        <v>611</v>
      </c>
      <c r="H8" s="269">
        <v>5</v>
      </c>
      <c r="I8" s="286">
        <f>Tabel12[[#This Row],[Afname Hoeveelheid]]*Tabel12[[#This Row],[prijs per eenheid bruto]]</f>
        <v>5</v>
      </c>
      <c r="J8" s="285">
        <v>0</v>
      </c>
      <c r="K8" s="273">
        <f>Tabel12[[#This Row],[Totaal kosten excl korting]]*(1-Tabel12[[#This Row],[Kortings percentage]])</f>
        <v>5</v>
      </c>
      <c r="L8" s="157"/>
    </row>
    <row r="9" spans="1:12" ht="12.75">
      <c r="A9" s="271" t="s">
        <v>810</v>
      </c>
      <c r="B9" s="268">
        <v>1364500</v>
      </c>
      <c r="C9" s="268" t="s">
        <v>787</v>
      </c>
      <c r="D9" s="268" t="s">
        <v>614</v>
      </c>
      <c r="E9" s="268" t="s">
        <v>615</v>
      </c>
      <c r="F9" s="268">
        <v>40</v>
      </c>
      <c r="G9" s="268" t="s">
        <v>607</v>
      </c>
      <c r="H9" s="269">
        <v>5</v>
      </c>
      <c r="I9" s="286">
        <f>Tabel12[[#This Row],[Afname Hoeveelheid]]*Tabel12[[#This Row],[prijs per eenheid bruto]]</f>
        <v>200</v>
      </c>
      <c r="J9" s="285">
        <v>0</v>
      </c>
      <c r="K9" s="273">
        <f>Tabel12[[#This Row],[Totaal kosten excl korting]]*(1-Tabel12[[#This Row],[Kortings percentage]])</f>
        <v>200</v>
      </c>
      <c r="L9" s="157"/>
    </row>
    <row r="10" spans="1:12" ht="12.75">
      <c r="A10" s="271" t="s">
        <v>810</v>
      </c>
      <c r="B10" s="268">
        <v>576700</v>
      </c>
      <c r="C10" s="268" t="s">
        <v>787</v>
      </c>
      <c r="D10" s="268" t="s">
        <v>616</v>
      </c>
      <c r="E10" s="268" t="s">
        <v>617</v>
      </c>
      <c r="F10" s="268">
        <v>31</v>
      </c>
      <c r="G10" s="268" t="s">
        <v>619</v>
      </c>
      <c r="H10" s="269">
        <v>5</v>
      </c>
      <c r="I10" s="286">
        <f>Tabel12[[#This Row],[Afname Hoeveelheid]]*Tabel12[[#This Row],[prijs per eenheid bruto]]</f>
        <v>155</v>
      </c>
      <c r="J10" s="285">
        <v>0</v>
      </c>
      <c r="K10" s="273">
        <f>Tabel12[[#This Row],[Totaal kosten excl korting]]*(1-Tabel12[[#This Row],[Kortings percentage]])</f>
        <v>155</v>
      </c>
      <c r="L10" s="157"/>
    </row>
    <row r="11" spans="1:12" ht="12.75">
      <c r="A11" s="271" t="s">
        <v>585</v>
      </c>
      <c r="B11" s="268">
        <v>1475501</v>
      </c>
      <c r="C11" s="268" t="s">
        <v>787</v>
      </c>
      <c r="D11" s="268" t="s">
        <v>620</v>
      </c>
      <c r="E11" s="268" t="s">
        <v>621</v>
      </c>
      <c r="F11" s="268">
        <v>2</v>
      </c>
      <c r="G11" s="268" t="s">
        <v>619</v>
      </c>
      <c r="H11" s="269">
        <v>5</v>
      </c>
      <c r="I11" s="286">
        <f>Tabel12[[#This Row],[Afname Hoeveelheid]]*Tabel12[[#This Row],[prijs per eenheid bruto]]</f>
        <v>10</v>
      </c>
      <c r="J11" s="285">
        <v>0</v>
      </c>
      <c r="K11" s="273">
        <f>Tabel12[[#This Row],[Totaal kosten excl korting]]*(1-Tabel12[[#This Row],[Kortings percentage]])</f>
        <v>10</v>
      </c>
      <c r="L11" s="157"/>
    </row>
    <row r="12" spans="1:12" ht="12.75">
      <c r="A12" s="271" t="s">
        <v>585</v>
      </c>
      <c r="B12" s="268">
        <v>557200</v>
      </c>
      <c r="C12" s="268" t="s">
        <v>788</v>
      </c>
      <c r="D12" s="268" t="s">
        <v>622</v>
      </c>
      <c r="E12" s="268" t="s">
        <v>623</v>
      </c>
      <c r="F12" s="268">
        <v>20</v>
      </c>
      <c r="G12" s="268" t="s">
        <v>619</v>
      </c>
      <c r="H12" s="269">
        <v>5</v>
      </c>
      <c r="I12" s="286">
        <f>Tabel12[[#This Row],[Afname Hoeveelheid]]*Tabel12[[#This Row],[prijs per eenheid bruto]]</f>
        <v>100</v>
      </c>
      <c r="J12" s="285">
        <v>0</v>
      </c>
      <c r="K12" s="273">
        <f>Tabel12[[#This Row],[Totaal kosten excl korting]]*(1-Tabel12[[#This Row],[Kortings percentage]])</f>
        <v>100</v>
      </c>
      <c r="L12" s="157"/>
    </row>
    <row r="13" spans="1:12" ht="12.75">
      <c r="A13" s="271" t="s">
        <v>810</v>
      </c>
      <c r="B13" s="268">
        <v>2027500</v>
      </c>
      <c r="C13" s="268" t="s">
        <v>788</v>
      </c>
      <c r="D13" s="268" t="s">
        <v>625</v>
      </c>
      <c r="E13" s="268" t="s">
        <v>626</v>
      </c>
      <c r="F13" s="268">
        <v>1</v>
      </c>
      <c r="G13" s="268" t="s">
        <v>611</v>
      </c>
      <c r="H13" s="269">
        <v>5</v>
      </c>
      <c r="I13" s="286">
        <f>Tabel12[[#This Row],[Afname Hoeveelheid]]*Tabel12[[#This Row],[prijs per eenheid bruto]]</f>
        <v>5</v>
      </c>
      <c r="J13" s="285">
        <v>0</v>
      </c>
      <c r="K13" s="273">
        <f>Tabel12[[#This Row],[Totaal kosten excl korting]]*(1-Tabel12[[#This Row],[Kortings percentage]])</f>
        <v>5</v>
      </c>
      <c r="L13" s="157"/>
    </row>
    <row r="14" spans="1:12" ht="12.75">
      <c r="A14" s="271" t="s">
        <v>810</v>
      </c>
      <c r="B14" s="268">
        <v>1210000</v>
      </c>
      <c r="C14" s="268" t="s">
        <v>787</v>
      </c>
      <c r="D14" s="268" t="s">
        <v>627</v>
      </c>
      <c r="E14" s="268" t="s">
        <v>628</v>
      </c>
      <c r="F14" s="268">
        <v>6</v>
      </c>
      <c r="G14" s="268" t="s">
        <v>619</v>
      </c>
      <c r="H14" s="269">
        <v>5</v>
      </c>
      <c r="I14" s="286">
        <f>Tabel12[[#This Row],[Afname Hoeveelheid]]*Tabel12[[#This Row],[prijs per eenheid bruto]]</f>
        <v>30</v>
      </c>
      <c r="J14" s="285">
        <v>0</v>
      </c>
      <c r="K14" s="273">
        <f>Tabel12[[#This Row],[Totaal kosten excl korting]]*(1-Tabel12[[#This Row],[Kortings percentage]])</f>
        <v>30</v>
      </c>
      <c r="L14" s="157"/>
    </row>
    <row r="15" spans="1:12" ht="12.75">
      <c r="A15" s="271" t="s">
        <v>585</v>
      </c>
      <c r="B15" s="268">
        <v>1556837</v>
      </c>
      <c r="C15" s="268" t="s">
        <v>781</v>
      </c>
      <c r="D15" s="268" t="s">
        <v>629</v>
      </c>
      <c r="E15" s="268" t="s">
        <v>630</v>
      </c>
      <c r="F15" s="268">
        <v>10</v>
      </c>
      <c r="G15" s="268" t="s">
        <v>611</v>
      </c>
      <c r="H15" s="269">
        <v>5</v>
      </c>
      <c r="I15" s="286">
        <f>Tabel12[[#This Row],[Afname Hoeveelheid]]*Tabel12[[#This Row],[prijs per eenheid bruto]]</f>
        <v>50</v>
      </c>
      <c r="J15" s="285">
        <v>0</v>
      </c>
      <c r="K15" s="273">
        <f>Tabel12[[#This Row],[Totaal kosten excl korting]]*(1-Tabel12[[#This Row],[Kortings percentage]])</f>
        <v>50</v>
      </c>
      <c r="L15" s="157"/>
    </row>
    <row r="16" spans="1:12" ht="12.75">
      <c r="A16" s="271" t="s">
        <v>585</v>
      </c>
      <c r="B16" s="268">
        <v>1156100</v>
      </c>
      <c r="C16" s="268" t="s">
        <v>788</v>
      </c>
      <c r="D16" s="268" t="s">
        <v>631</v>
      </c>
      <c r="E16" s="268" t="s">
        <v>632</v>
      </c>
      <c r="F16" s="268">
        <v>50</v>
      </c>
      <c r="G16" s="268" t="s">
        <v>633</v>
      </c>
      <c r="H16" s="269">
        <v>5</v>
      </c>
      <c r="I16" s="286">
        <f>Tabel12[[#This Row],[Afname Hoeveelheid]]*Tabel12[[#This Row],[prijs per eenheid bruto]]</f>
        <v>250</v>
      </c>
      <c r="J16" s="285">
        <v>0</v>
      </c>
      <c r="K16" s="273">
        <f>Tabel12[[#This Row],[Totaal kosten excl korting]]*(1-Tabel12[[#This Row],[Kortings percentage]])</f>
        <v>250</v>
      </c>
      <c r="L16" s="157"/>
    </row>
    <row r="17" spans="1:12" ht="12.75">
      <c r="A17" s="271" t="s">
        <v>585</v>
      </c>
      <c r="B17" s="268">
        <v>1916100</v>
      </c>
      <c r="C17" s="268" t="s">
        <v>787</v>
      </c>
      <c r="D17" s="268" t="s">
        <v>634</v>
      </c>
      <c r="E17" s="268" t="s">
        <v>635</v>
      </c>
      <c r="F17" s="268">
        <v>6</v>
      </c>
      <c r="G17" s="268" t="s">
        <v>607</v>
      </c>
      <c r="H17" s="269">
        <v>5</v>
      </c>
      <c r="I17" s="286">
        <f>Tabel12[[#This Row],[Afname Hoeveelheid]]*Tabel12[[#This Row],[prijs per eenheid bruto]]</f>
        <v>30</v>
      </c>
      <c r="J17" s="285">
        <v>0</v>
      </c>
      <c r="K17" s="273">
        <f>Tabel12[[#This Row],[Totaal kosten excl korting]]*(1-Tabel12[[#This Row],[Kortings percentage]])</f>
        <v>30</v>
      </c>
      <c r="L17" s="157"/>
    </row>
    <row r="18" spans="1:12" ht="12.75">
      <c r="A18" s="271" t="s">
        <v>585</v>
      </c>
      <c r="B18" s="268">
        <v>1361000</v>
      </c>
      <c r="C18" s="268" t="s">
        <v>787</v>
      </c>
      <c r="D18" s="268" t="s">
        <v>636</v>
      </c>
      <c r="E18" s="268" t="s">
        <v>617</v>
      </c>
      <c r="F18" s="268">
        <v>15</v>
      </c>
      <c r="G18" s="268" t="s">
        <v>618</v>
      </c>
      <c r="H18" s="269">
        <v>5</v>
      </c>
      <c r="I18" s="286">
        <f>Tabel12[[#This Row],[Afname Hoeveelheid]]*Tabel12[[#This Row],[prijs per eenheid bruto]]</f>
        <v>75</v>
      </c>
      <c r="J18" s="285">
        <v>0</v>
      </c>
      <c r="K18" s="273">
        <f>Tabel12[[#This Row],[Totaal kosten excl korting]]*(1-Tabel12[[#This Row],[Kortings percentage]])</f>
        <v>75</v>
      </c>
      <c r="L18" s="157"/>
    </row>
    <row r="19" spans="1:12" ht="12.75">
      <c r="A19" s="271" t="s">
        <v>585</v>
      </c>
      <c r="B19" s="268">
        <v>1361500</v>
      </c>
      <c r="C19" s="268" t="s">
        <v>787</v>
      </c>
      <c r="D19" s="268" t="s">
        <v>637</v>
      </c>
      <c r="E19" s="268" t="s">
        <v>617</v>
      </c>
      <c r="F19" s="268">
        <v>11</v>
      </c>
      <c r="G19" s="268" t="s">
        <v>618</v>
      </c>
      <c r="H19" s="269">
        <v>55</v>
      </c>
      <c r="I19" s="286">
        <f>Tabel12[[#This Row],[Afname Hoeveelheid]]*Tabel12[[#This Row],[prijs per eenheid bruto]]</f>
        <v>605</v>
      </c>
      <c r="J19" s="285">
        <v>0</v>
      </c>
      <c r="K19" s="273">
        <f>Tabel12[[#This Row],[Totaal kosten excl korting]]*(1-Tabel12[[#This Row],[Kortings percentage]])</f>
        <v>605</v>
      </c>
      <c r="L19" s="157"/>
    </row>
    <row r="20" spans="1:12" ht="12.75">
      <c r="A20" s="271" t="s">
        <v>809</v>
      </c>
      <c r="B20" s="268">
        <v>1526200</v>
      </c>
      <c r="C20" s="268" t="s">
        <v>781</v>
      </c>
      <c r="D20" s="268" t="s">
        <v>638</v>
      </c>
      <c r="E20" s="268" t="s">
        <v>630</v>
      </c>
      <c r="F20" s="268">
        <v>9</v>
      </c>
      <c r="G20" s="268" t="s">
        <v>624</v>
      </c>
      <c r="H20" s="269">
        <v>5</v>
      </c>
      <c r="I20" s="286">
        <f>Tabel12[[#This Row],[Afname Hoeveelheid]]*Tabel12[[#This Row],[prijs per eenheid bruto]]</f>
        <v>45</v>
      </c>
      <c r="J20" s="285">
        <v>0</v>
      </c>
      <c r="K20" s="273">
        <f>Tabel12[[#This Row],[Totaal kosten excl korting]]*(1-Tabel12[[#This Row],[Kortings percentage]])</f>
        <v>45</v>
      </c>
      <c r="L20" s="157"/>
    </row>
    <row r="21" spans="1:12" ht="12.75">
      <c r="A21" s="271" t="s">
        <v>810</v>
      </c>
      <c r="B21" s="268">
        <v>1361500</v>
      </c>
      <c r="C21" s="268" t="s">
        <v>787</v>
      </c>
      <c r="D21" s="268" t="s">
        <v>637</v>
      </c>
      <c r="E21" s="268" t="s">
        <v>617</v>
      </c>
      <c r="F21" s="268">
        <v>11</v>
      </c>
      <c r="G21" s="268" t="s">
        <v>618</v>
      </c>
      <c r="H21" s="269">
        <v>5</v>
      </c>
      <c r="I21" s="286">
        <f>Tabel12[[#This Row],[Afname Hoeveelheid]]*Tabel12[[#This Row],[prijs per eenheid bruto]]</f>
        <v>55</v>
      </c>
      <c r="J21" s="285">
        <v>0</v>
      </c>
      <c r="K21" s="273">
        <f>Tabel12[[#This Row],[Totaal kosten excl korting]]*(1-Tabel12[[#This Row],[Kortings percentage]])</f>
        <v>55</v>
      </c>
      <c r="L21" s="157"/>
    </row>
    <row r="22" spans="1:12" ht="12.75">
      <c r="A22" s="271" t="s">
        <v>809</v>
      </c>
      <c r="B22" s="268">
        <v>1557100</v>
      </c>
      <c r="C22" s="268" t="s">
        <v>781</v>
      </c>
      <c r="D22" s="268" t="s">
        <v>639</v>
      </c>
      <c r="E22" s="268" t="s">
        <v>640</v>
      </c>
      <c r="F22" s="268">
        <v>5</v>
      </c>
      <c r="G22" s="268" t="s">
        <v>611</v>
      </c>
      <c r="H22" s="269">
        <v>5</v>
      </c>
      <c r="I22" s="286">
        <f>Tabel12[[#This Row],[Afname Hoeveelheid]]*Tabel12[[#This Row],[prijs per eenheid bruto]]</f>
        <v>25</v>
      </c>
      <c r="J22" s="285">
        <v>0</v>
      </c>
      <c r="K22" s="273">
        <f>Tabel12[[#This Row],[Totaal kosten excl korting]]*(1-Tabel12[[#This Row],[Kortings percentage]])</f>
        <v>25</v>
      </c>
      <c r="L22" s="157"/>
    </row>
    <row r="23" spans="1:12" ht="12.75">
      <c r="A23" s="271" t="s">
        <v>810</v>
      </c>
      <c r="B23" s="268">
        <v>1556800</v>
      </c>
      <c r="C23" s="268" t="s">
        <v>781</v>
      </c>
      <c r="D23" s="268" t="s">
        <v>641</v>
      </c>
      <c r="E23" s="268" t="s">
        <v>642</v>
      </c>
      <c r="F23" s="268">
        <v>4</v>
      </c>
      <c r="G23" s="268" t="s">
        <v>611</v>
      </c>
      <c r="H23" s="269">
        <v>5</v>
      </c>
      <c r="I23" s="286">
        <f>Tabel12[[#This Row],[Afname Hoeveelheid]]*Tabel12[[#This Row],[prijs per eenheid bruto]]</f>
        <v>20</v>
      </c>
      <c r="J23" s="285">
        <v>0</v>
      </c>
      <c r="K23" s="273">
        <f>Tabel12[[#This Row],[Totaal kosten excl korting]]*(1-Tabel12[[#This Row],[Kortings percentage]])</f>
        <v>20</v>
      </c>
      <c r="L23" s="157"/>
    </row>
    <row r="24" spans="1:12" ht="12.75">
      <c r="A24" s="271" t="s">
        <v>585</v>
      </c>
      <c r="B24" s="268">
        <v>1337530</v>
      </c>
      <c r="C24" s="268" t="s">
        <v>787</v>
      </c>
      <c r="D24" s="268" t="s">
        <v>643</v>
      </c>
      <c r="E24" s="268" t="s">
        <v>644</v>
      </c>
      <c r="F24" s="268">
        <v>2</v>
      </c>
      <c r="G24" s="268" t="s">
        <v>607</v>
      </c>
      <c r="H24" s="269">
        <v>5</v>
      </c>
      <c r="I24" s="286">
        <f>Tabel12[[#This Row],[Afname Hoeveelheid]]*Tabel12[[#This Row],[prijs per eenheid bruto]]</f>
        <v>10</v>
      </c>
      <c r="J24" s="285">
        <v>0</v>
      </c>
      <c r="K24" s="273">
        <f>Tabel12[[#This Row],[Totaal kosten excl korting]]*(1-Tabel12[[#This Row],[Kortings percentage]])</f>
        <v>10</v>
      </c>
      <c r="L24" s="157"/>
    </row>
    <row r="25" spans="1:12" ht="12.75">
      <c r="A25" s="271" t="s">
        <v>817</v>
      </c>
      <c r="B25" s="268">
        <v>658400</v>
      </c>
      <c r="C25" s="268" t="s">
        <v>782</v>
      </c>
      <c r="D25" s="268" t="s">
        <v>645</v>
      </c>
      <c r="E25" s="268" t="s">
        <v>646</v>
      </c>
      <c r="F25" s="268">
        <v>1</v>
      </c>
      <c r="G25" s="268" t="s">
        <v>624</v>
      </c>
      <c r="H25" s="269">
        <v>5</v>
      </c>
      <c r="I25" s="286">
        <f>Tabel12[[#This Row],[Afname Hoeveelheid]]*Tabel12[[#This Row],[prijs per eenheid bruto]]</f>
        <v>5</v>
      </c>
      <c r="J25" s="285">
        <v>0</v>
      </c>
      <c r="K25" s="273">
        <f>Tabel12[[#This Row],[Totaal kosten excl korting]]*(1-Tabel12[[#This Row],[Kortings percentage]])</f>
        <v>5</v>
      </c>
      <c r="L25" s="157"/>
    </row>
    <row r="26" spans="1:12" ht="12.75">
      <c r="A26" s="271" t="s">
        <v>809</v>
      </c>
      <c r="B26" s="268">
        <v>576800</v>
      </c>
      <c r="C26" s="268" t="s">
        <v>787</v>
      </c>
      <c r="D26" s="268" t="s">
        <v>648</v>
      </c>
      <c r="E26" s="268" t="s">
        <v>617</v>
      </c>
      <c r="F26" s="268">
        <v>10</v>
      </c>
      <c r="G26" s="268" t="s">
        <v>618</v>
      </c>
      <c r="H26" s="269">
        <v>5</v>
      </c>
      <c r="I26" s="286">
        <f>Tabel12[[#This Row],[Afname Hoeveelheid]]*Tabel12[[#This Row],[prijs per eenheid bruto]]</f>
        <v>50</v>
      </c>
      <c r="J26" s="285">
        <v>0</v>
      </c>
      <c r="K26" s="273">
        <f>Tabel12[[#This Row],[Totaal kosten excl korting]]*(1-Tabel12[[#This Row],[Kortings percentage]])</f>
        <v>50</v>
      </c>
      <c r="L26" s="157"/>
    </row>
    <row r="27" spans="1:12" ht="12.75">
      <c r="A27" s="271" t="s">
        <v>809</v>
      </c>
      <c r="B27" s="268">
        <v>627305</v>
      </c>
      <c r="C27" s="268" t="s">
        <v>781</v>
      </c>
      <c r="D27" s="268" t="s">
        <v>649</v>
      </c>
      <c r="E27" s="268" t="s">
        <v>650</v>
      </c>
      <c r="F27" s="268">
        <v>1</v>
      </c>
      <c r="G27" s="268" t="s">
        <v>624</v>
      </c>
      <c r="H27" s="269">
        <v>5</v>
      </c>
      <c r="I27" s="286">
        <f>Tabel12[[#This Row],[Afname Hoeveelheid]]*Tabel12[[#This Row],[prijs per eenheid bruto]]</f>
        <v>5</v>
      </c>
      <c r="J27" s="285">
        <v>0</v>
      </c>
      <c r="K27" s="273">
        <f>Tabel12[[#This Row],[Totaal kosten excl korting]]*(1-Tabel12[[#This Row],[Kortings percentage]])</f>
        <v>5</v>
      </c>
      <c r="L27" s="157"/>
    </row>
    <row r="28" spans="1:12" ht="12.75">
      <c r="A28" s="271" t="s">
        <v>585</v>
      </c>
      <c r="B28" s="268">
        <v>658400</v>
      </c>
      <c r="C28" s="268" t="s">
        <v>782</v>
      </c>
      <c r="D28" s="268" t="s">
        <v>645</v>
      </c>
      <c r="E28" s="268" t="s">
        <v>646</v>
      </c>
      <c r="F28" s="268">
        <v>1</v>
      </c>
      <c r="G28" s="268" t="s">
        <v>624</v>
      </c>
      <c r="H28" s="269">
        <v>55</v>
      </c>
      <c r="I28" s="286">
        <f>Tabel12[[#This Row],[Afname Hoeveelheid]]*Tabel12[[#This Row],[prijs per eenheid bruto]]</f>
        <v>55</v>
      </c>
      <c r="J28" s="285">
        <v>0</v>
      </c>
      <c r="K28" s="273">
        <f>Tabel12[[#This Row],[Totaal kosten excl korting]]*(1-Tabel12[[#This Row],[Kortings percentage]])</f>
        <v>55</v>
      </c>
      <c r="L28" s="157"/>
    </row>
    <row r="29" spans="1:12" ht="12.75">
      <c r="A29" s="271" t="s">
        <v>585</v>
      </c>
      <c r="B29" s="268">
        <v>325200</v>
      </c>
      <c r="C29" s="268" t="s">
        <v>781</v>
      </c>
      <c r="D29" s="268" t="s">
        <v>651</v>
      </c>
      <c r="E29" s="268" t="s">
        <v>650</v>
      </c>
      <c r="F29" s="268">
        <v>14</v>
      </c>
      <c r="G29" s="268" t="s">
        <v>611</v>
      </c>
      <c r="H29" s="269">
        <v>5</v>
      </c>
      <c r="I29" s="286">
        <f>Tabel12[[#This Row],[Afname Hoeveelheid]]*Tabel12[[#This Row],[prijs per eenheid bruto]]</f>
        <v>70</v>
      </c>
      <c r="J29" s="285">
        <v>0</v>
      </c>
      <c r="K29" s="273">
        <f>Tabel12[[#This Row],[Totaal kosten excl korting]]*(1-Tabel12[[#This Row],[Kortings percentage]])</f>
        <v>70</v>
      </c>
      <c r="L29" s="157"/>
    </row>
    <row r="30" spans="1:12" ht="12.75">
      <c r="A30" s="271" t="s">
        <v>810</v>
      </c>
      <c r="B30" s="268">
        <v>1522300</v>
      </c>
      <c r="C30" s="268" t="s">
        <v>781</v>
      </c>
      <c r="D30" s="268" t="s">
        <v>652</v>
      </c>
      <c r="E30" s="268" t="s">
        <v>653</v>
      </c>
      <c r="F30" s="268">
        <v>8</v>
      </c>
      <c r="G30" s="268" t="s">
        <v>624</v>
      </c>
      <c r="H30" s="269">
        <v>5</v>
      </c>
      <c r="I30" s="286">
        <f>Tabel12[[#This Row],[Afname Hoeveelheid]]*Tabel12[[#This Row],[prijs per eenheid bruto]]</f>
        <v>40</v>
      </c>
      <c r="J30" s="285">
        <v>0</v>
      </c>
      <c r="K30" s="273">
        <f>Tabel12[[#This Row],[Totaal kosten excl korting]]*(1-Tabel12[[#This Row],[Kortings percentage]])</f>
        <v>40</v>
      </c>
      <c r="L30" s="157"/>
    </row>
    <row r="31" spans="1:12" ht="12.75">
      <c r="A31" s="271" t="s">
        <v>809</v>
      </c>
      <c r="B31" s="268">
        <v>659600</v>
      </c>
      <c r="C31" s="268" t="s">
        <v>781</v>
      </c>
      <c r="D31" s="268" t="s">
        <v>654</v>
      </c>
      <c r="E31" s="268" t="s">
        <v>646</v>
      </c>
      <c r="F31" s="268">
        <v>8</v>
      </c>
      <c r="G31" s="268" t="s">
        <v>624</v>
      </c>
      <c r="H31" s="269">
        <v>5</v>
      </c>
      <c r="I31" s="286">
        <f>Tabel12[[#This Row],[Afname Hoeveelheid]]*Tabel12[[#This Row],[prijs per eenheid bruto]]</f>
        <v>40</v>
      </c>
      <c r="J31" s="285">
        <v>0</v>
      </c>
      <c r="K31" s="273">
        <f>Tabel12[[#This Row],[Totaal kosten excl korting]]*(1-Tabel12[[#This Row],[Kortings percentage]])</f>
        <v>40</v>
      </c>
      <c r="L31" s="157"/>
    </row>
    <row r="32" spans="1:12" ht="12.75">
      <c r="A32" s="271" t="s">
        <v>585</v>
      </c>
      <c r="B32" s="268">
        <v>627810</v>
      </c>
      <c r="C32" s="268" t="s">
        <v>781</v>
      </c>
      <c r="D32" s="268" t="s">
        <v>655</v>
      </c>
      <c r="E32" s="268" t="s">
        <v>656</v>
      </c>
      <c r="F32" s="268">
        <v>8</v>
      </c>
      <c r="G32" s="268" t="s">
        <v>624</v>
      </c>
      <c r="H32" s="269">
        <v>5</v>
      </c>
      <c r="I32" s="286">
        <f>Tabel12[[#This Row],[Afname Hoeveelheid]]*Tabel12[[#This Row],[prijs per eenheid bruto]]</f>
        <v>40</v>
      </c>
      <c r="J32" s="285">
        <v>0</v>
      </c>
      <c r="K32" s="273">
        <f>Tabel12[[#This Row],[Totaal kosten excl korting]]*(1-Tabel12[[#This Row],[Kortings percentage]])</f>
        <v>40</v>
      </c>
      <c r="L32" s="157"/>
    </row>
    <row r="33" spans="1:12" ht="12.75">
      <c r="A33" s="271" t="s">
        <v>810</v>
      </c>
      <c r="B33" s="268">
        <v>628201</v>
      </c>
      <c r="C33" s="268" t="s">
        <v>781</v>
      </c>
      <c r="D33" s="268" t="s">
        <v>657</v>
      </c>
      <c r="E33" s="268" t="s">
        <v>658</v>
      </c>
      <c r="F33" s="268">
        <v>11</v>
      </c>
      <c r="G33" s="268" t="s">
        <v>624</v>
      </c>
      <c r="H33" s="269">
        <v>5</v>
      </c>
      <c r="I33" s="286">
        <f>Tabel12[[#This Row],[Afname Hoeveelheid]]*Tabel12[[#This Row],[prijs per eenheid bruto]]</f>
        <v>55</v>
      </c>
      <c r="J33" s="285">
        <v>0</v>
      </c>
      <c r="K33" s="273">
        <f>Tabel12[[#This Row],[Totaal kosten excl korting]]*(1-Tabel12[[#This Row],[Kortings percentage]])</f>
        <v>55</v>
      </c>
      <c r="L33" s="157"/>
    </row>
    <row r="34" spans="1:12" ht="12.75">
      <c r="A34" s="271" t="s">
        <v>585</v>
      </c>
      <c r="B34" s="268">
        <v>1556946</v>
      </c>
      <c r="C34" s="268" t="s">
        <v>781</v>
      </c>
      <c r="D34" s="268" t="s">
        <v>659</v>
      </c>
      <c r="E34" s="268" t="s">
        <v>660</v>
      </c>
      <c r="F34" s="268">
        <v>3</v>
      </c>
      <c r="G34" s="268" t="s">
        <v>611</v>
      </c>
      <c r="H34" s="269">
        <v>5</v>
      </c>
      <c r="I34" s="286">
        <f>Tabel12[[#This Row],[Afname Hoeveelheid]]*Tabel12[[#This Row],[prijs per eenheid bruto]]</f>
        <v>15</v>
      </c>
      <c r="J34" s="285">
        <v>0</v>
      </c>
      <c r="K34" s="273">
        <f>Tabel12[[#This Row],[Totaal kosten excl korting]]*(1-Tabel12[[#This Row],[Kortings percentage]])</f>
        <v>15</v>
      </c>
      <c r="L34" s="157"/>
    </row>
    <row r="35" spans="1:12" ht="12.75">
      <c r="A35" s="271" t="s">
        <v>809</v>
      </c>
      <c r="B35" s="268">
        <v>658400</v>
      </c>
      <c r="C35" s="268" t="s">
        <v>782</v>
      </c>
      <c r="D35" s="268" t="s">
        <v>645</v>
      </c>
      <c r="E35" s="268" t="s">
        <v>646</v>
      </c>
      <c r="F35" s="268">
        <v>6</v>
      </c>
      <c r="G35" s="268" t="s">
        <v>624</v>
      </c>
      <c r="H35" s="269">
        <v>5</v>
      </c>
      <c r="I35" s="286">
        <f>Tabel12[[#This Row],[Afname Hoeveelheid]]*Tabel12[[#This Row],[prijs per eenheid bruto]]</f>
        <v>30</v>
      </c>
      <c r="J35" s="285">
        <v>0</v>
      </c>
      <c r="K35" s="273">
        <f>Tabel12[[#This Row],[Totaal kosten excl korting]]*(1-Tabel12[[#This Row],[Kortings percentage]])</f>
        <v>30</v>
      </c>
      <c r="L35" s="157"/>
    </row>
    <row r="36" spans="1:12" ht="12.75">
      <c r="A36" s="271" t="s">
        <v>585</v>
      </c>
      <c r="B36" s="268">
        <v>1476300</v>
      </c>
      <c r="C36" s="268" t="s">
        <v>787</v>
      </c>
      <c r="D36" s="268" t="s">
        <v>661</v>
      </c>
      <c r="E36" s="268" t="s">
        <v>662</v>
      </c>
      <c r="F36" s="268">
        <v>6</v>
      </c>
      <c r="G36" s="268" t="s">
        <v>619</v>
      </c>
      <c r="H36" s="269">
        <v>5</v>
      </c>
      <c r="I36" s="286">
        <f>Tabel12[[#This Row],[Afname Hoeveelheid]]*Tabel12[[#This Row],[prijs per eenheid bruto]]</f>
        <v>30</v>
      </c>
      <c r="J36" s="285">
        <v>0</v>
      </c>
      <c r="K36" s="273">
        <f>Tabel12[[#This Row],[Totaal kosten excl korting]]*(1-Tabel12[[#This Row],[Kortings percentage]])</f>
        <v>30</v>
      </c>
      <c r="L36" s="157"/>
    </row>
    <row r="37" spans="1:12" ht="12.75">
      <c r="A37" s="271" t="s">
        <v>817</v>
      </c>
      <c r="B37" s="268">
        <v>1512000</v>
      </c>
      <c r="C37" s="268" t="s">
        <v>781</v>
      </c>
      <c r="D37" s="268" t="s">
        <v>663</v>
      </c>
      <c r="E37" s="268" t="s">
        <v>664</v>
      </c>
      <c r="F37" s="268">
        <v>3</v>
      </c>
      <c r="G37" s="268" t="s">
        <v>624</v>
      </c>
      <c r="H37" s="269">
        <v>5</v>
      </c>
      <c r="I37" s="286">
        <f>Tabel12[[#This Row],[Afname Hoeveelheid]]*Tabel12[[#This Row],[prijs per eenheid bruto]]</f>
        <v>15</v>
      </c>
      <c r="J37" s="285">
        <v>0</v>
      </c>
      <c r="K37" s="273">
        <f>Tabel12[[#This Row],[Totaal kosten excl korting]]*(1-Tabel12[[#This Row],[Kortings percentage]])</f>
        <v>15</v>
      </c>
      <c r="L37" s="157"/>
    </row>
    <row r="38" spans="1:12" ht="12.75">
      <c r="A38" s="271" t="s">
        <v>809</v>
      </c>
      <c r="B38" s="268">
        <v>1512000</v>
      </c>
      <c r="C38" s="268" t="s">
        <v>781</v>
      </c>
      <c r="D38" s="268" t="s">
        <v>663</v>
      </c>
      <c r="E38" s="268" t="s">
        <v>664</v>
      </c>
      <c r="F38" s="268">
        <v>3</v>
      </c>
      <c r="G38" s="268" t="s">
        <v>624</v>
      </c>
      <c r="H38" s="269">
        <v>5</v>
      </c>
      <c r="I38" s="286">
        <f>Tabel12[[#This Row],[Afname Hoeveelheid]]*Tabel12[[#This Row],[prijs per eenheid bruto]]</f>
        <v>15</v>
      </c>
      <c r="J38" s="285">
        <v>0</v>
      </c>
      <c r="K38" s="273">
        <f>Tabel12[[#This Row],[Totaal kosten excl korting]]*(1-Tabel12[[#This Row],[Kortings percentage]])</f>
        <v>15</v>
      </c>
      <c r="L38" s="157"/>
    </row>
    <row r="39" spans="1:12" ht="12.75">
      <c r="A39" s="271" t="s">
        <v>809</v>
      </c>
      <c r="B39" s="268">
        <v>1139300</v>
      </c>
      <c r="C39" s="268" t="s">
        <v>781</v>
      </c>
      <c r="D39" s="268" t="s">
        <v>665</v>
      </c>
      <c r="E39" s="268" t="s">
        <v>666</v>
      </c>
      <c r="F39" s="268">
        <v>1</v>
      </c>
      <c r="G39" s="268" t="s">
        <v>624</v>
      </c>
      <c r="H39" s="269">
        <v>5</v>
      </c>
      <c r="I39" s="286">
        <f>Tabel12[[#This Row],[Afname Hoeveelheid]]*Tabel12[[#This Row],[prijs per eenheid bruto]]</f>
        <v>5</v>
      </c>
      <c r="J39" s="285">
        <v>0</v>
      </c>
      <c r="K39" s="273">
        <f>Tabel12[[#This Row],[Totaal kosten excl korting]]*(1-Tabel12[[#This Row],[Kortings percentage]])</f>
        <v>5</v>
      </c>
      <c r="L39" s="157"/>
    </row>
    <row r="40" spans="1:12" ht="12.75">
      <c r="A40" s="271" t="s">
        <v>810</v>
      </c>
      <c r="B40" s="268">
        <v>1916100</v>
      </c>
      <c r="C40" s="268" t="s">
        <v>781</v>
      </c>
      <c r="D40" s="268" t="s">
        <v>634</v>
      </c>
      <c r="E40" s="268" t="s">
        <v>635</v>
      </c>
      <c r="F40" s="268">
        <v>6</v>
      </c>
      <c r="G40" s="268" t="s">
        <v>607</v>
      </c>
      <c r="H40" s="269">
        <v>5</v>
      </c>
      <c r="I40" s="286">
        <f>Tabel12[[#This Row],[Afname Hoeveelheid]]*Tabel12[[#This Row],[prijs per eenheid bruto]]</f>
        <v>30</v>
      </c>
      <c r="J40" s="285">
        <v>0</v>
      </c>
      <c r="K40" s="273">
        <f>Tabel12[[#This Row],[Totaal kosten excl korting]]*(1-Tabel12[[#This Row],[Kortings percentage]])</f>
        <v>30</v>
      </c>
      <c r="L40" s="157"/>
    </row>
    <row r="41" spans="1:12" ht="12.75">
      <c r="A41" s="271" t="s">
        <v>810</v>
      </c>
      <c r="B41" s="268">
        <v>1161900</v>
      </c>
      <c r="C41" s="268" t="s">
        <v>781</v>
      </c>
      <c r="D41" s="268" t="s">
        <v>667</v>
      </c>
      <c r="E41" s="268" t="s">
        <v>668</v>
      </c>
      <c r="F41" s="268">
        <v>7</v>
      </c>
      <c r="G41" s="268" t="s">
        <v>624</v>
      </c>
      <c r="H41" s="269">
        <v>5</v>
      </c>
      <c r="I41" s="286">
        <f>Tabel12[[#This Row],[Afname Hoeveelheid]]*Tabel12[[#This Row],[prijs per eenheid bruto]]</f>
        <v>35</v>
      </c>
      <c r="J41" s="285">
        <v>0</v>
      </c>
      <c r="K41" s="273">
        <f>Tabel12[[#This Row],[Totaal kosten excl korting]]*(1-Tabel12[[#This Row],[Kortings percentage]])</f>
        <v>35</v>
      </c>
      <c r="L41" s="157"/>
    </row>
    <row r="42" spans="1:12" ht="12.75">
      <c r="A42" s="271" t="s">
        <v>585</v>
      </c>
      <c r="B42" s="268">
        <v>1556800</v>
      </c>
      <c r="C42" s="268" t="s">
        <v>781</v>
      </c>
      <c r="D42" s="268" t="s">
        <v>641</v>
      </c>
      <c r="E42" s="268" t="s">
        <v>642</v>
      </c>
      <c r="F42" s="268">
        <v>4</v>
      </c>
      <c r="G42" s="268" t="s">
        <v>611</v>
      </c>
      <c r="H42" s="269">
        <v>5</v>
      </c>
      <c r="I42" s="286">
        <f>Tabel12[[#This Row],[Afname Hoeveelheid]]*Tabel12[[#This Row],[prijs per eenheid bruto]]</f>
        <v>20</v>
      </c>
      <c r="J42" s="285">
        <v>0</v>
      </c>
      <c r="K42" s="273">
        <f>Tabel12[[#This Row],[Totaal kosten excl korting]]*(1-Tabel12[[#This Row],[Kortings percentage]])</f>
        <v>20</v>
      </c>
      <c r="L42" s="157"/>
    </row>
    <row r="43" spans="1:12" ht="12.75">
      <c r="A43" s="271" t="s">
        <v>809</v>
      </c>
      <c r="B43" s="268">
        <v>1156100</v>
      </c>
      <c r="C43" s="268" t="s">
        <v>788</v>
      </c>
      <c r="D43" s="268" t="s">
        <v>631</v>
      </c>
      <c r="E43" s="268" t="s">
        <v>632</v>
      </c>
      <c r="F43" s="268">
        <v>4</v>
      </c>
      <c r="G43" s="268" t="s">
        <v>669</v>
      </c>
      <c r="H43" s="269">
        <v>5</v>
      </c>
      <c r="I43" s="286">
        <f>Tabel12[[#This Row],[Afname Hoeveelheid]]*Tabel12[[#This Row],[prijs per eenheid bruto]]</f>
        <v>20</v>
      </c>
      <c r="J43" s="285">
        <v>0</v>
      </c>
      <c r="K43" s="273">
        <f>Tabel12[[#This Row],[Totaal kosten excl korting]]*(1-Tabel12[[#This Row],[Kortings percentage]])</f>
        <v>20</v>
      </c>
      <c r="L43" s="157"/>
    </row>
    <row r="44" spans="1:12" ht="12.75">
      <c r="A44" s="271" t="s">
        <v>809</v>
      </c>
      <c r="B44" s="268">
        <v>1335601</v>
      </c>
      <c r="C44" s="268" t="s">
        <v>787</v>
      </c>
      <c r="D44" s="268" t="s">
        <v>670</v>
      </c>
      <c r="E44" s="268" t="s">
        <v>623</v>
      </c>
      <c r="F44" s="268">
        <v>5</v>
      </c>
      <c r="G44" s="268" t="s">
        <v>624</v>
      </c>
      <c r="H44" s="269">
        <v>5</v>
      </c>
      <c r="I44" s="286">
        <f>Tabel12[[#This Row],[Afname Hoeveelheid]]*Tabel12[[#This Row],[prijs per eenheid bruto]]</f>
        <v>25</v>
      </c>
      <c r="J44" s="285">
        <v>0</v>
      </c>
      <c r="K44" s="273">
        <f>Tabel12[[#This Row],[Totaal kosten excl korting]]*(1-Tabel12[[#This Row],[Kortings percentage]])</f>
        <v>25</v>
      </c>
      <c r="L44" s="157"/>
    </row>
    <row r="45" spans="1:12" ht="12.75">
      <c r="A45" s="271" t="s">
        <v>809</v>
      </c>
      <c r="B45" s="268">
        <v>3612300</v>
      </c>
      <c r="C45" s="268" t="s">
        <v>787</v>
      </c>
      <c r="D45" s="268" t="s">
        <v>671</v>
      </c>
      <c r="E45" s="268" t="s">
        <v>635</v>
      </c>
      <c r="F45" s="268">
        <v>5</v>
      </c>
      <c r="G45" s="268" t="s">
        <v>607</v>
      </c>
      <c r="H45" s="269">
        <v>5</v>
      </c>
      <c r="I45" s="286">
        <f>Tabel12[[#This Row],[Afname Hoeveelheid]]*Tabel12[[#This Row],[prijs per eenheid bruto]]</f>
        <v>25</v>
      </c>
      <c r="J45" s="285">
        <v>0</v>
      </c>
      <c r="K45" s="273">
        <f>Tabel12[[#This Row],[Totaal kosten excl korting]]*(1-Tabel12[[#This Row],[Kortings percentage]])</f>
        <v>25</v>
      </c>
      <c r="L45" s="157"/>
    </row>
    <row r="46" spans="1:12" ht="12.75">
      <c r="A46" s="271" t="s">
        <v>585</v>
      </c>
      <c r="B46" s="268">
        <v>1401300</v>
      </c>
      <c r="C46" s="268" t="s">
        <v>787</v>
      </c>
      <c r="D46" s="268" t="s">
        <v>672</v>
      </c>
      <c r="E46" s="268" t="s">
        <v>673</v>
      </c>
      <c r="F46" s="268">
        <v>4</v>
      </c>
      <c r="G46" s="268" t="s">
        <v>619</v>
      </c>
      <c r="H46" s="269">
        <v>5</v>
      </c>
      <c r="I46" s="286">
        <f>Tabel12[[#This Row],[Afname Hoeveelheid]]*Tabel12[[#This Row],[prijs per eenheid bruto]]</f>
        <v>20</v>
      </c>
      <c r="J46" s="285">
        <v>0</v>
      </c>
      <c r="K46" s="273">
        <f>Tabel12[[#This Row],[Totaal kosten excl korting]]*(1-Tabel12[[#This Row],[Kortings percentage]])</f>
        <v>20</v>
      </c>
      <c r="L46" s="157"/>
    </row>
    <row r="47" spans="1:12" ht="12.75">
      <c r="A47" s="271" t="s">
        <v>585</v>
      </c>
      <c r="B47" s="268">
        <v>2811601</v>
      </c>
      <c r="C47" s="268" t="s">
        <v>787</v>
      </c>
      <c r="D47" s="268" t="s">
        <v>674</v>
      </c>
      <c r="E47" s="268" t="s">
        <v>662</v>
      </c>
      <c r="F47" s="268">
        <v>4</v>
      </c>
      <c r="G47" s="268" t="s">
        <v>619</v>
      </c>
      <c r="H47" s="269">
        <v>5</v>
      </c>
      <c r="I47" s="286">
        <f>Tabel12[[#This Row],[Afname Hoeveelheid]]*Tabel12[[#This Row],[prijs per eenheid bruto]]</f>
        <v>20</v>
      </c>
      <c r="J47" s="285">
        <v>0</v>
      </c>
      <c r="K47" s="273">
        <f>Tabel12[[#This Row],[Totaal kosten excl korting]]*(1-Tabel12[[#This Row],[Kortings percentage]])</f>
        <v>20</v>
      </c>
      <c r="L47" s="157"/>
    </row>
    <row r="48" spans="1:12" ht="12.75">
      <c r="A48" s="271" t="s">
        <v>585</v>
      </c>
      <c r="B48" s="268">
        <v>1556725</v>
      </c>
      <c r="C48" s="268" t="s">
        <v>781</v>
      </c>
      <c r="D48" s="268" t="s">
        <v>675</v>
      </c>
      <c r="E48" s="268" t="s">
        <v>676</v>
      </c>
      <c r="F48" s="268">
        <v>2</v>
      </c>
      <c r="G48" s="268" t="s">
        <v>611</v>
      </c>
      <c r="H48" s="269">
        <v>5</v>
      </c>
      <c r="I48" s="286">
        <f>Tabel12[[#This Row],[Afname Hoeveelheid]]*Tabel12[[#This Row],[prijs per eenheid bruto]]</f>
        <v>10</v>
      </c>
      <c r="J48" s="285">
        <v>0</v>
      </c>
      <c r="K48" s="273">
        <f>Tabel12[[#This Row],[Totaal kosten excl korting]]*(1-Tabel12[[#This Row],[Kortings percentage]])</f>
        <v>10</v>
      </c>
      <c r="L48" s="157"/>
    </row>
    <row r="49" spans="1:12" ht="12.75">
      <c r="A49" s="271" t="s">
        <v>810</v>
      </c>
      <c r="B49" s="268">
        <v>1290020</v>
      </c>
      <c r="C49" s="268" t="s">
        <v>787</v>
      </c>
      <c r="D49" s="268" t="s">
        <v>677</v>
      </c>
      <c r="E49" s="268" t="s">
        <v>623</v>
      </c>
      <c r="F49" s="268">
        <v>4</v>
      </c>
      <c r="G49" s="268" t="s">
        <v>619</v>
      </c>
      <c r="H49" s="269">
        <v>5</v>
      </c>
      <c r="I49" s="286">
        <f>Tabel12[[#This Row],[Afname Hoeveelheid]]*Tabel12[[#This Row],[prijs per eenheid bruto]]</f>
        <v>20</v>
      </c>
      <c r="J49" s="285">
        <v>0</v>
      </c>
      <c r="K49" s="273">
        <f>Tabel12[[#This Row],[Totaal kosten excl korting]]*(1-Tabel12[[#This Row],[Kortings percentage]])</f>
        <v>20</v>
      </c>
      <c r="L49" s="157"/>
    </row>
    <row r="50" spans="1:12" ht="12.75">
      <c r="A50" s="271" t="s">
        <v>809</v>
      </c>
      <c r="B50" s="268">
        <v>1475501</v>
      </c>
      <c r="C50" s="268" t="s">
        <v>787</v>
      </c>
      <c r="D50" s="268" t="s">
        <v>620</v>
      </c>
      <c r="E50" s="268" t="s">
        <v>621</v>
      </c>
      <c r="F50" s="268">
        <v>2</v>
      </c>
      <c r="G50" s="268" t="s">
        <v>624</v>
      </c>
      <c r="H50" s="269">
        <v>5</v>
      </c>
      <c r="I50" s="286">
        <f>Tabel12[[#This Row],[Afname Hoeveelheid]]*Tabel12[[#This Row],[prijs per eenheid bruto]]</f>
        <v>10</v>
      </c>
      <c r="J50" s="285">
        <v>0</v>
      </c>
      <c r="K50" s="273">
        <f>Tabel12[[#This Row],[Totaal kosten excl korting]]*(1-Tabel12[[#This Row],[Kortings percentage]])</f>
        <v>10</v>
      </c>
      <c r="L50" s="157"/>
    </row>
    <row r="51" spans="1:12" ht="12.75">
      <c r="A51" s="271" t="s">
        <v>810</v>
      </c>
      <c r="B51" s="268">
        <v>3610201</v>
      </c>
      <c r="C51" s="268" t="s">
        <v>781</v>
      </c>
      <c r="D51" s="268" t="s">
        <v>678</v>
      </c>
      <c r="E51" s="268" t="s">
        <v>617</v>
      </c>
      <c r="F51" s="268">
        <v>4</v>
      </c>
      <c r="G51" s="268" t="s">
        <v>624</v>
      </c>
      <c r="H51" s="269">
        <v>5</v>
      </c>
      <c r="I51" s="286">
        <f>Tabel12[[#This Row],[Afname Hoeveelheid]]*Tabel12[[#This Row],[prijs per eenheid bruto]]</f>
        <v>20</v>
      </c>
      <c r="J51" s="285">
        <v>0</v>
      </c>
      <c r="K51" s="273">
        <f>Tabel12[[#This Row],[Totaal kosten excl korting]]*(1-Tabel12[[#This Row],[Kortings percentage]])</f>
        <v>20</v>
      </c>
      <c r="L51" s="157"/>
    </row>
    <row r="52" spans="1:12" ht="12.75">
      <c r="A52" s="271" t="s">
        <v>585</v>
      </c>
      <c r="B52" s="268">
        <v>176100</v>
      </c>
      <c r="C52" s="268" t="s">
        <v>781</v>
      </c>
      <c r="D52" s="268" t="s">
        <v>679</v>
      </c>
      <c r="E52" s="268" t="s">
        <v>680</v>
      </c>
      <c r="F52" s="268">
        <v>3</v>
      </c>
      <c r="G52" s="268" t="s">
        <v>624</v>
      </c>
      <c r="H52" s="269">
        <v>5</v>
      </c>
      <c r="I52" s="286">
        <f>Tabel12[[#This Row],[Afname Hoeveelheid]]*Tabel12[[#This Row],[prijs per eenheid bruto]]</f>
        <v>15</v>
      </c>
      <c r="J52" s="285">
        <v>0</v>
      </c>
      <c r="K52" s="273">
        <f>Tabel12[[#This Row],[Totaal kosten excl korting]]*(1-Tabel12[[#This Row],[Kortings percentage]])</f>
        <v>15</v>
      </c>
      <c r="L52" s="157"/>
    </row>
    <row r="53" spans="1:12" ht="12.75">
      <c r="A53" s="271" t="s">
        <v>810</v>
      </c>
      <c r="B53" s="268">
        <v>913101</v>
      </c>
      <c r="C53" s="268" t="s">
        <v>782</v>
      </c>
      <c r="D53" s="268" t="s">
        <v>681</v>
      </c>
      <c r="E53" s="268" t="s">
        <v>682</v>
      </c>
      <c r="F53" s="268">
        <v>3</v>
      </c>
      <c r="G53" s="268" t="s">
        <v>611</v>
      </c>
      <c r="H53" s="269">
        <v>5</v>
      </c>
      <c r="I53" s="286">
        <f>Tabel12[[#This Row],[Afname Hoeveelheid]]*Tabel12[[#This Row],[prijs per eenheid bruto]]</f>
        <v>15</v>
      </c>
      <c r="J53" s="285">
        <v>0</v>
      </c>
      <c r="K53" s="273">
        <f>Tabel12[[#This Row],[Totaal kosten excl korting]]*(1-Tabel12[[#This Row],[Kortings percentage]])</f>
        <v>15</v>
      </c>
      <c r="L53" s="157"/>
    </row>
    <row r="54" spans="1:12" ht="12.75">
      <c r="A54" s="271" t="s">
        <v>810</v>
      </c>
      <c r="B54" s="268">
        <v>627305</v>
      </c>
      <c r="C54" s="268" t="s">
        <v>781</v>
      </c>
      <c r="D54" s="268" t="s">
        <v>649</v>
      </c>
      <c r="E54" s="268" t="s">
        <v>650</v>
      </c>
      <c r="F54" s="268">
        <v>6</v>
      </c>
      <c r="G54" s="268" t="s">
        <v>624</v>
      </c>
      <c r="H54" s="269">
        <v>5</v>
      </c>
      <c r="I54" s="286">
        <f>Tabel12[[#This Row],[Afname Hoeveelheid]]*Tabel12[[#This Row],[prijs per eenheid bruto]]</f>
        <v>30</v>
      </c>
      <c r="J54" s="285">
        <v>0</v>
      </c>
      <c r="K54" s="273">
        <f>Tabel12[[#This Row],[Totaal kosten excl korting]]*(1-Tabel12[[#This Row],[Kortings percentage]])</f>
        <v>30</v>
      </c>
      <c r="L54" s="157"/>
    </row>
    <row r="55" spans="1:12" ht="12.75">
      <c r="A55" s="271" t="s">
        <v>817</v>
      </c>
      <c r="B55" s="268">
        <v>627305</v>
      </c>
      <c r="C55" s="268" t="s">
        <v>781</v>
      </c>
      <c r="D55" s="268" t="s">
        <v>649</v>
      </c>
      <c r="E55" s="268" t="s">
        <v>650</v>
      </c>
      <c r="F55" s="268">
        <v>6</v>
      </c>
      <c r="G55" s="268" t="s">
        <v>624</v>
      </c>
      <c r="H55" s="269">
        <v>5</v>
      </c>
      <c r="I55" s="286">
        <f>Tabel12[[#This Row],[Afname Hoeveelheid]]*Tabel12[[#This Row],[prijs per eenheid bruto]]</f>
        <v>30</v>
      </c>
      <c r="J55" s="285">
        <v>0</v>
      </c>
      <c r="K55" s="273">
        <f>Tabel12[[#This Row],[Totaal kosten excl korting]]*(1-Tabel12[[#This Row],[Kortings percentage]])</f>
        <v>30</v>
      </c>
      <c r="L55" s="157"/>
    </row>
    <row r="56" spans="1:12" ht="12.75">
      <c r="A56" s="271" t="s">
        <v>585</v>
      </c>
      <c r="B56" s="268">
        <v>1224100</v>
      </c>
      <c r="C56" s="268" t="s">
        <v>787</v>
      </c>
      <c r="D56" s="268" t="s">
        <v>683</v>
      </c>
      <c r="E56" s="268" t="s">
        <v>684</v>
      </c>
      <c r="F56" s="268">
        <v>3</v>
      </c>
      <c r="G56" s="268" t="s">
        <v>624</v>
      </c>
      <c r="H56" s="269">
        <v>5</v>
      </c>
      <c r="I56" s="286">
        <f>Tabel12[[#This Row],[Afname Hoeveelheid]]*Tabel12[[#This Row],[prijs per eenheid bruto]]</f>
        <v>15</v>
      </c>
      <c r="J56" s="285">
        <v>0</v>
      </c>
      <c r="K56" s="273">
        <f>Tabel12[[#This Row],[Totaal kosten excl korting]]*(1-Tabel12[[#This Row],[Kortings percentage]])</f>
        <v>15</v>
      </c>
      <c r="L56" s="157"/>
    </row>
    <row r="57" spans="1:12" ht="12.75">
      <c r="A57" s="271" t="s">
        <v>809</v>
      </c>
      <c r="B57" s="268">
        <v>1556946</v>
      </c>
      <c r="C57" s="268" t="s">
        <v>781</v>
      </c>
      <c r="D57" s="268" t="s">
        <v>659</v>
      </c>
      <c r="E57" s="268" t="s">
        <v>660</v>
      </c>
      <c r="F57" s="268">
        <v>3</v>
      </c>
      <c r="G57" s="268" t="s">
        <v>611</v>
      </c>
      <c r="H57" s="269">
        <v>5</v>
      </c>
      <c r="I57" s="286">
        <f>Tabel12[[#This Row],[Afname Hoeveelheid]]*Tabel12[[#This Row],[prijs per eenheid bruto]]</f>
        <v>15</v>
      </c>
      <c r="J57" s="285">
        <v>0</v>
      </c>
      <c r="K57" s="273">
        <f>Tabel12[[#This Row],[Totaal kosten excl korting]]*(1-Tabel12[[#This Row],[Kortings percentage]])</f>
        <v>15</v>
      </c>
      <c r="L57" s="157"/>
    </row>
    <row r="58" spans="1:12" ht="12.75">
      <c r="A58" s="271" t="s">
        <v>810</v>
      </c>
      <c r="B58" s="268">
        <v>1293100</v>
      </c>
      <c r="C58" s="268" t="s">
        <v>787</v>
      </c>
      <c r="D58" s="268" t="s">
        <v>685</v>
      </c>
      <c r="E58" s="268" t="s">
        <v>662</v>
      </c>
      <c r="F58" s="268">
        <v>3</v>
      </c>
      <c r="G58" s="268" t="s">
        <v>624</v>
      </c>
      <c r="H58" s="269">
        <v>5</v>
      </c>
      <c r="I58" s="286">
        <f>Tabel12[[#This Row],[Afname Hoeveelheid]]*Tabel12[[#This Row],[prijs per eenheid bruto]]</f>
        <v>15</v>
      </c>
      <c r="J58" s="285">
        <v>0</v>
      </c>
      <c r="K58" s="273">
        <f>Tabel12[[#This Row],[Totaal kosten excl korting]]*(1-Tabel12[[#This Row],[Kortings percentage]])</f>
        <v>15</v>
      </c>
      <c r="L58" s="157"/>
    </row>
    <row r="59" spans="1:12" ht="12.75">
      <c r="A59" s="271" t="s">
        <v>810</v>
      </c>
      <c r="B59" s="268">
        <v>818000</v>
      </c>
      <c r="C59" s="268" t="s">
        <v>781</v>
      </c>
      <c r="D59" s="268" t="s">
        <v>686</v>
      </c>
      <c r="E59" s="268" t="s">
        <v>687</v>
      </c>
      <c r="F59" s="268">
        <v>2</v>
      </c>
      <c r="G59" s="268" t="s">
        <v>624</v>
      </c>
      <c r="H59" s="269">
        <v>5</v>
      </c>
      <c r="I59" s="286">
        <f>Tabel12[[#This Row],[Afname Hoeveelheid]]*Tabel12[[#This Row],[prijs per eenheid bruto]]</f>
        <v>10</v>
      </c>
      <c r="J59" s="285">
        <v>0</v>
      </c>
      <c r="K59" s="273">
        <f>Tabel12[[#This Row],[Totaal kosten excl korting]]*(1-Tabel12[[#This Row],[Kortings percentage]])</f>
        <v>10</v>
      </c>
      <c r="L59" s="157"/>
    </row>
    <row r="60" spans="1:12" ht="12.75">
      <c r="A60" s="271" t="s">
        <v>585</v>
      </c>
      <c r="B60" s="268">
        <v>1364500</v>
      </c>
      <c r="C60" s="268" t="s">
        <v>781</v>
      </c>
      <c r="D60" s="268" t="s">
        <v>614</v>
      </c>
      <c r="E60" s="268" t="s">
        <v>615</v>
      </c>
      <c r="F60" s="268">
        <v>2</v>
      </c>
      <c r="G60" s="268" t="s">
        <v>607</v>
      </c>
      <c r="H60" s="269">
        <v>5</v>
      </c>
      <c r="I60" s="286">
        <f>Tabel12[[#This Row],[Afname Hoeveelheid]]*Tabel12[[#This Row],[prijs per eenheid bruto]]</f>
        <v>10</v>
      </c>
      <c r="J60" s="285">
        <v>0</v>
      </c>
      <c r="K60" s="273">
        <f>Tabel12[[#This Row],[Totaal kosten excl korting]]*(1-Tabel12[[#This Row],[Kortings percentage]])</f>
        <v>10</v>
      </c>
      <c r="L60" s="157"/>
    </row>
    <row r="61" spans="1:12" ht="12.75">
      <c r="A61" s="271" t="s">
        <v>810</v>
      </c>
      <c r="B61" s="268">
        <v>155300</v>
      </c>
      <c r="C61" s="268" t="s">
        <v>781</v>
      </c>
      <c r="D61" s="268" t="s">
        <v>688</v>
      </c>
      <c r="E61" s="268" t="s">
        <v>689</v>
      </c>
      <c r="F61" s="268">
        <v>2</v>
      </c>
      <c r="G61" s="268" t="s">
        <v>624</v>
      </c>
      <c r="H61" s="269">
        <v>5</v>
      </c>
      <c r="I61" s="286">
        <f>Tabel12[[#This Row],[Afname Hoeveelheid]]*Tabel12[[#This Row],[prijs per eenheid bruto]]</f>
        <v>10</v>
      </c>
      <c r="J61" s="285">
        <v>0</v>
      </c>
      <c r="K61" s="273">
        <f>Tabel12[[#This Row],[Totaal kosten excl korting]]*(1-Tabel12[[#This Row],[Kortings percentage]])</f>
        <v>10</v>
      </c>
      <c r="L61" s="157"/>
    </row>
    <row r="62" spans="1:12" ht="12.75">
      <c r="A62" s="271" t="s">
        <v>809</v>
      </c>
      <c r="B62" s="268">
        <v>325800</v>
      </c>
      <c r="C62" s="268" t="s">
        <v>780</v>
      </c>
      <c r="D62" s="268" t="s">
        <v>690</v>
      </c>
      <c r="E62" s="268" t="s">
        <v>691</v>
      </c>
      <c r="F62" s="268">
        <v>1</v>
      </c>
      <c r="G62" s="268" t="s">
        <v>611</v>
      </c>
      <c r="H62" s="269">
        <v>5</v>
      </c>
      <c r="I62" s="286">
        <f>Tabel12[[#This Row],[Afname Hoeveelheid]]*Tabel12[[#This Row],[prijs per eenheid bruto]]</f>
        <v>5</v>
      </c>
      <c r="J62" s="285">
        <v>0</v>
      </c>
      <c r="K62" s="273">
        <f>Tabel12[[#This Row],[Totaal kosten excl korting]]*(1-Tabel12[[#This Row],[Kortings percentage]])</f>
        <v>5</v>
      </c>
      <c r="L62" s="157"/>
    </row>
    <row r="63" spans="1:12" ht="12.75">
      <c r="A63" s="271" t="s">
        <v>585</v>
      </c>
      <c r="B63" s="268">
        <v>1556926</v>
      </c>
      <c r="C63" s="268" t="s">
        <v>781</v>
      </c>
      <c r="D63" s="268" t="s">
        <v>692</v>
      </c>
      <c r="E63" s="268" t="s">
        <v>693</v>
      </c>
      <c r="F63" s="268">
        <v>2</v>
      </c>
      <c r="G63" s="268" t="s">
        <v>611</v>
      </c>
      <c r="H63" s="269">
        <v>5</v>
      </c>
      <c r="I63" s="286">
        <f>Tabel12[[#This Row],[Afname Hoeveelheid]]*Tabel12[[#This Row],[prijs per eenheid bruto]]</f>
        <v>10</v>
      </c>
      <c r="J63" s="285">
        <v>0</v>
      </c>
      <c r="K63" s="273">
        <f>Tabel12[[#This Row],[Totaal kosten excl korting]]*(1-Tabel12[[#This Row],[Kortings percentage]])</f>
        <v>10</v>
      </c>
      <c r="L63" s="157"/>
    </row>
    <row r="64" spans="1:12" ht="12.75">
      <c r="A64" s="271" t="s">
        <v>585</v>
      </c>
      <c r="B64" s="268">
        <v>513400</v>
      </c>
      <c r="C64" s="268" t="s">
        <v>788</v>
      </c>
      <c r="D64" s="268" t="s">
        <v>694</v>
      </c>
      <c r="E64" s="268" t="s">
        <v>695</v>
      </c>
      <c r="F64" s="268">
        <v>3</v>
      </c>
      <c r="G64" s="268" t="s">
        <v>618</v>
      </c>
      <c r="H64" s="269">
        <v>5</v>
      </c>
      <c r="I64" s="286">
        <f>Tabel12[[#This Row],[Afname Hoeveelheid]]*Tabel12[[#This Row],[prijs per eenheid bruto]]</f>
        <v>15</v>
      </c>
      <c r="J64" s="285">
        <v>0</v>
      </c>
      <c r="K64" s="273">
        <f>Tabel12[[#This Row],[Totaal kosten excl korting]]*(1-Tabel12[[#This Row],[Kortings percentage]])</f>
        <v>15</v>
      </c>
      <c r="L64" s="157"/>
    </row>
    <row r="65" spans="1:12" ht="12.75">
      <c r="A65" s="271" t="s">
        <v>585</v>
      </c>
      <c r="B65" s="268">
        <v>1155010</v>
      </c>
      <c r="C65" s="268" t="s">
        <v>788</v>
      </c>
      <c r="D65" s="268" t="s">
        <v>696</v>
      </c>
      <c r="E65" s="268" t="s">
        <v>656</v>
      </c>
      <c r="F65" s="268">
        <v>2</v>
      </c>
      <c r="G65" s="268" t="s">
        <v>669</v>
      </c>
      <c r="H65" s="269">
        <v>5</v>
      </c>
      <c r="I65" s="286">
        <f>Tabel12[[#This Row],[Afname Hoeveelheid]]*Tabel12[[#This Row],[prijs per eenheid bruto]]</f>
        <v>10</v>
      </c>
      <c r="J65" s="285">
        <v>0</v>
      </c>
      <c r="K65" s="273">
        <f>Tabel12[[#This Row],[Totaal kosten excl korting]]*(1-Tabel12[[#This Row],[Kortings percentage]])</f>
        <v>10</v>
      </c>
      <c r="L65" s="157"/>
    </row>
    <row r="66" spans="1:12" ht="12.75">
      <c r="A66" s="271" t="s">
        <v>809</v>
      </c>
      <c r="B66" s="268">
        <v>1475300</v>
      </c>
      <c r="C66" s="268" t="s">
        <v>787</v>
      </c>
      <c r="D66" s="268" t="s">
        <v>697</v>
      </c>
      <c r="E66" s="268" t="s">
        <v>698</v>
      </c>
      <c r="F66" s="268">
        <v>2</v>
      </c>
      <c r="G66" s="268" t="s">
        <v>619</v>
      </c>
      <c r="H66" s="269">
        <v>5</v>
      </c>
      <c r="I66" s="286">
        <f>Tabel12[[#This Row],[Afname Hoeveelheid]]*Tabel12[[#This Row],[prijs per eenheid bruto]]</f>
        <v>10</v>
      </c>
      <c r="J66" s="285">
        <v>0</v>
      </c>
      <c r="K66" s="273">
        <f>Tabel12[[#This Row],[Totaal kosten excl korting]]*(1-Tabel12[[#This Row],[Kortings percentage]])</f>
        <v>10</v>
      </c>
      <c r="L66" s="157"/>
    </row>
    <row r="67" spans="1:12" ht="12.75">
      <c r="A67" s="271" t="s">
        <v>810</v>
      </c>
      <c r="B67" s="268">
        <v>1512000</v>
      </c>
      <c r="C67" s="268" t="s">
        <v>781</v>
      </c>
      <c r="D67" s="268" t="s">
        <v>663</v>
      </c>
      <c r="E67" s="268" t="s">
        <v>664</v>
      </c>
      <c r="F67" s="268">
        <v>1</v>
      </c>
      <c r="G67" s="268" t="s">
        <v>624</v>
      </c>
      <c r="H67" s="269">
        <v>5</v>
      </c>
      <c r="I67" s="286">
        <f>Tabel12[[#This Row],[Afname Hoeveelheid]]*Tabel12[[#This Row],[prijs per eenheid bruto]]</f>
        <v>5</v>
      </c>
      <c r="J67" s="285">
        <v>0</v>
      </c>
      <c r="K67" s="273">
        <f>Tabel12[[#This Row],[Totaal kosten excl korting]]*(1-Tabel12[[#This Row],[Kortings percentage]])</f>
        <v>5</v>
      </c>
      <c r="L67" s="157"/>
    </row>
    <row r="68" spans="1:12" ht="12.75">
      <c r="A68" s="271" t="s">
        <v>585</v>
      </c>
      <c r="B68" s="268">
        <v>1221900</v>
      </c>
      <c r="C68" s="268" t="s">
        <v>787</v>
      </c>
      <c r="D68" s="268" t="s">
        <v>699</v>
      </c>
      <c r="E68" s="268" t="s">
        <v>700</v>
      </c>
      <c r="F68" s="268">
        <v>3</v>
      </c>
      <c r="G68" s="268" t="s">
        <v>624</v>
      </c>
      <c r="H68" s="269">
        <v>5</v>
      </c>
      <c r="I68" s="286">
        <f>Tabel12[[#This Row],[Afname Hoeveelheid]]*Tabel12[[#This Row],[prijs per eenheid bruto]]</f>
        <v>15</v>
      </c>
      <c r="J68" s="285">
        <v>0</v>
      </c>
      <c r="K68" s="273">
        <f>Tabel12[[#This Row],[Totaal kosten excl korting]]*(1-Tabel12[[#This Row],[Kortings percentage]])</f>
        <v>15</v>
      </c>
      <c r="L68" s="157"/>
    </row>
    <row r="69" spans="1:12" ht="12.75">
      <c r="A69" s="271" t="s">
        <v>585</v>
      </c>
      <c r="B69" s="268">
        <v>1442101</v>
      </c>
      <c r="C69" s="268" t="s">
        <v>787</v>
      </c>
      <c r="D69" s="268" t="s">
        <v>701</v>
      </c>
      <c r="E69" s="268" t="s">
        <v>700</v>
      </c>
      <c r="F69" s="268">
        <v>3</v>
      </c>
      <c r="G69" s="268" t="s">
        <v>624</v>
      </c>
      <c r="H69" s="269">
        <v>5</v>
      </c>
      <c r="I69" s="286">
        <f>Tabel12[[#This Row],[Afname Hoeveelheid]]*Tabel12[[#This Row],[prijs per eenheid bruto]]</f>
        <v>15</v>
      </c>
      <c r="J69" s="285">
        <v>0</v>
      </c>
      <c r="K69" s="273">
        <f>Tabel12[[#This Row],[Totaal kosten excl korting]]*(1-Tabel12[[#This Row],[Kortings percentage]])</f>
        <v>15</v>
      </c>
      <c r="L69" s="157"/>
    </row>
    <row r="70" spans="1:12" ht="12.75">
      <c r="A70" s="271" t="s">
        <v>809</v>
      </c>
      <c r="B70" s="268">
        <v>2557500</v>
      </c>
      <c r="C70" s="268" t="s">
        <v>787</v>
      </c>
      <c r="D70" s="268" t="s">
        <v>702</v>
      </c>
      <c r="E70" s="268" t="s">
        <v>703</v>
      </c>
      <c r="F70" s="268">
        <v>3</v>
      </c>
      <c r="G70" s="268" t="s">
        <v>624</v>
      </c>
      <c r="H70" s="269">
        <v>5</v>
      </c>
      <c r="I70" s="286">
        <f>Tabel12[[#This Row],[Afname Hoeveelheid]]*Tabel12[[#This Row],[prijs per eenheid bruto]]</f>
        <v>15</v>
      </c>
      <c r="J70" s="285">
        <v>0</v>
      </c>
      <c r="K70" s="273">
        <f>Tabel12[[#This Row],[Totaal kosten excl korting]]*(1-Tabel12[[#This Row],[Kortings percentage]])</f>
        <v>15</v>
      </c>
      <c r="L70" s="157"/>
    </row>
    <row r="71" spans="1:12" ht="12.75">
      <c r="A71" s="271" t="s">
        <v>809</v>
      </c>
      <c r="B71" s="268">
        <v>1475415</v>
      </c>
      <c r="C71" s="268" t="s">
        <v>787</v>
      </c>
      <c r="D71" s="268" t="s">
        <v>704</v>
      </c>
      <c r="E71" s="268" t="s">
        <v>705</v>
      </c>
      <c r="F71" s="268">
        <v>2</v>
      </c>
      <c r="G71" s="268" t="s">
        <v>624</v>
      </c>
      <c r="H71" s="269">
        <v>5</v>
      </c>
      <c r="I71" s="286">
        <f>Tabel12[[#This Row],[Afname Hoeveelheid]]*Tabel12[[#This Row],[prijs per eenheid bruto]]</f>
        <v>10</v>
      </c>
      <c r="J71" s="285">
        <v>0</v>
      </c>
      <c r="K71" s="273">
        <f>Tabel12[[#This Row],[Totaal kosten excl korting]]*(1-Tabel12[[#This Row],[Kortings percentage]])</f>
        <v>10</v>
      </c>
      <c r="L71" s="157"/>
    </row>
    <row r="72" spans="1:12" ht="12.75">
      <c r="A72" s="271" t="s">
        <v>809</v>
      </c>
      <c r="B72" s="268">
        <v>1131300</v>
      </c>
      <c r="C72" s="268" t="s">
        <v>781</v>
      </c>
      <c r="D72" s="268" t="s">
        <v>706</v>
      </c>
      <c r="E72" s="268" t="s">
        <v>707</v>
      </c>
      <c r="F72" s="268">
        <v>1</v>
      </c>
      <c r="G72" s="268" t="s">
        <v>624</v>
      </c>
      <c r="H72" s="269">
        <v>5</v>
      </c>
      <c r="I72" s="286">
        <f>Tabel12[[#This Row],[Afname Hoeveelheid]]*Tabel12[[#This Row],[prijs per eenheid bruto]]</f>
        <v>5</v>
      </c>
      <c r="J72" s="285">
        <v>0</v>
      </c>
      <c r="K72" s="273">
        <f>Tabel12[[#This Row],[Totaal kosten excl korting]]*(1-Tabel12[[#This Row],[Kortings percentage]])</f>
        <v>5</v>
      </c>
      <c r="L72" s="157"/>
    </row>
    <row r="73" spans="1:12" ht="12.75">
      <c r="A73" s="271" t="s">
        <v>809</v>
      </c>
      <c r="B73" s="268">
        <v>1207010</v>
      </c>
      <c r="C73" s="268" t="s">
        <v>787</v>
      </c>
      <c r="D73" s="268" t="s">
        <v>708</v>
      </c>
      <c r="E73" s="268" t="s">
        <v>709</v>
      </c>
      <c r="F73" s="268">
        <v>15</v>
      </c>
      <c r="G73" s="268" t="s">
        <v>619</v>
      </c>
      <c r="H73" s="269">
        <v>5</v>
      </c>
      <c r="I73" s="286">
        <f>Tabel12[[#This Row],[Afname Hoeveelheid]]*Tabel12[[#This Row],[prijs per eenheid bruto]]</f>
        <v>75</v>
      </c>
      <c r="J73" s="285">
        <v>0</v>
      </c>
      <c r="K73" s="273">
        <f>Tabel12[[#This Row],[Totaal kosten excl korting]]*(1-Tabel12[[#This Row],[Kortings percentage]])</f>
        <v>75</v>
      </c>
      <c r="L73" s="157"/>
    </row>
    <row r="74" spans="1:12" ht="12.75">
      <c r="A74" s="271" t="s">
        <v>810</v>
      </c>
      <c r="B74" s="268">
        <v>1139300</v>
      </c>
      <c r="C74" s="268" t="s">
        <v>781</v>
      </c>
      <c r="D74" s="268" t="s">
        <v>665</v>
      </c>
      <c r="E74" s="268" t="s">
        <v>666</v>
      </c>
      <c r="F74" s="268">
        <v>1</v>
      </c>
      <c r="G74" s="268" t="s">
        <v>624</v>
      </c>
      <c r="H74" s="269">
        <v>5</v>
      </c>
      <c r="I74" s="286">
        <f>Tabel12[[#This Row],[Afname Hoeveelheid]]*Tabel12[[#This Row],[prijs per eenheid bruto]]</f>
        <v>5</v>
      </c>
      <c r="J74" s="285">
        <v>0</v>
      </c>
      <c r="K74" s="273">
        <f>Tabel12[[#This Row],[Totaal kosten excl korting]]*(1-Tabel12[[#This Row],[Kortings percentage]])</f>
        <v>5</v>
      </c>
      <c r="L74" s="157"/>
    </row>
    <row r="75" spans="1:12" ht="12.75">
      <c r="A75" s="271" t="s">
        <v>585</v>
      </c>
      <c r="B75" s="268">
        <v>1139300</v>
      </c>
      <c r="C75" s="268" t="s">
        <v>781</v>
      </c>
      <c r="D75" s="268" t="s">
        <v>665</v>
      </c>
      <c r="E75" s="268" t="s">
        <v>666</v>
      </c>
      <c r="F75" s="268">
        <v>1</v>
      </c>
      <c r="G75" s="268" t="s">
        <v>624</v>
      </c>
      <c r="H75" s="269">
        <v>5</v>
      </c>
      <c r="I75" s="286">
        <f>Tabel12[[#This Row],[Afname Hoeveelheid]]*Tabel12[[#This Row],[prijs per eenheid bruto]]</f>
        <v>5</v>
      </c>
      <c r="J75" s="285">
        <v>0</v>
      </c>
      <c r="K75" s="273">
        <f>Tabel12[[#This Row],[Totaal kosten excl korting]]*(1-Tabel12[[#This Row],[Kortings percentage]])</f>
        <v>5</v>
      </c>
      <c r="L75" s="157"/>
    </row>
    <row r="76" spans="1:12" ht="12.75">
      <c r="A76" s="271" t="s">
        <v>809</v>
      </c>
      <c r="B76" s="268">
        <v>1103000</v>
      </c>
      <c r="C76" s="268" t="s">
        <v>788</v>
      </c>
      <c r="D76" s="268" t="s">
        <v>710</v>
      </c>
      <c r="E76" s="268" t="s">
        <v>666</v>
      </c>
      <c r="F76" s="268">
        <v>1</v>
      </c>
      <c r="G76" s="268" t="s">
        <v>624</v>
      </c>
      <c r="H76" s="269">
        <v>5</v>
      </c>
      <c r="I76" s="286">
        <f>Tabel12[[#This Row],[Afname Hoeveelheid]]*Tabel12[[#This Row],[prijs per eenheid bruto]]</f>
        <v>5</v>
      </c>
      <c r="J76" s="285">
        <v>0</v>
      </c>
      <c r="K76" s="273">
        <f>Tabel12[[#This Row],[Totaal kosten excl korting]]*(1-Tabel12[[#This Row],[Kortings percentage]])</f>
        <v>5</v>
      </c>
      <c r="L76" s="157"/>
    </row>
    <row r="77" spans="1:12" ht="12.75">
      <c r="A77" s="271" t="s">
        <v>809</v>
      </c>
      <c r="B77" s="268">
        <v>651500</v>
      </c>
      <c r="C77" s="268" t="s">
        <v>781</v>
      </c>
      <c r="D77" s="268" t="s">
        <v>711</v>
      </c>
      <c r="E77" s="268" t="s">
        <v>712</v>
      </c>
      <c r="F77" s="268">
        <v>3</v>
      </c>
      <c r="G77" s="268" t="s">
        <v>624</v>
      </c>
      <c r="H77" s="269">
        <v>5</v>
      </c>
      <c r="I77" s="286">
        <f>Tabel12[[#This Row],[Afname Hoeveelheid]]*Tabel12[[#This Row],[prijs per eenheid bruto]]</f>
        <v>15</v>
      </c>
      <c r="J77" s="285">
        <v>0</v>
      </c>
      <c r="K77" s="273">
        <f>Tabel12[[#This Row],[Totaal kosten excl korting]]*(1-Tabel12[[#This Row],[Kortings percentage]])</f>
        <v>15</v>
      </c>
      <c r="L77" s="157"/>
    </row>
    <row r="78" spans="1:12" ht="12.75">
      <c r="A78" s="271" t="s">
        <v>585</v>
      </c>
      <c r="B78" s="268">
        <v>2845502</v>
      </c>
      <c r="C78" s="268" t="s">
        <v>782</v>
      </c>
      <c r="D78" s="268" t="s">
        <v>713</v>
      </c>
      <c r="E78" s="268" t="s">
        <v>714</v>
      </c>
      <c r="F78" s="268">
        <v>1</v>
      </c>
      <c r="G78" s="268" t="s">
        <v>611</v>
      </c>
      <c r="H78" s="269">
        <v>5</v>
      </c>
      <c r="I78" s="286">
        <f>Tabel12[[#This Row],[Afname Hoeveelheid]]*Tabel12[[#This Row],[prijs per eenheid bruto]]</f>
        <v>5</v>
      </c>
      <c r="J78" s="285">
        <v>0</v>
      </c>
      <c r="K78" s="273">
        <f>Tabel12[[#This Row],[Totaal kosten excl korting]]*(1-Tabel12[[#This Row],[Kortings percentage]])</f>
        <v>5</v>
      </c>
      <c r="L78" s="157"/>
    </row>
    <row r="79" spans="1:12" ht="12.75">
      <c r="A79" s="271" t="s">
        <v>585</v>
      </c>
      <c r="B79" s="268">
        <v>2845900</v>
      </c>
      <c r="C79" s="268" t="s">
        <v>782</v>
      </c>
      <c r="D79" s="268" t="s">
        <v>715</v>
      </c>
      <c r="E79" s="268" t="s">
        <v>714</v>
      </c>
      <c r="F79" s="268">
        <v>2</v>
      </c>
      <c r="G79" s="268" t="s">
        <v>611</v>
      </c>
      <c r="H79" s="269">
        <v>5</v>
      </c>
      <c r="I79" s="286">
        <f>Tabel12[[#This Row],[Afname Hoeveelheid]]*Tabel12[[#This Row],[prijs per eenheid bruto]]</f>
        <v>10</v>
      </c>
      <c r="J79" s="285">
        <v>0</v>
      </c>
      <c r="K79" s="273">
        <f>Tabel12[[#This Row],[Totaal kosten excl korting]]*(1-Tabel12[[#This Row],[Kortings percentage]])</f>
        <v>10</v>
      </c>
      <c r="L79" s="157"/>
    </row>
    <row r="80" spans="1:12" ht="12.75">
      <c r="A80" s="271" t="s">
        <v>585</v>
      </c>
      <c r="B80" s="268">
        <v>2786302</v>
      </c>
      <c r="C80" s="268" t="s">
        <v>782</v>
      </c>
      <c r="D80" s="268" t="s">
        <v>716</v>
      </c>
      <c r="E80" s="268" t="s">
        <v>717</v>
      </c>
      <c r="F80" s="268">
        <v>2</v>
      </c>
      <c r="G80" s="268" t="s">
        <v>611</v>
      </c>
      <c r="H80" s="269">
        <v>5</v>
      </c>
      <c r="I80" s="286">
        <f>Tabel12[[#This Row],[Afname Hoeveelheid]]*Tabel12[[#This Row],[prijs per eenheid bruto]]</f>
        <v>10</v>
      </c>
      <c r="J80" s="285">
        <v>0</v>
      </c>
      <c r="K80" s="273">
        <f>Tabel12[[#This Row],[Totaal kosten excl korting]]*(1-Tabel12[[#This Row],[Kortings percentage]])</f>
        <v>10</v>
      </c>
      <c r="L80" s="157"/>
    </row>
    <row r="81" spans="1:12" ht="12.75">
      <c r="A81" s="271" t="s">
        <v>585</v>
      </c>
      <c r="B81" s="268">
        <v>1219800</v>
      </c>
      <c r="C81" s="268" t="s">
        <v>787</v>
      </c>
      <c r="D81" s="268" t="s">
        <v>718</v>
      </c>
      <c r="E81" s="268" t="s">
        <v>719</v>
      </c>
      <c r="F81" s="268">
        <v>1</v>
      </c>
      <c r="G81" s="268" t="s">
        <v>619</v>
      </c>
      <c r="H81" s="269">
        <v>5</v>
      </c>
      <c r="I81" s="286">
        <f>Tabel12[[#This Row],[Afname Hoeveelheid]]*Tabel12[[#This Row],[prijs per eenheid bruto]]</f>
        <v>5</v>
      </c>
      <c r="J81" s="285">
        <v>0</v>
      </c>
      <c r="K81" s="273">
        <f>Tabel12[[#This Row],[Totaal kosten excl korting]]*(1-Tabel12[[#This Row],[Kortings percentage]])</f>
        <v>5</v>
      </c>
      <c r="L81" s="157"/>
    </row>
    <row r="82" spans="1:12" ht="12.75">
      <c r="A82" s="271" t="s">
        <v>585</v>
      </c>
      <c r="B82" s="268">
        <v>1219700</v>
      </c>
      <c r="C82" s="268" t="s">
        <v>787</v>
      </c>
      <c r="D82" s="268" t="s">
        <v>720</v>
      </c>
      <c r="E82" s="268" t="s">
        <v>684</v>
      </c>
      <c r="F82" s="268">
        <v>1</v>
      </c>
      <c r="G82" s="268" t="s">
        <v>624</v>
      </c>
      <c r="H82" s="269">
        <v>5</v>
      </c>
      <c r="I82" s="286">
        <f>Tabel12[[#This Row],[Afname Hoeveelheid]]*Tabel12[[#This Row],[prijs per eenheid bruto]]</f>
        <v>5</v>
      </c>
      <c r="J82" s="285">
        <v>0</v>
      </c>
      <c r="K82" s="273">
        <f>Tabel12[[#This Row],[Totaal kosten excl korting]]*(1-Tabel12[[#This Row],[Kortings percentage]])</f>
        <v>5</v>
      </c>
      <c r="L82" s="157"/>
    </row>
    <row r="83" spans="1:12" ht="12.75">
      <c r="A83" s="271" t="s">
        <v>585</v>
      </c>
      <c r="B83" s="268">
        <v>625001</v>
      </c>
      <c r="C83" s="268" t="s">
        <v>781</v>
      </c>
      <c r="D83" s="268" t="s">
        <v>721</v>
      </c>
      <c r="E83" s="268" t="s">
        <v>722</v>
      </c>
      <c r="F83" s="268">
        <v>2</v>
      </c>
      <c r="G83" s="268" t="s">
        <v>669</v>
      </c>
      <c r="H83" s="269">
        <v>5</v>
      </c>
      <c r="I83" s="286">
        <f>Tabel12[[#This Row],[Afname Hoeveelheid]]*Tabel12[[#This Row],[prijs per eenheid bruto]]</f>
        <v>10</v>
      </c>
      <c r="J83" s="285">
        <v>0</v>
      </c>
      <c r="K83" s="273">
        <f>Tabel12[[#This Row],[Totaal kosten excl korting]]*(1-Tabel12[[#This Row],[Kortings percentage]])</f>
        <v>10</v>
      </c>
      <c r="L83" s="157"/>
    </row>
    <row r="84" spans="1:12" ht="12.75">
      <c r="A84" s="271" t="s">
        <v>810</v>
      </c>
      <c r="B84" s="268">
        <v>1952000</v>
      </c>
      <c r="C84" s="268" t="s">
        <v>787</v>
      </c>
      <c r="D84" s="268" t="s">
        <v>723</v>
      </c>
      <c r="E84" s="268" t="s">
        <v>724</v>
      </c>
      <c r="F84" s="268">
        <v>1</v>
      </c>
      <c r="G84" s="268" t="s">
        <v>607</v>
      </c>
      <c r="H84" s="269">
        <v>5</v>
      </c>
      <c r="I84" s="286">
        <f>Tabel12[[#This Row],[Afname Hoeveelheid]]*Tabel12[[#This Row],[prijs per eenheid bruto]]</f>
        <v>5</v>
      </c>
      <c r="J84" s="285">
        <v>0</v>
      </c>
      <c r="K84" s="273">
        <f>Tabel12[[#This Row],[Totaal kosten excl korting]]*(1-Tabel12[[#This Row],[Kortings percentage]])</f>
        <v>5</v>
      </c>
      <c r="L84" s="157"/>
    </row>
    <row r="85" spans="1:12" ht="12.75">
      <c r="A85" s="271" t="s">
        <v>810</v>
      </c>
      <c r="B85" s="268">
        <v>666500</v>
      </c>
      <c r="C85" s="268" t="s">
        <v>781</v>
      </c>
      <c r="D85" s="268" t="s">
        <v>725</v>
      </c>
      <c r="E85" s="268" t="s">
        <v>726</v>
      </c>
      <c r="F85" s="268">
        <v>2</v>
      </c>
      <c r="G85" s="268" t="s">
        <v>624</v>
      </c>
      <c r="H85" s="269">
        <v>5</v>
      </c>
      <c r="I85" s="286">
        <f>Tabel12[[#This Row],[Afname Hoeveelheid]]*Tabel12[[#This Row],[prijs per eenheid bruto]]</f>
        <v>10</v>
      </c>
      <c r="J85" s="285">
        <v>0</v>
      </c>
      <c r="K85" s="273">
        <f>Tabel12[[#This Row],[Totaal kosten excl korting]]*(1-Tabel12[[#This Row],[Kortings percentage]])</f>
        <v>10</v>
      </c>
      <c r="L85" s="157"/>
    </row>
    <row r="86" spans="1:12" ht="12.75">
      <c r="A86" s="271" t="s">
        <v>585</v>
      </c>
      <c r="B86" s="268">
        <v>1475300</v>
      </c>
      <c r="C86" s="268" t="s">
        <v>787</v>
      </c>
      <c r="D86" s="268" t="s">
        <v>697</v>
      </c>
      <c r="E86" s="268" t="s">
        <v>698</v>
      </c>
      <c r="F86" s="268">
        <v>2</v>
      </c>
      <c r="G86" s="268" t="s">
        <v>619</v>
      </c>
      <c r="H86" s="269">
        <v>5</v>
      </c>
      <c r="I86" s="286">
        <f>Tabel12[[#This Row],[Afname Hoeveelheid]]*Tabel12[[#This Row],[prijs per eenheid bruto]]</f>
        <v>10</v>
      </c>
      <c r="J86" s="285">
        <v>0</v>
      </c>
      <c r="K86" s="273">
        <f>Tabel12[[#This Row],[Totaal kosten excl korting]]*(1-Tabel12[[#This Row],[Kortings percentage]])</f>
        <v>10</v>
      </c>
      <c r="L86" s="157"/>
    </row>
    <row r="87" spans="1:12" ht="12.75">
      <c r="A87" s="271" t="s">
        <v>585</v>
      </c>
      <c r="B87" s="268">
        <v>1223450</v>
      </c>
      <c r="C87" s="268" t="s">
        <v>787</v>
      </c>
      <c r="D87" s="268" t="s">
        <v>727</v>
      </c>
      <c r="E87" s="268" t="s">
        <v>623</v>
      </c>
      <c r="F87" s="268">
        <v>1</v>
      </c>
      <c r="G87" s="268" t="s">
        <v>619</v>
      </c>
      <c r="H87" s="269">
        <v>5</v>
      </c>
      <c r="I87" s="286">
        <f>Tabel12[[#This Row],[Afname Hoeveelheid]]*Tabel12[[#This Row],[prijs per eenheid bruto]]</f>
        <v>5</v>
      </c>
      <c r="J87" s="285">
        <v>0</v>
      </c>
      <c r="K87" s="273">
        <f>Tabel12[[#This Row],[Totaal kosten excl korting]]*(1-Tabel12[[#This Row],[Kortings percentage]])</f>
        <v>5</v>
      </c>
      <c r="L87" s="157"/>
    </row>
    <row r="88" spans="1:12" ht="12.75">
      <c r="A88" s="271" t="s">
        <v>585</v>
      </c>
      <c r="B88" s="268">
        <v>1223570</v>
      </c>
      <c r="C88" s="268" t="s">
        <v>787</v>
      </c>
      <c r="D88" s="268" t="s">
        <v>728</v>
      </c>
      <c r="E88" s="268" t="s">
        <v>729</v>
      </c>
      <c r="F88" s="268">
        <v>1</v>
      </c>
      <c r="G88" s="268" t="s">
        <v>619</v>
      </c>
      <c r="H88" s="269">
        <v>5</v>
      </c>
      <c r="I88" s="286">
        <f>Tabel12[[#This Row],[Afname Hoeveelheid]]*Tabel12[[#This Row],[prijs per eenheid bruto]]</f>
        <v>5</v>
      </c>
      <c r="J88" s="285">
        <v>0</v>
      </c>
      <c r="K88" s="273">
        <f>Tabel12[[#This Row],[Totaal kosten excl korting]]*(1-Tabel12[[#This Row],[Kortings percentage]])</f>
        <v>5</v>
      </c>
      <c r="L88" s="157"/>
    </row>
    <row r="89" spans="1:12" ht="12.75">
      <c r="A89" s="271" t="s">
        <v>809</v>
      </c>
      <c r="B89" s="268">
        <v>1916100</v>
      </c>
      <c r="C89" s="268" t="s">
        <v>781</v>
      </c>
      <c r="D89" s="268" t="s">
        <v>634</v>
      </c>
      <c r="E89" s="268" t="s">
        <v>635</v>
      </c>
      <c r="F89" s="268">
        <v>1</v>
      </c>
      <c r="G89" s="268" t="s">
        <v>607</v>
      </c>
      <c r="H89" s="269">
        <v>5</v>
      </c>
      <c r="I89" s="286">
        <f>Tabel12[[#This Row],[Afname Hoeveelheid]]*Tabel12[[#This Row],[prijs per eenheid bruto]]</f>
        <v>5</v>
      </c>
      <c r="J89" s="285">
        <v>0</v>
      </c>
      <c r="K89" s="273">
        <f>Tabel12[[#This Row],[Totaal kosten excl korting]]*(1-Tabel12[[#This Row],[Kortings percentage]])</f>
        <v>5</v>
      </c>
      <c r="L89" s="157"/>
    </row>
    <row r="90" spans="1:12" ht="12.75">
      <c r="A90" s="271" t="s">
        <v>585</v>
      </c>
      <c r="B90" s="268">
        <v>1228400</v>
      </c>
      <c r="C90" s="268" t="s">
        <v>787</v>
      </c>
      <c r="D90" s="268" t="s">
        <v>730</v>
      </c>
      <c r="E90" s="268" t="s">
        <v>623</v>
      </c>
      <c r="F90" s="268">
        <v>1</v>
      </c>
      <c r="G90" s="268" t="s">
        <v>624</v>
      </c>
      <c r="H90" s="269">
        <v>5</v>
      </c>
      <c r="I90" s="286">
        <f>Tabel12[[#This Row],[Afname Hoeveelheid]]*Tabel12[[#This Row],[prijs per eenheid bruto]]</f>
        <v>5</v>
      </c>
      <c r="J90" s="285">
        <v>0</v>
      </c>
      <c r="K90" s="273">
        <f>Tabel12[[#This Row],[Totaal kosten excl korting]]*(1-Tabel12[[#This Row],[Kortings percentage]])</f>
        <v>5</v>
      </c>
      <c r="L90" s="157"/>
    </row>
    <row r="91" spans="1:12" ht="12.75">
      <c r="A91" s="271" t="s">
        <v>585</v>
      </c>
      <c r="B91" s="268">
        <v>1355701</v>
      </c>
      <c r="C91" s="268" t="s">
        <v>787</v>
      </c>
      <c r="D91" s="268" t="s">
        <v>731</v>
      </c>
      <c r="E91" s="268" t="s">
        <v>732</v>
      </c>
      <c r="F91" s="268">
        <v>1</v>
      </c>
      <c r="G91" s="268" t="s">
        <v>624</v>
      </c>
      <c r="H91" s="269">
        <v>5</v>
      </c>
      <c r="I91" s="286">
        <f>Tabel12[[#This Row],[Afname Hoeveelheid]]*Tabel12[[#This Row],[prijs per eenheid bruto]]</f>
        <v>5</v>
      </c>
      <c r="J91" s="285">
        <v>0</v>
      </c>
      <c r="K91" s="273">
        <f>Tabel12[[#This Row],[Totaal kosten excl korting]]*(1-Tabel12[[#This Row],[Kortings percentage]])</f>
        <v>5</v>
      </c>
      <c r="L91" s="157"/>
    </row>
    <row r="92" spans="1:12" ht="12.75">
      <c r="A92" s="271" t="s">
        <v>810</v>
      </c>
      <c r="B92" s="268">
        <v>404100</v>
      </c>
      <c r="C92" s="268" t="s">
        <v>787</v>
      </c>
      <c r="D92" s="268" t="s">
        <v>733</v>
      </c>
      <c r="E92" s="268" t="s">
        <v>709</v>
      </c>
      <c r="F92" s="268">
        <v>8</v>
      </c>
      <c r="G92" s="268" t="s">
        <v>619</v>
      </c>
      <c r="H92" s="269">
        <v>5</v>
      </c>
      <c r="I92" s="286">
        <f>Tabel12[[#This Row],[Afname Hoeveelheid]]*Tabel12[[#This Row],[prijs per eenheid bruto]]</f>
        <v>40</v>
      </c>
      <c r="J92" s="285">
        <v>0</v>
      </c>
      <c r="K92" s="273">
        <f>Tabel12[[#This Row],[Totaal kosten excl korting]]*(1-Tabel12[[#This Row],[Kortings percentage]])</f>
        <v>40</v>
      </c>
      <c r="L92" s="157"/>
    </row>
    <row r="93" spans="1:12" ht="12.75">
      <c r="A93" s="271" t="s">
        <v>585</v>
      </c>
      <c r="B93" s="268">
        <v>1221600</v>
      </c>
      <c r="C93" s="268" t="s">
        <v>787</v>
      </c>
      <c r="D93" s="268" t="s">
        <v>734</v>
      </c>
      <c r="E93" s="268" t="s">
        <v>705</v>
      </c>
      <c r="F93" s="268">
        <v>1</v>
      </c>
      <c r="G93" s="268" t="s">
        <v>624</v>
      </c>
      <c r="H93" s="269">
        <v>5</v>
      </c>
      <c r="I93" s="286">
        <f>Tabel12[[#This Row],[Afname Hoeveelheid]]*Tabel12[[#This Row],[prijs per eenheid bruto]]</f>
        <v>5</v>
      </c>
      <c r="J93" s="285">
        <v>0</v>
      </c>
      <c r="K93" s="273">
        <f>Tabel12[[#This Row],[Totaal kosten excl korting]]*(1-Tabel12[[#This Row],[Kortings percentage]])</f>
        <v>5</v>
      </c>
      <c r="L93" s="157"/>
    </row>
    <row r="94" spans="1:12" ht="12.75">
      <c r="A94" s="271" t="s">
        <v>810</v>
      </c>
      <c r="B94" s="268">
        <v>1172900</v>
      </c>
      <c r="C94" s="268" t="s">
        <v>783</v>
      </c>
      <c r="D94" s="268" t="s">
        <v>735</v>
      </c>
      <c r="E94" s="268" t="s">
        <v>736</v>
      </c>
      <c r="F94" s="268">
        <v>3</v>
      </c>
      <c r="G94" s="268" t="s">
        <v>647</v>
      </c>
      <c r="H94" s="269">
        <v>5</v>
      </c>
      <c r="I94" s="286">
        <f>Tabel12[[#This Row],[Afname Hoeveelheid]]*Tabel12[[#This Row],[prijs per eenheid bruto]]</f>
        <v>15</v>
      </c>
      <c r="J94" s="285">
        <v>0</v>
      </c>
      <c r="K94" s="273">
        <f>Tabel12[[#This Row],[Totaal kosten excl korting]]*(1-Tabel12[[#This Row],[Kortings percentage]])</f>
        <v>15</v>
      </c>
      <c r="L94" s="157"/>
    </row>
    <row r="95" spans="1:12" ht="12.75">
      <c r="A95" s="271" t="s">
        <v>585</v>
      </c>
      <c r="B95" s="268">
        <v>623200</v>
      </c>
      <c r="C95" s="268" t="s">
        <v>782</v>
      </c>
      <c r="D95" s="268" t="s">
        <v>737</v>
      </c>
      <c r="E95" s="268" t="s">
        <v>738</v>
      </c>
      <c r="F95" s="268">
        <v>6</v>
      </c>
      <c r="G95" s="268" t="s">
        <v>739</v>
      </c>
      <c r="H95" s="269">
        <v>5</v>
      </c>
      <c r="I95" s="286">
        <f>Tabel12[[#This Row],[Afname Hoeveelheid]]*Tabel12[[#This Row],[prijs per eenheid bruto]]</f>
        <v>30</v>
      </c>
      <c r="J95" s="285">
        <v>0</v>
      </c>
      <c r="K95" s="273">
        <f>Tabel12[[#This Row],[Totaal kosten excl korting]]*(1-Tabel12[[#This Row],[Kortings percentage]])</f>
        <v>30</v>
      </c>
      <c r="L95" s="157"/>
    </row>
    <row r="96" spans="1:12" ht="12.75">
      <c r="A96" s="271" t="s">
        <v>585</v>
      </c>
      <c r="B96" s="268">
        <v>627310</v>
      </c>
      <c r="C96" s="268" t="s">
        <v>782</v>
      </c>
      <c r="D96" s="268" t="s">
        <v>740</v>
      </c>
      <c r="E96" s="268" t="s">
        <v>650</v>
      </c>
      <c r="F96" s="268">
        <v>1</v>
      </c>
      <c r="G96" s="268" t="s">
        <v>624</v>
      </c>
      <c r="H96" s="269">
        <v>5</v>
      </c>
      <c r="I96" s="286">
        <f>Tabel12[[#This Row],[Afname Hoeveelheid]]*Tabel12[[#This Row],[prijs per eenheid bruto]]</f>
        <v>5</v>
      </c>
      <c r="J96" s="285">
        <v>0</v>
      </c>
      <c r="K96" s="273">
        <f>Tabel12[[#This Row],[Totaal kosten excl korting]]*(1-Tabel12[[#This Row],[Kortings percentage]])</f>
        <v>5</v>
      </c>
      <c r="L96" s="157"/>
    </row>
    <row r="97" spans="1:12" ht="12.75">
      <c r="A97" s="271" t="s">
        <v>810</v>
      </c>
      <c r="B97" s="268">
        <v>627410</v>
      </c>
      <c r="C97" s="268" t="s">
        <v>782</v>
      </c>
      <c r="D97" s="268" t="s">
        <v>741</v>
      </c>
      <c r="E97" s="268" t="s">
        <v>742</v>
      </c>
      <c r="F97" s="268">
        <v>1</v>
      </c>
      <c r="G97" s="268" t="s">
        <v>624</v>
      </c>
      <c r="H97" s="269">
        <v>5</v>
      </c>
      <c r="I97" s="286">
        <f>Tabel12[[#This Row],[Afname Hoeveelheid]]*Tabel12[[#This Row],[prijs per eenheid bruto]]</f>
        <v>5</v>
      </c>
      <c r="J97" s="285">
        <v>0</v>
      </c>
      <c r="K97" s="273">
        <f>Tabel12[[#This Row],[Totaal kosten excl korting]]*(1-Tabel12[[#This Row],[Kortings percentage]])</f>
        <v>5</v>
      </c>
      <c r="L97" s="157"/>
    </row>
    <row r="98" spans="1:12" ht="12.75">
      <c r="A98" s="271" t="s">
        <v>810</v>
      </c>
      <c r="B98" s="268">
        <v>1207000</v>
      </c>
      <c r="C98" s="268" t="s">
        <v>787</v>
      </c>
      <c r="D98" s="268" t="s">
        <v>743</v>
      </c>
      <c r="E98" s="268" t="s">
        <v>709</v>
      </c>
      <c r="F98" s="268">
        <v>6</v>
      </c>
      <c r="G98" s="268" t="s">
        <v>619</v>
      </c>
      <c r="H98" s="269">
        <v>5</v>
      </c>
      <c r="I98" s="286">
        <f>Tabel12[[#This Row],[Afname Hoeveelheid]]*Tabel12[[#This Row],[prijs per eenheid bruto]]</f>
        <v>30</v>
      </c>
      <c r="J98" s="285">
        <v>0</v>
      </c>
      <c r="K98" s="273">
        <f>Tabel12[[#This Row],[Totaal kosten excl korting]]*(1-Tabel12[[#This Row],[Kortings percentage]])</f>
        <v>30</v>
      </c>
      <c r="L98" s="157"/>
    </row>
    <row r="99" spans="1:12" ht="12.75">
      <c r="A99" s="271" t="s">
        <v>810</v>
      </c>
      <c r="B99" s="268">
        <v>1337411</v>
      </c>
      <c r="C99" s="268" t="s">
        <v>787</v>
      </c>
      <c r="D99" s="268" t="s">
        <v>744</v>
      </c>
      <c r="E99" s="268" t="s">
        <v>745</v>
      </c>
      <c r="F99" s="268">
        <v>5</v>
      </c>
      <c r="G99" s="268" t="s">
        <v>607</v>
      </c>
      <c r="H99" s="269">
        <v>55</v>
      </c>
      <c r="I99" s="286">
        <f>Tabel12[[#This Row],[Afname Hoeveelheid]]*Tabel12[[#This Row],[prijs per eenheid bruto]]</f>
        <v>275</v>
      </c>
      <c r="J99" s="285">
        <v>0</v>
      </c>
      <c r="K99" s="273">
        <f>Tabel12[[#This Row],[Totaal kosten excl korting]]*(1-Tabel12[[#This Row],[Kortings percentage]])</f>
        <v>275</v>
      </c>
      <c r="L99" s="157"/>
    </row>
    <row r="100" spans="1:12" ht="12.75">
      <c r="A100" s="271" t="s">
        <v>810</v>
      </c>
      <c r="B100" s="268">
        <v>1337421</v>
      </c>
      <c r="C100" s="268" t="s">
        <v>787</v>
      </c>
      <c r="D100" s="268" t="s">
        <v>746</v>
      </c>
      <c r="E100" s="268" t="s">
        <v>745</v>
      </c>
      <c r="F100" s="268">
        <v>5</v>
      </c>
      <c r="G100" s="268" t="s">
        <v>607</v>
      </c>
      <c r="H100" s="269">
        <v>5</v>
      </c>
      <c r="I100" s="286">
        <f>Tabel12[[#This Row],[Afname Hoeveelheid]]*Tabel12[[#This Row],[prijs per eenheid bruto]]</f>
        <v>25</v>
      </c>
      <c r="J100" s="285">
        <v>0</v>
      </c>
      <c r="K100" s="273">
        <f>Tabel12[[#This Row],[Totaal kosten excl korting]]*(1-Tabel12[[#This Row],[Kortings percentage]])</f>
        <v>25</v>
      </c>
      <c r="L100" s="157"/>
    </row>
    <row r="101" spans="1:12" ht="12.75">
      <c r="A101" s="271" t="s">
        <v>585</v>
      </c>
      <c r="B101" s="268">
        <v>1906100</v>
      </c>
      <c r="C101" s="268" t="s">
        <v>781</v>
      </c>
      <c r="D101" s="268" t="s">
        <v>747</v>
      </c>
      <c r="E101" s="268" t="s">
        <v>748</v>
      </c>
      <c r="F101" s="268">
        <v>1</v>
      </c>
      <c r="G101" s="268" t="s">
        <v>607</v>
      </c>
      <c r="H101" s="269">
        <v>5</v>
      </c>
      <c r="I101" s="286">
        <f>Tabel12[[#This Row],[Afname Hoeveelheid]]*Tabel12[[#This Row],[prijs per eenheid bruto]]</f>
        <v>5</v>
      </c>
      <c r="J101" s="285">
        <v>0</v>
      </c>
      <c r="K101" s="273">
        <f>Tabel12[[#This Row],[Totaal kosten excl korting]]*(1-Tabel12[[#This Row],[Kortings percentage]])</f>
        <v>5</v>
      </c>
      <c r="L101" s="157"/>
    </row>
    <row r="102" spans="1:12" ht="12.75">
      <c r="A102" s="271" t="s">
        <v>810</v>
      </c>
      <c r="B102" s="268">
        <v>404200</v>
      </c>
      <c r="C102" s="268" t="s">
        <v>787</v>
      </c>
      <c r="D102" s="268" t="s">
        <v>749</v>
      </c>
      <c r="E102" s="268" t="s">
        <v>709</v>
      </c>
      <c r="F102" s="268">
        <v>5</v>
      </c>
      <c r="G102" s="268" t="s">
        <v>619</v>
      </c>
      <c r="H102" s="269">
        <v>5</v>
      </c>
      <c r="I102" s="286">
        <f>Tabel12[[#This Row],[Afname Hoeveelheid]]*Tabel12[[#This Row],[prijs per eenheid bruto]]</f>
        <v>25</v>
      </c>
      <c r="J102" s="285">
        <v>0</v>
      </c>
      <c r="K102" s="273">
        <f>Tabel12[[#This Row],[Totaal kosten excl korting]]*(1-Tabel12[[#This Row],[Kortings percentage]])</f>
        <v>25</v>
      </c>
      <c r="L102" s="157"/>
    </row>
    <row r="103" spans="1:12" ht="12.75">
      <c r="A103" s="271" t="s">
        <v>585</v>
      </c>
      <c r="B103" s="268">
        <v>404100</v>
      </c>
      <c r="C103" s="268" t="s">
        <v>787</v>
      </c>
      <c r="D103" s="268" t="s">
        <v>733</v>
      </c>
      <c r="E103" s="268" t="s">
        <v>709</v>
      </c>
      <c r="F103" s="268">
        <v>8</v>
      </c>
      <c r="G103" s="268" t="s">
        <v>619</v>
      </c>
      <c r="H103" s="269">
        <v>5</v>
      </c>
      <c r="I103" s="286">
        <f>Tabel12[[#This Row],[Afname Hoeveelheid]]*Tabel12[[#This Row],[prijs per eenheid bruto]]</f>
        <v>40</v>
      </c>
      <c r="J103" s="285">
        <v>0</v>
      </c>
      <c r="K103" s="273">
        <f>Tabel12[[#This Row],[Totaal kosten excl korting]]*(1-Tabel12[[#This Row],[Kortings percentage]])</f>
        <v>40</v>
      </c>
      <c r="L103" s="157"/>
    </row>
    <row r="104" spans="1:12" ht="12.75">
      <c r="A104" s="271" t="s">
        <v>585</v>
      </c>
      <c r="B104" s="268">
        <v>404200</v>
      </c>
      <c r="C104" s="268" t="s">
        <v>787</v>
      </c>
      <c r="D104" s="268" t="s">
        <v>749</v>
      </c>
      <c r="E104" s="268" t="s">
        <v>709</v>
      </c>
      <c r="F104" s="268">
        <v>5</v>
      </c>
      <c r="G104" s="268" t="s">
        <v>619</v>
      </c>
      <c r="H104" s="269">
        <v>5</v>
      </c>
      <c r="I104" s="286">
        <f>Tabel12[[#This Row],[Afname Hoeveelheid]]*Tabel12[[#This Row],[prijs per eenheid bruto]]</f>
        <v>25</v>
      </c>
      <c r="J104" s="285">
        <v>0</v>
      </c>
      <c r="K104" s="273">
        <f>Tabel12[[#This Row],[Totaal kosten excl korting]]*(1-Tabel12[[#This Row],[Kortings percentage]])</f>
        <v>25</v>
      </c>
      <c r="L104" s="157"/>
    </row>
    <row r="105" spans="1:12" ht="12.75">
      <c r="A105" s="271" t="s">
        <v>585</v>
      </c>
      <c r="B105" s="268">
        <v>404300</v>
      </c>
      <c r="C105" s="268" t="s">
        <v>787</v>
      </c>
      <c r="D105" s="268" t="s">
        <v>750</v>
      </c>
      <c r="E105" s="268" t="s">
        <v>709</v>
      </c>
      <c r="F105" s="268">
        <v>5</v>
      </c>
      <c r="G105" s="268" t="s">
        <v>619</v>
      </c>
      <c r="H105" s="269">
        <v>5</v>
      </c>
      <c r="I105" s="286">
        <f>Tabel12[[#This Row],[Afname Hoeveelheid]]*Tabel12[[#This Row],[prijs per eenheid bruto]]</f>
        <v>25</v>
      </c>
      <c r="J105" s="285">
        <v>0</v>
      </c>
      <c r="K105" s="273">
        <f>Tabel12[[#This Row],[Totaal kosten excl korting]]*(1-Tabel12[[#This Row],[Kortings percentage]])</f>
        <v>25</v>
      </c>
      <c r="L105" s="157"/>
    </row>
    <row r="106" spans="1:12" ht="12.75">
      <c r="A106" s="271" t="s">
        <v>810</v>
      </c>
      <c r="B106" s="268">
        <v>1167200</v>
      </c>
      <c r="C106" s="268" t="s">
        <v>782</v>
      </c>
      <c r="D106" s="268" t="s">
        <v>751</v>
      </c>
      <c r="E106" s="268" t="s">
        <v>752</v>
      </c>
      <c r="F106" s="268">
        <v>4</v>
      </c>
      <c r="G106" s="268" t="s">
        <v>624</v>
      </c>
      <c r="H106" s="269">
        <v>5</v>
      </c>
      <c r="I106" s="286">
        <f>Tabel12[[#This Row],[Afname Hoeveelheid]]*Tabel12[[#This Row],[prijs per eenheid bruto]]</f>
        <v>20</v>
      </c>
      <c r="J106" s="285">
        <v>0</v>
      </c>
      <c r="K106" s="273">
        <f>Tabel12[[#This Row],[Totaal kosten excl korting]]*(1-Tabel12[[#This Row],[Kortings percentage]])</f>
        <v>20</v>
      </c>
      <c r="L106" s="157"/>
    </row>
    <row r="107" spans="1:12" ht="12.75">
      <c r="A107" s="271" t="s">
        <v>585</v>
      </c>
      <c r="B107" s="268">
        <v>1151600</v>
      </c>
      <c r="C107" s="268" t="s">
        <v>788</v>
      </c>
      <c r="D107" s="268" t="s">
        <v>753</v>
      </c>
      <c r="E107" s="268" t="s">
        <v>754</v>
      </c>
      <c r="F107" s="268">
        <v>2</v>
      </c>
      <c r="G107" s="268" t="s">
        <v>624</v>
      </c>
      <c r="H107" s="269">
        <v>55</v>
      </c>
      <c r="I107" s="286">
        <f>Tabel12[[#This Row],[Afname Hoeveelheid]]*Tabel12[[#This Row],[prijs per eenheid bruto]]</f>
        <v>110</v>
      </c>
      <c r="J107" s="285">
        <v>0</v>
      </c>
      <c r="K107" s="273">
        <f>Tabel12[[#This Row],[Totaal kosten excl korting]]*(1-Tabel12[[#This Row],[Kortings percentage]])</f>
        <v>110</v>
      </c>
      <c r="L107" s="157"/>
    </row>
    <row r="108" spans="1:12" ht="12.75">
      <c r="A108" s="271" t="s">
        <v>810</v>
      </c>
      <c r="B108" s="268">
        <v>2550300</v>
      </c>
      <c r="C108" s="268" t="s">
        <v>787</v>
      </c>
      <c r="D108" s="268" t="s">
        <v>756</v>
      </c>
      <c r="E108" s="268" t="s">
        <v>709</v>
      </c>
      <c r="F108" s="268">
        <v>4</v>
      </c>
      <c r="G108" s="268" t="s">
        <v>619</v>
      </c>
      <c r="H108" s="269">
        <v>5</v>
      </c>
      <c r="I108" s="286">
        <f>Tabel12[[#This Row],[Afname Hoeveelheid]]*Tabel12[[#This Row],[prijs per eenheid bruto]]</f>
        <v>20</v>
      </c>
      <c r="J108" s="285">
        <v>0</v>
      </c>
      <c r="K108" s="273">
        <f>Tabel12[[#This Row],[Totaal kosten excl korting]]*(1-Tabel12[[#This Row],[Kortings percentage]])</f>
        <v>20</v>
      </c>
      <c r="L108" s="157"/>
    </row>
    <row r="109" spans="1:12" ht="12.75">
      <c r="A109" s="271" t="s">
        <v>810</v>
      </c>
      <c r="B109" s="268">
        <v>1173200</v>
      </c>
      <c r="C109" s="268" t="s">
        <v>781</v>
      </c>
      <c r="D109" s="268" t="s">
        <v>757</v>
      </c>
      <c r="E109" s="268" t="s">
        <v>758</v>
      </c>
      <c r="F109" s="268">
        <v>3</v>
      </c>
      <c r="G109" s="268" t="s">
        <v>624</v>
      </c>
      <c r="H109" s="269">
        <v>5</v>
      </c>
      <c r="I109" s="286">
        <f>Tabel12[[#This Row],[Afname Hoeveelheid]]*Tabel12[[#This Row],[prijs per eenheid bruto]]</f>
        <v>15</v>
      </c>
      <c r="J109" s="285">
        <v>0</v>
      </c>
      <c r="K109" s="273">
        <f>Tabel12[[#This Row],[Totaal kosten excl korting]]*(1-Tabel12[[#This Row],[Kortings percentage]])</f>
        <v>15</v>
      </c>
      <c r="L109" s="157"/>
    </row>
    <row r="110" spans="1:12" ht="12.75">
      <c r="A110" s="271" t="s">
        <v>585</v>
      </c>
      <c r="B110" s="268">
        <v>327900</v>
      </c>
      <c r="C110" s="268" t="s">
        <v>780</v>
      </c>
      <c r="D110" s="268" t="s">
        <v>759</v>
      </c>
      <c r="E110" s="268" t="s">
        <v>760</v>
      </c>
      <c r="F110" s="268">
        <v>2</v>
      </c>
      <c r="G110" s="268" t="s">
        <v>761</v>
      </c>
      <c r="H110" s="269">
        <v>5</v>
      </c>
      <c r="I110" s="286">
        <f>Tabel12[[#This Row],[Afname Hoeveelheid]]*Tabel12[[#This Row],[prijs per eenheid bruto]]</f>
        <v>10</v>
      </c>
      <c r="J110" s="285">
        <v>0</v>
      </c>
      <c r="K110" s="273">
        <f>Tabel12[[#This Row],[Totaal kosten excl korting]]*(1-Tabel12[[#This Row],[Kortings percentage]])</f>
        <v>10</v>
      </c>
      <c r="L110" s="157"/>
    </row>
    <row r="111" spans="1:12" ht="12.75">
      <c r="A111" s="271" t="s">
        <v>585</v>
      </c>
      <c r="B111" s="268">
        <v>7260010</v>
      </c>
      <c r="C111" s="268" t="s">
        <v>787</v>
      </c>
      <c r="D111" s="268" t="s">
        <v>762</v>
      </c>
      <c r="E111" s="268" t="s">
        <v>763</v>
      </c>
      <c r="F111" s="268">
        <v>1</v>
      </c>
      <c r="G111" s="268" t="s">
        <v>607</v>
      </c>
      <c r="H111" s="269">
        <v>5</v>
      </c>
      <c r="I111" s="286">
        <f>Tabel12[[#This Row],[Afname Hoeveelheid]]*Tabel12[[#This Row],[prijs per eenheid bruto]]</f>
        <v>5</v>
      </c>
      <c r="J111" s="285">
        <v>0</v>
      </c>
      <c r="K111" s="273">
        <f>Tabel12[[#This Row],[Totaal kosten excl korting]]*(1-Tabel12[[#This Row],[Kortings percentage]])</f>
        <v>5</v>
      </c>
      <c r="L111" s="157"/>
    </row>
    <row r="112" spans="1:12" ht="12.75">
      <c r="A112" s="271" t="s">
        <v>810</v>
      </c>
      <c r="B112" s="268">
        <v>1151600</v>
      </c>
      <c r="C112" s="268" t="s">
        <v>788</v>
      </c>
      <c r="D112" s="268" t="s">
        <v>753</v>
      </c>
      <c r="E112" s="268" t="s">
        <v>754</v>
      </c>
      <c r="F112" s="268">
        <v>2</v>
      </c>
      <c r="G112" s="268" t="s">
        <v>755</v>
      </c>
      <c r="H112" s="269">
        <v>5</v>
      </c>
      <c r="I112" s="286">
        <f>Tabel12[[#This Row],[Afname Hoeveelheid]]*Tabel12[[#This Row],[prijs per eenheid bruto]]</f>
        <v>10</v>
      </c>
      <c r="J112" s="285">
        <v>0</v>
      </c>
      <c r="K112" s="273">
        <f>Tabel12[[#This Row],[Totaal kosten excl korting]]*(1-Tabel12[[#This Row],[Kortings percentage]])</f>
        <v>10</v>
      </c>
      <c r="L112" s="157"/>
    </row>
    <row r="113" spans="1:12" ht="12.75">
      <c r="A113" s="271" t="s">
        <v>810</v>
      </c>
      <c r="B113" s="268">
        <v>575801</v>
      </c>
      <c r="C113" s="268" t="s">
        <v>787</v>
      </c>
      <c r="D113" s="268" t="s">
        <v>764</v>
      </c>
      <c r="E113" s="268" t="s">
        <v>765</v>
      </c>
      <c r="F113" s="268">
        <v>1</v>
      </c>
      <c r="G113" s="268" t="s">
        <v>607</v>
      </c>
      <c r="H113" s="269">
        <v>5</v>
      </c>
      <c r="I113" s="286">
        <f>Tabel12[[#This Row],[Afname Hoeveelheid]]*Tabel12[[#This Row],[prijs per eenheid bruto]]</f>
        <v>5</v>
      </c>
      <c r="J113" s="285">
        <v>0</v>
      </c>
      <c r="K113" s="273">
        <f>Tabel12[[#This Row],[Totaal kosten excl korting]]*(1-Tabel12[[#This Row],[Kortings percentage]])</f>
        <v>5</v>
      </c>
      <c r="L113" s="157"/>
    </row>
    <row r="114" spans="1:12" ht="12.75">
      <c r="A114" s="271" t="s">
        <v>810</v>
      </c>
      <c r="B114" s="268">
        <v>1337331</v>
      </c>
      <c r="C114" s="268" t="s">
        <v>787</v>
      </c>
      <c r="D114" s="268" t="s">
        <v>766</v>
      </c>
      <c r="E114" s="268" t="s">
        <v>606</v>
      </c>
      <c r="F114" s="268">
        <v>2</v>
      </c>
      <c r="G114" s="268" t="s">
        <v>607</v>
      </c>
      <c r="H114" s="269">
        <v>5</v>
      </c>
      <c r="I114" s="286">
        <f>Tabel12[[#This Row],[Afname Hoeveelheid]]*Tabel12[[#This Row],[prijs per eenheid bruto]]</f>
        <v>10</v>
      </c>
      <c r="J114" s="285">
        <v>0</v>
      </c>
      <c r="K114" s="273">
        <f>Tabel12[[#This Row],[Totaal kosten excl korting]]*(1-Tabel12[[#This Row],[Kortings percentage]])</f>
        <v>10</v>
      </c>
      <c r="L114" s="157"/>
    </row>
    <row r="115" spans="1:12" ht="12.75">
      <c r="A115" s="271" t="s">
        <v>585</v>
      </c>
      <c r="B115" s="268">
        <v>403000</v>
      </c>
      <c r="C115" s="268" t="s">
        <v>787</v>
      </c>
      <c r="D115" s="268" t="s">
        <v>767</v>
      </c>
      <c r="E115" s="268" t="s">
        <v>709</v>
      </c>
      <c r="F115" s="268">
        <v>2</v>
      </c>
      <c r="G115" s="268" t="s">
        <v>619</v>
      </c>
      <c r="H115" s="269">
        <v>55</v>
      </c>
      <c r="I115" s="286">
        <f>Tabel12[[#This Row],[Afname Hoeveelheid]]*Tabel12[[#This Row],[prijs per eenheid bruto]]</f>
        <v>110</v>
      </c>
      <c r="J115" s="285">
        <v>0</v>
      </c>
      <c r="K115" s="273">
        <f>Tabel12[[#This Row],[Totaal kosten excl korting]]*(1-Tabel12[[#This Row],[Kortings percentage]])</f>
        <v>110</v>
      </c>
      <c r="L115" s="157"/>
    </row>
    <row r="116" spans="1:12" ht="12.75">
      <c r="A116" s="271" t="s">
        <v>585</v>
      </c>
      <c r="B116" s="268">
        <v>407400</v>
      </c>
      <c r="C116" s="268" t="s">
        <v>787</v>
      </c>
      <c r="D116" s="268" t="s">
        <v>768</v>
      </c>
      <c r="E116" s="268" t="s">
        <v>709</v>
      </c>
      <c r="F116" s="268">
        <v>2</v>
      </c>
      <c r="G116" s="268" t="s">
        <v>619</v>
      </c>
      <c r="H116" s="269">
        <v>5</v>
      </c>
      <c r="I116" s="286">
        <f>Tabel12[[#This Row],[Afname Hoeveelheid]]*Tabel12[[#This Row],[prijs per eenheid bruto]]</f>
        <v>10</v>
      </c>
      <c r="J116" s="285">
        <v>0</v>
      </c>
      <c r="K116" s="273">
        <f>Tabel12[[#This Row],[Totaal kosten excl korting]]*(1-Tabel12[[#This Row],[Kortings percentage]])</f>
        <v>10</v>
      </c>
      <c r="L116" s="157"/>
    </row>
    <row r="117" spans="1:12" ht="12.75">
      <c r="A117" s="271" t="s">
        <v>585</v>
      </c>
      <c r="B117" s="268">
        <v>407600</v>
      </c>
      <c r="C117" s="268" t="s">
        <v>787</v>
      </c>
      <c r="D117" s="268" t="s">
        <v>769</v>
      </c>
      <c r="E117" s="268" t="s">
        <v>709</v>
      </c>
      <c r="F117" s="268">
        <v>2</v>
      </c>
      <c r="G117" s="268" t="s">
        <v>619</v>
      </c>
      <c r="H117" s="269">
        <v>5</v>
      </c>
      <c r="I117" s="286">
        <f>Tabel12[[#This Row],[Afname Hoeveelheid]]*Tabel12[[#This Row],[prijs per eenheid bruto]]</f>
        <v>10</v>
      </c>
      <c r="J117" s="285">
        <v>0</v>
      </c>
      <c r="K117" s="273">
        <f>Tabel12[[#This Row],[Totaal kosten excl korting]]*(1-Tabel12[[#This Row],[Kortings percentage]])</f>
        <v>10</v>
      </c>
      <c r="L117" s="157"/>
    </row>
    <row r="118" spans="1:12" ht="12.75">
      <c r="A118" s="271" t="s">
        <v>585</v>
      </c>
      <c r="B118" s="268">
        <v>101500</v>
      </c>
      <c r="C118" s="268" t="s">
        <v>781</v>
      </c>
      <c r="D118" s="268" t="s">
        <v>770</v>
      </c>
      <c r="E118" s="268" t="s">
        <v>656</v>
      </c>
      <c r="F118" s="268">
        <v>1</v>
      </c>
      <c r="G118" s="268" t="s">
        <v>669</v>
      </c>
      <c r="H118" s="269">
        <v>5</v>
      </c>
      <c r="I118" s="286">
        <f>Tabel12[[#This Row],[Afname Hoeveelheid]]*Tabel12[[#This Row],[prijs per eenheid bruto]]</f>
        <v>5</v>
      </c>
      <c r="J118" s="285">
        <v>0</v>
      </c>
      <c r="K118" s="273">
        <f>Tabel12[[#This Row],[Totaal kosten excl korting]]*(1-Tabel12[[#This Row],[Kortings percentage]])</f>
        <v>5</v>
      </c>
      <c r="L118" s="157"/>
    </row>
    <row r="119" spans="1:12" ht="12.75">
      <c r="A119" s="271" t="s">
        <v>809</v>
      </c>
      <c r="B119" s="268">
        <v>327900</v>
      </c>
      <c r="C119" s="268" t="s">
        <v>781</v>
      </c>
      <c r="D119" s="268" t="s">
        <v>771</v>
      </c>
      <c r="E119" s="268" t="s">
        <v>760</v>
      </c>
      <c r="F119" s="268">
        <v>1</v>
      </c>
      <c r="G119" s="268" t="s">
        <v>761</v>
      </c>
      <c r="H119" s="269">
        <v>5</v>
      </c>
      <c r="I119" s="286">
        <f>Tabel12[[#This Row],[Afname Hoeveelheid]]*Tabel12[[#This Row],[prijs per eenheid bruto]]</f>
        <v>5</v>
      </c>
      <c r="J119" s="285">
        <v>0</v>
      </c>
      <c r="K119" s="273">
        <f>Tabel12[[#This Row],[Totaal kosten excl korting]]*(1-Tabel12[[#This Row],[Kortings percentage]])</f>
        <v>5</v>
      </c>
      <c r="L119" s="157"/>
    </row>
    <row r="120" spans="1:12" ht="12.75">
      <c r="A120" s="271" t="s">
        <v>809</v>
      </c>
      <c r="B120" s="268">
        <v>1147201</v>
      </c>
      <c r="C120" s="268" t="s">
        <v>788</v>
      </c>
      <c r="D120" s="268" t="s">
        <v>772</v>
      </c>
      <c r="E120" s="268" t="s">
        <v>773</v>
      </c>
      <c r="F120" s="268">
        <v>1</v>
      </c>
      <c r="G120" s="268" t="s">
        <v>607</v>
      </c>
      <c r="H120" s="269">
        <v>5</v>
      </c>
      <c r="I120" s="286">
        <f>Tabel12[[#This Row],[Afname Hoeveelheid]]*Tabel12[[#This Row],[prijs per eenheid bruto]]</f>
        <v>5</v>
      </c>
      <c r="J120" s="285">
        <v>0</v>
      </c>
      <c r="K120" s="273">
        <f>Tabel12[[#This Row],[Totaal kosten excl korting]]*(1-Tabel12[[#This Row],[Kortings percentage]])</f>
        <v>5</v>
      </c>
      <c r="L120" s="157"/>
    </row>
    <row r="121" spans="1:12" ht="12.75">
      <c r="A121" s="271" t="s">
        <v>585</v>
      </c>
      <c r="B121" s="268">
        <v>106000</v>
      </c>
      <c r="C121" s="268" t="s">
        <v>780</v>
      </c>
      <c r="D121" s="268" t="s">
        <v>774</v>
      </c>
      <c r="E121" s="268" t="s">
        <v>680</v>
      </c>
      <c r="F121" s="268">
        <v>1</v>
      </c>
      <c r="G121" s="268" t="s">
        <v>624</v>
      </c>
      <c r="H121" s="269">
        <v>5</v>
      </c>
      <c r="I121" s="286">
        <f>Tabel12[[#This Row],[Afname Hoeveelheid]]*Tabel12[[#This Row],[prijs per eenheid bruto]]</f>
        <v>5</v>
      </c>
      <c r="J121" s="285">
        <v>0</v>
      </c>
      <c r="K121" s="273">
        <f>Tabel12[[#This Row],[Totaal kosten excl korting]]*(1-Tabel12[[#This Row],[Kortings percentage]])</f>
        <v>5</v>
      </c>
      <c r="L121" s="157"/>
    </row>
    <row r="122" spans="1:12" ht="12.75">
      <c r="A122" s="271" t="s">
        <v>585</v>
      </c>
      <c r="B122" s="268">
        <v>128000</v>
      </c>
      <c r="C122" s="268" t="s">
        <v>780</v>
      </c>
      <c r="D122" s="268" t="s">
        <v>775</v>
      </c>
      <c r="E122" s="268" t="s">
        <v>776</v>
      </c>
      <c r="F122" s="268">
        <v>1</v>
      </c>
      <c r="G122" s="268" t="s">
        <v>624</v>
      </c>
      <c r="H122" s="269">
        <v>5</v>
      </c>
      <c r="I122" s="286">
        <f>Tabel12[[#This Row],[Afname Hoeveelheid]]*Tabel12[[#This Row],[prijs per eenheid bruto]]</f>
        <v>5</v>
      </c>
      <c r="J122" s="285">
        <v>0</v>
      </c>
      <c r="K122" s="273">
        <f>Tabel12[[#This Row],[Totaal kosten excl korting]]*(1-Tabel12[[#This Row],[Kortings percentage]])</f>
        <v>5</v>
      </c>
      <c r="L122" s="157"/>
    </row>
    <row r="123" spans="1:12">
      <c r="A123" s="272"/>
      <c r="B123" s="187"/>
      <c r="C123" s="187"/>
      <c r="D123" s="187"/>
      <c r="E123" s="270"/>
      <c r="F123" s="187"/>
      <c r="G123" s="11"/>
      <c r="H123" s="187"/>
      <c r="I123" s="287"/>
      <c r="J123" s="274"/>
      <c r="K123" s="274"/>
    </row>
    <row r="124" spans="1:12">
      <c r="A124" s="279" t="s">
        <v>777</v>
      </c>
      <c r="B124" s="280"/>
      <c r="C124" s="280"/>
      <c r="D124" s="280"/>
      <c r="E124" s="281"/>
      <c r="F124" s="280"/>
      <c r="G124" s="282"/>
      <c r="H124" s="280"/>
      <c r="I124" s="283"/>
      <c r="J124" s="284"/>
      <c r="K124" s="283">
        <f>SUM(K5:K123)</f>
        <v>3895</v>
      </c>
    </row>
    <row r="125" spans="1:12" ht="12.75">
      <c r="A125" s="308" t="s">
        <v>801</v>
      </c>
      <c r="B125" s="309"/>
      <c r="C125" s="309"/>
      <c r="D125" s="309"/>
      <c r="E125" s="310"/>
      <c r="F125" s="309"/>
      <c r="G125" s="311"/>
      <c r="H125" s="315"/>
      <c r="I125" s="312"/>
      <c r="J125" s="314">
        <f>AVERAGE(J5:J122)</f>
        <v>0</v>
      </c>
      <c r="K125" s="313"/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21611-E6FB-4736-92F3-EC4C59E2D59D}">
  <sheetPr>
    <tabColor theme="0" tint="-0.14999847407452621"/>
  </sheetPr>
  <dimension ref="A1:E13"/>
  <sheetViews>
    <sheetView workbookViewId="0">
      <selection activeCell="A6" sqref="A6"/>
    </sheetView>
  </sheetViews>
  <sheetFormatPr defaultColWidth="9.140625" defaultRowHeight="15"/>
  <cols>
    <col min="1" max="1" width="96" style="288" customWidth="1"/>
    <col min="2" max="2" width="27.7109375" style="288" customWidth="1"/>
    <col min="3" max="5" width="9.140625" style="288"/>
  </cols>
  <sheetData>
    <row r="1" spans="1:5">
      <c r="A1" s="371" t="s">
        <v>217</v>
      </c>
      <c r="B1" s="357"/>
    </row>
    <row r="2" spans="1:5">
      <c r="A2" s="316"/>
      <c r="B2" s="317"/>
    </row>
    <row r="3" spans="1:5">
      <c r="A3" s="372" t="s">
        <v>822</v>
      </c>
      <c r="B3" s="373"/>
    </row>
    <row r="4" spans="1:5" ht="26.25">
      <c r="A4" s="319" t="s">
        <v>789</v>
      </c>
      <c r="B4" s="320" t="s">
        <v>790</v>
      </c>
      <c r="E4"/>
    </row>
    <row r="5" spans="1:5">
      <c r="A5" s="289" t="s">
        <v>802</v>
      </c>
      <c r="B5" s="318">
        <v>0</v>
      </c>
      <c r="E5"/>
    </row>
    <row r="6" spans="1:5">
      <c r="A6" s="289" t="s">
        <v>791</v>
      </c>
      <c r="B6" s="318">
        <v>0</v>
      </c>
      <c r="E6"/>
    </row>
    <row r="7" spans="1:5">
      <c r="A7" s="289" t="s">
        <v>803</v>
      </c>
      <c r="B7" s="318">
        <v>0</v>
      </c>
      <c r="E7"/>
    </row>
    <row r="8" spans="1:5">
      <c r="A8" s="289" t="s">
        <v>804</v>
      </c>
      <c r="B8" s="318">
        <v>0</v>
      </c>
      <c r="E8"/>
    </row>
    <row r="9" spans="1:5">
      <c r="A9" s="289" t="s">
        <v>806</v>
      </c>
      <c r="B9" s="318">
        <v>0</v>
      </c>
      <c r="E9"/>
    </row>
    <row r="10" spans="1:5">
      <c r="A10" s="289" t="s">
        <v>805</v>
      </c>
      <c r="B10" s="318">
        <v>0</v>
      </c>
      <c r="E10"/>
    </row>
    <row r="11" spans="1:5">
      <c r="A11" s="289" t="s">
        <v>792</v>
      </c>
      <c r="B11" s="318">
        <v>0</v>
      </c>
      <c r="E11"/>
    </row>
    <row r="12" spans="1:5">
      <c r="A12" s="289" t="s">
        <v>788</v>
      </c>
      <c r="B12" s="318">
        <v>0</v>
      </c>
      <c r="E12"/>
    </row>
    <row r="13" spans="1:5">
      <c r="A13" s="319" t="s">
        <v>807</v>
      </c>
      <c r="B13" s="323">
        <f>AVERAGE(B5:B12)</f>
        <v>0</v>
      </c>
      <c r="E13"/>
    </row>
  </sheetData>
  <mergeCells count="2">
    <mergeCell ref="A3:B3"/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49616-0E1B-46AD-900B-66E6EA3EDCB4}">
  <sheetPr>
    <tabColor theme="0" tint="-0.14999847407452621"/>
  </sheetPr>
  <dimension ref="A1:H7"/>
  <sheetViews>
    <sheetView workbookViewId="0">
      <selection activeCell="H5" sqref="H5"/>
    </sheetView>
  </sheetViews>
  <sheetFormatPr defaultRowHeight="15"/>
  <cols>
    <col min="1" max="1" width="36.5703125" customWidth="1"/>
    <col min="2" max="2" width="18.140625" bestFit="1" customWidth="1"/>
    <col min="3" max="3" width="10.42578125" style="296" bestFit="1" customWidth="1"/>
    <col min="4" max="4" width="11.28515625" style="306" bestFit="1" customWidth="1"/>
    <col min="5" max="5" width="30.7109375" style="307" bestFit="1" customWidth="1"/>
    <col min="6" max="6" width="22" customWidth="1"/>
    <col min="7" max="7" width="21.140625" customWidth="1"/>
    <col min="8" max="8" width="15.42578125" style="307" bestFit="1" customWidth="1"/>
  </cols>
  <sheetData>
    <row r="1" spans="1:8" ht="18">
      <c r="A1" s="321" t="s">
        <v>808</v>
      </c>
      <c r="B1" s="290"/>
      <c r="C1" s="290"/>
      <c r="D1" s="290"/>
      <c r="E1" s="291"/>
      <c r="F1" s="292"/>
      <c r="G1" s="374" t="s">
        <v>793</v>
      </c>
      <c r="H1" s="375"/>
    </row>
    <row r="2" spans="1:8" s="296" customFormat="1" ht="45">
      <c r="A2" s="293" t="s">
        <v>794</v>
      </c>
      <c r="B2" s="293" t="s">
        <v>795</v>
      </c>
      <c r="C2" s="294" t="s">
        <v>796</v>
      </c>
      <c r="D2" s="295" t="s">
        <v>797</v>
      </c>
      <c r="E2" s="294" t="s">
        <v>798</v>
      </c>
      <c r="F2" s="294" t="s">
        <v>799</v>
      </c>
      <c r="G2" s="294" t="s">
        <v>820</v>
      </c>
      <c r="H2" s="297" t="s">
        <v>777</v>
      </c>
    </row>
    <row r="3" spans="1:8" ht="14.25">
      <c r="A3" s="298" t="s">
        <v>809</v>
      </c>
      <c r="B3" s="298" t="s">
        <v>811</v>
      </c>
      <c r="C3" s="298" t="s">
        <v>812</v>
      </c>
      <c r="D3" s="298" t="s">
        <v>813</v>
      </c>
      <c r="E3" s="299">
        <v>1</v>
      </c>
      <c r="F3" s="299">
        <v>40</v>
      </c>
      <c r="G3" s="322">
        <v>5</v>
      </c>
      <c r="H3" s="300">
        <f>E3*F3*G3</f>
        <v>200</v>
      </c>
    </row>
    <row r="4" spans="1:8" ht="14.25">
      <c r="A4" s="298" t="s">
        <v>810</v>
      </c>
      <c r="B4" s="298" t="s">
        <v>814</v>
      </c>
      <c r="C4" s="298" t="s">
        <v>815</v>
      </c>
      <c r="D4" s="298" t="s">
        <v>816</v>
      </c>
      <c r="E4" s="299">
        <v>1</v>
      </c>
      <c r="F4" s="299">
        <v>40</v>
      </c>
      <c r="G4" s="322">
        <v>5</v>
      </c>
      <c r="H4" s="300">
        <f t="shared" ref="H4:H6" si="0">E4*F4*G4</f>
        <v>200</v>
      </c>
    </row>
    <row r="5" spans="1:8" ht="14.25">
      <c r="A5" s="298" t="s">
        <v>585</v>
      </c>
      <c r="B5" s="298" t="s">
        <v>401</v>
      </c>
      <c r="C5" s="298" t="s">
        <v>402</v>
      </c>
      <c r="D5" s="298" t="s">
        <v>403</v>
      </c>
      <c r="E5" s="299">
        <v>1</v>
      </c>
      <c r="F5" s="299">
        <v>40</v>
      </c>
      <c r="G5" s="322">
        <v>5</v>
      </c>
      <c r="H5" s="300">
        <f t="shared" si="0"/>
        <v>200</v>
      </c>
    </row>
    <row r="6" spans="1:8" ht="14.25">
      <c r="A6" s="298" t="s">
        <v>817</v>
      </c>
      <c r="B6" s="298" t="s">
        <v>818</v>
      </c>
      <c r="C6" s="298" t="s">
        <v>819</v>
      </c>
      <c r="D6" s="298" t="s">
        <v>403</v>
      </c>
      <c r="E6" s="299">
        <v>1</v>
      </c>
      <c r="F6" s="299">
        <v>40</v>
      </c>
      <c r="G6" s="322">
        <v>10</v>
      </c>
      <c r="H6" s="300">
        <f t="shared" si="0"/>
        <v>400</v>
      </c>
    </row>
    <row r="7" spans="1:8" s="302" customFormat="1">
      <c r="A7" s="301"/>
      <c r="D7" s="303"/>
      <c r="E7" s="304"/>
      <c r="F7" s="293" t="s">
        <v>800</v>
      </c>
      <c r="G7" s="305"/>
      <c r="H7" s="324">
        <f>SUM(H3:H6)</f>
        <v>1000</v>
      </c>
    </row>
  </sheetData>
  <mergeCells count="1">
    <mergeCell ref="G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fitToPage="1"/>
  </sheetPr>
  <dimension ref="A1:I88"/>
  <sheetViews>
    <sheetView zoomScaleNormal="100" zoomScaleSheetLayoutView="100" workbookViewId="0">
      <selection activeCell="A37" sqref="A37:A40"/>
    </sheetView>
  </sheetViews>
  <sheetFormatPr defaultColWidth="9.140625" defaultRowHeight="18.75" customHeight="1"/>
  <cols>
    <col min="1" max="1" width="9.140625" style="64"/>
    <col min="2" max="2" width="107.85546875" style="2" bestFit="1" customWidth="1"/>
    <col min="3" max="3" width="23.42578125" style="2" customWidth="1"/>
    <col min="4" max="4" width="15.140625" style="2" customWidth="1"/>
    <col min="5" max="9" width="17.7109375" style="2" bestFit="1" customWidth="1"/>
    <col min="10" max="16384" width="9.140625" style="2"/>
  </cols>
  <sheetData>
    <row r="1" spans="1:9" s="7" customFormat="1" ht="26.25" customHeight="1">
      <c r="A1" s="358" t="s">
        <v>180</v>
      </c>
      <c r="B1" s="358"/>
      <c r="C1" s="358"/>
      <c r="D1" s="358"/>
    </row>
    <row r="2" spans="1:9" s="7" customFormat="1" ht="18.75" customHeight="1">
      <c r="A2" s="371" t="s">
        <v>217</v>
      </c>
      <c r="B2" s="357"/>
      <c r="C2" s="357"/>
      <c r="D2" s="357"/>
    </row>
    <row r="3" spans="1:9" s="72" customFormat="1" ht="18.75" customHeight="1">
      <c r="A3" s="71"/>
    </row>
    <row r="4" spans="1:9" s="72" customFormat="1" ht="18.75" customHeight="1">
      <c r="A4" s="72" t="s">
        <v>178</v>
      </c>
    </row>
    <row r="5" spans="1:9" s="72" customFormat="1" ht="18.75" customHeight="1">
      <c r="A5" s="72" t="s">
        <v>181</v>
      </c>
    </row>
    <row r="6" spans="1:9" s="72" customFormat="1" ht="18.75" customHeight="1">
      <c r="A6" s="72" t="s">
        <v>231</v>
      </c>
    </row>
    <row r="7" spans="1:9" s="72" customFormat="1" ht="18.75" customHeight="1">
      <c r="A7" s="71"/>
    </row>
    <row r="8" spans="1:9" s="20" customFormat="1" ht="26.25" customHeight="1">
      <c r="A8" s="69"/>
      <c r="B8" s="68" t="s">
        <v>182</v>
      </c>
      <c r="C8" s="68" t="s">
        <v>151</v>
      </c>
      <c r="D8" s="22" t="s">
        <v>176</v>
      </c>
      <c r="E8" s="68" t="s">
        <v>248</v>
      </c>
      <c r="F8" s="68" t="s">
        <v>250</v>
      </c>
      <c r="G8" s="68" t="s">
        <v>249</v>
      </c>
      <c r="H8" s="68" t="s">
        <v>247</v>
      </c>
      <c r="I8" s="68" t="s">
        <v>260</v>
      </c>
    </row>
    <row r="9" spans="1:9" ht="18.75" customHeight="1">
      <c r="A9" s="376" t="s">
        <v>198</v>
      </c>
      <c r="B9" s="68" t="s">
        <v>184</v>
      </c>
      <c r="C9" s="68" t="s">
        <v>183</v>
      </c>
      <c r="D9" s="70">
        <v>0</v>
      </c>
      <c r="E9" s="222" t="e">
        <f>InvulRegie[[#This Row],[Prijs excl. BTW]]*Tariefsopbouw!$I$37+InvulRegie[[#This Row],[Prijs excl. BTW]]</f>
        <v>#DIV/0!</v>
      </c>
      <c r="F9" s="223" t="e">
        <f>InvulRegie[[#This Row],[2024]]*Tariefsopbouw!$K$37+InvulRegie[[#This Row],[2024]]</f>
        <v>#DIV/0!</v>
      </c>
      <c r="G9" s="223" t="e">
        <f>InvulRegie[[#This Row],[2025]]*Tariefsopbouw!$M$37+InvulRegie[[#This Row],[2025]]</f>
        <v>#DIV/0!</v>
      </c>
      <c r="H9" s="223" t="e">
        <f>InvulRegie[[#This Row],[2026]]*Tariefsopbouw!$O$37+InvulRegie[[#This Row],[2026]]</f>
        <v>#DIV/0!</v>
      </c>
      <c r="I9" s="223" t="e">
        <f>InvulRegie[[#This Row],[2027]]*Tariefsopbouw!$Q$37+InvulRegie[[#This Row],[2027]]</f>
        <v>#DIV/0!</v>
      </c>
    </row>
    <row r="10" spans="1:9" ht="18.75" customHeight="1">
      <c r="A10" s="377"/>
      <c r="B10" s="68" t="s">
        <v>185</v>
      </c>
      <c r="C10" s="68" t="s">
        <v>183</v>
      </c>
      <c r="D10" s="70">
        <v>0</v>
      </c>
      <c r="E10" s="222" t="e">
        <f>InvulRegie[[#This Row],[Prijs excl. BTW]]*Tariefsopbouw!$I$37+InvulRegie[[#This Row],[Prijs excl. BTW]]</f>
        <v>#DIV/0!</v>
      </c>
      <c r="F10" s="222" t="e">
        <f>InvulRegie[[#This Row],[2024]]*Tariefsopbouw!$K$37+InvulRegie[[#This Row],[2024]]</f>
        <v>#DIV/0!</v>
      </c>
      <c r="G10" s="222" t="e">
        <f>InvulRegie[[#This Row],[2025]]*Tariefsopbouw!$M$37+InvulRegie[[#This Row],[2025]]</f>
        <v>#DIV/0!</v>
      </c>
      <c r="H10" s="222" t="e">
        <f>InvulRegie[[#This Row],[2026]]*Tariefsopbouw!$O$37+InvulRegie[[#This Row],[2026]]</f>
        <v>#DIV/0!</v>
      </c>
      <c r="I10" s="222" t="e">
        <f>InvulRegie[[#This Row],[2027]]*Tariefsopbouw!$Q$37+InvulRegie[[#This Row],[2027]]</f>
        <v>#DIV/0!</v>
      </c>
    </row>
    <row r="11" spans="1:9" ht="18.75" customHeight="1">
      <c r="A11" s="377"/>
      <c r="B11" s="68" t="s">
        <v>186</v>
      </c>
      <c r="C11" s="68" t="s">
        <v>183</v>
      </c>
      <c r="D11" s="70">
        <v>0</v>
      </c>
      <c r="E11" s="222" t="e">
        <f>InvulRegie[[#This Row],[Prijs excl. BTW]]*Tariefsopbouw!$I$37+InvulRegie[[#This Row],[Prijs excl. BTW]]</f>
        <v>#DIV/0!</v>
      </c>
      <c r="F11" s="222" t="e">
        <f>InvulRegie[[#This Row],[2024]]*Tariefsopbouw!$K$37+InvulRegie[[#This Row],[2024]]</f>
        <v>#DIV/0!</v>
      </c>
      <c r="G11" s="222" t="e">
        <f>InvulRegie[[#This Row],[2025]]*Tariefsopbouw!$M$37+InvulRegie[[#This Row],[2025]]</f>
        <v>#DIV/0!</v>
      </c>
      <c r="H11" s="222" t="e">
        <f>InvulRegie[[#This Row],[2026]]*Tariefsopbouw!$O$37+InvulRegie[[#This Row],[2026]]</f>
        <v>#DIV/0!</v>
      </c>
      <c r="I11" s="222" t="e">
        <f>InvulRegie[[#This Row],[2027]]*Tariefsopbouw!$Q$37+InvulRegie[[#This Row],[2027]]</f>
        <v>#DIV/0!</v>
      </c>
    </row>
    <row r="12" spans="1:9" ht="18.75" customHeight="1">
      <c r="A12" s="377"/>
      <c r="B12" s="67" t="s">
        <v>187</v>
      </c>
      <c r="C12" s="68" t="s">
        <v>183</v>
      </c>
      <c r="D12" s="70">
        <v>0</v>
      </c>
      <c r="E12" s="222" t="e">
        <f>InvulRegie[[#This Row],[Prijs excl. BTW]]*Tariefsopbouw!$I$37+InvulRegie[[#This Row],[Prijs excl. BTW]]</f>
        <v>#DIV/0!</v>
      </c>
      <c r="F12" s="222" t="e">
        <f>InvulRegie[[#This Row],[2024]]*Tariefsopbouw!$K$37+InvulRegie[[#This Row],[2024]]</f>
        <v>#DIV/0!</v>
      </c>
      <c r="G12" s="222" t="e">
        <f>InvulRegie[[#This Row],[2025]]*Tariefsopbouw!$M$37+InvulRegie[[#This Row],[2025]]</f>
        <v>#DIV/0!</v>
      </c>
      <c r="H12" s="222" t="e">
        <f>InvulRegie[[#This Row],[2026]]*Tariefsopbouw!$O$37+InvulRegie[[#This Row],[2026]]</f>
        <v>#DIV/0!</v>
      </c>
      <c r="I12" s="222" t="e">
        <f>InvulRegie[[#This Row],[2027]]*Tariefsopbouw!$Q$37+InvulRegie[[#This Row],[2027]]</f>
        <v>#DIV/0!</v>
      </c>
    </row>
    <row r="13" spans="1:9" ht="18.75" customHeight="1">
      <c r="A13" s="377"/>
      <c r="B13" s="67" t="s">
        <v>204</v>
      </c>
      <c r="C13" s="68" t="s">
        <v>183</v>
      </c>
      <c r="D13" s="70">
        <v>0</v>
      </c>
      <c r="E13" s="225" t="e">
        <f>InvulRegie[[#This Row],[Prijs excl. BTW]]*Tariefsopbouw!$I$37+InvulRegie[[#This Row],[Prijs excl. BTW]]</f>
        <v>#DIV/0!</v>
      </c>
      <c r="F13" s="225" t="e">
        <f>InvulRegie[[#This Row],[2024]]*Tariefsopbouw!$K$37+InvulRegie[[#This Row],[2024]]</f>
        <v>#DIV/0!</v>
      </c>
      <c r="G13" s="225" t="e">
        <f>InvulRegie[[#This Row],[2025]]*Tariefsopbouw!$M$37+InvulRegie[[#This Row],[2025]]</f>
        <v>#DIV/0!</v>
      </c>
      <c r="H13" s="225" t="e">
        <f>InvulRegie[[#This Row],[2026]]*Tariefsopbouw!$O$37+InvulRegie[[#This Row],[2026]]</f>
        <v>#DIV/0!</v>
      </c>
      <c r="I13" s="225" t="e">
        <f>InvulRegie[[#This Row],[2027]]*Tariefsopbouw!$Q$37+InvulRegie[[#This Row],[2027]]</f>
        <v>#DIV/0!</v>
      </c>
    </row>
    <row r="14" spans="1:9" ht="18.75" customHeight="1">
      <c r="A14" s="378"/>
      <c r="B14" s="68" t="s">
        <v>193</v>
      </c>
      <c r="C14" s="68" t="s">
        <v>183</v>
      </c>
      <c r="D14" s="70">
        <v>0</v>
      </c>
      <c r="E14" s="225" t="e">
        <f>InvulRegie[[#This Row],[Prijs excl. BTW]]*Tariefsopbouw!$I$37+InvulRegie[[#This Row],[Prijs excl. BTW]]</f>
        <v>#DIV/0!</v>
      </c>
      <c r="F14" s="225" t="e">
        <f>InvulRegie[[#This Row],[2024]]*Tariefsopbouw!$K$37+InvulRegie[[#This Row],[2024]]</f>
        <v>#DIV/0!</v>
      </c>
      <c r="G14" s="225" t="e">
        <f>InvulRegie[[#This Row],[2025]]*Tariefsopbouw!$M$37+InvulRegie[[#This Row],[2025]]</f>
        <v>#DIV/0!</v>
      </c>
      <c r="H14" s="225" t="e">
        <f>InvulRegie[[#This Row],[2026]]*Tariefsopbouw!$O$37+InvulRegie[[#This Row],[2026]]</f>
        <v>#DIV/0!</v>
      </c>
      <c r="I14" s="225" t="e">
        <f>InvulRegie[[#This Row],[2027]]*Tariefsopbouw!$Q$37+InvulRegie[[#This Row],[2027]]</f>
        <v>#DIV/0!</v>
      </c>
    </row>
    <row r="15" spans="1:9" ht="18.75" customHeight="1">
      <c r="A15" s="376" t="s">
        <v>134</v>
      </c>
      <c r="B15" s="68" t="s">
        <v>41</v>
      </c>
      <c r="C15" s="68" t="s">
        <v>42</v>
      </c>
      <c r="D15" s="70">
        <v>0</v>
      </c>
      <c r="E15" s="225" t="e">
        <f>InvulRegie[[#This Row],[Prijs excl. BTW]]*Tariefsopbouw!$I$37+InvulRegie[[#This Row],[Prijs excl. BTW]]</f>
        <v>#DIV/0!</v>
      </c>
      <c r="F15" s="225" t="e">
        <f>InvulRegie[[#This Row],[2024]]*Tariefsopbouw!$K$37+InvulRegie[[#This Row],[2024]]</f>
        <v>#DIV/0!</v>
      </c>
      <c r="G15" s="225" t="e">
        <f>InvulRegie[[#This Row],[2025]]*Tariefsopbouw!$M$37+InvulRegie[[#This Row],[2025]]</f>
        <v>#DIV/0!</v>
      </c>
      <c r="H15" s="225" t="e">
        <f>InvulRegie[[#This Row],[2026]]*Tariefsopbouw!$O$37+InvulRegie[[#This Row],[2026]]</f>
        <v>#DIV/0!</v>
      </c>
      <c r="I15" s="225" t="e">
        <f>InvulRegie[[#This Row],[2027]]*Tariefsopbouw!$Q$37+InvulRegie[[#This Row],[2027]]</f>
        <v>#DIV/0!</v>
      </c>
    </row>
    <row r="16" spans="1:9" ht="18.75" customHeight="1">
      <c r="A16" s="377"/>
      <c r="B16" s="68" t="s">
        <v>43</v>
      </c>
      <c r="C16" s="68" t="s">
        <v>188</v>
      </c>
      <c r="D16" s="70">
        <v>0</v>
      </c>
      <c r="E16" s="225" t="e">
        <f>InvulRegie[[#This Row],[Prijs excl. BTW]]*Tariefsopbouw!$I$37+InvulRegie[[#This Row],[Prijs excl. BTW]]</f>
        <v>#DIV/0!</v>
      </c>
      <c r="F16" s="225" t="e">
        <f>InvulRegie[[#This Row],[2024]]*Tariefsopbouw!$K$37+InvulRegie[[#This Row],[2024]]</f>
        <v>#DIV/0!</v>
      </c>
      <c r="G16" s="225" t="e">
        <f>InvulRegie[[#This Row],[2025]]*Tariefsopbouw!$M$37+InvulRegie[[#This Row],[2025]]</f>
        <v>#DIV/0!</v>
      </c>
      <c r="H16" s="225" t="e">
        <f>InvulRegie[[#This Row],[2026]]*Tariefsopbouw!$O$37+InvulRegie[[#This Row],[2026]]</f>
        <v>#DIV/0!</v>
      </c>
      <c r="I16" s="225" t="e">
        <f>InvulRegie[[#This Row],[2027]]*Tariefsopbouw!$Q$37+InvulRegie[[#This Row],[2027]]</f>
        <v>#DIV/0!</v>
      </c>
    </row>
    <row r="17" spans="1:9" ht="18.75" customHeight="1">
      <c r="A17" s="377"/>
      <c r="B17" s="68" t="s">
        <v>189</v>
      </c>
      <c r="C17" s="68" t="s">
        <v>188</v>
      </c>
      <c r="D17" s="70">
        <v>0</v>
      </c>
      <c r="E17" s="225" t="e">
        <f>InvulRegie[[#This Row],[Prijs excl. BTW]]*Tariefsopbouw!$I$37+InvulRegie[[#This Row],[Prijs excl. BTW]]</f>
        <v>#DIV/0!</v>
      </c>
      <c r="F17" s="225" t="e">
        <f>InvulRegie[[#This Row],[2024]]*Tariefsopbouw!$K$37+InvulRegie[[#This Row],[2024]]</f>
        <v>#DIV/0!</v>
      </c>
      <c r="G17" s="225" t="e">
        <f>InvulRegie[[#This Row],[2025]]*Tariefsopbouw!$M$37+InvulRegie[[#This Row],[2025]]</f>
        <v>#DIV/0!</v>
      </c>
      <c r="H17" s="225" t="e">
        <f>InvulRegie[[#This Row],[2026]]*Tariefsopbouw!$O$37+InvulRegie[[#This Row],[2026]]</f>
        <v>#DIV/0!</v>
      </c>
      <c r="I17" s="225" t="e">
        <f>InvulRegie[[#This Row],[2027]]*Tariefsopbouw!$Q$37+InvulRegie[[#This Row],[2027]]</f>
        <v>#DIV/0!</v>
      </c>
    </row>
    <row r="18" spans="1:9" ht="18.75" customHeight="1">
      <c r="A18" s="377"/>
      <c r="B18" s="68" t="s">
        <v>190</v>
      </c>
      <c r="C18" s="68" t="s">
        <v>44</v>
      </c>
      <c r="D18" s="70">
        <v>0</v>
      </c>
      <c r="E18" s="225" t="e">
        <f>InvulRegie[[#This Row],[Prijs excl. BTW]]*Tariefsopbouw!$I$37+InvulRegie[[#This Row],[Prijs excl. BTW]]</f>
        <v>#DIV/0!</v>
      </c>
      <c r="F18" s="225" t="e">
        <f>InvulRegie[[#This Row],[2024]]*Tariefsopbouw!$K$37+InvulRegie[[#This Row],[2024]]</f>
        <v>#DIV/0!</v>
      </c>
      <c r="G18" s="225" t="e">
        <f>InvulRegie[[#This Row],[2025]]*Tariefsopbouw!$M$37+InvulRegie[[#This Row],[2025]]</f>
        <v>#DIV/0!</v>
      </c>
      <c r="H18" s="225" t="e">
        <f>InvulRegie[[#This Row],[2026]]*Tariefsopbouw!$O$37+InvulRegie[[#This Row],[2026]]</f>
        <v>#DIV/0!</v>
      </c>
      <c r="I18" s="225" t="e">
        <f>InvulRegie[[#This Row],[2027]]*Tariefsopbouw!$Q$37+InvulRegie[[#This Row],[2027]]</f>
        <v>#DIV/0!</v>
      </c>
    </row>
    <row r="19" spans="1:9" ht="18.75" customHeight="1">
      <c r="A19" s="377"/>
      <c r="B19" s="68" t="s">
        <v>246</v>
      </c>
      <c r="C19" s="68" t="s">
        <v>44</v>
      </c>
      <c r="D19" s="70">
        <v>0</v>
      </c>
      <c r="E19" s="225" t="e">
        <f>InvulRegie[[#This Row],[Prijs excl. BTW]]*Tariefsopbouw!$I$37+InvulRegie[[#This Row],[Prijs excl. BTW]]</f>
        <v>#DIV/0!</v>
      </c>
      <c r="F19" s="225" t="e">
        <f>InvulRegie[[#This Row],[2024]]*Tariefsopbouw!$K$37+InvulRegie[[#This Row],[2024]]</f>
        <v>#DIV/0!</v>
      </c>
      <c r="G19" s="225" t="e">
        <f>InvulRegie[[#This Row],[2025]]*Tariefsopbouw!$M$37+InvulRegie[[#This Row],[2025]]</f>
        <v>#DIV/0!</v>
      </c>
      <c r="H19" s="225" t="e">
        <f>InvulRegie[[#This Row],[2026]]*Tariefsopbouw!$O$37+InvulRegie[[#This Row],[2026]]</f>
        <v>#DIV/0!</v>
      </c>
      <c r="I19" s="225" t="e">
        <f>InvulRegie[[#This Row],[2027]]*Tariefsopbouw!$Q$37+InvulRegie[[#This Row],[2027]]</f>
        <v>#DIV/0!</v>
      </c>
    </row>
    <row r="20" spans="1:9" ht="18.75" customHeight="1">
      <c r="A20" s="377"/>
      <c r="B20" s="68" t="s">
        <v>191</v>
      </c>
      <c r="C20" s="68" t="s">
        <v>44</v>
      </c>
      <c r="D20" s="70">
        <v>0</v>
      </c>
      <c r="E20" s="225" t="e">
        <f>InvulRegie[[#This Row],[Prijs excl. BTW]]*Tariefsopbouw!$I$37+InvulRegie[[#This Row],[Prijs excl. BTW]]</f>
        <v>#DIV/0!</v>
      </c>
      <c r="F20" s="225" t="e">
        <f>InvulRegie[[#This Row],[2024]]*Tariefsopbouw!$K$37+InvulRegie[[#This Row],[2024]]</f>
        <v>#DIV/0!</v>
      </c>
      <c r="G20" s="225" t="e">
        <f>InvulRegie[[#This Row],[2025]]*Tariefsopbouw!$M$37+InvulRegie[[#This Row],[2025]]</f>
        <v>#DIV/0!</v>
      </c>
      <c r="H20" s="225" t="e">
        <f>InvulRegie[[#This Row],[2026]]*Tariefsopbouw!$O$37+InvulRegie[[#This Row],[2026]]</f>
        <v>#DIV/0!</v>
      </c>
      <c r="I20" s="225" t="e">
        <f>InvulRegie[[#This Row],[2027]]*Tariefsopbouw!$Q$37+InvulRegie[[#This Row],[2027]]</f>
        <v>#DIV/0!</v>
      </c>
    </row>
    <row r="21" spans="1:9" ht="18.75" customHeight="1">
      <c r="A21" s="378"/>
      <c r="B21" s="68" t="s">
        <v>192</v>
      </c>
      <c r="C21" s="68" t="s">
        <v>44</v>
      </c>
      <c r="D21" s="70">
        <v>0</v>
      </c>
      <c r="E21" s="225" t="e">
        <f>InvulRegie[[#This Row],[Prijs excl. BTW]]*Tariefsopbouw!$I$37+InvulRegie[[#This Row],[Prijs excl. BTW]]</f>
        <v>#DIV/0!</v>
      </c>
      <c r="F21" s="225" t="e">
        <f>InvulRegie[[#This Row],[2024]]*Tariefsopbouw!$K$37+InvulRegie[[#This Row],[2024]]</f>
        <v>#DIV/0!</v>
      </c>
      <c r="G21" s="225" t="e">
        <f>InvulRegie[[#This Row],[2025]]*Tariefsopbouw!$M$37+InvulRegie[[#This Row],[2025]]</f>
        <v>#DIV/0!</v>
      </c>
      <c r="H21" s="225" t="e">
        <f>InvulRegie[[#This Row],[2026]]*Tariefsopbouw!$O$37+InvulRegie[[#This Row],[2026]]</f>
        <v>#DIV/0!</v>
      </c>
      <c r="I21" s="225" t="e">
        <f>InvulRegie[[#This Row],[2027]]*Tariefsopbouw!$Q$37+InvulRegie[[#This Row],[2027]]</f>
        <v>#DIV/0!</v>
      </c>
    </row>
    <row r="22" spans="1:9" ht="18.75" customHeight="1">
      <c r="A22" s="376" t="s">
        <v>195</v>
      </c>
      <c r="B22" s="68" t="s">
        <v>57</v>
      </c>
      <c r="C22" s="68" t="s">
        <v>49</v>
      </c>
      <c r="D22" s="70">
        <v>0</v>
      </c>
      <c r="E22" s="225" t="e">
        <f>InvulRegie[[#This Row],[Prijs excl. BTW]]*Tariefsopbouw!$I$37+InvulRegie[[#This Row],[Prijs excl. BTW]]</f>
        <v>#DIV/0!</v>
      </c>
      <c r="F22" s="225" t="e">
        <f>InvulRegie[[#This Row],[2024]]*Tariefsopbouw!$K$37+InvulRegie[[#This Row],[2024]]</f>
        <v>#DIV/0!</v>
      </c>
      <c r="G22" s="225" t="e">
        <f>InvulRegie[[#This Row],[2025]]*Tariefsopbouw!$M$37+InvulRegie[[#This Row],[2025]]</f>
        <v>#DIV/0!</v>
      </c>
      <c r="H22" s="225" t="e">
        <f>InvulRegie[[#This Row],[2026]]*Tariefsopbouw!$O$37+InvulRegie[[#This Row],[2026]]</f>
        <v>#DIV/0!</v>
      </c>
      <c r="I22" s="225" t="e">
        <f>InvulRegie[[#This Row],[2027]]*Tariefsopbouw!$Q$37+InvulRegie[[#This Row],[2027]]</f>
        <v>#DIV/0!</v>
      </c>
    </row>
    <row r="23" spans="1:9" ht="18.75" customHeight="1">
      <c r="A23" s="378"/>
      <c r="B23" s="68" t="s">
        <v>45</v>
      </c>
      <c r="C23" s="68" t="s">
        <v>75</v>
      </c>
      <c r="D23" s="70">
        <v>0</v>
      </c>
      <c r="E23" s="225" t="e">
        <f>InvulRegie[[#This Row],[Prijs excl. BTW]]*Tariefsopbouw!$I$37+InvulRegie[[#This Row],[Prijs excl. BTW]]</f>
        <v>#DIV/0!</v>
      </c>
      <c r="F23" s="225" t="e">
        <f>InvulRegie[[#This Row],[2024]]*Tariefsopbouw!$K$37+InvulRegie[[#This Row],[2024]]</f>
        <v>#DIV/0!</v>
      </c>
      <c r="G23" s="225" t="e">
        <f>InvulRegie[[#This Row],[2025]]*Tariefsopbouw!$M$37+InvulRegie[[#This Row],[2025]]</f>
        <v>#DIV/0!</v>
      </c>
      <c r="H23" s="225" t="e">
        <f>InvulRegie[[#This Row],[2026]]*Tariefsopbouw!$O$37+InvulRegie[[#This Row],[2026]]</f>
        <v>#DIV/0!</v>
      </c>
      <c r="I23" s="225" t="e">
        <f>InvulRegie[[#This Row],[2027]]*Tariefsopbouw!$Q$37+InvulRegie[[#This Row],[2027]]</f>
        <v>#DIV/0!</v>
      </c>
    </row>
    <row r="24" spans="1:9" ht="18.75" customHeight="1">
      <c r="A24" s="376" t="s">
        <v>205</v>
      </c>
      <c r="B24" s="68" t="s">
        <v>196</v>
      </c>
      <c r="C24" s="68" t="s">
        <v>197</v>
      </c>
      <c r="D24" s="70">
        <v>0</v>
      </c>
      <c r="E24" s="225" t="e">
        <f>InvulRegie[[#This Row],[Prijs excl. BTW]]*Tariefsopbouw!$I$37+InvulRegie[[#This Row],[Prijs excl. BTW]]</f>
        <v>#DIV/0!</v>
      </c>
      <c r="F24" s="225" t="e">
        <f>InvulRegie[[#This Row],[2024]]*Tariefsopbouw!$K$37+InvulRegie[[#This Row],[2024]]</f>
        <v>#DIV/0!</v>
      </c>
      <c r="G24" s="225" t="e">
        <f>InvulRegie[[#This Row],[2025]]*Tariefsopbouw!$M$37+InvulRegie[[#This Row],[2025]]</f>
        <v>#DIV/0!</v>
      </c>
      <c r="H24" s="225" t="e">
        <f>InvulRegie[[#This Row],[2026]]*Tariefsopbouw!$O$37+InvulRegie[[#This Row],[2026]]</f>
        <v>#DIV/0!</v>
      </c>
      <c r="I24" s="225" t="e">
        <f>InvulRegie[[#This Row],[2027]]*Tariefsopbouw!$Q$37+InvulRegie[[#This Row],[2027]]</f>
        <v>#DIV/0!</v>
      </c>
    </row>
    <row r="25" spans="1:9" ht="18.75" customHeight="1">
      <c r="A25" s="377"/>
      <c r="B25" s="68" t="s">
        <v>239</v>
      </c>
      <c r="C25" s="68" t="s">
        <v>197</v>
      </c>
      <c r="D25" s="70">
        <v>0</v>
      </c>
      <c r="E25" s="225" t="e">
        <f>InvulRegie[[#This Row],[Prijs excl. BTW]]*Tariefsopbouw!$I$37+InvulRegie[[#This Row],[Prijs excl. BTW]]</f>
        <v>#DIV/0!</v>
      </c>
      <c r="F25" s="225" t="e">
        <f>InvulRegie[[#This Row],[2024]]*Tariefsopbouw!$K$37+InvulRegie[[#This Row],[2024]]</f>
        <v>#DIV/0!</v>
      </c>
      <c r="G25" s="225" t="e">
        <f>InvulRegie[[#This Row],[2025]]*Tariefsopbouw!$M$37+InvulRegie[[#This Row],[2025]]</f>
        <v>#DIV/0!</v>
      </c>
      <c r="H25" s="225" t="e">
        <f>InvulRegie[[#This Row],[2026]]*Tariefsopbouw!$O$37+InvulRegie[[#This Row],[2026]]</f>
        <v>#DIV/0!</v>
      </c>
      <c r="I25" s="225" t="e">
        <f>InvulRegie[[#This Row],[2027]]*Tariefsopbouw!$Q$37+InvulRegie[[#This Row],[2027]]</f>
        <v>#DIV/0!</v>
      </c>
    </row>
    <row r="26" spans="1:9" ht="18.75" customHeight="1">
      <c r="A26" s="377"/>
      <c r="B26" s="68" t="s">
        <v>241</v>
      </c>
      <c r="C26" s="68" t="s">
        <v>197</v>
      </c>
      <c r="D26" s="70">
        <v>0</v>
      </c>
      <c r="E26" s="225" t="e">
        <f>InvulRegie[[#This Row],[Prijs excl. BTW]]*Tariefsopbouw!$I$37+InvulRegie[[#This Row],[Prijs excl. BTW]]</f>
        <v>#DIV/0!</v>
      </c>
      <c r="F26" s="225" t="e">
        <f>InvulRegie[[#This Row],[2024]]*Tariefsopbouw!$K$37+InvulRegie[[#This Row],[2024]]</f>
        <v>#DIV/0!</v>
      </c>
      <c r="G26" s="225" t="e">
        <f>InvulRegie[[#This Row],[2025]]*Tariefsopbouw!$M$37+InvulRegie[[#This Row],[2025]]</f>
        <v>#DIV/0!</v>
      </c>
      <c r="H26" s="225" t="e">
        <f>InvulRegie[[#This Row],[2026]]*Tariefsopbouw!$O$37+InvulRegie[[#This Row],[2026]]</f>
        <v>#DIV/0!</v>
      </c>
      <c r="I26" s="225" t="e">
        <f>InvulRegie[[#This Row],[2027]]*Tariefsopbouw!$Q$37+InvulRegie[[#This Row],[2027]]</f>
        <v>#DIV/0!</v>
      </c>
    </row>
    <row r="27" spans="1:9" ht="18.75" customHeight="1">
      <c r="A27" s="377"/>
      <c r="B27" s="68" t="s">
        <v>240</v>
      </c>
      <c r="C27" s="68" t="s">
        <v>197</v>
      </c>
      <c r="D27" s="70">
        <v>0</v>
      </c>
      <c r="E27" s="225" t="e">
        <f>InvulRegie[[#This Row],[Prijs excl. BTW]]*Tariefsopbouw!$I$37+InvulRegie[[#This Row],[Prijs excl. BTW]]</f>
        <v>#DIV/0!</v>
      </c>
      <c r="F27" s="225" t="e">
        <f>InvulRegie[[#This Row],[2024]]*Tariefsopbouw!$K$37+InvulRegie[[#This Row],[2024]]</f>
        <v>#DIV/0!</v>
      </c>
      <c r="G27" s="225" t="e">
        <f>InvulRegie[[#This Row],[2025]]*Tariefsopbouw!$M$37+InvulRegie[[#This Row],[2025]]</f>
        <v>#DIV/0!</v>
      </c>
      <c r="H27" s="225" t="e">
        <f>InvulRegie[[#This Row],[2026]]*Tariefsopbouw!$O$37+InvulRegie[[#This Row],[2026]]</f>
        <v>#DIV/0!</v>
      </c>
      <c r="I27" s="225" t="e">
        <f>InvulRegie[[#This Row],[2027]]*Tariefsopbouw!$Q$37+InvulRegie[[#This Row],[2027]]</f>
        <v>#DIV/0!</v>
      </c>
    </row>
    <row r="28" spans="1:9" ht="18.75" customHeight="1">
      <c r="A28" s="378"/>
      <c r="B28" s="68" t="s">
        <v>48</v>
      </c>
      <c r="C28" s="68" t="s">
        <v>197</v>
      </c>
      <c r="D28" s="70">
        <v>0</v>
      </c>
      <c r="E28" s="225" t="e">
        <f>InvulRegie[[#This Row],[Prijs excl. BTW]]*Tariefsopbouw!$I$37+InvulRegie[[#This Row],[Prijs excl. BTW]]</f>
        <v>#DIV/0!</v>
      </c>
      <c r="F28" s="225" t="e">
        <f>InvulRegie[[#This Row],[2024]]*Tariefsopbouw!$K$37+InvulRegie[[#This Row],[2024]]</f>
        <v>#DIV/0!</v>
      </c>
      <c r="G28" s="225" t="e">
        <f>InvulRegie[[#This Row],[2025]]*Tariefsopbouw!$M$37+InvulRegie[[#This Row],[2025]]</f>
        <v>#DIV/0!</v>
      </c>
      <c r="H28" s="225" t="e">
        <f>InvulRegie[[#This Row],[2026]]*Tariefsopbouw!$O$37+InvulRegie[[#This Row],[2026]]</f>
        <v>#DIV/0!</v>
      </c>
      <c r="I28" s="225" t="e">
        <f>InvulRegie[[#This Row],[2027]]*Tariefsopbouw!$Q$37+InvulRegie[[#This Row],[2027]]</f>
        <v>#DIV/0!</v>
      </c>
    </row>
    <row r="29" spans="1:9" ht="18.75" customHeight="1">
      <c r="A29" s="376" t="s">
        <v>206</v>
      </c>
      <c r="B29" s="67" t="s">
        <v>207</v>
      </c>
      <c r="C29" s="68" t="s">
        <v>194</v>
      </c>
      <c r="D29" s="70">
        <v>0</v>
      </c>
      <c r="E29" s="225" t="e">
        <f>InvulRegie[[#This Row],[Prijs excl. BTW]]*Tariefsopbouw!$I$37+InvulRegie[[#This Row],[Prijs excl. BTW]]</f>
        <v>#DIV/0!</v>
      </c>
      <c r="F29" s="224" t="e">
        <f>InvulRegie[[#This Row],[2024]]*Tariefsopbouw!$K$37+InvulRegie[[#This Row],[2024]]</f>
        <v>#DIV/0!</v>
      </c>
      <c r="G29" s="225" t="e">
        <f>InvulRegie[[#This Row],[2025]]*Tariefsopbouw!$M$37+InvulRegie[[#This Row],[2025]]</f>
        <v>#DIV/0!</v>
      </c>
      <c r="H29" s="225" t="e">
        <f>InvulRegie[[#This Row],[2026]]*Tariefsopbouw!$O$37+InvulRegie[[#This Row],[2026]]</f>
        <v>#DIV/0!</v>
      </c>
      <c r="I29" s="225" t="e">
        <f>InvulRegie[[#This Row],[2027]]*Tariefsopbouw!$Q$37+InvulRegie[[#This Row],[2027]]</f>
        <v>#DIV/0!</v>
      </c>
    </row>
    <row r="30" spans="1:9" ht="18.75" customHeight="1">
      <c r="A30" s="377"/>
      <c r="B30" s="67" t="s">
        <v>208</v>
      </c>
      <c r="C30" s="68" t="s">
        <v>194</v>
      </c>
      <c r="D30" s="70">
        <v>0</v>
      </c>
      <c r="E30" s="225" t="e">
        <f>InvulRegie[[#This Row],[Prijs excl. BTW]]*Tariefsopbouw!$I$37+InvulRegie[[#This Row],[Prijs excl. BTW]]</f>
        <v>#DIV/0!</v>
      </c>
      <c r="F30" s="224" t="e">
        <f>InvulRegie[[#This Row],[2024]]*Tariefsopbouw!$K$37+InvulRegie[[#This Row],[2024]]</f>
        <v>#DIV/0!</v>
      </c>
      <c r="G30" s="225" t="e">
        <f>InvulRegie[[#This Row],[2025]]*Tariefsopbouw!$M$37+InvulRegie[[#This Row],[2025]]</f>
        <v>#DIV/0!</v>
      </c>
      <c r="H30" s="225" t="e">
        <f>InvulRegie[[#This Row],[2026]]*Tariefsopbouw!$O$37+InvulRegie[[#This Row],[2026]]</f>
        <v>#DIV/0!</v>
      </c>
      <c r="I30" s="225" t="e">
        <f>InvulRegie[[#This Row],[2027]]*Tariefsopbouw!$Q$37+InvulRegie[[#This Row],[2027]]</f>
        <v>#DIV/0!</v>
      </c>
    </row>
    <row r="31" spans="1:9" ht="18.75" customHeight="1">
      <c r="A31" s="378"/>
      <c r="B31" s="67" t="s">
        <v>209</v>
      </c>
      <c r="C31" s="68" t="s">
        <v>194</v>
      </c>
      <c r="D31" s="70">
        <v>0</v>
      </c>
      <c r="E31" s="225" t="e">
        <f>InvulRegie[[#This Row],[Prijs excl. BTW]]*Tariefsopbouw!$I$37+InvulRegie[[#This Row],[Prijs excl. BTW]]</f>
        <v>#DIV/0!</v>
      </c>
      <c r="F31" s="224" t="e">
        <f>InvulRegie[[#This Row],[2024]]*Tariefsopbouw!$K$37+InvulRegie[[#This Row],[2024]]</f>
        <v>#DIV/0!</v>
      </c>
      <c r="G31" s="225" t="e">
        <f>InvulRegie[[#This Row],[2025]]*Tariefsopbouw!$M$37+InvulRegie[[#This Row],[2025]]</f>
        <v>#DIV/0!</v>
      </c>
      <c r="H31" s="225" t="e">
        <f>InvulRegie[[#This Row],[2026]]*Tariefsopbouw!$O$37+InvulRegie[[#This Row],[2026]]</f>
        <v>#DIV/0!</v>
      </c>
      <c r="I31" s="225" t="e">
        <f>InvulRegie[[#This Row],[2027]]*Tariefsopbouw!$Q$37+InvulRegie[[#This Row],[2027]]</f>
        <v>#DIV/0!</v>
      </c>
    </row>
    <row r="32" spans="1:9" ht="18.75" customHeight="1">
      <c r="A32" s="376" t="s">
        <v>202</v>
      </c>
      <c r="B32" s="68" t="s">
        <v>50</v>
      </c>
      <c r="C32" s="68" t="s">
        <v>49</v>
      </c>
      <c r="D32" s="70">
        <v>0</v>
      </c>
      <c r="E32" s="225" t="e">
        <f>InvulRegie[[#This Row],[Prijs excl. BTW]]*Tariefsopbouw!$I$37+InvulRegie[[#This Row],[Prijs excl. BTW]]</f>
        <v>#DIV/0!</v>
      </c>
      <c r="F32" s="225" t="e">
        <f>InvulRegie[[#This Row],[2024]]*Tariefsopbouw!$K$37+InvulRegie[[#This Row],[2024]]</f>
        <v>#DIV/0!</v>
      </c>
      <c r="G32" s="225" t="e">
        <f>InvulRegie[[#This Row],[2025]]*Tariefsopbouw!$M$37+InvulRegie[[#This Row],[2025]]</f>
        <v>#DIV/0!</v>
      </c>
      <c r="H32" s="225" t="e">
        <f>InvulRegie[[#This Row],[2026]]*Tariefsopbouw!$O$37+InvulRegie[[#This Row],[2026]]</f>
        <v>#DIV/0!</v>
      </c>
      <c r="I32" s="225" t="e">
        <f>InvulRegie[[#This Row],[2027]]*Tariefsopbouw!$Q$37+InvulRegie[[#This Row],[2027]]</f>
        <v>#DIV/0!</v>
      </c>
    </row>
    <row r="33" spans="1:9" ht="18.75" customHeight="1">
      <c r="A33" s="377"/>
      <c r="B33" s="68" t="s">
        <v>51</v>
      </c>
      <c r="C33" s="68" t="s">
        <v>49</v>
      </c>
      <c r="D33" s="70">
        <v>0</v>
      </c>
      <c r="E33" s="225" t="e">
        <f>InvulRegie[[#This Row],[Prijs excl. BTW]]*Tariefsopbouw!$I$37+InvulRegie[[#This Row],[Prijs excl. BTW]]</f>
        <v>#DIV/0!</v>
      </c>
      <c r="F33" s="225" t="e">
        <f>InvulRegie[[#This Row],[2024]]*Tariefsopbouw!$K$37+InvulRegie[[#This Row],[2024]]</f>
        <v>#DIV/0!</v>
      </c>
      <c r="G33" s="225" t="e">
        <f>InvulRegie[[#This Row],[2025]]*Tariefsopbouw!$M$37+InvulRegie[[#This Row],[2025]]</f>
        <v>#DIV/0!</v>
      </c>
      <c r="H33" s="225" t="e">
        <f>InvulRegie[[#This Row],[2026]]*Tariefsopbouw!$O$37+InvulRegie[[#This Row],[2026]]</f>
        <v>#DIV/0!</v>
      </c>
      <c r="I33" s="225" t="e">
        <f>InvulRegie[[#This Row],[2027]]*Tariefsopbouw!$Q$37+InvulRegie[[#This Row],[2027]]</f>
        <v>#DIV/0!</v>
      </c>
    </row>
    <row r="34" spans="1:9" ht="18.75" customHeight="1">
      <c r="A34" s="377"/>
      <c r="B34" s="68" t="s">
        <v>52</v>
      </c>
      <c r="C34" s="68" t="s">
        <v>49</v>
      </c>
      <c r="D34" s="70">
        <v>0</v>
      </c>
      <c r="E34" s="225" t="e">
        <f>InvulRegie[[#This Row],[Prijs excl. BTW]]*Tariefsopbouw!$I$37+InvulRegie[[#This Row],[Prijs excl. BTW]]</f>
        <v>#DIV/0!</v>
      </c>
      <c r="F34" s="225" t="e">
        <f>InvulRegie[[#This Row],[2024]]*Tariefsopbouw!$K$37+InvulRegie[[#This Row],[2024]]</f>
        <v>#DIV/0!</v>
      </c>
      <c r="G34" s="225" t="e">
        <f>InvulRegie[[#This Row],[2025]]*Tariefsopbouw!$M$37+InvulRegie[[#This Row],[2025]]</f>
        <v>#DIV/0!</v>
      </c>
      <c r="H34" s="225" t="e">
        <f>InvulRegie[[#This Row],[2026]]*Tariefsopbouw!$O$37+InvulRegie[[#This Row],[2026]]</f>
        <v>#DIV/0!</v>
      </c>
      <c r="I34" s="225" t="e">
        <f>InvulRegie[[#This Row],[2027]]*Tariefsopbouw!$Q$37+InvulRegie[[#This Row],[2027]]</f>
        <v>#DIV/0!</v>
      </c>
    </row>
    <row r="35" spans="1:9" ht="18.75" customHeight="1">
      <c r="A35" s="377"/>
      <c r="B35" s="68" t="s">
        <v>53</v>
      </c>
      <c r="C35" s="68" t="s">
        <v>49</v>
      </c>
      <c r="D35" s="70">
        <v>0</v>
      </c>
      <c r="E35" s="225" t="e">
        <f>InvulRegie[[#This Row],[Prijs excl. BTW]]*Tariefsopbouw!$I$37+InvulRegie[[#This Row],[Prijs excl. BTW]]</f>
        <v>#DIV/0!</v>
      </c>
      <c r="F35" s="225" t="e">
        <f>InvulRegie[[#This Row],[2024]]*Tariefsopbouw!$K$37+InvulRegie[[#This Row],[2024]]</f>
        <v>#DIV/0!</v>
      </c>
      <c r="G35" s="225" t="e">
        <f>InvulRegie[[#This Row],[2025]]*Tariefsopbouw!$M$37+InvulRegie[[#This Row],[2025]]</f>
        <v>#DIV/0!</v>
      </c>
      <c r="H35" s="225" t="e">
        <f>InvulRegie[[#This Row],[2026]]*Tariefsopbouw!$O$37+InvulRegie[[#This Row],[2026]]</f>
        <v>#DIV/0!</v>
      </c>
      <c r="I35" s="225" t="e">
        <f>InvulRegie[[#This Row],[2027]]*Tariefsopbouw!$Q$37+InvulRegie[[#This Row],[2027]]</f>
        <v>#DIV/0!</v>
      </c>
    </row>
    <row r="36" spans="1:9" ht="18.75" customHeight="1">
      <c r="A36" s="378"/>
      <c r="B36" s="68" t="s">
        <v>46</v>
      </c>
      <c r="C36" s="68" t="s">
        <v>47</v>
      </c>
      <c r="D36" s="70">
        <v>0</v>
      </c>
      <c r="E36" s="225" t="e">
        <f>InvulRegie[[#This Row],[Prijs excl. BTW]]*Tariefsopbouw!$I$37+InvulRegie[[#This Row],[Prijs excl. BTW]]</f>
        <v>#DIV/0!</v>
      </c>
      <c r="F36" s="225" t="e">
        <f>InvulRegie[[#This Row],[2024]]*Tariefsopbouw!$K$37+InvulRegie[[#This Row],[2024]]</f>
        <v>#DIV/0!</v>
      </c>
      <c r="G36" s="225" t="e">
        <f>InvulRegie[[#This Row],[2025]]*Tariefsopbouw!$M$37+InvulRegie[[#This Row],[2025]]</f>
        <v>#DIV/0!</v>
      </c>
      <c r="H36" s="225" t="e">
        <f>InvulRegie[[#This Row],[2026]]*Tariefsopbouw!$O$37+InvulRegie[[#This Row],[2026]]</f>
        <v>#DIV/0!</v>
      </c>
      <c r="I36" s="225" t="e">
        <f>InvulRegie[[#This Row],[2027]]*Tariefsopbouw!$Q$37+InvulRegie[[#This Row],[2027]]</f>
        <v>#DIV/0!</v>
      </c>
    </row>
    <row r="37" spans="1:9" ht="18.75" customHeight="1">
      <c r="A37" s="379" t="s">
        <v>203</v>
      </c>
      <c r="B37" s="68" t="s">
        <v>54</v>
      </c>
      <c r="C37" s="68" t="s">
        <v>230</v>
      </c>
      <c r="D37" s="70">
        <v>0</v>
      </c>
      <c r="E37" s="225" t="e">
        <f>InvulRegie[[#This Row],[Prijs excl. BTW]]*Tariefsopbouw!$I$37+InvulRegie[[#This Row],[Prijs excl. BTW]]</f>
        <v>#DIV/0!</v>
      </c>
      <c r="F37" s="225" t="e">
        <f>InvulRegie[[#This Row],[2024]]*Tariefsopbouw!$K$37+InvulRegie[[#This Row],[2024]]</f>
        <v>#DIV/0!</v>
      </c>
      <c r="G37" s="225" t="e">
        <f>InvulRegie[[#This Row],[2025]]*Tariefsopbouw!$M$37+InvulRegie[[#This Row],[2025]]</f>
        <v>#DIV/0!</v>
      </c>
      <c r="H37" s="225" t="e">
        <f>InvulRegie[[#This Row],[2026]]*Tariefsopbouw!$O$37+InvulRegie[[#This Row],[2026]]</f>
        <v>#DIV/0!</v>
      </c>
      <c r="I37" s="225" t="e">
        <f>InvulRegie[[#This Row],[2027]]*Tariefsopbouw!$Q$37+InvulRegie[[#This Row],[2027]]</f>
        <v>#DIV/0!</v>
      </c>
    </row>
    <row r="38" spans="1:9" ht="18.75" customHeight="1">
      <c r="A38" s="380"/>
      <c r="B38" s="68" t="s">
        <v>55</v>
      </c>
      <c r="C38" s="68" t="s">
        <v>56</v>
      </c>
      <c r="D38" s="70">
        <v>0</v>
      </c>
      <c r="E38" s="225" t="e">
        <f>InvulRegie[[#This Row],[Prijs excl. BTW]]*Tariefsopbouw!$I$37+InvulRegie[[#This Row],[Prijs excl. BTW]]</f>
        <v>#DIV/0!</v>
      </c>
      <c r="F38" s="225" t="e">
        <f>InvulRegie[[#This Row],[2024]]*Tariefsopbouw!$K$37+InvulRegie[[#This Row],[2024]]</f>
        <v>#DIV/0!</v>
      </c>
      <c r="G38" s="225" t="e">
        <f>InvulRegie[[#This Row],[2025]]*Tariefsopbouw!$M$37+InvulRegie[[#This Row],[2025]]</f>
        <v>#DIV/0!</v>
      </c>
      <c r="H38" s="225" t="e">
        <f>InvulRegie[[#This Row],[2026]]*Tariefsopbouw!$O$37+InvulRegie[[#This Row],[2026]]</f>
        <v>#DIV/0!</v>
      </c>
      <c r="I38" s="225" t="e">
        <f>InvulRegie[[#This Row],[2027]]*Tariefsopbouw!$Q$37+InvulRegie[[#This Row],[2027]]</f>
        <v>#DIV/0!</v>
      </c>
    </row>
    <row r="39" spans="1:9" ht="18.75" customHeight="1">
      <c r="A39" s="380"/>
      <c r="B39" s="68" t="s">
        <v>823</v>
      </c>
      <c r="C39" s="68" t="s">
        <v>56</v>
      </c>
      <c r="D39" s="70">
        <v>0</v>
      </c>
      <c r="E39" s="225" t="e">
        <f>InvulRegie[[#This Row],[Prijs excl. BTW]]*Tariefsopbouw!$I$37+InvulRegie[[#This Row],[Prijs excl. BTW]]</f>
        <v>#DIV/0!</v>
      </c>
      <c r="F39" s="225" t="e">
        <f>InvulRegie[[#This Row],[2024]]*Tariefsopbouw!$K$37+InvulRegie[[#This Row],[2024]]</f>
        <v>#DIV/0!</v>
      </c>
      <c r="G39" s="225" t="e">
        <f>InvulRegie[[#This Row],[2025]]*Tariefsopbouw!$M$37+InvulRegie[[#This Row],[2025]]</f>
        <v>#DIV/0!</v>
      </c>
      <c r="H39" s="225" t="e">
        <f>InvulRegie[[#This Row],[2026]]*Tariefsopbouw!$O$37+InvulRegie[[#This Row],[2026]]</f>
        <v>#DIV/0!</v>
      </c>
      <c r="I39" s="225" t="e">
        <f>InvulRegie[[#This Row],[2027]]*Tariefsopbouw!$Q$37+InvulRegie[[#This Row],[2027]]</f>
        <v>#DIV/0!</v>
      </c>
    </row>
    <row r="40" spans="1:9" ht="18.75" customHeight="1">
      <c r="A40" s="381"/>
      <c r="B40" s="68" t="s">
        <v>824</v>
      </c>
      <c r="C40" s="68" t="s">
        <v>56</v>
      </c>
      <c r="D40" s="70">
        <v>0</v>
      </c>
      <c r="E40" s="225" t="e">
        <f>InvulRegie[[#This Row],[Prijs excl. BTW]]*Tariefsopbouw!$I$37+InvulRegie[[#This Row],[Prijs excl. BTW]]</f>
        <v>#DIV/0!</v>
      </c>
      <c r="F40" s="225" t="e">
        <f>InvulRegie[[#This Row],[2024]]*Tariefsopbouw!$K$37+InvulRegie[[#This Row],[2024]]</f>
        <v>#DIV/0!</v>
      </c>
      <c r="G40" s="225" t="e">
        <f>InvulRegie[[#This Row],[2025]]*Tariefsopbouw!$M$37+InvulRegie[[#This Row],[2025]]</f>
        <v>#DIV/0!</v>
      </c>
      <c r="H40" s="225" t="e">
        <f>InvulRegie[[#This Row],[2026]]*Tariefsopbouw!$O$37+InvulRegie[[#This Row],[2026]]</f>
        <v>#DIV/0!</v>
      </c>
      <c r="I40" s="225" t="e">
        <f>InvulRegie[[#This Row],[2027]]*Tariefsopbouw!$Q$37+InvulRegie[[#This Row],[2027]]</f>
        <v>#DIV/0!</v>
      </c>
    </row>
    <row r="41" spans="1:9" s="150" customFormat="1" ht="26.25" customHeight="1">
      <c r="A41" s="149"/>
      <c r="B41" s="221" t="s">
        <v>33</v>
      </c>
      <c r="C41" s="221"/>
      <c r="D41" s="221"/>
      <c r="E41" s="221"/>
      <c r="F41" s="221"/>
      <c r="G41" s="221"/>
      <c r="H41" s="221"/>
      <c r="I41" s="221"/>
    </row>
    <row r="76" spans="1:1" ht="18.75" customHeight="1">
      <c r="A76" s="65"/>
    </row>
    <row r="77" spans="1:1" ht="18.75" customHeight="1">
      <c r="A77" s="65"/>
    </row>
    <row r="78" spans="1:1" ht="18.75" customHeight="1">
      <c r="A78" s="65"/>
    </row>
    <row r="79" spans="1:1" ht="18.75" customHeight="1">
      <c r="A79" s="65"/>
    </row>
    <row r="80" spans="1:1" ht="18.75" customHeight="1">
      <c r="A80" s="65"/>
    </row>
    <row r="81" spans="1:1" ht="18.75" customHeight="1">
      <c r="A81" s="65"/>
    </row>
    <row r="82" spans="1:1" ht="18.75" customHeight="1">
      <c r="A82" s="65"/>
    </row>
    <row r="83" spans="1:1" ht="18.75" customHeight="1">
      <c r="A83" s="65"/>
    </row>
    <row r="84" spans="1:1" ht="18.75" customHeight="1">
      <c r="A84" s="65"/>
    </row>
    <row r="85" spans="1:1" ht="18.75" customHeight="1">
      <c r="A85" s="65"/>
    </row>
    <row r="86" spans="1:1" ht="18.75" customHeight="1">
      <c r="A86" s="65"/>
    </row>
    <row r="87" spans="1:1" ht="18.75" customHeight="1">
      <c r="A87" s="65"/>
    </row>
    <row r="88" spans="1:1" ht="18.75" customHeight="1">
      <c r="A88" s="65"/>
    </row>
  </sheetData>
  <mergeCells count="9">
    <mergeCell ref="A9:A14"/>
    <mergeCell ref="A1:D1"/>
    <mergeCell ref="A2:D2"/>
    <mergeCell ref="A32:A36"/>
    <mergeCell ref="A37:A40"/>
    <mergeCell ref="A24:A28"/>
    <mergeCell ref="A29:A31"/>
    <mergeCell ref="A15:A21"/>
    <mergeCell ref="A22:A2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headerFooter alignWithMargins="0">
    <oddFooter>&amp;L&amp;F&amp;C&amp;D&amp;R&amp;A</oddFooter>
  </headerFooter>
  <rowBreaks count="1" manualBreakCount="1">
    <brk id="90" max="16383" man="1"/>
  </rowBreak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61">
    <tabColor theme="0" tint="-0.14999847407452621"/>
    <pageSetUpPr fitToPage="1"/>
  </sheetPr>
  <dimension ref="A1:K24"/>
  <sheetViews>
    <sheetView showGridLines="0" tabSelected="1" topLeftCell="A4" zoomScaleNormal="100" zoomScaleSheetLayoutView="100" workbookViewId="0">
      <selection activeCell="F14" sqref="F14"/>
    </sheetView>
  </sheetViews>
  <sheetFormatPr defaultColWidth="9.140625" defaultRowHeight="18.75" customHeight="1"/>
  <cols>
    <col min="1" max="1" width="13.7109375" style="3" customWidth="1"/>
    <col min="2" max="2" width="33.42578125" style="141" bestFit="1" customWidth="1"/>
    <col min="3" max="7" width="23.28515625" style="3" customWidth="1"/>
    <col min="8" max="8" width="18.28515625" style="3" bestFit="1" customWidth="1"/>
    <col min="9" max="10" width="15.85546875" style="3" customWidth="1"/>
    <col min="11" max="16384" width="9.140625" style="3"/>
  </cols>
  <sheetData>
    <row r="1" spans="1:11" s="7" customFormat="1" ht="25.5" customHeight="1">
      <c r="A1" s="347" t="s">
        <v>219</v>
      </c>
      <c r="B1" s="347"/>
      <c r="C1" s="347"/>
      <c r="D1" s="347"/>
      <c r="E1" s="347"/>
      <c r="F1" s="347"/>
      <c r="G1" s="347"/>
      <c r="H1" s="347"/>
    </row>
    <row r="2" spans="1:11" s="7" customFormat="1" ht="15" customHeight="1">
      <c r="A2" s="368" t="s">
        <v>232</v>
      </c>
      <c r="B2" s="348"/>
      <c r="C2" s="348"/>
      <c r="D2" s="348"/>
      <c r="E2" s="348"/>
      <c r="F2" s="348"/>
      <c r="G2" s="348"/>
      <c r="H2" s="348"/>
    </row>
    <row r="3" spans="1:11" s="4" customFormat="1" ht="15" customHeight="1">
      <c r="B3" s="24"/>
    </row>
    <row r="4" spans="1:11" ht="18.75" customHeight="1">
      <c r="A4" s="141"/>
      <c r="B4" s="3"/>
    </row>
    <row r="5" spans="1:11" ht="26.25" customHeight="1">
      <c r="A5" s="78" t="s">
        <v>229</v>
      </c>
      <c r="B5" s="3"/>
    </row>
    <row r="6" spans="1:11" s="41" customFormat="1" ht="25.5" customHeight="1">
      <c r="A6" s="136" t="s">
        <v>214</v>
      </c>
      <c r="B6" s="137" t="s">
        <v>149</v>
      </c>
      <c r="C6" s="136" t="s">
        <v>167</v>
      </c>
      <c r="D6" s="138" t="s">
        <v>131</v>
      </c>
      <c r="E6" s="138" t="s">
        <v>168</v>
      </c>
      <c r="F6" s="136" t="s">
        <v>130</v>
      </c>
      <c r="G6" s="139" t="s">
        <v>169</v>
      </c>
      <c r="H6" s="42" t="s">
        <v>170</v>
      </c>
    </row>
    <row r="7" spans="1:11" ht="18.75" customHeight="1">
      <c r="A7" s="140">
        <v>1</v>
      </c>
      <c r="B7" s="35" t="str">
        <f>VLOOKUP(Samenvattingschoonmaak[[#This Row],[Code Locatie]],Locaties[],2,0)</f>
        <v>Hoornbeeck College Amersfoort</v>
      </c>
      <c r="C7" s="37">
        <f>SUMIF('Ruimtestaat'!$A:$A,Totalisatie!$A7,'Ruimtestaat'!$N:$N)</f>
        <v>7607.7075000000023</v>
      </c>
      <c r="D7" s="37">
        <f>SUMIF('Ruimtestaat'!$A:$A,Totalisatie!$A7,'Ruimtestaat'!$AE:$AE)</f>
        <v>1484081.5</v>
      </c>
      <c r="E7" s="38">
        <f>SUMIF('Ruimtestaat'!$A:$A,Totalisatie!$A7,'Ruimtestaat'!$AF:$AF)</f>
        <v>0</v>
      </c>
      <c r="F7" s="39" t="e">
        <f t="shared" ref="F7" si="0">D7/E7</f>
        <v>#DIV/0!</v>
      </c>
      <c r="G7" s="40">
        <f>SUMIF('Ruimtestaat'!$A:$A,Totalisatie!$A7,'Ruimtestaat'!$AG:$AG)</f>
        <v>0</v>
      </c>
      <c r="H7" s="135">
        <f t="shared" ref="H7" si="1">G7/C7</f>
        <v>0</v>
      </c>
    </row>
    <row r="8" spans="1:11" s="41" customFormat="1" ht="21" customHeight="1">
      <c r="A8" s="162"/>
      <c r="B8" s="163" t="s">
        <v>33</v>
      </c>
      <c r="C8" s="164">
        <f>SUBTOTAL(109,Samenvattingschoonmaak[Oppervlakte i/o])</f>
        <v>7607.7075000000023</v>
      </c>
      <c r="D8" s="164">
        <f>SUBTOTAL(109,Samenvattingschoonmaak[Prest. (m2 /jaar)])</f>
        <v>1484081.5</v>
      </c>
      <c r="E8" s="165">
        <f>SUBTOTAL(109,Samenvattingschoonmaak[Uren / jaar])</f>
        <v>0</v>
      </c>
      <c r="F8" s="164" t="e">
        <f>Samenvattingschoonmaak[[#Totals],[Prest. (m2 /jaar)]]/Samenvattingschoonmaak[[#Totals],[Uren / jaar]]</f>
        <v>#DIV/0!</v>
      </c>
      <c r="G8" s="166">
        <f>SUBTOTAL(109,Samenvattingschoonmaak[Kosten / jaar])</f>
        <v>0</v>
      </c>
      <c r="H8" s="167">
        <f>Samenvattingschoonmaak[[#Totals],[Kosten / jaar]]/Samenvattingschoonmaak[[#Totals],[Oppervlakte i/o]]</f>
        <v>0</v>
      </c>
    </row>
    <row r="9" spans="1:11" ht="18.75" customHeight="1">
      <c r="A9" s="141"/>
      <c r="B9" s="3"/>
    </row>
    <row r="10" spans="1:11" ht="18.75" customHeight="1">
      <c r="A10" s="78" t="s">
        <v>173</v>
      </c>
      <c r="B10" s="36"/>
      <c r="C10" s="36"/>
      <c r="D10" s="36"/>
      <c r="E10" s="36"/>
      <c r="F10" s="36"/>
      <c r="G10" s="36"/>
      <c r="H10" s="36"/>
    </row>
    <row r="11" spans="1:11" ht="25.5" customHeight="1">
      <c r="A11" s="136" t="s">
        <v>214</v>
      </c>
      <c r="B11" s="137" t="s">
        <v>221</v>
      </c>
      <c r="C11" s="136" t="s">
        <v>175</v>
      </c>
      <c r="D11" s="139" t="s">
        <v>171</v>
      </c>
      <c r="E11" s="139" t="s">
        <v>595</v>
      </c>
      <c r="F11" s="139" t="s">
        <v>172</v>
      </c>
      <c r="G11" s="139" t="s">
        <v>597</v>
      </c>
      <c r="H11" s="139" t="s">
        <v>821</v>
      </c>
      <c r="I11" s="139" t="s">
        <v>220</v>
      </c>
    </row>
    <row r="12" spans="1:11" ht="18.75" customHeight="1">
      <c r="A12" s="260">
        <v>1</v>
      </c>
      <c r="B12" s="258" t="str">
        <f>VLOOKUP(Totalisatie[[#This Row],[Code Locatie]],Locaties[],2,0)</f>
        <v>Hoornbeeck College Amersfoort</v>
      </c>
      <c r="C12" s="325">
        <f>SUMIF('Ruimtestaat'!A:A,Totalisatie[[#This Row],[Code Locatie]],'Ruimtestaat'!AG:AG)</f>
        <v>0</v>
      </c>
      <c r="D12" s="325">
        <f>SUMIF(Vloeronderhoud!$A$21:$A$25,Totalisatie[[#This Row],[Code Locatie]],Vloeronderhoud!$H$21:$H$25)</f>
        <v>0</v>
      </c>
      <c r="E12" s="325">
        <f ca="1">SUMIF(OverzichtGlas[[Code Locatie]:[Kosten/jaar excl. BTW]],Totalisatie[[#This Row],[Code Locatie]],OverzichtGlas[Kosten/jaar excl. BTW])</f>
        <v>0</v>
      </c>
      <c r="F12" s="325">
        <f>SUMIF(OverzichtExtra[Code Locatie],Totalisatie[[#This Row],[Code Locatie]],OverzichtExtra[Kosten/jaar excl. BTW])</f>
        <v>0</v>
      </c>
      <c r="G12" s="325">
        <f ca="1">SUMIF(Reinigingsmiddelen!A:K,Totalisatie[[#This Row],[Locaties]],Reinigingsmiddelen!K:K)</f>
        <v>2005</v>
      </c>
      <c r="H12" s="325">
        <f ca="1">SUMIF(logistiek!$A$3:$H$6,Totalisatie[[#This Row],[Locaties]],logistiek!$H$3:$H$6)</f>
        <v>200</v>
      </c>
      <c r="I12" s="325">
        <f ca="1">SUM(Totalisatie[[#This Row],[Schoonmaakonderhoud
Kosten / jaar]:[Logistiek]])</f>
        <v>2205</v>
      </c>
      <c r="K12" s="181"/>
    </row>
    <row r="13" spans="1:11" ht="18.75" customHeight="1">
      <c r="A13" s="260">
        <v>2</v>
      </c>
      <c r="B13" s="326" t="s">
        <v>809</v>
      </c>
      <c r="C13" s="327"/>
      <c r="D13" s="327"/>
      <c r="E13" s="325"/>
      <c r="F13" s="327"/>
      <c r="G13" s="327">
        <f ca="1">SUMIF(Reinigingsmiddelen!A:K,Totalisatie[[#This Row],[Locaties]],Reinigingsmiddelen!K:K)</f>
        <v>565</v>
      </c>
      <c r="H13" s="327">
        <f ca="1">SUMIF(logistiek!$A$3:$H$6,Totalisatie[[#This Row],[Locaties]],logistiek!$H$3:$H$6)</f>
        <v>200</v>
      </c>
      <c r="I13" s="327">
        <f ca="1">SUM(Totalisatie[[#This Row],[Reinigingsmiddelen Kosten / jaar]:[Logistiek]])</f>
        <v>765</v>
      </c>
      <c r="K13" s="181"/>
    </row>
    <row r="14" spans="1:11" ht="18.75" customHeight="1">
      <c r="A14" s="260">
        <v>3</v>
      </c>
      <c r="B14" s="326" t="s">
        <v>810</v>
      </c>
      <c r="C14" s="327"/>
      <c r="D14" s="327"/>
      <c r="E14" s="325"/>
      <c r="F14" s="327"/>
      <c r="G14" s="327">
        <f ca="1">SUMIF(Reinigingsmiddelen!A:K,Totalisatie[[#This Row],[Locaties]],Reinigingsmiddelen!K:K)</f>
        <v>1275</v>
      </c>
      <c r="H14" s="327">
        <f ca="1">SUMIF(logistiek!$A$3:$H$6,Totalisatie[[#This Row],[Locaties]],logistiek!$H$3:$H$6)</f>
        <v>200</v>
      </c>
      <c r="I14" s="327">
        <f ca="1">SUM(Totalisatie[[#This Row],[Reinigingsmiddelen Kosten / jaar]:[Logistiek]])</f>
        <v>1475</v>
      </c>
      <c r="K14" s="181"/>
    </row>
    <row r="15" spans="1:11" ht="18.75" customHeight="1">
      <c r="A15" s="260">
        <v>4</v>
      </c>
      <c r="B15" s="326" t="s">
        <v>817</v>
      </c>
      <c r="C15" s="327"/>
      <c r="D15" s="327"/>
      <c r="E15" s="325"/>
      <c r="F15" s="327"/>
      <c r="G15" s="327">
        <f ca="1">SUMIF(Reinigingsmiddelen!A:K,Totalisatie[[#This Row],[Locaties]],Reinigingsmiddelen!K:K)</f>
        <v>50</v>
      </c>
      <c r="H15" s="327">
        <f ca="1">SUMIF(logistiek!$A$3:$H$6,Totalisatie[[#This Row],[Locaties]],logistiek!$H$3:$H$6)</f>
        <v>400</v>
      </c>
      <c r="I15" s="327">
        <f ca="1">SUM(Totalisatie[[#This Row],[Reinigingsmiddelen Kosten / jaar]:[Logistiek]])</f>
        <v>450</v>
      </c>
      <c r="K15" s="181"/>
    </row>
    <row r="16" spans="1:11" ht="18.75" customHeight="1">
      <c r="A16" s="159"/>
      <c r="B16" s="160" t="s">
        <v>33</v>
      </c>
      <c r="C16" s="161">
        <f>SUBTOTAL(109,Totalisatie[Schoonmaakonderhoud
Kosten / jaar])</f>
        <v>0</v>
      </c>
      <c r="D16" s="161">
        <f>SUBTOTAL(109,Totalisatie[Vloeronderhoud
Kosten / jaar])</f>
        <v>0</v>
      </c>
      <c r="E16" s="161">
        <f ca="1">SUBTOTAL(109,Totalisatie[Glasbewassing
Kosten / jaar])</f>
        <v>0</v>
      </c>
      <c r="F16" s="161">
        <f>SUBTOTAL(109,Totalisatie[Extra Werkzaamheden
Kosten / jaar])</f>
        <v>0</v>
      </c>
      <c r="G16" s="161">
        <f ca="1">SUBTOTAL(109,Totalisatie[Reinigingsmiddelen Kosten / jaar])</f>
        <v>3895</v>
      </c>
      <c r="H16" s="161">
        <f ca="1">SUBTOTAL(109,Totalisatie[Logistiek])</f>
        <v>1000</v>
      </c>
      <c r="I16" s="161">
        <f ca="1">SUBTOTAL(109,Totalisatie[Totaalprijs
Kosten / jaar])</f>
        <v>4895</v>
      </c>
    </row>
    <row r="17" spans="1:8" ht="18.75" customHeight="1">
      <c r="A17" s="141"/>
      <c r="B17" s="3"/>
      <c r="H17" s="36"/>
    </row>
    <row r="18" spans="1:8" ht="37.5" customHeight="1">
      <c r="A18" s="78" t="s">
        <v>222</v>
      </c>
      <c r="B18" s="3"/>
      <c r="H18" s="157"/>
    </row>
    <row r="19" spans="1:8" ht="26.25" customHeight="1">
      <c r="A19" s="391" t="s">
        <v>226</v>
      </c>
      <c r="B19" s="392"/>
      <c r="C19" s="393"/>
      <c r="D19" s="393"/>
      <c r="E19" s="393"/>
      <c r="F19" s="393"/>
      <c r="G19" s="394"/>
    </row>
    <row r="20" spans="1:8" ht="18.75" customHeight="1">
      <c r="A20" s="142" t="s">
        <v>135</v>
      </c>
      <c r="B20" s="382"/>
      <c r="C20" s="384"/>
      <c r="D20" s="142" t="s">
        <v>135</v>
      </c>
      <c r="E20" s="382" t="s">
        <v>233</v>
      </c>
      <c r="F20" s="383"/>
      <c r="G20" s="384"/>
    </row>
    <row r="21" spans="1:8" ht="18.75" customHeight="1">
      <c r="A21" s="143" t="s">
        <v>223</v>
      </c>
      <c r="B21" s="385"/>
      <c r="C21" s="387"/>
      <c r="D21" s="143" t="s">
        <v>223</v>
      </c>
      <c r="E21" s="385" t="s">
        <v>233</v>
      </c>
      <c r="F21" s="386"/>
      <c r="G21" s="387"/>
    </row>
    <row r="22" spans="1:8" ht="18.75" customHeight="1">
      <c r="A22" s="142" t="s">
        <v>224</v>
      </c>
      <c r="B22" s="382"/>
      <c r="C22" s="384"/>
      <c r="D22" s="142" t="s">
        <v>224</v>
      </c>
      <c r="E22" s="382" t="s">
        <v>233</v>
      </c>
      <c r="F22" s="383"/>
      <c r="G22" s="384"/>
    </row>
    <row r="23" spans="1:8" ht="84.75" customHeight="1">
      <c r="A23" s="143" t="s">
        <v>225</v>
      </c>
      <c r="B23" s="385" t="s">
        <v>233</v>
      </c>
      <c r="C23" s="387"/>
      <c r="D23" s="143" t="s">
        <v>225</v>
      </c>
      <c r="E23" s="388" t="s">
        <v>233</v>
      </c>
      <c r="F23" s="389"/>
      <c r="G23" s="390"/>
    </row>
    <row r="24" spans="1:8" ht="18.75" customHeight="1">
      <c r="A24" s="142" t="s">
        <v>228</v>
      </c>
      <c r="B24" s="144"/>
      <c r="C24" s="145"/>
      <c r="D24" s="146"/>
      <c r="E24" s="147"/>
      <c r="F24" s="147"/>
      <c r="G24" s="148"/>
    </row>
  </sheetData>
  <mergeCells count="12">
    <mergeCell ref="E23:G23"/>
    <mergeCell ref="A19:B19"/>
    <mergeCell ref="C19:G19"/>
    <mergeCell ref="B20:C20"/>
    <mergeCell ref="B21:C21"/>
    <mergeCell ref="B22:C22"/>
    <mergeCell ref="B23:C23"/>
    <mergeCell ref="A1:H1"/>
    <mergeCell ref="A2:H2"/>
    <mergeCell ref="E20:G20"/>
    <mergeCell ref="E21:G21"/>
    <mergeCell ref="E22:G2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>&amp;L&amp;F&amp;C&amp;D&amp;R&amp;A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9">
    <tabColor theme="0" tint="-0.14999847407452621"/>
  </sheetPr>
  <dimension ref="A1:D92"/>
  <sheetViews>
    <sheetView showGridLines="0" view="pageBreakPreview" zoomScale="85" zoomScaleNormal="100" zoomScaleSheetLayoutView="85" workbookViewId="0">
      <selection activeCell="B16" sqref="B16"/>
    </sheetView>
  </sheetViews>
  <sheetFormatPr defaultColWidth="9" defaultRowHeight="15" customHeight="1"/>
  <cols>
    <col min="1" max="1" width="29.5703125" style="232" customWidth="1"/>
    <col min="2" max="2" width="33.28515625" style="232" customWidth="1"/>
    <col min="3" max="3" width="45.42578125" style="232" bestFit="1" customWidth="1"/>
    <col min="4" max="4" width="54" style="232" customWidth="1"/>
    <col min="5" max="16384" width="9" style="226"/>
  </cols>
  <sheetData>
    <row r="1" spans="1:4" ht="12.75">
      <c r="A1" s="194" t="s">
        <v>261</v>
      </c>
      <c r="B1" s="194"/>
      <c r="C1" s="194"/>
      <c r="D1" s="194"/>
    </row>
    <row r="2" spans="1:4" ht="12.75">
      <c r="A2" s="194" t="s">
        <v>262</v>
      </c>
      <c r="B2" s="194" t="s">
        <v>263</v>
      </c>
      <c r="C2" s="194" t="s">
        <v>264</v>
      </c>
      <c r="D2" s="194" t="s">
        <v>265</v>
      </c>
    </row>
    <row r="3" spans="1:4" ht="12.75">
      <c r="A3" s="194"/>
      <c r="B3" s="194"/>
      <c r="C3" s="194"/>
      <c r="D3" s="194" t="s">
        <v>266</v>
      </c>
    </row>
    <row r="4" spans="1:4" ht="12.75">
      <c r="A4" s="194" t="s">
        <v>267</v>
      </c>
      <c r="B4" s="194"/>
      <c r="C4" s="194"/>
      <c r="D4" s="194"/>
    </row>
    <row r="5" spans="1:4" ht="25.5">
      <c r="A5" s="227" t="s">
        <v>268</v>
      </c>
      <c r="B5" s="227"/>
      <c r="C5" s="228" t="s">
        <v>269</v>
      </c>
      <c r="D5" s="228"/>
    </row>
    <row r="6" spans="1:4" ht="25.5">
      <c r="A6" s="227" t="s">
        <v>397</v>
      </c>
      <c r="B6" s="227" t="s">
        <v>280</v>
      </c>
      <c r="C6" s="228" t="s">
        <v>272</v>
      </c>
      <c r="D6" s="228" t="s">
        <v>398</v>
      </c>
    </row>
    <row r="7" spans="1:4" ht="25.5">
      <c r="A7" s="227" t="s">
        <v>270</v>
      </c>
      <c r="B7" s="227" t="s">
        <v>271</v>
      </c>
      <c r="C7" s="228" t="s">
        <v>272</v>
      </c>
      <c r="D7" s="228" t="s">
        <v>273</v>
      </c>
    </row>
    <row r="8" spans="1:4" ht="12.75">
      <c r="A8" s="227" t="s">
        <v>274</v>
      </c>
      <c r="B8" s="227" t="s">
        <v>271</v>
      </c>
      <c r="C8" s="228" t="s">
        <v>272</v>
      </c>
      <c r="D8" s="228" t="s">
        <v>275</v>
      </c>
    </row>
    <row r="9" spans="1:4" ht="25.5">
      <c r="A9" s="227" t="s">
        <v>276</v>
      </c>
      <c r="B9" s="227" t="s">
        <v>277</v>
      </c>
      <c r="C9" s="228" t="s">
        <v>278</v>
      </c>
      <c r="D9" s="228" t="s">
        <v>279</v>
      </c>
    </row>
    <row r="10" spans="1:4" ht="25.5">
      <c r="A10" s="227" t="s">
        <v>276</v>
      </c>
      <c r="B10" s="227" t="s">
        <v>280</v>
      </c>
      <c r="C10" s="228" t="s">
        <v>281</v>
      </c>
      <c r="D10" s="228" t="s">
        <v>279</v>
      </c>
    </row>
    <row r="11" spans="1:4" ht="12.75">
      <c r="A11" s="227" t="s">
        <v>282</v>
      </c>
      <c r="B11" s="227" t="s">
        <v>280</v>
      </c>
      <c r="C11" s="228" t="s">
        <v>283</v>
      </c>
      <c r="D11" s="228"/>
    </row>
    <row r="12" spans="1:4" ht="30" customHeight="1">
      <c r="A12" s="227" t="s">
        <v>284</v>
      </c>
      <c r="B12" s="227" t="s">
        <v>271</v>
      </c>
      <c r="C12" s="228" t="s">
        <v>272</v>
      </c>
      <c r="D12" s="228" t="s">
        <v>285</v>
      </c>
    </row>
    <row r="13" spans="1:4" ht="12.75">
      <c r="A13" s="227" t="s">
        <v>286</v>
      </c>
      <c r="B13" s="227" t="s">
        <v>271</v>
      </c>
      <c r="C13" s="228" t="s">
        <v>272</v>
      </c>
      <c r="D13" s="227" t="s">
        <v>287</v>
      </c>
    </row>
    <row r="14" spans="1:4" ht="25.5">
      <c r="A14" s="229" t="s">
        <v>288</v>
      </c>
      <c r="B14" s="229" t="s">
        <v>271</v>
      </c>
      <c r="C14" s="230" t="s">
        <v>272</v>
      </c>
      <c r="D14" s="230" t="s">
        <v>289</v>
      </c>
    </row>
    <row r="15" spans="1:4" ht="25.5">
      <c r="A15" s="227" t="s">
        <v>290</v>
      </c>
      <c r="B15" s="227" t="s">
        <v>271</v>
      </c>
      <c r="C15" s="228" t="s">
        <v>272</v>
      </c>
      <c r="D15" s="228" t="s">
        <v>291</v>
      </c>
    </row>
    <row r="16" spans="1:4" ht="25.5">
      <c r="A16" s="227" t="s">
        <v>292</v>
      </c>
      <c r="B16" s="227" t="s">
        <v>280</v>
      </c>
      <c r="C16" s="228" t="s">
        <v>272</v>
      </c>
      <c r="D16" s="228" t="s">
        <v>293</v>
      </c>
    </row>
    <row r="17" spans="1:4" ht="25.5">
      <c r="A17" s="227" t="s">
        <v>294</v>
      </c>
      <c r="B17" s="227" t="s">
        <v>271</v>
      </c>
      <c r="C17" s="228" t="s">
        <v>272</v>
      </c>
      <c r="D17" s="231" t="s">
        <v>295</v>
      </c>
    </row>
    <row r="18" spans="1:4" ht="25.5">
      <c r="A18" s="227" t="s">
        <v>296</v>
      </c>
      <c r="B18" s="227" t="s">
        <v>271</v>
      </c>
      <c r="C18" s="228" t="s">
        <v>272</v>
      </c>
      <c r="D18" s="231" t="s">
        <v>297</v>
      </c>
    </row>
    <row r="19" spans="1:4" ht="25.5">
      <c r="A19" s="227" t="s">
        <v>298</v>
      </c>
      <c r="B19" s="227" t="s">
        <v>280</v>
      </c>
      <c r="C19" s="228" t="s">
        <v>272</v>
      </c>
      <c r="D19" s="231" t="s">
        <v>291</v>
      </c>
    </row>
    <row r="20" spans="1:4" ht="25.5">
      <c r="A20" s="227" t="s">
        <v>299</v>
      </c>
      <c r="B20" s="227" t="s">
        <v>271</v>
      </c>
      <c r="C20" s="228" t="s">
        <v>272</v>
      </c>
      <c r="D20" s="231" t="s">
        <v>297</v>
      </c>
    </row>
    <row r="21" spans="1:4" ht="12.75">
      <c r="A21" s="227" t="s">
        <v>300</v>
      </c>
      <c r="B21" s="227" t="s">
        <v>301</v>
      </c>
      <c r="C21" s="228" t="s">
        <v>302</v>
      </c>
      <c r="D21" s="231"/>
    </row>
    <row r="22" spans="1:4" ht="25.5">
      <c r="A22" s="227" t="s">
        <v>300</v>
      </c>
      <c r="B22" s="227" t="s">
        <v>280</v>
      </c>
      <c r="C22" s="228" t="s">
        <v>272</v>
      </c>
      <c r="D22" s="231" t="s">
        <v>295</v>
      </c>
    </row>
    <row r="23" spans="1:4" ht="25.5">
      <c r="A23" s="227" t="s">
        <v>303</v>
      </c>
      <c r="B23" s="227" t="s">
        <v>271</v>
      </c>
      <c r="C23" s="228" t="s">
        <v>272</v>
      </c>
      <c r="D23" s="231" t="s">
        <v>304</v>
      </c>
    </row>
    <row r="24" spans="1:4" ht="25.5">
      <c r="A24" s="227" t="s">
        <v>305</v>
      </c>
      <c r="B24" s="227" t="s">
        <v>271</v>
      </c>
      <c r="C24" s="228" t="s">
        <v>272</v>
      </c>
      <c r="D24" s="231" t="s">
        <v>306</v>
      </c>
    </row>
    <row r="25" spans="1:4" ht="38.25">
      <c r="A25" s="227" t="s">
        <v>307</v>
      </c>
      <c r="B25" s="227" t="s">
        <v>271</v>
      </c>
      <c r="C25" s="228" t="s">
        <v>272</v>
      </c>
      <c r="D25" s="231" t="s">
        <v>308</v>
      </c>
    </row>
    <row r="26" spans="1:4" ht="25.5">
      <c r="A26" s="227" t="s">
        <v>309</v>
      </c>
      <c r="B26" s="227" t="s">
        <v>271</v>
      </c>
      <c r="C26" s="228" t="s">
        <v>272</v>
      </c>
      <c r="D26" s="231" t="s">
        <v>304</v>
      </c>
    </row>
    <row r="27" spans="1:4" ht="25.5">
      <c r="A27" s="227" t="s">
        <v>310</v>
      </c>
      <c r="B27" s="227" t="s">
        <v>280</v>
      </c>
      <c r="C27" s="228" t="s">
        <v>272</v>
      </c>
      <c r="D27" s="231" t="s">
        <v>311</v>
      </c>
    </row>
    <row r="28" spans="1:4" ht="25.5">
      <c r="A28" s="227" t="s">
        <v>312</v>
      </c>
      <c r="B28" s="227" t="s">
        <v>280</v>
      </c>
      <c r="C28" s="228" t="s">
        <v>272</v>
      </c>
      <c r="D28" s="231" t="s">
        <v>295</v>
      </c>
    </row>
    <row r="29" spans="1:4" ht="25.5">
      <c r="A29" s="227" t="s">
        <v>313</v>
      </c>
      <c r="B29" s="227" t="s">
        <v>271</v>
      </c>
      <c r="C29" s="228" t="s">
        <v>272</v>
      </c>
      <c r="D29" s="231" t="s">
        <v>295</v>
      </c>
    </row>
    <row r="30" spans="1:4" ht="25.5">
      <c r="A30" s="227" t="s">
        <v>314</v>
      </c>
      <c r="B30" s="227" t="s">
        <v>280</v>
      </c>
      <c r="C30" s="228" t="s">
        <v>272</v>
      </c>
      <c r="D30" s="231" t="s">
        <v>295</v>
      </c>
    </row>
    <row r="31" spans="1:4" ht="12.75">
      <c r="A31" s="194" t="s">
        <v>262</v>
      </c>
      <c r="B31" s="194" t="s">
        <v>263</v>
      </c>
      <c r="C31" s="194" t="s">
        <v>264</v>
      </c>
      <c r="D31" s="194" t="s">
        <v>265</v>
      </c>
    </row>
    <row r="32" spans="1:4" ht="12.75">
      <c r="A32" s="194"/>
      <c r="B32" s="194"/>
      <c r="C32" s="194"/>
      <c r="D32" s="194" t="s">
        <v>266</v>
      </c>
    </row>
    <row r="33" spans="1:4" ht="12.75">
      <c r="A33" s="194" t="s">
        <v>315</v>
      </c>
      <c r="B33" s="194"/>
      <c r="C33" s="194"/>
      <c r="D33" s="194"/>
    </row>
    <row r="34" spans="1:4" ht="25.5">
      <c r="A34" s="227" t="s">
        <v>268</v>
      </c>
      <c r="B34" s="227"/>
      <c r="C34" s="228" t="s">
        <v>316</v>
      </c>
      <c r="D34" s="231"/>
    </row>
    <row r="35" spans="1:4" ht="25.5">
      <c r="A35" s="227" t="s">
        <v>317</v>
      </c>
      <c r="B35" s="227" t="s">
        <v>280</v>
      </c>
      <c r="C35" s="228" t="s">
        <v>272</v>
      </c>
      <c r="D35" s="231" t="s">
        <v>318</v>
      </c>
    </row>
    <row r="36" spans="1:4" ht="25.5">
      <c r="A36" s="227" t="s">
        <v>319</v>
      </c>
      <c r="B36" s="227" t="s">
        <v>280</v>
      </c>
      <c r="C36" s="228" t="s">
        <v>272</v>
      </c>
      <c r="D36" s="231" t="s">
        <v>320</v>
      </c>
    </row>
    <row r="37" spans="1:4" ht="38.25">
      <c r="A37" s="227" t="s">
        <v>321</v>
      </c>
      <c r="B37" s="227" t="s">
        <v>271</v>
      </c>
      <c r="C37" s="228" t="s">
        <v>272</v>
      </c>
      <c r="D37" s="231" t="s">
        <v>322</v>
      </c>
    </row>
    <row r="38" spans="1:4" ht="25.5">
      <c r="A38" s="227" t="s">
        <v>292</v>
      </c>
      <c r="B38" s="227" t="s">
        <v>280</v>
      </c>
      <c r="C38" s="228" t="s">
        <v>272</v>
      </c>
      <c r="D38" s="228" t="s">
        <v>293</v>
      </c>
    </row>
    <row r="39" spans="1:4" ht="25.5">
      <c r="A39" s="227" t="s">
        <v>251</v>
      </c>
      <c r="B39" s="227" t="s">
        <v>280</v>
      </c>
      <c r="C39" s="228" t="s">
        <v>272</v>
      </c>
      <c r="D39" s="228" t="s">
        <v>318</v>
      </c>
    </row>
    <row r="40" spans="1:4" ht="25.5">
      <c r="A40" s="227" t="s">
        <v>323</v>
      </c>
      <c r="B40" s="227" t="s">
        <v>280</v>
      </c>
      <c r="C40" s="228" t="s">
        <v>272</v>
      </c>
      <c r="D40" s="228" t="s">
        <v>324</v>
      </c>
    </row>
    <row r="41" spans="1:4" ht="25.5">
      <c r="A41" s="227" t="s">
        <v>325</v>
      </c>
      <c r="B41" s="227" t="s">
        <v>280</v>
      </c>
      <c r="C41" s="228" t="s">
        <v>272</v>
      </c>
      <c r="D41" s="228" t="s">
        <v>326</v>
      </c>
    </row>
    <row r="42" spans="1:4" ht="12.75">
      <c r="A42" s="227" t="s">
        <v>327</v>
      </c>
      <c r="B42" s="227" t="s">
        <v>271</v>
      </c>
      <c r="C42" s="228" t="s">
        <v>272</v>
      </c>
      <c r="D42" s="231" t="s">
        <v>287</v>
      </c>
    </row>
    <row r="43" spans="1:4" ht="25.5">
      <c r="A43" s="227" t="s">
        <v>328</v>
      </c>
      <c r="B43" s="227" t="s">
        <v>271</v>
      </c>
      <c r="C43" s="228" t="s">
        <v>272</v>
      </c>
      <c r="D43" s="231" t="s">
        <v>295</v>
      </c>
    </row>
    <row r="44" spans="1:4" ht="25.5">
      <c r="A44" s="227" t="s">
        <v>329</v>
      </c>
      <c r="B44" s="227" t="s">
        <v>280</v>
      </c>
      <c r="C44" s="228" t="s">
        <v>272</v>
      </c>
      <c r="D44" s="231" t="s">
        <v>330</v>
      </c>
    </row>
    <row r="45" spans="1:4" ht="25.5">
      <c r="A45" s="227" t="s">
        <v>331</v>
      </c>
      <c r="B45" s="227" t="s">
        <v>280</v>
      </c>
      <c r="C45" s="228" t="s">
        <v>272</v>
      </c>
      <c r="D45" s="231" t="s">
        <v>332</v>
      </c>
    </row>
    <row r="46" spans="1:4" ht="25.5">
      <c r="A46" s="227" t="s">
        <v>333</v>
      </c>
      <c r="B46" s="227" t="s">
        <v>280</v>
      </c>
      <c r="C46" s="228" t="s">
        <v>272</v>
      </c>
      <c r="D46" s="228" t="s">
        <v>334</v>
      </c>
    </row>
    <row r="47" spans="1:4" ht="25.5">
      <c r="A47" s="227" t="s">
        <v>335</v>
      </c>
      <c r="B47" s="227" t="s">
        <v>280</v>
      </c>
      <c r="C47" s="228" t="s">
        <v>272</v>
      </c>
      <c r="D47" s="231" t="s">
        <v>295</v>
      </c>
    </row>
    <row r="48" spans="1:4" ht="12.75">
      <c r="A48" s="227" t="s">
        <v>336</v>
      </c>
      <c r="B48" s="227" t="s">
        <v>271</v>
      </c>
      <c r="C48" s="228" t="s">
        <v>272</v>
      </c>
      <c r="D48" s="231" t="s">
        <v>287</v>
      </c>
    </row>
    <row r="49" spans="1:4" ht="25.5">
      <c r="A49" s="227" t="s">
        <v>337</v>
      </c>
      <c r="B49" s="227" t="s">
        <v>271</v>
      </c>
      <c r="C49" s="228" t="s">
        <v>272</v>
      </c>
      <c r="D49" s="231" t="s">
        <v>293</v>
      </c>
    </row>
    <row r="50" spans="1:4" ht="25.5">
      <c r="A50" s="227" t="s">
        <v>338</v>
      </c>
      <c r="B50" s="227" t="s">
        <v>280</v>
      </c>
      <c r="C50" s="228" t="s">
        <v>339</v>
      </c>
      <c r="D50" s="231" t="s">
        <v>340</v>
      </c>
    </row>
    <row r="51" spans="1:4" ht="38.25">
      <c r="A51" s="227" t="s">
        <v>341</v>
      </c>
      <c r="B51" s="227" t="s">
        <v>280</v>
      </c>
      <c r="C51" s="228" t="s">
        <v>272</v>
      </c>
      <c r="D51" s="231" t="s">
        <v>342</v>
      </c>
    </row>
    <row r="52" spans="1:4" ht="12.75">
      <c r="A52" s="194" t="s">
        <v>262</v>
      </c>
      <c r="B52" s="194" t="s">
        <v>263</v>
      </c>
      <c r="C52" s="194" t="s">
        <v>264</v>
      </c>
      <c r="D52" s="194" t="s">
        <v>265</v>
      </c>
    </row>
    <row r="53" spans="1:4" ht="12.75">
      <c r="A53" s="194"/>
      <c r="B53" s="194"/>
      <c r="C53" s="194"/>
      <c r="D53" s="194" t="s">
        <v>266</v>
      </c>
    </row>
    <row r="54" spans="1:4" ht="12.75">
      <c r="A54" s="194" t="s">
        <v>343</v>
      </c>
      <c r="B54" s="194"/>
      <c r="C54" s="194"/>
      <c r="D54" s="194"/>
    </row>
    <row r="55" spans="1:4" ht="38.25">
      <c r="A55" s="227" t="s">
        <v>268</v>
      </c>
      <c r="B55" s="227"/>
      <c r="C55" s="228" t="s">
        <v>344</v>
      </c>
      <c r="D55" s="228"/>
    </row>
    <row r="56" spans="1:4" ht="25.5">
      <c r="A56" s="227" t="s">
        <v>345</v>
      </c>
      <c r="B56" s="227" t="s">
        <v>280</v>
      </c>
      <c r="C56" s="228" t="s">
        <v>346</v>
      </c>
      <c r="D56" s="231" t="s">
        <v>347</v>
      </c>
    </row>
    <row r="57" spans="1:4" ht="25.5">
      <c r="A57" s="227" t="s">
        <v>348</v>
      </c>
      <c r="B57" s="227" t="s">
        <v>280</v>
      </c>
      <c r="C57" s="228" t="s">
        <v>272</v>
      </c>
      <c r="D57" s="231" t="s">
        <v>349</v>
      </c>
    </row>
    <row r="58" spans="1:4" ht="12.75">
      <c r="A58" s="227" t="s">
        <v>350</v>
      </c>
      <c r="B58" s="227" t="s">
        <v>280</v>
      </c>
      <c r="C58" s="228" t="s">
        <v>272</v>
      </c>
      <c r="D58" s="231" t="s">
        <v>351</v>
      </c>
    </row>
    <row r="59" spans="1:4" ht="12.75">
      <c r="A59" s="227" t="s">
        <v>350</v>
      </c>
      <c r="B59" s="227" t="s">
        <v>280</v>
      </c>
      <c r="C59" s="228" t="s">
        <v>352</v>
      </c>
      <c r="D59" s="231"/>
    </row>
    <row r="60" spans="1:4" ht="12.75">
      <c r="A60" s="227" t="s">
        <v>353</v>
      </c>
      <c r="B60" s="227" t="s">
        <v>280</v>
      </c>
      <c r="C60" s="228" t="s">
        <v>272</v>
      </c>
      <c r="D60" s="231" t="s">
        <v>351</v>
      </c>
    </row>
    <row r="61" spans="1:4" ht="25.5">
      <c r="A61" s="227" t="s">
        <v>354</v>
      </c>
      <c r="B61" s="227" t="s">
        <v>280</v>
      </c>
      <c r="C61" s="228" t="s">
        <v>272</v>
      </c>
      <c r="D61" s="231" t="s">
        <v>295</v>
      </c>
    </row>
    <row r="62" spans="1:4" ht="12.75">
      <c r="A62" s="227" t="s">
        <v>355</v>
      </c>
      <c r="B62" s="227" t="s">
        <v>280</v>
      </c>
      <c r="C62" s="228" t="s">
        <v>272</v>
      </c>
      <c r="D62" s="231" t="s">
        <v>351</v>
      </c>
    </row>
    <row r="63" spans="1:4" ht="12.75">
      <c r="A63" s="227" t="s">
        <v>355</v>
      </c>
      <c r="B63" s="227" t="s">
        <v>280</v>
      </c>
      <c r="C63" s="228" t="s">
        <v>352</v>
      </c>
      <c r="D63" s="231"/>
    </row>
    <row r="64" spans="1:4" ht="25.5">
      <c r="A64" s="227" t="s">
        <v>356</v>
      </c>
      <c r="B64" s="227" t="s">
        <v>280</v>
      </c>
      <c r="C64" s="228" t="s">
        <v>272</v>
      </c>
      <c r="D64" s="231" t="s">
        <v>357</v>
      </c>
    </row>
    <row r="65" spans="1:4" ht="12.75">
      <c r="A65" s="227" t="s">
        <v>356</v>
      </c>
      <c r="B65" s="227" t="s">
        <v>280</v>
      </c>
      <c r="C65" s="228" t="s">
        <v>352</v>
      </c>
      <c r="D65" s="231"/>
    </row>
    <row r="66" spans="1:4" ht="25.5">
      <c r="A66" s="227" t="s">
        <v>358</v>
      </c>
      <c r="B66" s="227" t="s">
        <v>280</v>
      </c>
      <c r="C66" s="228" t="s">
        <v>272</v>
      </c>
      <c r="D66" s="231" t="s">
        <v>359</v>
      </c>
    </row>
    <row r="67" spans="1:4" ht="25.5">
      <c r="A67" s="227" t="s">
        <v>358</v>
      </c>
      <c r="B67" s="227" t="s">
        <v>280</v>
      </c>
      <c r="C67" s="228" t="s">
        <v>352</v>
      </c>
      <c r="D67" s="231"/>
    </row>
    <row r="68" spans="1:4" ht="25.5">
      <c r="A68" s="227" t="s">
        <v>360</v>
      </c>
      <c r="B68" s="227" t="s">
        <v>280</v>
      </c>
      <c r="C68" s="228" t="s">
        <v>272</v>
      </c>
      <c r="D68" s="231" t="s">
        <v>361</v>
      </c>
    </row>
    <row r="69" spans="1:4" ht="25.5">
      <c r="A69" s="227" t="s">
        <v>362</v>
      </c>
      <c r="B69" s="227" t="s">
        <v>280</v>
      </c>
      <c r="C69" s="228" t="s">
        <v>272</v>
      </c>
      <c r="D69" s="231" t="s">
        <v>306</v>
      </c>
    </row>
    <row r="70" spans="1:4" ht="12.75">
      <c r="A70" s="227" t="s">
        <v>362</v>
      </c>
      <c r="B70" s="227" t="s">
        <v>280</v>
      </c>
      <c r="C70" s="228" t="s">
        <v>352</v>
      </c>
      <c r="D70" s="231"/>
    </row>
    <row r="71" spans="1:4" ht="25.5">
      <c r="A71" s="227" t="s">
        <v>58</v>
      </c>
      <c r="B71" s="227" t="s">
        <v>280</v>
      </c>
      <c r="C71" s="228" t="s">
        <v>363</v>
      </c>
      <c r="D71" s="231" t="s">
        <v>320</v>
      </c>
    </row>
    <row r="72" spans="1:4" ht="12.75">
      <c r="A72" s="227" t="s">
        <v>58</v>
      </c>
      <c r="B72" s="227" t="s">
        <v>280</v>
      </c>
      <c r="C72" s="228" t="s">
        <v>352</v>
      </c>
      <c r="D72" s="231"/>
    </row>
    <row r="73" spans="1:4" ht="12.75">
      <c r="A73" s="194" t="s">
        <v>262</v>
      </c>
      <c r="B73" s="194" t="s">
        <v>263</v>
      </c>
      <c r="C73" s="194" t="s">
        <v>264</v>
      </c>
      <c r="D73" s="194" t="s">
        <v>265</v>
      </c>
    </row>
    <row r="74" spans="1:4" ht="12.75">
      <c r="A74" s="194"/>
      <c r="B74" s="194"/>
      <c r="C74" s="194"/>
      <c r="D74" s="194" t="s">
        <v>266</v>
      </c>
    </row>
    <row r="75" spans="1:4" ht="12.75">
      <c r="A75" s="194" t="s">
        <v>364</v>
      </c>
      <c r="B75" s="194"/>
      <c r="C75" s="194"/>
      <c r="D75" s="194"/>
    </row>
    <row r="76" spans="1:4" ht="25.5">
      <c r="A76" s="227" t="s">
        <v>268</v>
      </c>
      <c r="B76" s="227"/>
      <c r="C76" s="228" t="s">
        <v>365</v>
      </c>
      <c r="D76" s="228"/>
    </row>
    <row r="77" spans="1:4" ht="12.75">
      <c r="A77" s="194" t="s">
        <v>366</v>
      </c>
      <c r="B77" s="194"/>
      <c r="C77" s="194"/>
      <c r="D77" s="194"/>
    </row>
    <row r="78" spans="1:4" ht="25.5">
      <c r="A78" s="227" t="s">
        <v>367</v>
      </c>
      <c r="B78" s="227" t="s">
        <v>280</v>
      </c>
      <c r="C78" s="228" t="s">
        <v>368</v>
      </c>
      <c r="D78" s="231" t="s">
        <v>340</v>
      </c>
    </row>
    <row r="79" spans="1:4" ht="25.5">
      <c r="A79" s="227" t="s">
        <v>369</v>
      </c>
      <c r="B79" s="227" t="s">
        <v>280</v>
      </c>
      <c r="C79" s="228" t="s">
        <v>368</v>
      </c>
      <c r="D79" s="231" t="s">
        <v>340</v>
      </c>
    </row>
    <row r="80" spans="1:4" ht="25.5">
      <c r="A80" s="227" t="s">
        <v>370</v>
      </c>
      <c r="B80" s="227" t="s">
        <v>280</v>
      </c>
      <c r="C80" s="228" t="s">
        <v>368</v>
      </c>
      <c r="D80" s="231" t="s">
        <v>371</v>
      </c>
    </row>
    <row r="81" spans="1:4" ht="25.5">
      <c r="A81" s="227" t="s">
        <v>372</v>
      </c>
      <c r="B81" s="227" t="s">
        <v>280</v>
      </c>
      <c r="C81" s="228" t="s">
        <v>368</v>
      </c>
      <c r="D81" s="231" t="s">
        <v>373</v>
      </c>
    </row>
    <row r="82" spans="1:4" ht="25.5">
      <c r="A82" s="227" t="s">
        <v>374</v>
      </c>
      <c r="B82" s="227" t="s">
        <v>280</v>
      </c>
      <c r="C82" s="228" t="s">
        <v>368</v>
      </c>
      <c r="D82" s="231" t="s">
        <v>373</v>
      </c>
    </row>
    <row r="83" spans="1:4" ht="12.75">
      <c r="A83" s="194" t="s">
        <v>375</v>
      </c>
      <c r="B83" s="194"/>
      <c r="C83" s="194"/>
      <c r="D83" s="194"/>
    </row>
    <row r="84" spans="1:4" ht="25.5">
      <c r="A84" s="227" t="s">
        <v>367</v>
      </c>
      <c r="B84" s="227" t="s">
        <v>280</v>
      </c>
      <c r="C84" s="228" t="s">
        <v>368</v>
      </c>
      <c r="D84" s="231" t="s">
        <v>340</v>
      </c>
    </row>
    <row r="85" spans="1:4" ht="25.5">
      <c r="A85" s="227" t="s">
        <v>369</v>
      </c>
      <c r="B85" s="227" t="s">
        <v>280</v>
      </c>
      <c r="C85" s="228" t="s">
        <v>368</v>
      </c>
      <c r="D85" s="231" t="s">
        <v>340</v>
      </c>
    </row>
    <row r="86" spans="1:4" ht="25.5">
      <c r="A86" s="227" t="s">
        <v>370</v>
      </c>
      <c r="B86" s="227" t="s">
        <v>280</v>
      </c>
      <c r="C86" s="228" t="s">
        <v>368</v>
      </c>
      <c r="D86" s="231" t="s">
        <v>371</v>
      </c>
    </row>
    <row r="87" spans="1:4" ht="25.5">
      <c r="A87" s="227" t="s">
        <v>372</v>
      </c>
      <c r="B87" s="227" t="s">
        <v>280</v>
      </c>
      <c r="C87" s="228" t="s">
        <v>368</v>
      </c>
      <c r="D87" s="231" t="s">
        <v>373</v>
      </c>
    </row>
    <row r="88" spans="1:4" ht="25.5">
      <c r="A88" s="227" t="s">
        <v>374</v>
      </c>
      <c r="B88" s="227" t="s">
        <v>280</v>
      </c>
      <c r="C88" s="228" t="s">
        <v>368</v>
      </c>
      <c r="D88" s="231" t="s">
        <v>373</v>
      </c>
    </row>
    <row r="89" spans="1:4" ht="12.75">
      <c r="A89" s="194" t="s">
        <v>38</v>
      </c>
      <c r="B89" s="194"/>
      <c r="C89" s="194"/>
      <c r="D89" s="194"/>
    </row>
    <row r="90" spans="1:4" ht="25.5">
      <c r="A90" s="227" t="s">
        <v>367</v>
      </c>
      <c r="B90" s="227" t="s">
        <v>280</v>
      </c>
      <c r="C90" s="228" t="s">
        <v>376</v>
      </c>
      <c r="D90" s="231" t="s">
        <v>340</v>
      </c>
    </row>
    <row r="91" spans="1:4" ht="25.5">
      <c r="A91" s="227" t="s">
        <v>369</v>
      </c>
      <c r="B91" s="227" t="s">
        <v>280</v>
      </c>
      <c r="C91" s="228" t="s">
        <v>376</v>
      </c>
      <c r="D91" s="231" t="s">
        <v>340</v>
      </c>
    </row>
    <row r="92" spans="1:4" ht="25.5">
      <c r="A92" s="227" t="s">
        <v>370</v>
      </c>
      <c r="B92" s="227" t="s">
        <v>280</v>
      </c>
      <c r="C92" s="228" t="s">
        <v>376</v>
      </c>
      <c r="D92" s="231" t="s">
        <v>371</v>
      </c>
    </row>
  </sheetData>
  <dataConsolidate/>
  <phoneticPr fontId="17" type="noConversion"/>
  <pageMargins left="0.2" right="0.21" top="0.57999999999999996" bottom="0.59" header="0.5" footer="0.5"/>
  <pageSetup paperSize="9" scale="62" fitToHeight="0" orientation="portrait" r:id="rId1"/>
  <headerFooter alignWithMargins="0"/>
  <rowBreaks count="2" manualBreakCount="2">
    <brk id="51" max="16383" man="1"/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F394-4871-4C89-B206-F8B668D86E02}">
  <sheetPr>
    <tabColor theme="0" tint="-0.14999847407452621"/>
  </sheetPr>
  <dimension ref="A1:C44"/>
  <sheetViews>
    <sheetView view="pageBreakPreview" zoomScaleNormal="100" zoomScaleSheetLayoutView="100" workbookViewId="0">
      <selection activeCell="A2" sqref="A2"/>
    </sheetView>
  </sheetViews>
  <sheetFormatPr defaultColWidth="9" defaultRowHeight="12.75"/>
  <cols>
    <col min="1" max="1" width="52" style="232" customWidth="1"/>
    <col min="2" max="2" width="16.42578125" style="232" bestFit="1" customWidth="1"/>
    <col min="3" max="3" width="37.42578125" style="232" bestFit="1" customWidth="1"/>
    <col min="4" max="16384" width="9" style="226"/>
  </cols>
  <sheetData>
    <row r="1" spans="1:3" ht="22.5">
      <c r="A1" s="194" t="s">
        <v>584</v>
      </c>
      <c r="B1" s="194"/>
      <c r="C1" s="194"/>
    </row>
    <row r="2" spans="1:3">
      <c r="A2" s="194" t="s">
        <v>262</v>
      </c>
      <c r="B2" s="194" t="s">
        <v>263</v>
      </c>
      <c r="C2" s="194" t="s">
        <v>377</v>
      </c>
    </row>
    <row r="3" spans="1:3">
      <c r="A3" s="194" t="s">
        <v>267</v>
      </c>
      <c r="B3" s="194"/>
      <c r="C3" s="194"/>
    </row>
    <row r="4" spans="1:3">
      <c r="A4" s="227" t="s">
        <v>270</v>
      </c>
      <c r="B4" s="227" t="s">
        <v>271</v>
      </c>
      <c r="C4" s="228" t="s">
        <v>378</v>
      </c>
    </row>
    <row r="5" spans="1:3">
      <c r="A5" s="227" t="s">
        <v>276</v>
      </c>
      <c r="B5" s="227" t="s">
        <v>271</v>
      </c>
      <c r="C5" s="228" t="s">
        <v>378</v>
      </c>
    </row>
    <row r="6" spans="1:3">
      <c r="A6" s="227" t="s">
        <v>284</v>
      </c>
      <c r="B6" s="227" t="s">
        <v>271</v>
      </c>
      <c r="C6" s="228" t="s">
        <v>378</v>
      </c>
    </row>
    <row r="7" spans="1:3">
      <c r="A7" s="227" t="s">
        <v>286</v>
      </c>
      <c r="B7" s="227" t="s">
        <v>271</v>
      </c>
      <c r="C7" s="228" t="s">
        <v>378</v>
      </c>
    </row>
    <row r="8" spans="1:3">
      <c r="A8" s="229" t="s">
        <v>288</v>
      </c>
      <c r="B8" s="229" t="s">
        <v>271</v>
      </c>
      <c r="C8" s="230" t="s">
        <v>378</v>
      </c>
    </row>
    <row r="9" spans="1:3">
      <c r="A9" s="227" t="s">
        <v>290</v>
      </c>
      <c r="B9" s="227" t="s">
        <v>271</v>
      </c>
      <c r="C9" s="228" t="s">
        <v>378</v>
      </c>
    </row>
    <row r="10" spans="1:3">
      <c r="A10" s="227" t="s">
        <v>292</v>
      </c>
      <c r="B10" s="227" t="s">
        <v>280</v>
      </c>
      <c r="C10" s="228" t="s">
        <v>378</v>
      </c>
    </row>
    <row r="11" spans="1:3">
      <c r="A11" s="227" t="s">
        <v>294</v>
      </c>
      <c r="B11" s="227" t="s">
        <v>271</v>
      </c>
      <c r="C11" s="228" t="s">
        <v>378</v>
      </c>
    </row>
    <row r="12" spans="1:3">
      <c r="A12" s="227" t="s">
        <v>296</v>
      </c>
      <c r="B12" s="227" t="s">
        <v>271</v>
      </c>
      <c r="C12" s="228" t="s">
        <v>378</v>
      </c>
    </row>
    <row r="13" spans="1:3">
      <c r="A13" s="227" t="s">
        <v>298</v>
      </c>
      <c r="B13" s="227" t="s">
        <v>280</v>
      </c>
      <c r="C13" s="228" t="s">
        <v>378</v>
      </c>
    </row>
    <row r="14" spans="1:3">
      <c r="A14" s="227" t="s">
        <v>299</v>
      </c>
      <c r="B14" s="227" t="s">
        <v>271</v>
      </c>
      <c r="C14" s="228" t="s">
        <v>378</v>
      </c>
    </row>
    <row r="15" spans="1:3">
      <c r="A15" s="227" t="s">
        <v>300</v>
      </c>
      <c r="B15" s="227" t="s">
        <v>271</v>
      </c>
      <c r="C15" s="228" t="s">
        <v>378</v>
      </c>
    </row>
    <row r="16" spans="1:3">
      <c r="A16" s="227" t="s">
        <v>305</v>
      </c>
      <c r="B16" s="227" t="s">
        <v>271</v>
      </c>
      <c r="C16" s="228" t="s">
        <v>378</v>
      </c>
    </row>
    <row r="17" spans="1:3">
      <c r="A17" s="227" t="s">
        <v>307</v>
      </c>
      <c r="B17" s="227" t="s">
        <v>280</v>
      </c>
      <c r="C17" s="228" t="s">
        <v>378</v>
      </c>
    </row>
    <row r="18" spans="1:3">
      <c r="A18" s="227" t="s">
        <v>379</v>
      </c>
      <c r="B18" s="227" t="s">
        <v>280</v>
      </c>
      <c r="C18" s="228" t="s">
        <v>378</v>
      </c>
    </row>
    <row r="19" spans="1:3">
      <c r="A19" s="227" t="s">
        <v>310</v>
      </c>
      <c r="B19" s="227" t="s">
        <v>280</v>
      </c>
      <c r="C19" s="228" t="s">
        <v>378</v>
      </c>
    </row>
    <row r="20" spans="1:3">
      <c r="A20" s="227" t="s">
        <v>312</v>
      </c>
      <c r="B20" s="227" t="s">
        <v>280</v>
      </c>
      <c r="C20" s="228" t="s">
        <v>378</v>
      </c>
    </row>
    <row r="21" spans="1:3">
      <c r="A21" s="227" t="s">
        <v>313</v>
      </c>
      <c r="B21" s="227" t="s">
        <v>271</v>
      </c>
      <c r="C21" s="228" t="s">
        <v>378</v>
      </c>
    </row>
    <row r="22" spans="1:3">
      <c r="A22" s="227" t="s">
        <v>314</v>
      </c>
      <c r="B22" s="227" t="s">
        <v>280</v>
      </c>
      <c r="C22" s="228" t="s">
        <v>378</v>
      </c>
    </row>
    <row r="23" spans="1:3">
      <c r="A23" s="227" t="s">
        <v>323</v>
      </c>
      <c r="B23" s="227" t="s">
        <v>280</v>
      </c>
      <c r="C23" s="228" t="s">
        <v>378</v>
      </c>
    </row>
    <row r="24" spans="1:3">
      <c r="A24" s="227" t="s">
        <v>327</v>
      </c>
      <c r="B24" s="227" t="s">
        <v>271</v>
      </c>
      <c r="C24" s="228" t="s">
        <v>378</v>
      </c>
    </row>
    <row r="25" spans="1:3">
      <c r="A25" s="227" t="s">
        <v>329</v>
      </c>
      <c r="B25" s="227" t="s">
        <v>280</v>
      </c>
      <c r="C25" s="228" t="s">
        <v>378</v>
      </c>
    </row>
    <row r="26" spans="1:3">
      <c r="A26" s="227" t="s">
        <v>341</v>
      </c>
      <c r="B26" s="227" t="s">
        <v>280</v>
      </c>
      <c r="C26" s="228" t="s">
        <v>378</v>
      </c>
    </row>
    <row r="27" spans="1:3">
      <c r="A27" s="227" t="s">
        <v>331</v>
      </c>
      <c r="B27" s="227" t="s">
        <v>280</v>
      </c>
      <c r="C27" s="228" t="s">
        <v>378</v>
      </c>
    </row>
    <row r="28" spans="1:3">
      <c r="A28" s="227" t="s">
        <v>380</v>
      </c>
      <c r="B28" s="227" t="s">
        <v>271</v>
      </c>
      <c r="C28" s="228" t="s">
        <v>378</v>
      </c>
    </row>
    <row r="29" spans="1:3">
      <c r="A29" s="194" t="s">
        <v>343</v>
      </c>
      <c r="B29" s="194"/>
      <c r="C29" s="194"/>
    </row>
    <row r="30" spans="1:3">
      <c r="A30" s="227" t="s">
        <v>350</v>
      </c>
      <c r="B30" s="227" t="s">
        <v>280</v>
      </c>
      <c r="C30" s="228" t="s">
        <v>378</v>
      </c>
    </row>
    <row r="31" spans="1:3">
      <c r="A31" s="227" t="s">
        <v>353</v>
      </c>
      <c r="B31" s="227" t="s">
        <v>280</v>
      </c>
      <c r="C31" s="228" t="s">
        <v>378</v>
      </c>
    </row>
    <row r="32" spans="1:3">
      <c r="A32" s="227" t="s">
        <v>355</v>
      </c>
      <c r="B32" s="227" t="s">
        <v>280</v>
      </c>
      <c r="C32" s="228" t="s">
        <v>378</v>
      </c>
    </row>
    <row r="33" spans="1:3">
      <c r="A33" s="227" t="s">
        <v>356</v>
      </c>
      <c r="B33" s="227" t="s">
        <v>280</v>
      </c>
      <c r="C33" s="228" t="s">
        <v>378</v>
      </c>
    </row>
    <row r="34" spans="1:3">
      <c r="A34" s="227" t="s">
        <v>358</v>
      </c>
      <c r="B34" s="227" t="s">
        <v>280</v>
      </c>
      <c r="C34" s="228" t="s">
        <v>378</v>
      </c>
    </row>
    <row r="35" spans="1:3">
      <c r="A35" s="227" t="s">
        <v>360</v>
      </c>
      <c r="B35" s="227" t="s">
        <v>280</v>
      </c>
      <c r="C35" s="228" t="s">
        <v>378</v>
      </c>
    </row>
    <row r="36" spans="1:3">
      <c r="A36" s="227" t="s">
        <v>381</v>
      </c>
      <c r="B36" s="227" t="s">
        <v>280</v>
      </c>
      <c r="C36" s="228" t="s">
        <v>378</v>
      </c>
    </row>
    <row r="37" spans="1:3">
      <c r="A37" s="227" t="s">
        <v>362</v>
      </c>
      <c r="B37" s="227" t="s">
        <v>280</v>
      </c>
      <c r="C37" s="228" t="s">
        <v>378</v>
      </c>
    </row>
    <row r="38" spans="1:3">
      <c r="A38" s="227" t="s">
        <v>58</v>
      </c>
      <c r="B38" s="227" t="s">
        <v>280</v>
      </c>
      <c r="C38" s="228" t="s">
        <v>378</v>
      </c>
    </row>
    <row r="39" spans="1:3">
      <c r="A39" s="227" t="s">
        <v>382</v>
      </c>
      <c r="B39" s="227" t="s">
        <v>280</v>
      </c>
      <c r="C39" s="228" t="s">
        <v>383</v>
      </c>
    </row>
    <row r="40" spans="1:3">
      <c r="A40" s="194" t="s">
        <v>364</v>
      </c>
      <c r="B40" s="194"/>
      <c r="C40" s="194"/>
    </row>
    <row r="41" spans="1:3">
      <c r="A41" s="227" t="s">
        <v>366</v>
      </c>
      <c r="B41" s="227" t="s">
        <v>280</v>
      </c>
      <c r="C41" s="228" t="s">
        <v>384</v>
      </c>
    </row>
    <row r="42" spans="1:3">
      <c r="A42" s="227" t="s">
        <v>375</v>
      </c>
      <c r="B42" s="227" t="s">
        <v>280</v>
      </c>
      <c r="C42" s="228" t="s">
        <v>384</v>
      </c>
    </row>
    <row r="43" spans="1:3">
      <c r="A43" s="227" t="s">
        <v>38</v>
      </c>
      <c r="B43" s="227" t="s">
        <v>280</v>
      </c>
      <c r="C43" s="228" t="s">
        <v>384</v>
      </c>
    </row>
    <row r="44" spans="1:3">
      <c r="A44" s="227"/>
      <c r="B44" s="227"/>
      <c r="C44" s="228"/>
    </row>
  </sheetData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BF67-0A91-4693-8B0B-161CF46DB58A}">
  <sheetPr>
    <tabColor theme="0" tint="-0.14999847407452621"/>
  </sheetPr>
  <dimension ref="A1:A15"/>
  <sheetViews>
    <sheetView view="pageBreakPreview" zoomScaleNormal="100" zoomScaleSheetLayoutView="100" workbookViewId="0">
      <selection activeCell="A4" sqref="A4"/>
    </sheetView>
  </sheetViews>
  <sheetFormatPr defaultColWidth="9.140625" defaultRowHeight="15" customHeight="1"/>
  <cols>
    <col min="1" max="1" width="126.7109375" style="7" bestFit="1" customWidth="1"/>
    <col min="2" max="2" width="17.85546875" style="7" bestFit="1" customWidth="1"/>
    <col min="3" max="5" width="9.140625" style="7"/>
    <col min="6" max="6" width="19.7109375" style="7" customWidth="1"/>
    <col min="7" max="16384" width="9.140625" style="7"/>
  </cols>
  <sheetData>
    <row r="1" spans="1:1" ht="15" customHeight="1">
      <c r="A1" s="80"/>
    </row>
    <row r="2" spans="1:1" ht="11.25">
      <c r="A2" s="328" t="s">
        <v>400</v>
      </c>
    </row>
    <row r="3" spans="1:1" ht="11.25">
      <c r="A3" s="329"/>
    </row>
    <row r="4" spans="1:1" ht="11.25">
      <c r="A4" s="233" t="s">
        <v>385</v>
      </c>
    </row>
    <row r="5" spans="1:1" ht="11.25">
      <c r="A5" s="233" t="s">
        <v>386</v>
      </c>
    </row>
    <row r="6" spans="1:1" ht="11.25">
      <c r="A6" s="233" t="s">
        <v>387</v>
      </c>
    </row>
    <row r="7" spans="1:1" ht="11.25">
      <c r="A7" s="233" t="s">
        <v>388</v>
      </c>
    </row>
    <row r="8" spans="1:1" ht="11.25">
      <c r="A8" s="233" t="s">
        <v>389</v>
      </c>
    </row>
    <row r="9" spans="1:1" ht="11.25">
      <c r="A9" s="234" t="s">
        <v>390</v>
      </c>
    </row>
    <row r="10" spans="1:1" ht="11.25">
      <c r="A10" s="234" t="s">
        <v>391</v>
      </c>
    </row>
    <row r="11" spans="1:1" ht="11.25">
      <c r="A11" s="234" t="s">
        <v>392</v>
      </c>
    </row>
    <row r="12" spans="1:1" ht="11.25">
      <c r="A12" s="234" t="s">
        <v>393</v>
      </c>
    </row>
    <row r="13" spans="1:1" ht="11.25">
      <c r="A13" s="233" t="s">
        <v>394</v>
      </c>
    </row>
    <row r="14" spans="1:1" ht="11.25">
      <c r="A14" s="7" t="s">
        <v>395</v>
      </c>
    </row>
    <row r="15" spans="1:1" ht="11.25">
      <c r="A15" s="235" t="s">
        <v>396</v>
      </c>
    </row>
  </sheetData>
  <mergeCells count="1">
    <mergeCell ref="A2:A3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>
    <tabColor theme="0" tint="-0.14999847407452621"/>
  </sheetPr>
  <dimension ref="A1:Q54"/>
  <sheetViews>
    <sheetView showGridLines="0" view="pageBreakPreview" zoomScaleNormal="100" zoomScaleSheetLayoutView="100" workbookViewId="0">
      <selection activeCell="D13" sqref="D13"/>
    </sheetView>
  </sheetViews>
  <sheetFormatPr defaultColWidth="7.85546875" defaultRowHeight="15" customHeight="1"/>
  <cols>
    <col min="1" max="1" width="15.140625" style="4" bestFit="1" customWidth="1"/>
    <col min="2" max="2" width="26" style="4" customWidth="1"/>
    <col min="3" max="3" width="18.28515625" style="4" customWidth="1"/>
    <col min="4" max="4" width="17.7109375" style="4" bestFit="1" customWidth="1"/>
    <col min="5" max="5" width="16.7109375" style="197" customWidth="1"/>
    <col min="6" max="6" width="1.5703125" style="4" customWidth="1"/>
    <col min="7" max="7" width="11" style="4" bestFit="1" customWidth="1"/>
    <col min="8" max="8" width="12" style="4" bestFit="1" customWidth="1"/>
    <col min="9" max="9" width="17.7109375" style="4" bestFit="1" customWidth="1"/>
    <col min="10" max="10" width="12" style="4" bestFit="1" customWidth="1"/>
    <col min="11" max="11" width="17.7109375" style="4" bestFit="1" customWidth="1"/>
    <col min="12" max="12" width="12" style="4" bestFit="1" customWidth="1"/>
    <col min="13" max="13" width="17.7109375" style="4" bestFit="1" customWidth="1"/>
    <col min="14" max="14" width="12" style="4" bestFit="1" customWidth="1"/>
    <col min="15" max="15" width="17.7109375" style="4" bestFit="1" customWidth="1"/>
    <col min="16" max="16" width="12" style="4" bestFit="1" customWidth="1"/>
    <col min="17" max="17" width="15.85546875" style="4" customWidth="1"/>
    <col min="18" max="16384" width="7.85546875" style="4"/>
  </cols>
  <sheetData>
    <row r="1" spans="1:17" s="7" customFormat="1" ht="26.25" customHeight="1">
      <c r="A1" s="347" t="s">
        <v>35</v>
      </c>
      <c r="B1" s="347"/>
      <c r="C1" s="347"/>
      <c r="D1" s="347"/>
      <c r="E1" s="347"/>
    </row>
    <row r="2" spans="1:17" s="7" customFormat="1" ht="15" customHeight="1">
      <c r="A2" s="348" t="s">
        <v>216</v>
      </c>
      <c r="B2" s="348"/>
      <c r="C2" s="348"/>
      <c r="D2" s="348"/>
      <c r="E2" s="348"/>
      <c r="G2" s="352" t="s">
        <v>253</v>
      </c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5" customHeight="1">
      <c r="E3" s="4"/>
      <c r="G3" s="194"/>
      <c r="H3" s="353">
        <v>2024</v>
      </c>
      <c r="I3" s="353"/>
      <c r="J3" s="354">
        <v>2025</v>
      </c>
      <c r="K3" s="355"/>
      <c r="L3" s="354">
        <v>2026</v>
      </c>
      <c r="M3" s="355"/>
      <c r="N3" s="354">
        <v>2027</v>
      </c>
      <c r="O3" s="355"/>
      <c r="P3" s="354">
        <v>2028</v>
      </c>
      <c r="Q3" s="355"/>
    </row>
    <row r="4" spans="1:17" s="19" customFormat="1" ht="26.25" customHeight="1">
      <c r="A4" s="338" t="s">
        <v>81</v>
      </c>
      <c r="B4" s="340"/>
      <c r="C4" s="81" t="s">
        <v>213</v>
      </c>
      <c r="D4" s="81" t="s">
        <v>227</v>
      </c>
      <c r="E4" s="81" t="s">
        <v>88</v>
      </c>
      <c r="G4" s="194" t="s">
        <v>254</v>
      </c>
      <c r="H4" s="194" t="s">
        <v>255</v>
      </c>
      <c r="I4" s="194" t="s">
        <v>256</v>
      </c>
      <c r="J4" s="194" t="s">
        <v>255</v>
      </c>
      <c r="K4" s="194" t="s">
        <v>256</v>
      </c>
      <c r="L4" s="194" t="s">
        <v>255</v>
      </c>
      <c r="M4" s="194" t="s">
        <v>256</v>
      </c>
      <c r="N4" s="194" t="s">
        <v>255</v>
      </c>
      <c r="O4" s="194" t="s">
        <v>256</v>
      </c>
      <c r="P4" s="194" t="s">
        <v>255</v>
      </c>
      <c r="Q4" s="194" t="s">
        <v>256</v>
      </c>
    </row>
    <row r="5" spans="1:17" ht="15" customHeight="1">
      <c r="A5" s="345" t="s">
        <v>104</v>
      </c>
      <c r="B5" s="346"/>
      <c r="C5" s="8">
        <v>0</v>
      </c>
      <c r="D5" s="9">
        <v>0</v>
      </c>
      <c r="E5" s="11">
        <f>C5*D5</f>
        <v>0</v>
      </c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</row>
    <row r="6" spans="1:17" ht="15" customHeight="1">
      <c r="A6" s="345" t="s">
        <v>72</v>
      </c>
      <c r="B6" s="346"/>
      <c r="C6" s="8">
        <v>0</v>
      </c>
      <c r="D6" s="9">
        <v>0</v>
      </c>
      <c r="E6" s="11">
        <f>C6*D6</f>
        <v>0</v>
      </c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</row>
    <row r="7" spans="1:17" ht="15" customHeight="1">
      <c r="A7" s="341"/>
      <c r="B7" s="343"/>
      <c r="C7" s="8">
        <v>0</v>
      </c>
      <c r="D7" s="9">
        <v>0</v>
      </c>
      <c r="E7" s="11">
        <f>C7*D7</f>
        <v>0</v>
      </c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</row>
    <row r="8" spans="1:17" ht="15" customHeight="1">
      <c r="A8" s="330" t="s">
        <v>73</v>
      </c>
      <c r="B8" s="332"/>
      <c r="C8" s="8">
        <v>0</v>
      </c>
      <c r="D8" s="9">
        <v>0</v>
      </c>
      <c r="E8" s="11">
        <f>C8*D8</f>
        <v>0</v>
      </c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</row>
    <row r="9" spans="1:17" ht="15" customHeight="1">
      <c r="A9" s="349" t="s">
        <v>105</v>
      </c>
      <c r="B9" s="350"/>
      <c r="C9" s="351"/>
      <c r="D9" s="10">
        <f>SUM(D5:D8)</f>
        <v>0</v>
      </c>
      <c r="E9" s="11" t="str">
        <f>IF(SUM($D$5:$D$8)=100%,SUM(E5:E8),"    GEEN 100%")</f>
        <v xml:space="preserve">    GEEN 100%</v>
      </c>
      <c r="G9" s="187"/>
      <c r="H9" s="195"/>
      <c r="I9" s="187"/>
      <c r="J9" s="187"/>
      <c r="K9" s="187"/>
      <c r="L9" s="187"/>
      <c r="M9" s="187"/>
      <c r="N9" s="187"/>
      <c r="O9" s="187"/>
      <c r="P9" s="187"/>
      <c r="Q9" s="187"/>
    </row>
    <row r="10" spans="1:17" ht="15" customHeight="1">
      <c r="A10" s="344" t="s">
        <v>74</v>
      </c>
      <c r="B10" s="344"/>
      <c r="C10" s="344"/>
      <c r="D10" s="152" t="s">
        <v>3</v>
      </c>
      <c r="E10" s="154">
        <f>SUM(E9:E9)</f>
        <v>0</v>
      </c>
      <c r="G10" s="187" t="s">
        <v>257</v>
      </c>
      <c r="H10" s="195"/>
      <c r="I10" s="154">
        <f>(E10*H10)+E10</f>
        <v>0</v>
      </c>
      <c r="J10" s="195">
        <v>0</v>
      </c>
      <c r="K10" s="154">
        <f>(I10*J10)+I10</f>
        <v>0</v>
      </c>
      <c r="L10" s="195">
        <v>0</v>
      </c>
      <c r="M10" s="154">
        <f>(K10*L10)+K10</f>
        <v>0</v>
      </c>
      <c r="N10" s="195">
        <v>0</v>
      </c>
      <c r="O10" s="154">
        <f>(M10*N10)+M10</f>
        <v>0</v>
      </c>
      <c r="P10" s="195">
        <v>0</v>
      </c>
      <c r="Q10" s="154">
        <f>(O10*P10)+O10</f>
        <v>0</v>
      </c>
    </row>
    <row r="11" spans="1:17" ht="15" customHeight="1">
      <c r="A11" s="196"/>
      <c r="B11" s="12"/>
      <c r="C11" s="12"/>
      <c r="D11" s="12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</row>
    <row r="12" spans="1:17" s="19" customFormat="1" ht="26.25" customHeight="1">
      <c r="A12" s="338" t="s">
        <v>76</v>
      </c>
      <c r="B12" s="339"/>
      <c r="C12" s="340"/>
      <c r="D12" s="82" t="s">
        <v>85</v>
      </c>
      <c r="E12" s="81" t="s">
        <v>88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7" ht="15" customHeight="1">
      <c r="A13" s="333" t="s">
        <v>4</v>
      </c>
      <c r="B13" s="334"/>
      <c r="C13" s="334"/>
      <c r="D13" s="188">
        <v>0</v>
      </c>
      <c r="E13" s="198">
        <f>SUM($E$10*D13)</f>
        <v>0</v>
      </c>
      <c r="G13" s="187" t="s">
        <v>257</v>
      </c>
      <c r="H13" s="195"/>
      <c r="I13" s="199">
        <f>(E13*H13)+E13</f>
        <v>0</v>
      </c>
      <c r="J13" s="200"/>
      <c r="K13" s="199">
        <f>(I13*J13)+I13</f>
        <v>0</v>
      </c>
      <c r="L13" s="200"/>
      <c r="M13" s="199">
        <f>(K13*L13)+K13</f>
        <v>0</v>
      </c>
      <c r="N13" s="200"/>
      <c r="O13" s="199">
        <f>(M13*N13)+M13</f>
        <v>0</v>
      </c>
      <c r="P13" s="200"/>
      <c r="Q13" s="199">
        <f>(O13*P13)+O13</f>
        <v>0</v>
      </c>
    </row>
    <row r="14" spans="1:17" ht="15" customHeight="1">
      <c r="A14" s="334" t="s">
        <v>90</v>
      </c>
      <c r="B14" s="334"/>
      <c r="C14" s="334"/>
      <c r="D14" s="188">
        <v>0</v>
      </c>
      <c r="E14" s="198">
        <f>SUM($E$10*D14)</f>
        <v>0</v>
      </c>
      <c r="G14" s="187" t="s">
        <v>257</v>
      </c>
      <c r="H14" s="195"/>
      <c r="I14" s="199">
        <f>(E14*H14)+E14</f>
        <v>0</v>
      </c>
      <c r="J14" s="200"/>
      <c r="K14" s="199">
        <f>(I14*J14)+I14</f>
        <v>0</v>
      </c>
      <c r="L14" s="200"/>
      <c r="M14" s="199">
        <f>(K14*L14)+K14</f>
        <v>0</v>
      </c>
      <c r="N14" s="200"/>
      <c r="O14" s="199">
        <f>(M14*N14)+M14</f>
        <v>0</v>
      </c>
      <c r="P14" s="200"/>
      <c r="Q14" s="199">
        <f>(O14*P14)+O14</f>
        <v>0</v>
      </c>
    </row>
    <row r="15" spans="1:17" ht="15" customHeight="1">
      <c r="A15" s="334" t="s">
        <v>5</v>
      </c>
      <c r="B15" s="334"/>
      <c r="C15" s="334"/>
      <c r="D15" s="188">
        <v>0</v>
      </c>
      <c r="E15" s="198">
        <f>SUM($E$10*D15)</f>
        <v>0</v>
      </c>
      <c r="G15" s="187" t="s">
        <v>257</v>
      </c>
      <c r="H15" s="195"/>
      <c r="I15" s="199">
        <f>(E15*H15)+E15</f>
        <v>0</v>
      </c>
      <c r="J15" s="200"/>
      <c r="K15" s="199">
        <f>(I15*J15)+I15</f>
        <v>0</v>
      </c>
      <c r="L15" s="200"/>
      <c r="M15" s="199">
        <f>(K15*L15)+K15</f>
        <v>0</v>
      </c>
      <c r="N15" s="200"/>
      <c r="O15" s="199">
        <f>(M15*N15)+M15</f>
        <v>0</v>
      </c>
      <c r="P15" s="200"/>
      <c r="Q15" s="199">
        <f>(O15*P15)+O15</f>
        <v>0</v>
      </c>
    </row>
    <row r="16" spans="1:17" ht="15" customHeight="1">
      <c r="A16" s="334" t="s">
        <v>6</v>
      </c>
      <c r="B16" s="334"/>
      <c r="C16" s="334"/>
      <c r="D16" s="188">
        <v>0</v>
      </c>
      <c r="E16" s="198">
        <f>SUM($E$10*D16)</f>
        <v>0</v>
      </c>
      <c r="G16" s="187" t="s">
        <v>257</v>
      </c>
      <c r="H16" s="195"/>
      <c r="I16" s="199">
        <f>(E16*H16)+E16</f>
        <v>0</v>
      </c>
      <c r="J16" s="200"/>
      <c r="K16" s="199">
        <f>(I16*J16)+I16</f>
        <v>0</v>
      </c>
      <c r="L16" s="200"/>
      <c r="M16" s="199">
        <f>(K16*L16)+K16</f>
        <v>0</v>
      </c>
      <c r="N16" s="200"/>
      <c r="O16" s="199">
        <f>(M16*N16)+M16</f>
        <v>0</v>
      </c>
      <c r="P16" s="200"/>
      <c r="Q16" s="199">
        <f>(O16*P16)+O16</f>
        <v>0</v>
      </c>
    </row>
    <row r="17" spans="1:17" ht="15" customHeight="1">
      <c r="A17" s="341" t="s">
        <v>93</v>
      </c>
      <c r="B17" s="342"/>
      <c r="C17" s="343"/>
      <c r="D17" s="188">
        <v>0</v>
      </c>
      <c r="E17" s="198">
        <f>SUM($E$10*D17)</f>
        <v>0</v>
      </c>
      <c r="G17" s="187" t="s">
        <v>257</v>
      </c>
      <c r="H17" s="195"/>
      <c r="I17" s="199">
        <f>(E17*H17)+E17</f>
        <v>0</v>
      </c>
      <c r="J17" s="200"/>
      <c r="K17" s="199">
        <f>(I17*J17)+I17</f>
        <v>0</v>
      </c>
      <c r="L17" s="200"/>
      <c r="M17" s="199">
        <f>(K17*L17)+K17</f>
        <v>0</v>
      </c>
      <c r="N17" s="200"/>
      <c r="O17" s="199">
        <f>(M17*N17)+M17</f>
        <v>0</v>
      </c>
      <c r="P17" s="200"/>
      <c r="Q17" s="199">
        <f>(O17*P17)+O17</f>
        <v>0</v>
      </c>
    </row>
    <row r="18" spans="1:17" ht="15" customHeight="1">
      <c r="A18" s="344" t="s">
        <v>82</v>
      </c>
      <c r="B18" s="344"/>
      <c r="C18" s="344"/>
      <c r="D18" s="155"/>
      <c r="E18" s="156">
        <f>SUM(E13:E17)</f>
        <v>0</v>
      </c>
      <c r="G18" s="187"/>
      <c r="H18" s="187"/>
      <c r="I18" s="156">
        <f>SUM(I13:I17)</f>
        <v>0</v>
      </c>
      <c r="J18" s="187"/>
      <c r="K18" s="156">
        <f>SUM(K13:K17)</f>
        <v>0</v>
      </c>
      <c r="L18" s="187"/>
      <c r="M18" s="156">
        <f>SUM(M13:M17)</f>
        <v>0</v>
      </c>
      <c r="N18" s="187"/>
      <c r="O18" s="156">
        <f>SUM(O13:O17)</f>
        <v>0</v>
      </c>
      <c r="P18" s="187"/>
      <c r="Q18" s="156">
        <f>SUM(Q13:Q17)</f>
        <v>0</v>
      </c>
    </row>
    <row r="19" spans="1:17" ht="15" customHeight="1">
      <c r="D19" s="201"/>
      <c r="E19" s="202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</row>
    <row r="20" spans="1:17" s="19" customFormat="1" ht="26.25" customHeight="1">
      <c r="A20" s="338" t="s">
        <v>77</v>
      </c>
      <c r="B20" s="339"/>
      <c r="C20" s="340"/>
      <c r="D20" s="82" t="s">
        <v>86</v>
      </c>
      <c r="E20" s="81" t="s">
        <v>88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7" ht="15" customHeight="1">
      <c r="A21" s="334" t="s">
        <v>7</v>
      </c>
      <c r="B21" s="334"/>
      <c r="C21" s="334"/>
      <c r="D21" s="203" t="e">
        <f>E21/$E$35</f>
        <v>#DIV/0!</v>
      </c>
      <c r="E21" s="204">
        <v>0</v>
      </c>
      <c r="G21" s="187" t="s">
        <v>258</v>
      </c>
      <c r="H21" s="195"/>
      <c r="I21" s="199">
        <f>(E21*H21)+E21</f>
        <v>0</v>
      </c>
      <c r="J21" s="200"/>
      <c r="K21" s="199">
        <f>(I21*J21)+I21</f>
        <v>0</v>
      </c>
      <c r="L21" s="200"/>
      <c r="M21" s="199">
        <f>(K21*L21)+K21</f>
        <v>0</v>
      </c>
      <c r="N21" s="200"/>
      <c r="O21" s="199">
        <f>(M21*N21)+M21</f>
        <v>0</v>
      </c>
      <c r="P21" s="200"/>
      <c r="Q21" s="199">
        <f>(O21*P21)+O21</f>
        <v>0</v>
      </c>
    </row>
    <row r="22" spans="1:17" ht="15" customHeight="1">
      <c r="A22" s="333" t="s">
        <v>8</v>
      </c>
      <c r="B22" s="334"/>
      <c r="C22" s="334"/>
      <c r="D22" s="203" t="e">
        <f>E22/$E$35</f>
        <v>#DIV/0!</v>
      </c>
      <c r="E22" s="204">
        <v>0</v>
      </c>
      <c r="G22" s="187" t="s">
        <v>258</v>
      </c>
      <c r="H22" s="195"/>
      <c r="I22" s="199">
        <f>(E22*H22)+E22</f>
        <v>0</v>
      </c>
      <c r="J22" s="200"/>
      <c r="K22" s="199">
        <f>(I22*J22)+I22</f>
        <v>0</v>
      </c>
      <c r="L22" s="200"/>
      <c r="M22" s="199">
        <f>(K22*L22)+K22</f>
        <v>0</v>
      </c>
      <c r="N22" s="200"/>
      <c r="O22" s="199">
        <f>(M22*N22)+M22</f>
        <v>0</v>
      </c>
      <c r="P22" s="200"/>
      <c r="Q22" s="199">
        <f>(O22*P22)+O22</f>
        <v>0</v>
      </c>
    </row>
    <row r="23" spans="1:17" ht="15" customHeight="1">
      <c r="A23" s="334" t="s">
        <v>9</v>
      </c>
      <c r="B23" s="334"/>
      <c r="C23" s="334"/>
      <c r="D23" s="203" t="e">
        <f>E23/$E$35</f>
        <v>#DIV/0!</v>
      </c>
      <c r="E23" s="204">
        <v>0</v>
      </c>
      <c r="G23" s="187" t="s">
        <v>258</v>
      </c>
      <c r="H23" s="195"/>
      <c r="I23" s="205">
        <f>(E23*H23)+E23</f>
        <v>0</v>
      </c>
      <c r="J23" s="200"/>
      <c r="K23" s="199">
        <f>(I23*J23)+I23</f>
        <v>0</v>
      </c>
      <c r="L23" s="200"/>
      <c r="M23" s="199">
        <f>(K23*L23)+K23</f>
        <v>0</v>
      </c>
      <c r="N23" s="200"/>
      <c r="O23" s="199">
        <f>(M23*N23)+M23</f>
        <v>0</v>
      </c>
      <c r="P23" s="200"/>
      <c r="Q23" s="199">
        <f>(O23*P23)+O23</f>
        <v>0</v>
      </c>
    </row>
    <row r="24" spans="1:17" ht="15" customHeight="1">
      <c r="A24" s="330" t="s">
        <v>10</v>
      </c>
      <c r="B24" s="331"/>
      <c r="C24" s="332"/>
      <c r="D24" s="188">
        <v>0</v>
      </c>
      <c r="E24" s="206">
        <f>D24*$E$10</f>
        <v>0</v>
      </c>
      <c r="G24" s="187" t="s">
        <v>257</v>
      </c>
      <c r="H24" s="195"/>
      <c r="I24" s="199">
        <f>(E24*H24)+E24</f>
        <v>0</v>
      </c>
      <c r="J24" s="200"/>
      <c r="K24" s="199">
        <f>(I24*J24)+I24</f>
        <v>0</v>
      </c>
      <c r="L24" s="200"/>
      <c r="M24" s="199">
        <f>(K24*L24)+K24</f>
        <v>0</v>
      </c>
      <c r="N24" s="200"/>
      <c r="O24" s="199">
        <f>(M24*N24)+M24</f>
        <v>0</v>
      </c>
      <c r="P24" s="200"/>
      <c r="Q24" s="199">
        <f>(O24*P24)+O24</f>
        <v>0</v>
      </c>
    </row>
    <row r="25" spans="1:17" ht="15" customHeight="1">
      <c r="A25" s="341" t="s">
        <v>91</v>
      </c>
      <c r="B25" s="342"/>
      <c r="C25" s="343"/>
      <c r="D25" s="203" t="e">
        <f>E25/$E$35</f>
        <v>#DIV/0!</v>
      </c>
      <c r="E25" s="204">
        <v>0</v>
      </c>
      <c r="G25" s="187" t="s">
        <v>258</v>
      </c>
      <c r="H25" s="195"/>
      <c r="I25" s="205">
        <f>(E25*H25)+E25</f>
        <v>0</v>
      </c>
      <c r="J25" s="200"/>
      <c r="K25" s="199">
        <f>(I25*J25)+I25</f>
        <v>0</v>
      </c>
      <c r="L25" s="200"/>
      <c r="M25" s="199">
        <f>(K25*L25)+K25</f>
        <v>0</v>
      </c>
      <c r="N25" s="200"/>
      <c r="O25" s="199">
        <f>(M25*N25)+M25</f>
        <v>0</v>
      </c>
      <c r="P25" s="200"/>
      <c r="Q25" s="199">
        <f>(O25*P25)+O25</f>
        <v>0</v>
      </c>
    </row>
    <row r="26" spans="1:17" ht="15" customHeight="1">
      <c r="A26" s="344" t="s">
        <v>83</v>
      </c>
      <c r="B26" s="344"/>
      <c r="C26" s="344"/>
      <c r="D26" s="152" t="s">
        <v>3</v>
      </c>
      <c r="E26" s="154">
        <f>SUM(E21:E25)</f>
        <v>0</v>
      </c>
      <c r="G26" s="187"/>
      <c r="H26" s="187"/>
      <c r="I26" s="154">
        <f>SUM(I21:I25)</f>
        <v>0</v>
      </c>
      <c r="J26" s="187"/>
      <c r="K26" s="154">
        <f>SUM(K21:K25)</f>
        <v>0</v>
      </c>
      <c r="L26" s="187"/>
      <c r="M26" s="154">
        <f>SUM(M21:M25)</f>
        <v>0</v>
      </c>
      <c r="N26" s="187"/>
      <c r="O26" s="154">
        <f>SUM(O21:O25)</f>
        <v>0</v>
      </c>
      <c r="P26" s="187"/>
      <c r="Q26" s="154">
        <f>SUM(Q21:Q25)</f>
        <v>0</v>
      </c>
    </row>
    <row r="27" spans="1:17" ht="15" customHeight="1">
      <c r="A27" s="24"/>
      <c r="B27" s="24"/>
      <c r="C27" s="24"/>
      <c r="D27" s="207"/>
      <c r="E27" s="208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</row>
    <row r="28" spans="1:17" s="19" customFormat="1" ht="26.25" customHeight="1">
      <c r="A28" s="338" t="s">
        <v>78</v>
      </c>
      <c r="B28" s="339"/>
      <c r="C28" s="340"/>
      <c r="D28" s="82" t="s">
        <v>86</v>
      </c>
      <c r="E28" s="81" t="s">
        <v>88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 ht="15" customHeight="1">
      <c r="A29" s="333" t="s">
        <v>11</v>
      </c>
      <c r="B29" s="334"/>
      <c r="C29" s="334"/>
      <c r="D29" s="188">
        <v>0</v>
      </c>
      <c r="E29" s="206">
        <f>D29*($E$18+$E$10)</f>
        <v>0</v>
      </c>
      <c r="G29" s="187" t="s">
        <v>258</v>
      </c>
      <c r="H29" s="195"/>
      <c r="I29" s="199">
        <f>(E29*H29)+E29</f>
        <v>0</v>
      </c>
      <c r="J29" s="200"/>
      <c r="K29" s="199">
        <f>(I29*J29)+I29</f>
        <v>0</v>
      </c>
      <c r="L29" s="200"/>
      <c r="M29" s="199">
        <f>(K29*L29)+K29</f>
        <v>0</v>
      </c>
      <c r="N29" s="200"/>
      <c r="O29" s="199">
        <f>(M29*N29)+M29</f>
        <v>0</v>
      </c>
      <c r="P29" s="200"/>
      <c r="Q29" s="199">
        <f>(O29*P29)+O29</f>
        <v>0</v>
      </c>
    </row>
    <row r="30" spans="1:17" ht="15" customHeight="1">
      <c r="A30" s="333" t="s">
        <v>79</v>
      </c>
      <c r="B30" s="334"/>
      <c r="C30" s="334"/>
      <c r="D30" s="209" t="e">
        <f>E30/$E$35</f>
        <v>#DIV/0!</v>
      </c>
      <c r="E30" s="204">
        <v>0</v>
      </c>
      <c r="G30" s="187" t="s">
        <v>258</v>
      </c>
      <c r="H30" s="195"/>
      <c r="I30" s="205">
        <f>(E30*H30)+E30</f>
        <v>0</v>
      </c>
      <c r="J30" s="200"/>
      <c r="K30" s="199">
        <f>(I30*J30)+I30</f>
        <v>0</v>
      </c>
      <c r="L30" s="200"/>
      <c r="M30" s="199">
        <f>(K30*L30)+K30</f>
        <v>0</v>
      </c>
      <c r="N30" s="200"/>
      <c r="O30" s="199">
        <f>(M30*N30)+M30</f>
        <v>0</v>
      </c>
      <c r="P30" s="200"/>
      <c r="Q30" s="199">
        <f>(O30*P30)+O30</f>
        <v>0</v>
      </c>
    </row>
    <row r="31" spans="1:17" ht="15" customHeight="1">
      <c r="A31" s="341" t="s">
        <v>92</v>
      </c>
      <c r="B31" s="342"/>
      <c r="C31" s="343"/>
      <c r="D31" s="203" t="e">
        <f>E31/$E$35</f>
        <v>#DIV/0!</v>
      </c>
      <c r="E31" s="204">
        <v>0</v>
      </c>
      <c r="G31" s="187" t="s">
        <v>258</v>
      </c>
      <c r="H31" s="195"/>
      <c r="I31" s="205">
        <f>(E31*H31)+E31</f>
        <v>0</v>
      </c>
      <c r="J31" s="200"/>
      <c r="K31" s="199">
        <f>(I31*J31)+I31</f>
        <v>0</v>
      </c>
      <c r="L31" s="200"/>
      <c r="M31" s="199">
        <f>(K31*L31)+K31</f>
        <v>0</v>
      </c>
      <c r="N31" s="200"/>
      <c r="O31" s="199">
        <f>(M31*N31)+M31</f>
        <v>0</v>
      </c>
      <c r="P31" s="200"/>
      <c r="Q31" s="199">
        <f>(O31*P31)+O31</f>
        <v>0</v>
      </c>
    </row>
    <row r="32" spans="1:17" ht="15" customHeight="1">
      <c r="A32" s="334" t="s">
        <v>80</v>
      </c>
      <c r="B32" s="334"/>
      <c r="C32" s="334"/>
      <c r="D32" s="209" t="e">
        <f>E32/$E$35</f>
        <v>#DIV/0!</v>
      </c>
      <c r="E32" s="204">
        <v>0</v>
      </c>
      <c r="G32" s="187" t="s">
        <v>258</v>
      </c>
      <c r="H32" s="187"/>
      <c r="I32" s="205">
        <f>(E32*H32)+E32</f>
        <v>0</v>
      </c>
      <c r="J32" s="200"/>
      <c r="K32" s="199">
        <f>(I32*J32)+I32</f>
        <v>0</v>
      </c>
      <c r="L32" s="200"/>
      <c r="M32" s="199">
        <f>(K32*L32)+K32</f>
        <v>0</v>
      </c>
      <c r="N32" s="200"/>
      <c r="O32" s="199">
        <f>(M32*N32)+M32</f>
        <v>0</v>
      </c>
      <c r="P32" s="200"/>
      <c r="Q32" s="199">
        <f>(O32*P32)+O32</f>
        <v>0</v>
      </c>
    </row>
    <row r="33" spans="1:17" ht="15" customHeight="1">
      <c r="A33" s="344" t="s">
        <v>84</v>
      </c>
      <c r="B33" s="344"/>
      <c r="C33" s="344"/>
      <c r="D33" s="152"/>
      <c r="E33" s="153">
        <f>SUM(E29:E32)</f>
        <v>0</v>
      </c>
      <c r="G33" s="187"/>
      <c r="H33" s="187"/>
      <c r="I33" s="153">
        <f>SUM(I29:I32)</f>
        <v>0</v>
      </c>
      <c r="J33" s="187"/>
      <c r="K33" s="153">
        <f>SUM(K29:K32)</f>
        <v>0</v>
      </c>
      <c r="L33" s="187"/>
      <c r="M33" s="153">
        <f>SUM(M29:M32)</f>
        <v>0</v>
      </c>
      <c r="N33" s="187"/>
      <c r="O33" s="153">
        <f>SUM(O29:O32)</f>
        <v>0</v>
      </c>
      <c r="P33" s="187"/>
      <c r="Q33" s="153">
        <f>SUM(Q29:Q32)</f>
        <v>0</v>
      </c>
    </row>
    <row r="34" spans="1:17" ht="15" customHeight="1">
      <c r="A34" s="24"/>
      <c r="B34" s="24"/>
      <c r="C34" s="24"/>
      <c r="D34" s="207"/>
      <c r="E34" s="210"/>
      <c r="H34" s="187"/>
      <c r="I34" s="187"/>
      <c r="J34" s="187"/>
      <c r="K34" s="187"/>
      <c r="L34" s="187"/>
      <c r="M34" s="187"/>
      <c r="N34" s="187"/>
      <c r="O34" s="187"/>
      <c r="P34" s="187"/>
      <c r="Q34" s="187"/>
    </row>
    <row r="35" spans="1:17" ht="26.25" customHeight="1">
      <c r="A35" s="335" t="s">
        <v>103</v>
      </c>
      <c r="B35" s="336"/>
      <c r="C35" s="336"/>
      <c r="D35" s="337"/>
      <c r="E35" s="151">
        <f>E33+E26+E18+E10</f>
        <v>0</v>
      </c>
      <c r="G35" s="113"/>
      <c r="H35" s="187"/>
      <c r="I35" s="151">
        <f>I33+I26+I18+I10</f>
        <v>0</v>
      </c>
      <c r="J35" s="187"/>
      <c r="K35" s="151">
        <f>K33+K26+K18+K10</f>
        <v>0</v>
      </c>
      <c r="L35" s="187"/>
      <c r="M35" s="151">
        <f>M33+M26+M18+M10</f>
        <v>0</v>
      </c>
      <c r="N35" s="187"/>
      <c r="O35" s="151">
        <f>O33+O26+O18+O10</f>
        <v>0</v>
      </c>
      <c r="P35" s="187"/>
      <c r="Q35" s="151">
        <f>Q33+Q26+Q18+Q10</f>
        <v>0</v>
      </c>
    </row>
    <row r="36" spans="1:17" ht="15" customHeight="1">
      <c r="D36" s="201"/>
      <c r="E36" s="202"/>
    </row>
    <row r="37" spans="1:17" ht="26.25" customHeight="1">
      <c r="A37" s="83" t="s">
        <v>87</v>
      </c>
      <c r="B37" s="84"/>
      <c r="C37" s="82" t="s">
        <v>102</v>
      </c>
      <c r="D37" s="82" t="s">
        <v>100</v>
      </c>
      <c r="E37" s="82" t="s">
        <v>101</v>
      </c>
      <c r="H37" s="82" t="s">
        <v>259</v>
      </c>
      <c r="I37" s="211" t="e">
        <f>(I35/E35)-100%</f>
        <v>#DIV/0!</v>
      </c>
      <c r="J37" s="82"/>
      <c r="K37" s="211" t="e">
        <f>(K35/I35)-100%</f>
        <v>#DIV/0!</v>
      </c>
      <c r="L37" s="82"/>
      <c r="M37" s="211" t="e">
        <f>(M35/K35)-100%</f>
        <v>#DIV/0!</v>
      </c>
      <c r="N37" s="82"/>
      <c r="O37" s="211" t="e">
        <f>(O35/M35)-100%</f>
        <v>#DIV/0!</v>
      </c>
      <c r="P37" s="82"/>
      <c r="Q37" s="211" t="e">
        <f>(Q35/O35)-100%</f>
        <v>#DIV/0!</v>
      </c>
    </row>
    <row r="38" spans="1:17" ht="15" customHeight="1">
      <c r="A38" s="187" t="s">
        <v>89</v>
      </c>
      <c r="B38" s="187" t="s">
        <v>95</v>
      </c>
      <c r="C38" s="13">
        <v>0</v>
      </c>
      <c r="D38" s="14">
        <f>+E35</f>
        <v>0</v>
      </c>
      <c r="E38" s="15">
        <f>D38*121%</f>
        <v>0</v>
      </c>
      <c r="F38" s="113"/>
      <c r="H38" s="187"/>
      <c r="I38" s="11" t="e">
        <f>(D38*$I$37)+D38</f>
        <v>#DIV/0!</v>
      </c>
      <c r="J38" s="187"/>
      <c r="K38" s="11" t="e">
        <f>(I38*$K$37)+I38</f>
        <v>#DIV/0!</v>
      </c>
      <c r="L38" s="187"/>
      <c r="M38" s="11" t="e">
        <f>(K38*$M$37)+K38</f>
        <v>#DIV/0!</v>
      </c>
      <c r="N38" s="187"/>
      <c r="O38" s="11" t="e">
        <f>(M38*$O$37)+M38</f>
        <v>#DIV/0!</v>
      </c>
      <c r="P38" s="187"/>
      <c r="Q38" s="11" t="e">
        <f>(O38*$Q$37)+O38</f>
        <v>#DIV/0!</v>
      </c>
    </row>
    <row r="39" spans="1:17" ht="15" customHeight="1">
      <c r="A39" s="187" t="s">
        <v>94</v>
      </c>
      <c r="B39" s="187" t="s">
        <v>96</v>
      </c>
      <c r="C39" s="13">
        <v>0.3</v>
      </c>
      <c r="D39" s="14">
        <f>SUM($E$10,$E$18,$E$26,$E$33)+(C39*($E$18+$E$10))</f>
        <v>0</v>
      </c>
      <c r="E39" s="15">
        <f>D39*121%</f>
        <v>0</v>
      </c>
      <c r="F39" s="113"/>
      <c r="H39" s="11"/>
      <c r="I39" s="11" t="e">
        <f>(D39*$I$37)+D39</f>
        <v>#DIV/0!</v>
      </c>
      <c r="J39" s="187"/>
      <c r="K39" s="11" t="e">
        <f>(I39*$K$37)+I39</f>
        <v>#DIV/0!</v>
      </c>
      <c r="L39" s="187"/>
      <c r="M39" s="11" t="e">
        <f>(K39*$M$37)+K39</f>
        <v>#DIV/0!</v>
      </c>
      <c r="N39" s="187"/>
      <c r="O39" s="11" t="e">
        <f>(M39*$O$37)+M39</f>
        <v>#DIV/0!</v>
      </c>
      <c r="P39" s="187"/>
      <c r="Q39" s="11" t="e">
        <f>(O39*$Q$37)+O39</f>
        <v>#DIV/0!</v>
      </c>
    </row>
    <row r="40" spans="1:17" ht="15" customHeight="1">
      <c r="A40" s="187" t="s">
        <v>24</v>
      </c>
      <c r="B40" s="187" t="s">
        <v>97</v>
      </c>
      <c r="C40" s="13">
        <v>0.5</v>
      </c>
      <c r="D40" s="14">
        <f>SUM($E$10,$E$18,$E$26,$E$33)+(C40*($E$18+$E$10))</f>
        <v>0</v>
      </c>
      <c r="E40" s="15">
        <f>D40*121%</f>
        <v>0</v>
      </c>
      <c r="F40" s="113"/>
      <c r="H40" s="187"/>
      <c r="I40" s="11" t="e">
        <f>(D40*$I$37)+D40</f>
        <v>#DIV/0!</v>
      </c>
      <c r="J40" s="187"/>
      <c r="K40" s="11" t="e">
        <f>(I40*$K$37)+I40</f>
        <v>#DIV/0!</v>
      </c>
      <c r="L40" s="187"/>
      <c r="M40" s="11" t="e">
        <f>(K40*$M$37)+K40</f>
        <v>#DIV/0!</v>
      </c>
      <c r="N40" s="187"/>
      <c r="O40" s="11" t="e">
        <f>(M40*$O$37)+M40</f>
        <v>#DIV/0!</v>
      </c>
      <c r="P40" s="187"/>
      <c r="Q40" s="11" t="e">
        <f>(O40*$Q$37)+O40</f>
        <v>#DIV/0!</v>
      </c>
    </row>
    <row r="41" spans="1:17" ht="15" customHeight="1">
      <c r="A41" s="187" t="s">
        <v>98</v>
      </c>
      <c r="B41" s="16" t="s">
        <v>99</v>
      </c>
      <c r="C41" s="13">
        <v>1.5</v>
      </c>
      <c r="D41" s="14">
        <f>SUM($E$10,$E$18,$E$26,$E$33)+(C41*($E$18+$E$10))</f>
        <v>0</v>
      </c>
      <c r="E41" s="15">
        <f>D41*121%</f>
        <v>0</v>
      </c>
      <c r="F41" s="113"/>
      <c r="H41" s="187"/>
      <c r="I41" s="11" t="e">
        <f>(D41*$I$37)+D41</f>
        <v>#DIV/0!</v>
      </c>
      <c r="J41" s="187"/>
      <c r="K41" s="11" t="e">
        <f>(I41*$K$37)+I41</f>
        <v>#DIV/0!</v>
      </c>
      <c r="L41" s="187"/>
      <c r="M41" s="11" t="e">
        <f>(K41*$M$37)+K41</f>
        <v>#DIV/0!</v>
      </c>
      <c r="N41" s="187"/>
      <c r="O41" s="11" t="e">
        <f>(M41*$O$37)+M41</f>
        <v>#DIV/0!</v>
      </c>
      <c r="P41" s="187"/>
      <c r="Q41" s="11" t="e">
        <f>(O41*$Q$37)+O41</f>
        <v>#DIV/0!</v>
      </c>
    </row>
    <row r="42" spans="1:17" ht="15" customHeight="1">
      <c r="E42" s="4"/>
    </row>
    <row r="43" spans="1:17" ht="15" customHeight="1">
      <c r="E43" s="4"/>
    </row>
    <row r="44" spans="1:17" ht="15" customHeight="1">
      <c r="E44" s="4"/>
    </row>
    <row r="45" spans="1:17" ht="15" customHeight="1">
      <c r="E45" s="4"/>
    </row>
    <row r="46" spans="1:17" ht="15" customHeight="1">
      <c r="E46" s="4"/>
    </row>
    <row r="47" spans="1:17" ht="15" customHeight="1">
      <c r="E47" s="4"/>
    </row>
    <row r="48" spans="1:17" ht="15" customHeight="1">
      <c r="E48" s="4"/>
    </row>
    <row r="49" spans="5:5" ht="15" customHeight="1">
      <c r="E49" s="4"/>
    </row>
    <row r="50" spans="5:5" ht="15" customHeight="1">
      <c r="E50" s="4"/>
    </row>
    <row r="51" spans="5:5" ht="15" customHeight="1">
      <c r="E51" s="4"/>
    </row>
    <row r="52" spans="5:5" ht="15" customHeight="1">
      <c r="E52" s="4"/>
    </row>
    <row r="53" spans="5:5" ht="15" customHeight="1">
      <c r="E53" s="4"/>
    </row>
    <row r="54" spans="5:5" ht="15" customHeight="1">
      <c r="E54" s="4"/>
    </row>
  </sheetData>
  <mergeCells count="36">
    <mergeCell ref="G2:Q2"/>
    <mergeCell ref="H3:I3"/>
    <mergeCell ref="J3:K3"/>
    <mergeCell ref="L3:M3"/>
    <mergeCell ref="N3:O3"/>
    <mergeCell ref="P3:Q3"/>
    <mergeCell ref="A6:B6"/>
    <mergeCell ref="A23:C23"/>
    <mergeCell ref="A7:B7"/>
    <mergeCell ref="A26:C26"/>
    <mergeCell ref="A1:E1"/>
    <mergeCell ref="A21:C21"/>
    <mergeCell ref="A2:E2"/>
    <mergeCell ref="A4:B4"/>
    <mergeCell ref="A15:C15"/>
    <mergeCell ref="A16:C16"/>
    <mergeCell ref="A18:C18"/>
    <mergeCell ref="A20:C20"/>
    <mergeCell ref="A10:C10"/>
    <mergeCell ref="A5:B5"/>
    <mergeCell ref="A9:C9"/>
    <mergeCell ref="A25:C25"/>
    <mergeCell ref="A13:C13"/>
    <mergeCell ref="A8:B8"/>
    <mergeCell ref="A12:C12"/>
    <mergeCell ref="A14:C14"/>
    <mergeCell ref="A22:C22"/>
    <mergeCell ref="A17:C17"/>
    <mergeCell ref="A24:C24"/>
    <mergeCell ref="A30:C30"/>
    <mergeCell ref="A35:D35"/>
    <mergeCell ref="A28:C28"/>
    <mergeCell ref="A31:C31"/>
    <mergeCell ref="A29:C29"/>
    <mergeCell ref="A32:C32"/>
    <mergeCell ref="A33:C33"/>
  </mergeCells>
  <phoneticPr fontId="4" type="noConversion"/>
  <conditionalFormatting sqref="E9">
    <cfRule type="containsText" dxfId="235" priority="1" operator="containsText" text="geen">
      <formula>NOT(ISERROR(SEARCH("geen",E9)))</formula>
    </cfRule>
  </conditionalFormatting>
  <pageMargins left="0.27559055118110237" right="0.31496062992125984" top="1.5748031496062993" bottom="0.55118110236220474" header="0.51181102362204722" footer="0.51181102362204722"/>
  <pageSetup paperSize="9" scale="58" orientation="portrait" r:id="rId1"/>
  <headerFooter alignWithMargins="0">
    <oddFooter>&amp;L&amp;F&amp;C&amp;D&amp;R&amp;A</oddFooter>
  </headerFooter>
  <colBreaks count="1" manualBreakCount="1">
    <brk id="5" max="4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>
    <tabColor theme="0" tint="-0.14999847407452621"/>
    <pageSetUpPr fitToPage="1"/>
  </sheetPr>
  <dimension ref="A1:L153"/>
  <sheetViews>
    <sheetView view="pageBreakPreview" zoomScaleNormal="100" zoomScaleSheetLayoutView="100" workbookViewId="0">
      <selection sqref="A1:F1"/>
    </sheetView>
  </sheetViews>
  <sheetFormatPr defaultColWidth="14.140625" defaultRowHeight="15" customHeight="1"/>
  <cols>
    <col min="1" max="1" width="14.140625" style="5"/>
    <col min="2" max="2" width="31.140625" style="2" bestFit="1" customWidth="1"/>
    <col min="3" max="3" width="14.140625" style="2"/>
    <col min="4" max="4" width="32" style="6" customWidth="1"/>
    <col min="5" max="6" width="23.7109375" style="2" customWidth="1"/>
    <col min="7" max="7" width="14.140625" style="1"/>
    <col min="8" max="16384" width="14.140625" style="2"/>
  </cols>
  <sheetData>
    <row r="1" spans="1:10" s="7" customFormat="1" ht="26.25" customHeight="1">
      <c r="A1" s="358" t="s">
        <v>122</v>
      </c>
      <c r="B1" s="358"/>
      <c r="C1" s="358"/>
      <c r="D1" s="358"/>
      <c r="E1" s="358"/>
      <c r="F1" s="358"/>
    </row>
    <row r="2" spans="1:10" s="7" customFormat="1" ht="15" customHeight="1">
      <c r="A2" s="356" t="s">
        <v>218</v>
      </c>
      <c r="B2" s="357"/>
      <c r="C2" s="357"/>
      <c r="D2" s="357"/>
      <c r="E2" s="357"/>
      <c r="F2" s="357"/>
    </row>
    <row r="3" spans="1:10" s="61" customFormat="1" ht="15" customHeight="1">
      <c r="A3" s="62"/>
      <c r="E3" s="77"/>
      <c r="F3" s="77"/>
      <c r="G3" s="62"/>
      <c r="H3" s="62"/>
    </row>
    <row r="4" spans="1:10" s="61" customFormat="1" ht="15" customHeight="1">
      <c r="A4" s="62"/>
      <c r="E4" s="77"/>
      <c r="F4" s="77"/>
      <c r="G4" s="62"/>
      <c r="H4" s="62"/>
    </row>
    <row r="5" spans="1:10" s="61" customFormat="1" ht="26.25" customHeight="1">
      <c r="A5" s="78" t="s">
        <v>235</v>
      </c>
      <c r="B5" s="78"/>
      <c r="C5" s="78"/>
      <c r="D5" s="78"/>
      <c r="E5" s="72"/>
      <c r="F5" s="72"/>
      <c r="G5" s="62"/>
      <c r="H5" s="62"/>
    </row>
    <row r="6" spans="1:10" s="61" customFormat="1" ht="26.25" customHeight="1" thickBot="1">
      <c r="A6" s="116" t="s">
        <v>34</v>
      </c>
      <c r="B6" s="117" t="s">
        <v>149</v>
      </c>
      <c r="C6" s="114" t="s">
        <v>109</v>
      </c>
      <c r="D6" s="118" t="s">
        <v>68</v>
      </c>
      <c r="E6" s="119" t="s">
        <v>67</v>
      </c>
      <c r="F6" s="4" t="s">
        <v>30</v>
      </c>
      <c r="G6" s="62"/>
      <c r="H6" s="62"/>
    </row>
    <row r="7" spans="1:10" s="61" customFormat="1" ht="15" customHeight="1" thickTop="1">
      <c r="A7" s="121">
        <v>1</v>
      </c>
      <c r="B7" s="120" t="s">
        <v>585</v>
      </c>
      <c r="C7" s="115">
        <v>1</v>
      </c>
      <c r="D7" s="120" t="s">
        <v>401</v>
      </c>
      <c r="E7" s="175" t="s">
        <v>402</v>
      </c>
      <c r="F7" s="175" t="s">
        <v>403</v>
      </c>
      <c r="G7" s="62"/>
      <c r="H7" s="62"/>
    </row>
    <row r="8" spans="1:10" s="61" customFormat="1" ht="15" customHeight="1">
      <c r="A8" s="62"/>
      <c r="E8" s="77"/>
      <c r="F8" s="77"/>
      <c r="G8" s="62"/>
      <c r="H8" s="62"/>
    </row>
    <row r="9" spans="1:10" s="61" customFormat="1" ht="26.25" customHeight="1">
      <c r="A9" s="86" t="s">
        <v>236</v>
      </c>
      <c r="B9" s="72"/>
      <c r="C9" s="72"/>
      <c r="D9" s="72"/>
      <c r="E9" s="77"/>
      <c r="F9" s="77"/>
      <c r="G9" s="62"/>
      <c r="H9" s="62"/>
    </row>
    <row r="10" spans="1:10" s="61" customFormat="1" ht="26.25" customHeight="1">
      <c r="A10" s="85" t="s">
        <v>34</v>
      </c>
      <c r="B10" s="17" t="s">
        <v>107</v>
      </c>
      <c r="C10" s="19" t="s">
        <v>106</v>
      </c>
      <c r="D10" s="85" t="s">
        <v>212</v>
      </c>
      <c r="E10" s="77"/>
      <c r="F10" s="77"/>
      <c r="G10" s="62"/>
      <c r="H10" s="62"/>
    </row>
    <row r="11" spans="1:10" s="61" customFormat="1" ht="15" customHeight="1">
      <c r="A11" s="18">
        <v>1</v>
      </c>
      <c r="B11" s="7" t="s">
        <v>59</v>
      </c>
      <c r="C11" s="87">
        <v>0</v>
      </c>
      <c r="D11" s="158" t="s">
        <v>411</v>
      </c>
      <c r="E11" s="77"/>
      <c r="F11" s="77"/>
      <c r="G11" s="62"/>
      <c r="H11" s="62"/>
    </row>
    <row r="12" spans="1:10" s="72" customFormat="1" ht="15" customHeight="1">
      <c r="A12" s="18">
        <v>2</v>
      </c>
      <c r="B12" s="7" t="s">
        <v>60</v>
      </c>
      <c r="C12" s="87">
        <v>0</v>
      </c>
      <c r="D12" s="158" t="s">
        <v>412</v>
      </c>
      <c r="G12" s="79"/>
      <c r="H12" s="79"/>
      <c r="I12" s="79"/>
    </row>
    <row r="13" spans="1:10" s="20" customFormat="1" ht="15" customHeight="1">
      <c r="A13" s="18">
        <v>3</v>
      </c>
      <c r="B13" s="7" t="s">
        <v>61</v>
      </c>
      <c r="C13" s="87">
        <v>0</v>
      </c>
      <c r="D13" s="158" t="s">
        <v>411</v>
      </c>
      <c r="E13" s="63"/>
      <c r="F13" s="63"/>
      <c r="G13" s="126"/>
      <c r="H13" s="126"/>
      <c r="I13" s="126"/>
      <c r="J13" s="126"/>
    </row>
    <row r="14" spans="1:10" s="4" customFormat="1" ht="15" customHeight="1">
      <c r="A14" s="18">
        <v>4</v>
      </c>
      <c r="B14" s="7" t="s">
        <v>62</v>
      </c>
      <c r="C14" s="87">
        <v>0</v>
      </c>
      <c r="D14" s="158" t="s">
        <v>412</v>
      </c>
      <c r="E14" s="89"/>
      <c r="F14" s="72"/>
      <c r="G14" s="79"/>
      <c r="H14" s="79"/>
      <c r="I14" s="79"/>
      <c r="J14" s="79"/>
    </row>
    <row r="15" spans="1:10" s="4" customFormat="1" ht="15" customHeight="1">
      <c r="A15" s="18">
        <v>5</v>
      </c>
      <c r="B15" s="7" t="s">
        <v>22</v>
      </c>
      <c r="C15" s="87">
        <v>0</v>
      </c>
      <c r="D15" s="158" t="s">
        <v>413</v>
      </c>
      <c r="E15" s="89"/>
      <c r="F15" s="72"/>
      <c r="G15" s="79"/>
      <c r="H15" s="79"/>
      <c r="I15" s="79"/>
      <c r="J15" s="79"/>
    </row>
    <row r="16" spans="1:10" s="4" customFormat="1" ht="15" customHeight="1">
      <c r="A16" s="18">
        <v>6</v>
      </c>
      <c r="B16" s="7" t="s">
        <v>63</v>
      </c>
      <c r="C16" s="87">
        <v>0</v>
      </c>
      <c r="D16" s="158" t="s">
        <v>411</v>
      </c>
      <c r="E16" s="89"/>
      <c r="F16" s="72"/>
      <c r="G16" s="79"/>
      <c r="H16" s="79"/>
      <c r="I16" s="79"/>
      <c r="J16" s="79"/>
    </row>
    <row r="17" spans="1:10" s="4" customFormat="1" ht="15" customHeight="1">
      <c r="A17" s="18">
        <v>7</v>
      </c>
      <c r="B17" s="7" t="s">
        <v>40</v>
      </c>
      <c r="C17" s="87">
        <v>0</v>
      </c>
      <c r="D17" s="158" t="s">
        <v>411</v>
      </c>
      <c r="E17" s="89"/>
      <c r="F17" s="72"/>
      <c r="G17" s="79"/>
      <c r="H17" s="79"/>
      <c r="I17" s="79"/>
      <c r="J17" s="79"/>
    </row>
    <row r="18" spans="1:10" s="4" customFormat="1" ht="15" customHeight="1">
      <c r="A18" s="18">
        <v>8</v>
      </c>
      <c r="B18" s="7" t="s">
        <v>404</v>
      </c>
      <c r="C18" s="87">
        <v>0</v>
      </c>
      <c r="D18" s="158" t="s">
        <v>414</v>
      </c>
      <c r="E18" s="89"/>
      <c r="F18" s="92"/>
      <c r="G18" s="79"/>
      <c r="H18" s="79"/>
      <c r="I18" s="79"/>
      <c r="J18" s="79"/>
    </row>
    <row r="19" spans="1:10" s="4" customFormat="1" ht="15" customHeight="1">
      <c r="A19" s="18">
        <v>9</v>
      </c>
      <c r="B19" s="7" t="s">
        <v>405</v>
      </c>
      <c r="C19" s="87">
        <v>0</v>
      </c>
      <c r="D19" s="158" t="s">
        <v>414</v>
      </c>
      <c r="E19" s="89"/>
      <c r="F19" s="92"/>
      <c r="G19" s="79"/>
      <c r="H19" s="79"/>
      <c r="I19" s="79"/>
      <c r="J19" s="79"/>
    </row>
    <row r="20" spans="1:10" s="4" customFormat="1" ht="15" customHeight="1">
      <c r="A20" s="18">
        <v>10</v>
      </c>
      <c r="B20" s="7" t="s">
        <v>64</v>
      </c>
      <c r="C20" s="87">
        <v>0</v>
      </c>
      <c r="D20" s="158" t="s">
        <v>411</v>
      </c>
      <c r="E20" s="92"/>
      <c r="F20" s="72"/>
      <c r="G20" s="79"/>
      <c r="H20" s="79"/>
      <c r="I20" s="79"/>
      <c r="J20" s="72"/>
    </row>
    <row r="21" spans="1:10" s="4" customFormat="1" ht="15" customHeight="1">
      <c r="A21" s="18">
        <v>11</v>
      </c>
      <c r="B21" s="7" t="s">
        <v>406</v>
      </c>
      <c r="C21" s="87">
        <v>0</v>
      </c>
      <c r="D21" s="158" t="s">
        <v>411</v>
      </c>
      <c r="E21" s="92"/>
      <c r="F21" s="72"/>
      <c r="G21" s="79"/>
      <c r="H21" s="79"/>
      <c r="I21" s="79"/>
      <c r="J21" s="72"/>
    </row>
    <row r="22" spans="1:10" s="4" customFormat="1" ht="15" customHeight="1">
      <c r="A22" s="18">
        <v>12</v>
      </c>
      <c r="B22" s="7" t="s">
        <v>407</v>
      </c>
      <c r="C22" s="87">
        <v>0</v>
      </c>
      <c r="D22" s="158" t="s">
        <v>411</v>
      </c>
      <c r="E22" s="92"/>
      <c r="F22" s="72"/>
      <c r="G22" s="79"/>
      <c r="H22" s="79"/>
      <c r="I22" s="79"/>
      <c r="J22" s="72"/>
    </row>
    <row r="23" spans="1:10" s="4" customFormat="1" ht="15" customHeight="1">
      <c r="A23" s="18">
        <v>13</v>
      </c>
      <c r="B23" s="7" t="s">
        <v>408</v>
      </c>
      <c r="C23" s="87">
        <v>0</v>
      </c>
      <c r="D23" s="158" t="s">
        <v>411</v>
      </c>
      <c r="E23" s="92"/>
      <c r="F23" s="72"/>
      <c r="G23" s="79"/>
      <c r="H23" s="79"/>
      <c r="I23" s="79"/>
      <c r="J23" s="72"/>
    </row>
    <row r="24" spans="1:10" s="4" customFormat="1" ht="15" customHeight="1">
      <c r="A24" s="18">
        <v>14</v>
      </c>
      <c r="B24" s="7" t="s">
        <v>409</v>
      </c>
      <c r="C24" s="87">
        <v>0</v>
      </c>
      <c r="D24" s="158" t="s">
        <v>414</v>
      </c>
      <c r="E24" s="92"/>
      <c r="F24" s="72"/>
      <c r="G24" s="79"/>
      <c r="H24" s="79"/>
      <c r="I24" s="72"/>
      <c r="J24" s="72"/>
    </row>
    <row r="25" spans="1:10" s="4" customFormat="1" ht="15" customHeight="1">
      <c r="A25" s="18">
        <v>15</v>
      </c>
      <c r="B25" s="7" t="s">
        <v>65</v>
      </c>
      <c r="C25" s="87">
        <v>0</v>
      </c>
      <c r="D25" s="158" t="s">
        <v>411</v>
      </c>
      <c r="E25" s="92"/>
      <c r="F25" s="72"/>
      <c r="G25" s="79"/>
      <c r="H25" s="79"/>
      <c r="I25" s="72"/>
      <c r="J25" s="72"/>
    </row>
    <row r="26" spans="1:10" s="4" customFormat="1" ht="15" customHeight="1">
      <c r="A26" s="18">
        <v>16</v>
      </c>
      <c r="B26" s="7" t="s">
        <v>369</v>
      </c>
      <c r="C26" s="87">
        <v>0</v>
      </c>
      <c r="D26" s="158" t="s">
        <v>414</v>
      </c>
      <c r="E26" s="92"/>
      <c r="F26" s="72"/>
      <c r="G26" s="79"/>
      <c r="H26" s="79"/>
      <c r="I26" s="72"/>
      <c r="J26" s="72"/>
    </row>
    <row r="27" spans="1:10" s="4" customFormat="1" ht="15" customHeight="1">
      <c r="A27" s="18">
        <v>17</v>
      </c>
      <c r="B27" s="7" t="s">
        <v>70</v>
      </c>
      <c r="C27" s="87">
        <v>0</v>
      </c>
      <c r="D27" s="158" t="s">
        <v>411</v>
      </c>
      <c r="E27" s="92"/>
      <c r="F27" s="72"/>
      <c r="G27" s="79"/>
      <c r="H27" s="79"/>
      <c r="I27" s="72"/>
      <c r="J27" s="72"/>
    </row>
    <row r="28" spans="1:10" s="4" customFormat="1" ht="15" customHeight="1">
      <c r="A28" s="18">
        <v>18</v>
      </c>
      <c r="B28" s="7" t="s">
        <v>69</v>
      </c>
      <c r="C28" s="87">
        <v>0</v>
      </c>
      <c r="D28" s="158" t="s">
        <v>415</v>
      </c>
      <c r="E28" s="92"/>
      <c r="F28" s="72"/>
      <c r="G28" s="79"/>
      <c r="H28" s="79"/>
      <c r="I28" s="72"/>
      <c r="J28" s="72"/>
    </row>
    <row r="29" spans="1:10" s="4" customFormat="1" ht="15" customHeight="1">
      <c r="A29" s="18">
        <v>19</v>
      </c>
      <c r="B29" s="7" t="s">
        <v>410</v>
      </c>
      <c r="C29" s="87">
        <v>0</v>
      </c>
      <c r="D29" s="158" t="s">
        <v>411</v>
      </c>
      <c r="E29" s="92"/>
      <c r="F29" s="72"/>
      <c r="G29" s="79"/>
      <c r="H29" s="79"/>
      <c r="I29" s="72"/>
      <c r="J29" s="72"/>
    </row>
    <row r="30" spans="1:10" s="4" customFormat="1" ht="15" customHeight="1">
      <c r="A30" s="18">
        <v>20</v>
      </c>
      <c r="B30" s="7" t="s">
        <v>66</v>
      </c>
      <c r="C30" s="88"/>
      <c r="D30" s="88"/>
      <c r="E30" s="92"/>
      <c r="F30" s="72"/>
      <c r="G30" s="79"/>
      <c r="H30" s="79"/>
      <c r="I30" s="72"/>
      <c r="J30" s="72"/>
    </row>
    <row r="31" spans="1:10" s="4" customFormat="1" ht="15" customHeight="1">
      <c r="A31" s="72"/>
      <c r="B31" s="72"/>
      <c r="C31" s="72"/>
      <c r="D31" s="72"/>
      <c r="E31" s="92"/>
      <c r="F31" s="72"/>
      <c r="G31" s="79"/>
      <c r="H31" s="79"/>
      <c r="I31" s="72"/>
      <c r="J31" s="72"/>
    </row>
    <row r="32" spans="1:10" s="4" customFormat="1" ht="26.25" customHeight="1">
      <c r="A32" s="78" t="s">
        <v>237</v>
      </c>
      <c r="B32" s="78"/>
      <c r="C32" s="72"/>
      <c r="D32" s="72"/>
      <c r="E32" s="92"/>
      <c r="F32" s="72"/>
      <c r="G32" s="79"/>
      <c r="H32" s="79"/>
      <c r="I32" s="72"/>
      <c r="J32" s="72"/>
    </row>
    <row r="33" spans="1:12" s="4" customFormat="1" ht="26.25" customHeight="1">
      <c r="A33" s="21" t="s">
        <v>34</v>
      </c>
      <c r="B33" s="122" t="s">
        <v>135</v>
      </c>
      <c r="C33" s="22" t="s">
        <v>109</v>
      </c>
      <c r="D33" s="19" t="s">
        <v>108</v>
      </c>
      <c r="E33" s="129" t="s">
        <v>211</v>
      </c>
      <c r="F33" s="130" t="s">
        <v>174</v>
      </c>
      <c r="G33" s="79"/>
      <c r="H33" s="79"/>
      <c r="I33" s="79"/>
      <c r="J33" s="79"/>
      <c r="K33" s="72"/>
      <c r="L33" s="72"/>
    </row>
    <row r="34" spans="1:12" s="4" customFormat="1" ht="15" customHeight="1">
      <c r="A34" s="90" t="s">
        <v>111</v>
      </c>
      <c r="B34" s="18" t="s">
        <v>136</v>
      </c>
      <c r="C34" s="91">
        <v>1</v>
      </c>
      <c r="D34" s="7" t="s">
        <v>114</v>
      </c>
      <c r="E34" s="7"/>
      <c r="F34" s="7"/>
      <c r="G34" s="79"/>
      <c r="H34" s="79"/>
      <c r="I34" s="79"/>
      <c r="J34" s="79"/>
      <c r="K34" s="72"/>
      <c r="L34" s="72"/>
    </row>
    <row r="35" spans="1:12" s="4" customFormat="1" ht="15" customHeight="1">
      <c r="A35" s="90" t="s">
        <v>110</v>
      </c>
      <c r="B35" s="18" t="s">
        <v>38</v>
      </c>
      <c r="C35" s="91">
        <v>1</v>
      </c>
      <c r="D35" s="7" t="s">
        <v>115</v>
      </c>
      <c r="E35" s="7"/>
      <c r="F35" s="7"/>
      <c r="G35" s="79"/>
      <c r="H35" s="79"/>
      <c r="I35" s="79"/>
      <c r="J35" s="79"/>
      <c r="K35" s="72"/>
      <c r="L35" s="72"/>
    </row>
    <row r="36" spans="1:12" s="4" customFormat="1" ht="15" customHeight="1">
      <c r="A36" s="90" t="s">
        <v>112</v>
      </c>
      <c r="B36" s="18" t="s">
        <v>132</v>
      </c>
      <c r="C36" s="91">
        <v>1</v>
      </c>
      <c r="D36" s="7" t="s">
        <v>116</v>
      </c>
      <c r="E36" s="7"/>
      <c r="F36" s="7"/>
      <c r="G36" s="79"/>
      <c r="H36" s="79"/>
      <c r="I36" s="79"/>
      <c r="J36" s="79"/>
      <c r="K36" s="72"/>
      <c r="L36" s="72"/>
    </row>
    <row r="37" spans="1:12" s="4" customFormat="1" ht="15" customHeight="1">
      <c r="A37" s="90" t="s">
        <v>113</v>
      </c>
      <c r="B37" s="18" t="s">
        <v>133</v>
      </c>
      <c r="C37" s="91">
        <v>1</v>
      </c>
      <c r="D37" s="7" t="s">
        <v>117</v>
      </c>
      <c r="E37" s="7"/>
      <c r="F37" s="7"/>
      <c r="G37" s="79"/>
      <c r="H37" s="79"/>
      <c r="I37" s="79"/>
      <c r="J37" s="79"/>
      <c r="K37" s="72"/>
      <c r="L37" s="72"/>
    </row>
    <row r="38" spans="1:12" s="4" customFormat="1" ht="15" customHeight="1">
      <c r="A38" s="72"/>
      <c r="B38" s="72"/>
      <c r="C38" s="72"/>
      <c r="D38" s="72"/>
      <c r="E38" s="92"/>
      <c r="F38" s="72"/>
      <c r="G38" s="79"/>
      <c r="H38" s="79"/>
      <c r="I38" s="72"/>
      <c r="J38" s="72"/>
    </row>
    <row r="39" spans="1:12" s="61" customFormat="1" ht="26.25" customHeight="1">
      <c r="A39" s="78" t="s">
        <v>118</v>
      </c>
      <c r="B39" s="72"/>
      <c r="C39" s="72"/>
      <c r="D39" s="79"/>
      <c r="G39" s="62"/>
    </row>
    <row r="40" spans="1:12" ht="26.25" customHeight="1">
      <c r="A40" s="21" t="s">
        <v>34</v>
      </c>
      <c r="B40" s="19" t="s">
        <v>119</v>
      </c>
      <c r="C40" s="22" t="s">
        <v>109</v>
      </c>
      <c r="D40" s="61"/>
      <c r="E40" s="61"/>
      <c r="F40" s="127"/>
      <c r="G40" s="61"/>
      <c r="H40" s="61"/>
    </row>
    <row r="41" spans="1:12" ht="15" customHeight="1">
      <c r="A41" s="43" t="s">
        <v>19</v>
      </c>
      <c r="B41" s="44" t="s">
        <v>29</v>
      </c>
      <c r="C41" s="91">
        <v>1</v>
      </c>
      <c r="D41" s="61"/>
      <c r="E41" s="61"/>
      <c r="F41" s="127"/>
      <c r="G41" s="61"/>
      <c r="H41" s="61"/>
    </row>
    <row r="42" spans="1:12" ht="15" customHeight="1">
      <c r="A42" s="45" t="s">
        <v>2</v>
      </c>
      <c r="B42" s="46" t="s">
        <v>1</v>
      </c>
      <c r="C42" s="91">
        <v>1</v>
      </c>
      <c r="D42" s="61"/>
      <c r="E42" s="61"/>
      <c r="F42" s="127"/>
      <c r="G42" s="61"/>
      <c r="H42" s="61"/>
    </row>
    <row r="43" spans="1:12" ht="15" customHeight="1">
      <c r="A43" s="43" t="s">
        <v>20</v>
      </c>
      <c r="B43" s="44" t="s">
        <v>21</v>
      </c>
      <c r="C43" s="91">
        <v>1</v>
      </c>
      <c r="D43" s="61"/>
      <c r="E43" s="61"/>
      <c r="F43" s="127"/>
      <c r="G43" s="61"/>
      <c r="H43" s="61"/>
    </row>
    <row r="44" spans="1:12" ht="15" customHeight="1">
      <c r="A44" s="45" t="s">
        <v>18</v>
      </c>
      <c r="B44" s="46" t="s">
        <v>12</v>
      </c>
      <c r="C44" s="91">
        <v>1</v>
      </c>
      <c r="D44" s="61"/>
      <c r="E44" s="61"/>
      <c r="F44" s="127"/>
      <c r="G44" s="61"/>
      <c r="H44" s="61"/>
    </row>
    <row r="45" spans="1:12" ht="15" customHeight="1">
      <c r="A45" s="43" t="s">
        <v>120</v>
      </c>
      <c r="B45" s="44" t="s">
        <v>121</v>
      </c>
      <c r="C45" s="91">
        <v>1</v>
      </c>
      <c r="D45" s="61"/>
      <c r="E45" s="61"/>
      <c r="F45" s="127"/>
      <c r="G45" s="61"/>
      <c r="H45" s="61"/>
    </row>
    <row r="46" spans="1:12" ht="15" customHeight="1">
      <c r="A46" s="45" t="s">
        <v>17</v>
      </c>
      <c r="B46" s="46" t="s">
        <v>14</v>
      </c>
      <c r="C46" s="91">
        <v>1</v>
      </c>
      <c r="D46" s="61"/>
      <c r="E46" s="61"/>
      <c r="F46" s="127"/>
      <c r="G46" s="61"/>
      <c r="H46" s="61"/>
    </row>
    <row r="47" spans="1:12" ht="15" customHeight="1">
      <c r="A47" s="43" t="s">
        <v>15</v>
      </c>
      <c r="B47" s="44" t="s">
        <v>13</v>
      </c>
      <c r="C47" s="91">
        <v>1</v>
      </c>
      <c r="D47" s="61"/>
      <c r="E47" s="61"/>
      <c r="F47" s="127"/>
      <c r="G47" s="61"/>
      <c r="H47" s="61"/>
    </row>
    <row r="48" spans="1:12" ht="15" customHeight="1">
      <c r="A48" s="45" t="s">
        <v>25</v>
      </c>
      <c r="B48" s="46" t="s">
        <v>28</v>
      </c>
      <c r="C48" s="91">
        <v>1</v>
      </c>
      <c r="D48" s="61"/>
      <c r="E48" s="61"/>
      <c r="F48" s="127"/>
      <c r="G48" s="61"/>
      <c r="H48" s="61"/>
    </row>
    <row r="49" spans="1:10" ht="15" customHeight="1">
      <c r="A49" s="43" t="s">
        <v>26</v>
      </c>
      <c r="B49" s="44" t="s">
        <v>27</v>
      </c>
      <c r="C49" s="91">
        <v>1</v>
      </c>
      <c r="D49" s="61"/>
      <c r="E49" s="61"/>
      <c r="F49" s="127"/>
      <c r="G49" s="61"/>
      <c r="H49" s="61"/>
    </row>
    <row r="50" spans="1:10" ht="15" customHeight="1">
      <c r="A50" s="45" t="s">
        <v>16</v>
      </c>
      <c r="B50" s="46" t="s">
        <v>0</v>
      </c>
      <c r="C50" s="91">
        <v>1</v>
      </c>
      <c r="D50" s="61"/>
      <c r="E50" s="61"/>
      <c r="F50" s="127"/>
      <c r="G50" s="61"/>
      <c r="H50" s="61"/>
    </row>
    <row r="51" spans="1:10" ht="15" customHeight="1">
      <c r="A51" s="93"/>
      <c r="B51" s="79"/>
      <c r="C51" s="79"/>
      <c r="D51" s="79"/>
      <c r="E51" s="61"/>
      <c r="F51" s="61"/>
      <c r="G51" s="62"/>
      <c r="H51" s="61"/>
      <c r="I51" s="61"/>
      <c r="J51" s="61"/>
    </row>
    <row r="52" spans="1:10" ht="15" customHeight="1">
      <c r="A52" s="128"/>
      <c r="B52" s="61"/>
      <c r="C52" s="61"/>
      <c r="D52" s="77"/>
      <c r="E52" s="61"/>
      <c r="F52" s="61"/>
      <c r="G52" s="62"/>
      <c r="H52" s="61"/>
      <c r="I52" s="61"/>
      <c r="J52" s="61"/>
    </row>
    <row r="53" spans="1:10" ht="15" customHeight="1">
      <c r="A53" s="128"/>
      <c r="B53" s="61"/>
      <c r="C53" s="61"/>
      <c r="D53" s="77"/>
      <c r="E53" s="61"/>
      <c r="F53" s="61"/>
      <c r="G53" s="62"/>
      <c r="H53" s="61"/>
      <c r="I53" s="61"/>
      <c r="J53" s="61"/>
    </row>
    <row r="54" spans="1:10" ht="15" customHeight="1">
      <c r="A54" s="128"/>
      <c r="B54" s="61"/>
      <c r="C54" s="61"/>
      <c r="D54" s="77"/>
      <c r="E54" s="61"/>
      <c r="F54" s="61"/>
      <c r="G54" s="62"/>
      <c r="H54" s="61"/>
      <c r="I54" s="61"/>
      <c r="J54" s="61"/>
    </row>
    <row r="55" spans="1:10" ht="15" customHeight="1">
      <c r="A55" s="128"/>
      <c r="B55" s="61"/>
      <c r="C55" s="61"/>
      <c r="D55" s="77"/>
      <c r="E55" s="61"/>
      <c r="F55" s="61"/>
      <c r="G55" s="62"/>
      <c r="H55" s="61"/>
      <c r="I55" s="61"/>
      <c r="J55" s="61"/>
    </row>
    <row r="56" spans="1:10" ht="15" customHeight="1">
      <c r="F56" s="61"/>
      <c r="G56" s="62"/>
      <c r="H56" s="61"/>
      <c r="I56" s="61"/>
      <c r="J56" s="61"/>
    </row>
    <row r="57" spans="1:10" ht="15" customHeight="1">
      <c r="F57" s="61"/>
      <c r="G57" s="62"/>
      <c r="H57" s="61"/>
      <c r="I57" s="61"/>
      <c r="J57" s="61"/>
    </row>
    <row r="58" spans="1:10" ht="15" customHeight="1">
      <c r="F58" s="61"/>
      <c r="G58" s="62"/>
      <c r="H58" s="61"/>
      <c r="I58" s="61"/>
      <c r="J58" s="61"/>
    </row>
    <row r="59" spans="1:10" ht="15" customHeight="1">
      <c r="F59" s="61"/>
      <c r="G59" s="62"/>
      <c r="H59" s="61"/>
      <c r="I59" s="61"/>
      <c r="J59" s="61"/>
    </row>
    <row r="60" spans="1:10" ht="15" customHeight="1">
      <c r="F60" s="61"/>
      <c r="G60" s="62"/>
      <c r="H60" s="61"/>
      <c r="I60" s="61"/>
      <c r="J60" s="61"/>
    </row>
    <row r="61" spans="1:10" ht="15" customHeight="1">
      <c r="F61" s="61"/>
      <c r="G61" s="62"/>
      <c r="H61" s="61"/>
      <c r="I61" s="61"/>
      <c r="J61" s="61"/>
    </row>
    <row r="62" spans="1:10" ht="15" customHeight="1">
      <c r="F62" s="61"/>
      <c r="G62" s="62"/>
      <c r="H62" s="61"/>
      <c r="I62" s="61"/>
      <c r="J62" s="61"/>
    </row>
    <row r="63" spans="1:10" ht="15" customHeight="1">
      <c r="F63" s="61"/>
      <c r="G63" s="62"/>
      <c r="H63" s="61"/>
      <c r="I63" s="61"/>
      <c r="J63" s="61"/>
    </row>
    <row r="64" spans="1:10" ht="15" customHeight="1">
      <c r="F64" s="61"/>
      <c r="G64" s="62"/>
      <c r="H64" s="61"/>
      <c r="I64" s="61"/>
      <c r="J64" s="61"/>
    </row>
    <row r="65" spans="6:10" ht="15" customHeight="1">
      <c r="F65" s="61"/>
      <c r="G65" s="62"/>
      <c r="H65" s="61"/>
      <c r="I65" s="61"/>
      <c r="J65" s="61"/>
    </row>
    <row r="66" spans="6:10" ht="15" customHeight="1">
      <c r="F66" s="61"/>
      <c r="G66" s="62"/>
      <c r="H66" s="61"/>
      <c r="I66" s="61"/>
      <c r="J66" s="61"/>
    </row>
    <row r="67" spans="6:10" ht="15" customHeight="1">
      <c r="F67" s="61"/>
      <c r="G67" s="62"/>
      <c r="H67" s="61"/>
      <c r="I67" s="61"/>
      <c r="J67" s="61"/>
    </row>
    <row r="68" spans="6:10" ht="15" customHeight="1">
      <c r="F68" s="61"/>
      <c r="G68" s="62"/>
      <c r="H68" s="61"/>
      <c r="I68" s="61"/>
      <c r="J68" s="61"/>
    </row>
    <row r="69" spans="6:10" ht="15" customHeight="1">
      <c r="F69" s="61"/>
      <c r="G69" s="62"/>
      <c r="H69" s="61"/>
      <c r="I69" s="61"/>
      <c r="J69" s="61"/>
    </row>
    <row r="70" spans="6:10" ht="15" customHeight="1">
      <c r="F70" s="61"/>
      <c r="G70" s="62"/>
      <c r="H70" s="61"/>
      <c r="I70" s="61"/>
      <c r="J70" s="61"/>
    </row>
    <row r="71" spans="6:10" ht="15" customHeight="1">
      <c r="F71" s="61"/>
      <c r="G71" s="62"/>
      <c r="H71" s="61"/>
      <c r="I71" s="61"/>
      <c r="J71" s="61"/>
    </row>
    <row r="72" spans="6:10" ht="15" customHeight="1">
      <c r="F72" s="61"/>
      <c r="G72" s="62"/>
      <c r="H72" s="61"/>
      <c r="I72" s="61"/>
      <c r="J72" s="61"/>
    </row>
    <row r="73" spans="6:10" ht="15" customHeight="1">
      <c r="F73" s="61"/>
      <c r="G73" s="62"/>
      <c r="H73" s="61"/>
      <c r="I73" s="61"/>
      <c r="J73" s="61"/>
    </row>
    <row r="74" spans="6:10" ht="15" customHeight="1">
      <c r="F74" s="61"/>
      <c r="G74" s="62"/>
      <c r="H74" s="61"/>
      <c r="I74" s="61"/>
      <c r="J74" s="61"/>
    </row>
    <row r="75" spans="6:10" ht="15" customHeight="1">
      <c r="F75" s="61"/>
      <c r="G75" s="62"/>
      <c r="H75" s="61"/>
      <c r="I75" s="61"/>
      <c r="J75" s="61"/>
    </row>
    <row r="76" spans="6:10" ht="15" customHeight="1">
      <c r="F76" s="61"/>
      <c r="G76" s="62"/>
      <c r="H76" s="61"/>
      <c r="I76" s="61"/>
      <c r="J76" s="61"/>
    </row>
    <row r="77" spans="6:10" ht="15" customHeight="1">
      <c r="F77" s="61"/>
      <c r="G77" s="62"/>
      <c r="H77" s="61"/>
      <c r="I77" s="61"/>
      <c r="J77" s="61"/>
    </row>
    <row r="78" spans="6:10" ht="15" customHeight="1">
      <c r="F78" s="61"/>
      <c r="G78" s="62"/>
      <c r="H78" s="61"/>
      <c r="I78" s="61"/>
      <c r="J78" s="61"/>
    </row>
    <row r="79" spans="6:10" ht="15" customHeight="1">
      <c r="F79" s="61"/>
      <c r="G79" s="62"/>
      <c r="H79" s="61"/>
      <c r="I79" s="61"/>
      <c r="J79" s="61"/>
    </row>
    <row r="80" spans="6:10" ht="15" customHeight="1">
      <c r="F80" s="61"/>
      <c r="G80" s="62"/>
      <c r="H80" s="61"/>
      <c r="I80" s="61"/>
      <c r="J80" s="61"/>
    </row>
    <row r="81" spans="6:10" ht="15" customHeight="1">
      <c r="F81" s="61"/>
      <c r="G81" s="62"/>
      <c r="H81" s="61"/>
      <c r="I81" s="61"/>
      <c r="J81" s="61"/>
    </row>
    <row r="82" spans="6:10" ht="15" customHeight="1">
      <c r="F82" s="61"/>
      <c r="G82" s="62"/>
      <c r="H82" s="61"/>
      <c r="I82" s="61"/>
      <c r="J82" s="61"/>
    </row>
    <row r="83" spans="6:10" ht="15" customHeight="1">
      <c r="F83" s="61"/>
      <c r="G83" s="62"/>
      <c r="H83" s="61"/>
      <c r="I83" s="61"/>
      <c r="J83" s="61"/>
    </row>
    <row r="84" spans="6:10" ht="15" customHeight="1">
      <c r="F84" s="61"/>
      <c r="G84" s="62"/>
      <c r="H84" s="61"/>
      <c r="I84" s="61"/>
      <c r="J84" s="61"/>
    </row>
    <row r="85" spans="6:10" ht="15" customHeight="1">
      <c r="F85" s="61"/>
      <c r="G85" s="62"/>
      <c r="H85" s="61"/>
      <c r="I85" s="61"/>
      <c r="J85" s="61"/>
    </row>
    <row r="86" spans="6:10" ht="15" customHeight="1">
      <c r="F86" s="61"/>
      <c r="G86" s="62"/>
      <c r="H86" s="61"/>
      <c r="I86" s="61"/>
      <c r="J86" s="61"/>
    </row>
    <row r="87" spans="6:10" ht="15" customHeight="1">
      <c r="F87" s="61"/>
      <c r="G87" s="62"/>
      <c r="H87" s="61"/>
      <c r="I87" s="61"/>
      <c r="J87" s="61"/>
    </row>
    <row r="88" spans="6:10" ht="15" customHeight="1">
      <c r="F88" s="61"/>
      <c r="G88" s="62"/>
      <c r="H88" s="61"/>
      <c r="I88" s="61"/>
      <c r="J88" s="61"/>
    </row>
    <row r="89" spans="6:10" ht="15" customHeight="1">
      <c r="F89" s="61"/>
      <c r="G89" s="62"/>
      <c r="H89" s="61"/>
      <c r="I89" s="61"/>
      <c r="J89" s="61"/>
    </row>
    <row r="90" spans="6:10" ht="15" customHeight="1">
      <c r="F90" s="61"/>
      <c r="G90" s="62"/>
      <c r="H90" s="61"/>
      <c r="I90" s="61"/>
      <c r="J90" s="61"/>
    </row>
    <row r="91" spans="6:10" ht="15" customHeight="1">
      <c r="F91" s="61"/>
      <c r="G91" s="62"/>
      <c r="H91" s="61"/>
      <c r="I91" s="61"/>
      <c r="J91" s="61"/>
    </row>
    <row r="92" spans="6:10" ht="15" customHeight="1">
      <c r="F92" s="61"/>
      <c r="G92" s="62"/>
      <c r="H92" s="61"/>
      <c r="I92" s="61"/>
      <c r="J92" s="61"/>
    </row>
    <row r="93" spans="6:10" ht="15" customHeight="1">
      <c r="F93" s="61"/>
      <c r="G93" s="62"/>
      <c r="H93" s="61"/>
      <c r="I93" s="61"/>
      <c r="J93" s="61"/>
    </row>
    <row r="94" spans="6:10" ht="15" customHeight="1">
      <c r="F94" s="61"/>
      <c r="G94" s="62"/>
      <c r="H94" s="61"/>
      <c r="I94" s="61"/>
      <c r="J94" s="61"/>
    </row>
    <row r="95" spans="6:10" ht="15" customHeight="1">
      <c r="F95" s="61"/>
      <c r="G95" s="62"/>
      <c r="H95" s="61"/>
      <c r="I95" s="61"/>
      <c r="J95" s="61"/>
    </row>
    <row r="96" spans="6:10" ht="15" customHeight="1">
      <c r="F96" s="61"/>
      <c r="G96" s="62"/>
      <c r="H96" s="61"/>
      <c r="I96" s="61"/>
      <c r="J96" s="61"/>
    </row>
    <row r="97" spans="6:10" ht="15" customHeight="1">
      <c r="F97" s="61"/>
      <c r="G97" s="62"/>
      <c r="H97" s="61"/>
      <c r="I97" s="61"/>
      <c r="J97" s="61"/>
    </row>
    <row r="98" spans="6:10" ht="15" customHeight="1">
      <c r="F98" s="61"/>
      <c r="G98" s="62"/>
      <c r="H98" s="61"/>
      <c r="I98" s="61"/>
      <c r="J98" s="61"/>
    </row>
    <row r="99" spans="6:10" ht="15" customHeight="1">
      <c r="F99" s="61"/>
      <c r="G99" s="62"/>
      <c r="H99" s="61"/>
      <c r="I99" s="61"/>
      <c r="J99" s="61"/>
    </row>
    <row r="100" spans="6:10" ht="15" customHeight="1">
      <c r="F100" s="61"/>
      <c r="G100" s="62"/>
      <c r="H100" s="61"/>
      <c r="I100" s="61"/>
      <c r="J100" s="61"/>
    </row>
    <row r="101" spans="6:10" ht="15" customHeight="1">
      <c r="F101" s="61"/>
      <c r="G101" s="62"/>
      <c r="H101" s="61"/>
      <c r="I101" s="61"/>
      <c r="J101" s="61"/>
    </row>
    <row r="102" spans="6:10" ht="15" customHeight="1">
      <c r="F102" s="61"/>
      <c r="G102" s="62"/>
      <c r="H102" s="61"/>
      <c r="I102" s="61"/>
      <c r="J102" s="61"/>
    </row>
    <row r="103" spans="6:10" ht="15" customHeight="1">
      <c r="F103" s="61"/>
      <c r="G103" s="62"/>
      <c r="H103" s="61"/>
      <c r="I103" s="61"/>
      <c r="J103" s="61"/>
    </row>
    <row r="104" spans="6:10" ht="15" customHeight="1">
      <c r="F104" s="61"/>
      <c r="G104" s="62"/>
      <c r="H104" s="61"/>
      <c r="I104" s="61"/>
      <c r="J104" s="61"/>
    </row>
    <row r="105" spans="6:10" ht="15" customHeight="1">
      <c r="F105" s="61"/>
      <c r="G105" s="62"/>
      <c r="H105" s="61"/>
      <c r="I105" s="61"/>
      <c r="J105" s="61"/>
    </row>
    <row r="106" spans="6:10" ht="15" customHeight="1">
      <c r="F106" s="61"/>
      <c r="G106" s="62"/>
      <c r="H106" s="61"/>
      <c r="I106" s="61"/>
      <c r="J106" s="61"/>
    </row>
    <row r="107" spans="6:10" ht="15" customHeight="1">
      <c r="F107" s="61"/>
      <c r="G107" s="62"/>
      <c r="H107" s="61"/>
      <c r="I107" s="61"/>
      <c r="J107" s="61"/>
    </row>
    <row r="108" spans="6:10" ht="15" customHeight="1">
      <c r="F108" s="61"/>
      <c r="G108" s="62"/>
      <c r="H108" s="61"/>
      <c r="I108" s="61"/>
      <c r="J108" s="61"/>
    </row>
    <row r="109" spans="6:10" ht="15" customHeight="1">
      <c r="F109" s="61"/>
      <c r="G109" s="62"/>
      <c r="H109" s="61"/>
      <c r="I109" s="61"/>
      <c r="J109" s="61"/>
    </row>
    <row r="110" spans="6:10" ht="15" customHeight="1">
      <c r="F110" s="61"/>
      <c r="G110" s="62"/>
      <c r="H110" s="61"/>
      <c r="I110" s="61"/>
      <c r="J110" s="61"/>
    </row>
    <row r="111" spans="6:10" ht="15" customHeight="1">
      <c r="F111" s="61"/>
      <c r="G111" s="62"/>
      <c r="H111" s="61"/>
      <c r="I111" s="61"/>
      <c r="J111" s="61"/>
    </row>
    <row r="112" spans="6:10" ht="15" customHeight="1">
      <c r="F112" s="61"/>
      <c r="G112" s="62"/>
      <c r="H112" s="61"/>
      <c r="I112" s="61"/>
      <c r="J112" s="61"/>
    </row>
    <row r="113" spans="6:10" ht="15" customHeight="1">
      <c r="F113" s="61"/>
      <c r="G113" s="62"/>
      <c r="H113" s="61"/>
      <c r="I113" s="61"/>
      <c r="J113" s="61"/>
    </row>
    <row r="114" spans="6:10" ht="15" customHeight="1">
      <c r="F114" s="61"/>
      <c r="G114" s="62"/>
      <c r="H114" s="61"/>
      <c r="I114" s="61"/>
      <c r="J114" s="61"/>
    </row>
    <row r="115" spans="6:10" ht="15" customHeight="1">
      <c r="F115" s="61"/>
      <c r="G115" s="62"/>
      <c r="H115" s="61"/>
      <c r="I115" s="61"/>
      <c r="J115" s="61"/>
    </row>
    <row r="116" spans="6:10" ht="15" customHeight="1">
      <c r="F116" s="61"/>
      <c r="G116" s="62"/>
      <c r="H116" s="61"/>
      <c r="I116" s="61"/>
      <c r="J116" s="61"/>
    </row>
    <row r="117" spans="6:10" ht="15" customHeight="1">
      <c r="F117" s="61"/>
      <c r="G117" s="62"/>
      <c r="H117" s="61"/>
      <c r="I117" s="61"/>
      <c r="J117" s="61"/>
    </row>
    <row r="118" spans="6:10" ht="15" customHeight="1">
      <c r="F118" s="61"/>
      <c r="G118" s="62"/>
      <c r="H118" s="61"/>
      <c r="I118" s="61"/>
      <c r="J118" s="61"/>
    </row>
    <row r="119" spans="6:10" ht="15" customHeight="1">
      <c r="F119" s="61"/>
      <c r="G119" s="62"/>
      <c r="H119" s="61"/>
      <c r="I119" s="61"/>
      <c r="J119" s="61"/>
    </row>
    <row r="120" spans="6:10" ht="15" customHeight="1">
      <c r="F120" s="61"/>
      <c r="G120" s="62"/>
      <c r="H120" s="61"/>
      <c r="I120" s="61"/>
      <c r="J120" s="61"/>
    </row>
    <row r="121" spans="6:10" ht="15" customHeight="1">
      <c r="F121" s="61"/>
      <c r="G121" s="62"/>
      <c r="H121" s="61"/>
      <c r="I121" s="61"/>
      <c r="J121" s="61"/>
    </row>
    <row r="122" spans="6:10" ht="15" customHeight="1">
      <c r="F122" s="61"/>
      <c r="G122" s="62"/>
      <c r="H122" s="61"/>
      <c r="I122" s="61"/>
      <c r="J122" s="61"/>
    </row>
    <row r="123" spans="6:10" ht="15" customHeight="1">
      <c r="F123" s="61"/>
      <c r="G123" s="62"/>
      <c r="H123" s="61"/>
      <c r="I123" s="61"/>
      <c r="J123" s="61"/>
    </row>
    <row r="124" spans="6:10" ht="15" customHeight="1">
      <c r="F124" s="61"/>
      <c r="G124" s="62"/>
      <c r="H124" s="61"/>
      <c r="I124" s="61"/>
      <c r="J124" s="61"/>
    </row>
    <row r="125" spans="6:10" ht="15" customHeight="1">
      <c r="F125" s="61"/>
      <c r="G125" s="62"/>
      <c r="H125" s="61"/>
      <c r="I125" s="61"/>
      <c r="J125" s="61"/>
    </row>
    <row r="126" spans="6:10" ht="15" customHeight="1">
      <c r="F126" s="61"/>
      <c r="G126" s="62"/>
      <c r="H126" s="61"/>
      <c r="I126" s="61"/>
      <c r="J126" s="61"/>
    </row>
    <row r="127" spans="6:10" ht="15" customHeight="1">
      <c r="F127" s="61"/>
      <c r="G127" s="62"/>
      <c r="H127" s="61"/>
      <c r="I127" s="61"/>
      <c r="J127" s="61"/>
    </row>
    <row r="128" spans="6:10" ht="15" customHeight="1">
      <c r="F128" s="61"/>
      <c r="G128" s="62"/>
      <c r="H128" s="61"/>
      <c r="I128" s="61"/>
      <c r="J128" s="61"/>
    </row>
    <row r="129" spans="6:10" ht="15" customHeight="1">
      <c r="F129" s="61"/>
      <c r="G129" s="62"/>
      <c r="H129" s="61"/>
      <c r="I129" s="61"/>
      <c r="J129" s="61"/>
    </row>
    <row r="130" spans="6:10" ht="15" customHeight="1">
      <c r="F130" s="61"/>
      <c r="G130" s="62"/>
      <c r="H130" s="61"/>
      <c r="I130" s="61"/>
      <c r="J130" s="61"/>
    </row>
    <row r="131" spans="6:10" ht="15" customHeight="1">
      <c r="F131" s="61"/>
      <c r="G131" s="62"/>
      <c r="H131" s="61"/>
      <c r="I131" s="61"/>
      <c r="J131" s="61"/>
    </row>
    <row r="132" spans="6:10" ht="15" customHeight="1">
      <c r="F132" s="61"/>
      <c r="G132" s="62"/>
      <c r="H132" s="61"/>
      <c r="I132" s="61"/>
      <c r="J132" s="61"/>
    </row>
    <row r="133" spans="6:10" ht="15" customHeight="1">
      <c r="F133" s="61"/>
      <c r="G133" s="62"/>
      <c r="H133" s="61"/>
      <c r="I133" s="61"/>
      <c r="J133" s="61"/>
    </row>
    <row r="134" spans="6:10" ht="15" customHeight="1">
      <c r="F134" s="61"/>
      <c r="G134" s="62"/>
      <c r="H134" s="61"/>
      <c r="I134" s="61"/>
      <c r="J134" s="61"/>
    </row>
    <row r="135" spans="6:10" ht="15" customHeight="1">
      <c r="F135" s="61"/>
      <c r="G135" s="62"/>
      <c r="H135" s="61"/>
      <c r="I135" s="61"/>
      <c r="J135" s="61"/>
    </row>
    <row r="136" spans="6:10" ht="15" customHeight="1">
      <c r="F136" s="61"/>
      <c r="G136" s="62"/>
      <c r="H136" s="61"/>
      <c r="I136" s="61"/>
      <c r="J136" s="61"/>
    </row>
    <row r="137" spans="6:10" ht="15" customHeight="1">
      <c r="F137" s="61"/>
      <c r="G137" s="62"/>
      <c r="H137" s="61"/>
      <c r="I137" s="61"/>
      <c r="J137" s="61"/>
    </row>
    <row r="138" spans="6:10" ht="15" customHeight="1">
      <c r="F138" s="61"/>
      <c r="G138" s="62"/>
      <c r="H138" s="61"/>
      <c r="I138" s="61"/>
      <c r="J138" s="61"/>
    </row>
    <row r="139" spans="6:10" ht="15" customHeight="1">
      <c r="F139" s="61"/>
      <c r="G139" s="62"/>
      <c r="H139" s="61"/>
      <c r="I139" s="61"/>
      <c r="J139" s="61"/>
    </row>
    <row r="140" spans="6:10" ht="15" customHeight="1">
      <c r="F140" s="61"/>
      <c r="G140" s="62"/>
      <c r="H140" s="61"/>
      <c r="I140" s="61"/>
      <c r="J140" s="61"/>
    </row>
    <row r="141" spans="6:10" ht="15" customHeight="1">
      <c r="F141" s="61"/>
      <c r="G141" s="62"/>
      <c r="H141" s="61"/>
      <c r="I141" s="61"/>
      <c r="J141" s="61"/>
    </row>
    <row r="142" spans="6:10" ht="15" customHeight="1">
      <c r="F142" s="61"/>
      <c r="G142" s="62"/>
      <c r="H142" s="61"/>
      <c r="I142" s="61"/>
      <c r="J142" s="61"/>
    </row>
    <row r="143" spans="6:10" ht="15" customHeight="1">
      <c r="F143" s="61"/>
      <c r="G143" s="62"/>
      <c r="H143" s="61"/>
      <c r="I143" s="61"/>
      <c r="J143" s="61"/>
    </row>
    <row r="144" spans="6:10" ht="15" customHeight="1">
      <c r="F144" s="61"/>
      <c r="G144" s="62"/>
      <c r="H144" s="61"/>
      <c r="I144" s="61"/>
      <c r="J144" s="61"/>
    </row>
    <row r="145" spans="6:10" ht="15" customHeight="1">
      <c r="F145" s="61"/>
      <c r="G145" s="62"/>
      <c r="H145" s="61"/>
      <c r="I145" s="61"/>
      <c r="J145" s="61"/>
    </row>
    <row r="146" spans="6:10" ht="15" customHeight="1">
      <c r="F146" s="61"/>
      <c r="G146" s="62"/>
      <c r="H146" s="61"/>
      <c r="I146" s="61"/>
      <c r="J146" s="61"/>
    </row>
    <row r="147" spans="6:10" ht="15" customHeight="1">
      <c r="F147" s="61"/>
      <c r="G147" s="62"/>
      <c r="H147" s="61"/>
      <c r="I147" s="61"/>
      <c r="J147" s="61"/>
    </row>
    <row r="148" spans="6:10" ht="15" customHeight="1">
      <c r="F148" s="61"/>
      <c r="G148" s="62"/>
      <c r="H148" s="61"/>
      <c r="I148" s="61"/>
      <c r="J148" s="61"/>
    </row>
    <row r="149" spans="6:10" ht="15" customHeight="1">
      <c r="F149" s="61"/>
      <c r="G149" s="62"/>
      <c r="H149" s="61"/>
      <c r="I149" s="61"/>
      <c r="J149" s="61"/>
    </row>
    <row r="150" spans="6:10" ht="15" customHeight="1">
      <c r="F150" s="61"/>
      <c r="G150" s="62"/>
      <c r="H150" s="61"/>
      <c r="I150" s="61"/>
      <c r="J150" s="61"/>
    </row>
    <row r="151" spans="6:10" ht="15" customHeight="1">
      <c r="F151" s="61"/>
      <c r="G151" s="62"/>
      <c r="H151" s="61"/>
      <c r="I151" s="61"/>
      <c r="J151" s="61"/>
    </row>
    <row r="152" spans="6:10" ht="15" customHeight="1">
      <c r="F152" s="61"/>
      <c r="G152" s="62"/>
      <c r="H152" s="61"/>
      <c r="I152" s="61"/>
      <c r="J152" s="61"/>
    </row>
    <row r="153" spans="6:10" ht="15" customHeight="1">
      <c r="F153" s="61"/>
      <c r="G153" s="62"/>
      <c r="H153" s="61"/>
      <c r="I153" s="61"/>
      <c r="J153" s="61"/>
    </row>
  </sheetData>
  <mergeCells count="2">
    <mergeCell ref="A2:F2"/>
    <mergeCell ref="A1:F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>
    <oddFooter>&amp;L&amp;F&amp;C&amp;D&amp;R&amp;A</oddFooter>
  </headerFooter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tabColor theme="0" tint="-0.14999847407452621"/>
  </sheetPr>
  <dimension ref="A1:HL106"/>
  <sheetViews>
    <sheetView view="pageBreakPreview" zoomScale="90" zoomScaleNormal="40" zoomScaleSheetLayoutView="90" workbookViewId="0">
      <pane ySplit="4" topLeftCell="A89" activePane="bottomLeft" state="frozen"/>
      <selection pane="bottomLeft" activeCell="G114" sqref="G114"/>
    </sheetView>
  </sheetViews>
  <sheetFormatPr defaultColWidth="10.28515625" defaultRowHeight="15" customHeight="1"/>
  <cols>
    <col min="1" max="1" width="6.140625" style="4" customWidth="1"/>
    <col min="2" max="2" width="30.7109375" style="4" bestFit="1" customWidth="1"/>
    <col min="3" max="3" width="17.85546875" style="4" bestFit="1" customWidth="1"/>
    <col min="4" max="4" width="12" style="4" customWidth="1"/>
    <col min="5" max="5" width="11.7109375" style="4" bestFit="1" customWidth="1"/>
    <col min="6" max="6" width="11.28515625" style="4" customWidth="1"/>
    <col min="7" max="7" width="13.85546875" style="4" bestFit="1" customWidth="1"/>
    <col min="8" max="8" width="11.42578125" style="24" customWidth="1"/>
    <col min="9" max="9" width="25.28515625" style="67" bestFit="1" customWidth="1"/>
    <col min="10" max="10" width="9.28515625" style="24" customWidth="1"/>
    <col min="11" max="11" width="23.140625" style="67" bestFit="1" customWidth="1"/>
    <col min="12" max="12" width="9.28515625" style="24" customWidth="1"/>
    <col min="13" max="13" width="16.42578125" style="107" bestFit="1" customWidth="1"/>
    <col min="14" max="14" width="14.5703125" style="107" customWidth="1"/>
    <col min="15" max="15" width="14.5703125" style="108" customWidth="1"/>
    <col min="16" max="16" width="12.140625" style="108" customWidth="1"/>
    <col min="17" max="17" width="17.42578125" style="4" bestFit="1" customWidth="1"/>
    <col min="18" max="18" width="12.85546875" style="4" customWidth="1"/>
    <col min="19" max="19" width="12.5703125" style="12" customWidth="1"/>
    <col min="20" max="20" width="16.42578125" style="12" customWidth="1"/>
    <col min="21" max="21" width="16.42578125" style="110" customWidth="1"/>
    <col min="22" max="22" width="18" style="111" customWidth="1"/>
    <col min="23" max="23" width="16.42578125" style="109" customWidth="1"/>
    <col min="24" max="24" width="16.42578125" style="12" customWidth="1"/>
    <col min="25" max="25" width="16.42578125" style="110" customWidth="1"/>
    <col min="26" max="26" width="16.42578125" style="111" customWidth="1"/>
    <col min="27" max="27" width="16.42578125" style="109" customWidth="1"/>
    <col min="28" max="29" width="16.42578125" style="4" customWidth="1"/>
    <col min="30" max="31" width="16.42578125" style="112" customWidth="1"/>
    <col min="32" max="32" width="16.42578125" style="113" customWidth="1"/>
    <col min="33" max="33" width="16.42578125" style="72" customWidth="1"/>
    <col min="34" max="219" width="10.28515625" style="72"/>
    <col min="220" max="16384" width="10.28515625" style="4"/>
  </cols>
  <sheetData>
    <row r="1" spans="1:220" ht="15" customHeight="1">
      <c r="A1" s="347" t="s">
        <v>166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 t="s">
        <v>166</v>
      </c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</row>
    <row r="2" spans="1:220" ht="15" customHeight="1">
      <c r="A2" s="72"/>
      <c r="B2" s="72"/>
      <c r="C2" s="72"/>
      <c r="D2" s="72"/>
      <c r="E2" s="72"/>
      <c r="F2" s="72"/>
      <c r="G2" s="72"/>
      <c r="H2" s="79"/>
      <c r="I2" s="125"/>
      <c r="J2" s="79"/>
      <c r="K2" s="125"/>
      <c r="L2" s="79"/>
      <c r="M2" s="94"/>
      <c r="N2" s="94"/>
      <c r="O2" s="95"/>
      <c r="P2" s="95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</row>
    <row r="3" spans="1:220" s="72" customFormat="1" ht="15" customHeight="1">
      <c r="H3" s="79"/>
      <c r="I3" s="125"/>
      <c r="J3" s="79"/>
      <c r="K3" s="125"/>
      <c r="L3" s="79"/>
      <c r="M3" s="94"/>
      <c r="N3" s="94"/>
      <c r="O3" s="95"/>
      <c r="P3" s="95"/>
      <c r="S3" s="359" t="s">
        <v>243</v>
      </c>
      <c r="T3" s="360"/>
      <c r="U3" s="360"/>
      <c r="V3" s="360"/>
      <c r="W3" s="360"/>
      <c r="X3" s="361"/>
      <c r="Y3" s="362" t="s">
        <v>244</v>
      </c>
      <c r="Z3" s="363"/>
      <c r="AA3" s="363"/>
      <c r="AB3" s="363"/>
      <c r="AC3" s="363"/>
      <c r="AD3" s="364"/>
      <c r="AE3" s="365" t="s">
        <v>245</v>
      </c>
      <c r="AF3" s="366"/>
      <c r="AG3" s="367"/>
    </row>
    <row r="4" spans="1:220" s="19" customFormat="1" ht="26.25" customHeight="1">
      <c r="A4" s="124" t="s">
        <v>34</v>
      </c>
      <c r="B4" s="22" t="s">
        <v>149</v>
      </c>
      <c r="C4" s="22" t="s">
        <v>68</v>
      </c>
      <c r="D4" s="22" t="s">
        <v>67</v>
      </c>
      <c r="E4" s="22" t="s">
        <v>30</v>
      </c>
      <c r="F4" s="22" t="s">
        <v>31</v>
      </c>
      <c r="G4" s="22" t="s">
        <v>123</v>
      </c>
      <c r="H4" s="22" t="s">
        <v>124</v>
      </c>
      <c r="I4" s="68" t="s">
        <v>107</v>
      </c>
      <c r="J4" s="22" t="s">
        <v>23</v>
      </c>
      <c r="K4" s="68" t="s">
        <v>125</v>
      </c>
      <c r="L4" s="22" t="s">
        <v>126</v>
      </c>
      <c r="M4" s="22" t="s">
        <v>39</v>
      </c>
      <c r="N4" s="22" t="s">
        <v>32</v>
      </c>
      <c r="O4" s="22" t="s">
        <v>137</v>
      </c>
      <c r="P4" s="22" t="s">
        <v>71</v>
      </c>
      <c r="Q4" s="22" t="s">
        <v>138</v>
      </c>
      <c r="R4" s="22" t="s">
        <v>129</v>
      </c>
      <c r="S4" s="22" t="s">
        <v>127</v>
      </c>
      <c r="T4" s="22" t="s">
        <v>141</v>
      </c>
      <c r="U4" s="22" t="s">
        <v>142</v>
      </c>
      <c r="V4" s="22" t="s">
        <v>143</v>
      </c>
      <c r="W4" s="22" t="s">
        <v>139</v>
      </c>
      <c r="X4" s="22" t="s">
        <v>140</v>
      </c>
      <c r="Y4" s="22" t="s">
        <v>128</v>
      </c>
      <c r="Z4" s="22" t="s">
        <v>148</v>
      </c>
      <c r="AA4" s="22" t="s">
        <v>144</v>
      </c>
      <c r="AB4" s="22" t="s">
        <v>145</v>
      </c>
      <c r="AC4" s="22" t="s">
        <v>146</v>
      </c>
      <c r="AD4" s="22" t="s">
        <v>147</v>
      </c>
      <c r="AE4" s="73" t="s">
        <v>131</v>
      </c>
      <c r="AF4" s="73" t="s">
        <v>37</v>
      </c>
      <c r="AG4" s="74" t="s">
        <v>36</v>
      </c>
      <c r="AH4" s="75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</row>
    <row r="5" spans="1:220" ht="15" customHeight="1">
      <c r="A5" s="123">
        <v>1</v>
      </c>
      <c r="B5" s="24" t="str">
        <f>VLOOKUP(Ruimtestaat[[#This Row],[Code]],Locaties[#All],2,FALSE)</f>
        <v>Hoornbeeck College Amersfoort</v>
      </c>
      <c r="C5" s="24" t="str">
        <f>VLOOKUP(Ruimtestaat[[#This Row],[Code]],Locaties[#All],4,FALSE)</f>
        <v>Utrechtseweg 230</v>
      </c>
      <c r="D5" s="24" t="str">
        <f>VLOOKUP(Ruimtestaat[[#This Row],[Code]],Locaties[#All],5,FALSE)</f>
        <v>3818 ET</v>
      </c>
      <c r="E5" s="24" t="str">
        <f>VLOOKUP(Ruimtestaat[[#This Row],[Code]],Locaties[#All],6,FALSE)</f>
        <v>Amersfoort</v>
      </c>
      <c r="F5" s="67" t="s">
        <v>416</v>
      </c>
      <c r="G5" s="24" t="s">
        <v>417</v>
      </c>
      <c r="H5" s="24" t="s">
        <v>418</v>
      </c>
      <c r="I5" s="4" t="s">
        <v>419</v>
      </c>
      <c r="J5" s="24">
        <v>16</v>
      </c>
      <c r="K5" s="67" t="str">
        <f>VLOOKUP(J5,Ruimtegroepen[],2,FALSE)</f>
        <v>Leslokalen</v>
      </c>
      <c r="L5" s="24" t="s">
        <v>110</v>
      </c>
      <c r="M5" s="24" t="s">
        <v>539</v>
      </c>
      <c r="N5" s="96">
        <v>40.710000000000008</v>
      </c>
      <c r="O5" s="96"/>
      <c r="P5" s="106" t="str">
        <f>LEFT(VLOOKUP(Ruimtestaat[[#This Row],[Ruimte code]],Ruimtegroepen[#All],4,1),2)</f>
        <v>Le</v>
      </c>
      <c r="Q5" s="96"/>
      <c r="R5" s="97">
        <v>40</v>
      </c>
      <c r="S5" s="97" t="s">
        <v>2</v>
      </c>
      <c r="T5" s="98">
        <f>IF(R5&gt;0,IF(RIGHT(Ruimtestaat[[#This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" s="98">
        <f>IF(T5&gt;0,VLOOKUP($J5,Ruimtegroepen[],3,FALSE)*VLOOKUP($L5,Vloersoorten[],3,FALSE)*VLOOKUP($S5,Frequenties[],3,FALSE)*VLOOKUP($A5,Locaties[],3,FALSE),0)</f>
        <v>0</v>
      </c>
      <c r="V5" s="99">
        <f>Ruimtestaat[[#This Row],[Uitvoeringen werkdagen]]*Ruimtestaat[[#This Row],[Oppervlak (netto)]]</f>
        <v>8142.0000000000018</v>
      </c>
      <c r="W5" s="100">
        <f>IF(U5&gt;0,Ruimtestaat[[#This Row],[Prest. (m2 /jaar) werkdagen]]/Ruimtestaat[[#This Row],[Norm (m2/uur) werkdagen]],0)</f>
        <v>0</v>
      </c>
      <c r="X5" s="101">
        <f>Ruimtestaat[[#This Row],[uren / jaar werkdagen]]*Tariefsopbouw!$E$35</f>
        <v>0</v>
      </c>
      <c r="Y5" s="98"/>
      <c r="Z5" s="102">
        <f>IF(Ruimtestaat[[#This Row],[Frequentie weekend]]&gt;0,VALUE(LEFT(Y5,1))*R5,0)</f>
        <v>0</v>
      </c>
      <c r="AA5" s="98">
        <f>IF($Z5&gt;0,VLOOKUP($J5,Ruimtegroepen[],3,FALSE)*VLOOKUP($L5,Vloersoorten[],3,FALSE)*VLOOKUP($Y5,Frequenties[],3,FALSE)*VLOOKUP(#REF!,Locaties[],3,FALSE),0)</f>
        <v>0</v>
      </c>
      <c r="AB5" s="100">
        <f>Ruimtestaat[[#This Row],[Uitvoeringen weekend]]*Ruimtestaat[[#This Row],[Oppervlak (netto)]]</f>
        <v>0</v>
      </c>
      <c r="AC5" s="103">
        <f>IF(AB5&gt;0,Ruimtestaat[[#This Row],[Prest. (m2 /jaar) weekend]]/Ruimtestaat[[#This Row],[Norm (m2/uur) weekend]],0)</f>
        <v>0</v>
      </c>
      <c r="AD5" s="104">
        <f>Ruimtestaat[[#This Row],[uren / jaar weekend]]*Tariefsopbouw!$D$40</f>
        <v>0</v>
      </c>
      <c r="AE5" s="73">
        <f>Ruimtestaat[[#This Row],[Prest. (m2 /jaar) weekend]]+Ruimtestaat[[#This Row],[Prest. (m2 /jaar) werkdagen]]</f>
        <v>8142.0000000000018</v>
      </c>
      <c r="AF5" s="73">
        <f>Ruimtestaat[[#This Row],[uren / jaar weekend]]+Ruimtestaat[[#This Row],[uren / jaar werkdagen]]</f>
        <v>0</v>
      </c>
      <c r="AG5" s="74">
        <f>Ruimtestaat[[#This Row],[kosten / jaar weekend]]+Ruimtestaat[[#This Row],[kosten / jaar werkdagen]]</f>
        <v>0</v>
      </c>
      <c r="AH5" s="105"/>
      <c r="HL5" s="72"/>
    </row>
    <row r="6" spans="1:220" ht="15" customHeight="1">
      <c r="A6" s="123">
        <v>1</v>
      </c>
      <c r="B6" s="24" t="str">
        <f>VLOOKUP(Ruimtestaat[[#This Row],[Code]],Locaties[#All],2,FALSE)</f>
        <v>Hoornbeeck College Amersfoort</v>
      </c>
      <c r="C6" s="24" t="str">
        <f>VLOOKUP(Ruimtestaat[[#This Row],[Code]],Locaties[#All],4,FALSE)</f>
        <v>Utrechtseweg 230</v>
      </c>
      <c r="D6" s="24" t="str">
        <f>VLOOKUP(Ruimtestaat[[#This Row],[Code]],Locaties[#All],5,FALSE)</f>
        <v>3818 ET</v>
      </c>
      <c r="E6" s="24" t="str">
        <f>VLOOKUP(Ruimtestaat[[#This Row],[Code]],Locaties[#All],6,FALSE)</f>
        <v>Amersfoort</v>
      </c>
      <c r="F6" s="67" t="s">
        <v>416</v>
      </c>
      <c r="G6" s="24" t="s">
        <v>417</v>
      </c>
      <c r="H6" s="24" t="s">
        <v>420</v>
      </c>
      <c r="I6" s="4" t="s">
        <v>419</v>
      </c>
      <c r="J6" s="24">
        <v>16</v>
      </c>
      <c r="K6" s="67" t="str">
        <f>VLOOKUP(J6,Ruimtegroepen[],2,FALSE)</f>
        <v>Leslokalen</v>
      </c>
      <c r="L6" s="24" t="s">
        <v>110</v>
      </c>
      <c r="M6" s="24" t="s">
        <v>539</v>
      </c>
      <c r="N6" s="96">
        <v>38.64</v>
      </c>
      <c r="O6" s="96"/>
      <c r="P6" s="106" t="str">
        <f>LEFT(VLOOKUP(Ruimtestaat[[#This Row],[Ruimte code]],Ruimtegroepen[#All],4,1),2)</f>
        <v>Le</v>
      </c>
      <c r="Q6" s="96"/>
      <c r="R6" s="97">
        <v>40</v>
      </c>
      <c r="S6" s="97" t="s">
        <v>2</v>
      </c>
      <c r="T6" s="98">
        <f>IF(R6&gt;0,IF(RIGHT(Ruimtestaat[[#This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" s="98">
        <f>IF(T6&gt;0,VLOOKUP($J6,Ruimtegroepen[],3,FALSE)*VLOOKUP($L6,Vloersoorten[],3,FALSE)*VLOOKUP($S6,Frequenties[],3,FALSE)*VLOOKUP($A6,Locaties[],3,FALSE),0)</f>
        <v>0</v>
      </c>
      <c r="V6" s="99">
        <f>Ruimtestaat[[#This Row],[Uitvoeringen werkdagen]]*Ruimtestaat[[#This Row],[Oppervlak (netto)]]</f>
        <v>7728</v>
      </c>
      <c r="W6" s="100">
        <f>IF(U6&gt;0,Ruimtestaat[[#This Row],[Prest. (m2 /jaar) werkdagen]]/Ruimtestaat[[#This Row],[Norm (m2/uur) werkdagen]],0)</f>
        <v>0</v>
      </c>
      <c r="X6" s="101">
        <f>Ruimtestaat[[#This Row],[uren / jaar werkdagen]]*Tariefsopbouw!$E$35</f>
        <v>0</v>
      </c>
      <c r="Y6" s="98"/>
      <c r="Z6" s="102">
        <f>IF(Ruimtestaat[[#This Row],[Frequentie weekend]]&gt;0,VALUE(LEFT(Y6,1))*R6,0)</f>
        <v>0</v>
      </c>
      <c r="AA6" s="98">
        <f>IF($Z6&gt;0,VLOOKUP($J6,Ruimtegroepen[],3,FALSE)*VLOOKUP($L6,Vloersoorten[],3,FALSE)*VLOOKUP($Y6,Frequenties[],3,FALSE)*VLOOKUP($A1,Locaties[],3,FALSE),0)</f>
        <v>0</v>
      </c>
      <c r="AB6" s="100">
        <f>Ruimtestaat[[#This Row],[Uitvoeringen weekend]]*Ruimtestaat[[#This Row],[Oppervlak (netto)]]</f>
        <v>0</v>
      </c>
      <c r="AC6" s="103">
        <f>IF(AB6&gt;0,Ruimtestaat[[#This Row],[Prest. (m2 /jaar) weekend]]/Ruimtestaat[[#This Row],[Norm (m2/uur) weekend]],0)</f>
        <v>0</v>
      </c>
      <c r="AD6" s="104">
        <f>Ruimtestaat[[#This Row],[uren / jaar weekend]]*Tariefsopbouw!$D$40</f>
        <v>0</v>
      </c>
      <c r="AE6" s="73">
        <f>Ruimtestaat[[#This Row],[Prest. (m2 /jaar) weekend]]+Ruimtestaat[[#This Row],[Prest. (m2 /jaar) werkdagen]]</f>
        <v>7728</v>
      </c>
      <c r="AF6" s="73">
        <f>Ruimtestaat[[#This Row],[uren / jaar weekend]]+Ruimtestaat[[#This Row],[uren / jaar werkdagen]]</f>
        <v>0</v>
      </c>
      <c r="AG6" s="74">
        <f>Ruimtestaat[[#This Row],[kosten / jaar weekend]]+Ruimtestaat[[#This Row],[kosten / jaar werkdagen]]</f>
        <v>0</v>
      </c>
      <c r="AH6" s="105"/>
      <c r="HL6" s="72"/>
    </row>
    <row r="7" spans="1:220" ht="15" customHeight="1">
      <c r="A7" s="123">
        <v>1</v>
      </c>
      <c r="B7" s="24" t="str">
        <f>VLOOKUP(Ruimtestaat[[#This Row],[Code]],Locaties[#All],2,FALSE)</f>
        <v>Hoornbeeck College Amersfoort</v>
      </c>
      <c r="C7" s="24" t="str">
        <f>VLOOKUP(Ruimtestaat[[#This Row],[Code]],Locaties[#All],4,FALSE)</f>
        <v>Utrechtseweg 230</v>
      </c>
      <c r="D7" s="24" t="str">
        <f>VLOOKUP(Ruimtestaat[[#This Row],[Code]],Locaties[#All],5,FALSE)</f>
        <v>3818 ET</v>
      </c>
      <c r="E7" s="24" t="str">
        <f>VLOOKUP(Ruimtestaat[[#This Row],[Code]],Locaties[#All],6,FALSE)</f>
        <v>Amersfoort</v>
      </c>
      <c r="F7" s="67" t="s">
        <v>416</v>
      </c>
      <c r="G7" s="24" t="s">
        <v>417</v>
      </c>
      <c r="H7" s="24" t="s">
        <v>421</v>
      </c>
      <c r="I7" s="4" t="s">
        <v>419</v>
      </c>
      <c r="J7" s="24">
        <v>16</v>
      </c>
      <c r="K7" s="67" t="str">
        <f>VLOOKUP(J7,Ruimtegroepen[],2,FALSE)</f>
        <v>Leslokalen</v>
      </c>
      <c r="L7" s="24" t="s">
        <v>110</v>
      </c>
      <c r="M7" s="24" t="s">
        <v>539</v>
      </c>
      <c r="N7" s="96">
        <v>60</v>
      </c>
      <c r="O7" s="96"/>
      <c r="P7" s="106" t="str">
        <f>LEFT(VLOOKUP(Ruimtestaat[[#This Row],[Ruimte code]],Ruimtegroepen[#All],4,1),2)</f>
        <v>Le</v>
      </c>
      <c r="Q7" s="96"/>
      <c r="R7" s="97">
        <v>40</v>
      </c>
      <c r="S7" s="97" t="s">
        <v>2</v>
      </c>
      <c r="T7" s="98">
        <f>IF(R7&gt;0,IF(RIGHT(Ruimtestaat[[#This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" s="98">
        <f>IF(T7&gt;0,VLOOKUP($J7,Ruimtegroepen[],3,FALSE)*VLOOKUP($L7,Vloersoorten[],3,FALSE)*VLOOKUP($S7,Frequenties[],3,FALSE)*VLOOKUP($A7,Locaties[],3,FALSE),0)</f>
        <v>0</v>
      </c>
      <c r="V7" s="99">
        <f>Ruimtestaat[[#This Row],[Uitvoeringen werkdagen]]*Ruimtestaat[[#This Row],[Oppervlak (netto)]]</f>
        <v>12000</v>
      </c>
      <c r="W7" s="100">
        <f>IF(U7&gt;0,Ruimtestaat[[#This Row],[Prest. (m2 /jaar) werkdagen]]/Ruimtestaat[[#This Row],[Norm (m2/uur) werkdagen]],0)</f>
        <v>0</v>
      </c>
      <c r="X7" s="101">
        <f>Ruimtestaat[[#This Row],[uren / jaar werkdagen]]*Tariefsopbouw!$E$35</f>
        <v>0</v>
      </c>
      <c r="Y7" s="98"/>
      <c r="Z7" s="102">
        <f>IF(Ruimtestaat[[#This Row],[Frequentie weekend]]&gt;0,VALUE(LEFT(Y7,1))*R7,0)</f>
        <v>0</v>
      </c>
      <c r="AA7" s="98">
        <f>IF($Z7&gt;0,VLOOKUP($J7,Ruimtegroepen[],3,FALSE)*VLOOKUP($L7,Vloersoorten[],3,FALSE)*VLOOKUP($Y7,Frequenties[],3,FALSE)*VLOOKUP($A2,Locaties[],3,FALSE),0)</f>
        <v>0</v>
      </c>
      <c r="AB7" s="100">
        <f>Ruimtestaat[[#This Row],[Uitvoeringen weekend]]*Ruimtestaat[[#This Row],[Oppervlak (netto)]]</f>
        <v>0</v>
      </c>
      <c r="AC7" s="103">
        <f>IF(AB7&gt;0,Ruimtestaat[[#This Row],[Prest. (m2 /jaar) weekend]]/Ruimtestaat[[#This Row],[Norm (m2/uur) weekend]],0)</f>
        <v>0</v>
      </c>
      <c r="AD7" s="104">
        <f>Ruimtestaat[[#This Row],[uren / jaar weekend]]*Tariefsopbouw!$D$40</f>
        <v>0</v>
      </c>
      <c r="AE7" s="73">
        <f>Ruimtestaat[[#This Row],[Prest. (m2 /jaar) weekend]]+Ruimtestaat[[#This Row],[Prest. (m2 /jaar) werkdagen]]</f>
        <v>12000</v>
      </c>
      <c r="AF7" s="73">
        <f>Ruimtestaat[[#This Row],[uren / jaar weekend]]+Ruimtestaat[[#This Row],[uren / jaar werkdagen]]</f>
        <v>0</v>
      </c>
      <c r="AG7" s="74">
        <f>Ruimtestaat[[#This Row],[kosten / jaar weekend]]+Ruimtestaat[[#This Row],[kosten / jaar werkdagen]]</f>
        <v>0</v>
      </c>
      <c r="AH7" s="105"/>
      <c r="HL7" s="72"/>
    </row>
    <row r="8" spans="1:220" ht="15" customHeight="1">
      <c r="A8" s="123">
        <v>1</v>
      </c>
      <c r="B8" s="24" t="str">
        <f>VLOOKUP(Ruimtestaat[[#This Row],[Code]],Locaties[#All],2,FALSE)</f>
        <v>Hoornbeeck College Amersfoort</v>
      </c>
      <c r="C8" s="24" t="str">
        <f>VLOOKUP(Ruimtestaat[[#This Row],[Code]],Locaties[#All],4,FALSE)</f>
        <v>Utrechtseweg 230</v>
      </c>
      <c r="D8" s="24" t="str">
        <f>VLOOKUP(Ruimtestaat[[#This Row],[Code]],Locaties[#All],5,FALSE)</f>
        <v>3818 ET</v>
      </c>
      <c r="E8" s="24" t="str">
        <f>VLOOKUP(Ruimtestaat[[#This Row],[Code]],Locaties[#All],6,FALSE)</f>
        <v>Amersfoort</v>
      </c>
      <c r="F8" s="67" t="s">
        <v>416</v>
      </c>
      <c r="G8" s="24" t="s">
        <v>417</v>
      </c>
      <c r="H8" s="24" t="s">
        <v>422</v>
      </c>
      <c r="I8" s="4" t="s">
        <v>419</v>
      </c>
      <c r="J8" s="24">
        <v>16</v>
      </c>
      <c r="K8" s="67" t="str">
        <f>VLOOKUP(J8,Ruimtegroepen[],2,FALSE)</f>
        <v>Leslokalen</v>
      </c>
      <c r="L8" s="24" t="s">
        <v>110</v>
      </c>
      <c r="M8" s="24" t="s">
        <v>539</v>
      </c>
      <c r="N8" s="96">
        <v>37</v>
      </c>
      <c r="O8" s="96"/>
      <c r="P8" s="106" t="str">
        <f>LEFT(VLOOKUP(Ruimtestaat[[#This Row],[Ruimte code]],Ruimtegroepen[#All],4,1),2)</f>
        <v>Le</v>
      </c>
      <c r="Q8" s="96"/>
      <c r="R8" s="97">
        <v>40</v>
      </c>
      <c r="S8" s="97" t="s">
        <v>2</v>
      </c>
      <c r="T8" s="98">
        <f>IF(R8&gt;0,IF(RIGHT(Ruimtestaat[[#This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" s="98">
        <f>IF(T8&gt;0,VLOOKUP($J8,Ruimtegroepen[],3,FALSE)*VLOOKUP($L8,Vloersoorten[],3,FALSE)*VLOOKUP($S8,Frequenties[],3,FALSE)*VLOOKUP($A8,Locaties[],3,FALSE),0)</f>
        <v>0</v>
      </c>
      <c r="V8" s="99">
        <f>Ruimtestaat[[#This Row],[Uitvoeringen werkdagen]]*Ruimtestaat[[#This Row],[Oppervlak (netto)]]</f>
        <v>7400</v>
      </c>
      <c r="W8" s="100">
        <f>IF(U8&gt;0,Ruimtestaat[[#This Row],[Prest. (m2 /jaar) werkdagen]]/Ruimtestaat[[#This Row],[Norm (m2/uur) werkdagen]],0)</f>
        <v>0</v>
      </c>
      <c r="X8" s="101">
        <f>Ruimtestaat[[#This Row],[uren / jaar werkdagen]]*Tariefsopbouw!$E$35</f>
        <v>0</v>
      </c>
      <c r="Y8" s="98"/>
      <c r="Z8" s="102">
        <f>IF(Ruimtestaat[[#This Row],[Frequentie weekend]]&gt;0,VALUE(LEFT(Y8,1))*R8,0)</f>
        <v>0</v>
      </c>
      <c r="AA8" s="98">
        <f>IF($Z8&gt;0,VLOOKUP($J8,Ruimtegroepen[],3,FALSE)*VLOOKUP($L8,Vloersoorten[],3,FALSE)*VLOOKUP($Y8,Frequenties[],3,FALSE)*VLOOKUP($A3,Locaties[],3,FALSE),0)</f>
        <v>0</v>
      </c>
      <c r="AB8" s="100">
        <f>Ruimtestaat[[#This Row],[Uitvoeringen weekend]]*Ruimtestaat[[#This Row],[Oppervlak (netto)]]</f>
        <v>0</v>
      </c>
      <c r="AC8" s="103">
        <f>IF(AB8&gt;0,Ruimtestaat[[#This Row],[Prest. (m2 /jaar) weekend]]/Ruimtestaat[[#This Row],[Norm (m2/uur) weekend]],0)</f>
        <v>0</v>
      </c>
      <c r="AD8" s="104">
        <f>Ruimtestaat[[#This Row],[uren / jaar weekend]]*Tariefsopbouw!$D$40</f>
        <v>0</v>
      </c>
      <c r="AE8" s="73">
        <f>Ruimtestaat[[#This Row],[Prest. (m2 /jaar) weekend]]+Ruimtestaat[[#This Row],[Prest. (m2 /jaar) werkdagen]]</f>
        <v>7400</v>
      </c>
      <c r="AF8" s="73">
        <f>Ruimtestaat[[#This Row],[uren / jaar weekend]]+Ruimtestaat[[#This Row],[uren / jaar werkdagen]]</f>
        <v>0</v>
      </c>
      <c r="AG8" s="74">
        <f>Ruimtestaat[[#This Row],[kosten / jaar weekend]]+Ruimtestaat[[#This Row],[kosten / jaar werkdagen]]</f>
        <v>0</v>
      </c>
      <c r="AH8" s="105"/>
      <c r="HL8" s="72"/>
    </row>
    <row r="9" spans="1:220" ht="15" customHeight="1">
      <c r="A9" s="123">
        <v>1</v>
      </c>
      <c r="B9" s="24" t="str">
        <f>VLOOKUP(Ruimtestaat[[#This Row],[Code]],Locaties[#All],2,FALSE)</f>
        <v>Hoornbeeck College Amersfoort</v>
      </c>
      <c r="C9" s="24" t="str">
        <f>VLOOKUP(Ruimtestaat[[#This Row],[Code]],Locaties[#All],4,FALSE)</f>
        <v>Utrechtseweg 230</v>
      </c>
      <c r="D9" s="24" t="str">
        <f>VLOOKUP(Ruimtestaat[[#This Row],[Code]],Locaties[#All],5,FALSE)</f>
        <v>3818 ET</v>
      </c>
      <c r="E9" s="24" t="str">
        <f>VLOOKUP(Ruimtestaat[[#This Row],[Code]],Locaties[#All],6,FALSE)</f>
        <v>Amersfoort</v>
      </c>
      <c r="F9" s="67" t="s">
        <v>416</v>
      </c>
      <c r="G9" s="24" t="s">
        <v>417</v>
      </c>
      <c r="H9" s="24" t="s">
        <v>423</v>
      </c>
      <c r="I9" s="4" t="s">
        <v>419</v>
      </c>
      <c r="J9" s="24">
        <v>16</v>
      </c>
      <c r="K9" s="67" t="str">
        <f>VLOOKUP(J9,Ruimtegroepen[],2,FALSE)</f>
        <v>Leslokalen</v>
      </c>
      <c r="L9" s="24" t="s">
        <v>110</v>
      </c>
      <c r="M9" s="24" t="s">
        <v>539</v>
      </c>
      <c r="N9" s="96">
        <v>59</v>
      </c>
      <c r="O9" s="96"/>
      <c r="P9" s="106" t="str">
        <f>LEFT(VLOOKUP(Ruimtestaat[[#This Row],[Ruimte code]],Ruimtegroepen[#All],4,1),2)</f>
        <v>Le</v>
      </c>
      <c r="Q9" s="96"/>
      <c r="R9" s="97">
        <v>40</v>
      </c>
      <c r="S9" s="97" t="s">
        <v>2</v>
      </c>
      <c r="T9" s="98">
        <f>IF(R9&gt;0,IF(RIGHT(Ruimtestaat[[#This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" s="98">
        <f>IF(T9&gt;0,VLOOKUP($J9,Ruimtegroepen[],3,FALSE)*VLOOKUP($L9,Vloersoorten[],3,FALSE)*VLOOKUP($S9,Frequenties[],3,FALSE)*VLOOKUP($A9,Locaties[],3,FALSE),0)</f>
        <v>0</v>
      </c>
      <c r="V9" s="99">
        <f>Ruimtestaat[[#This Row],[Uitvoeringen werkdagen]]*Ruimtestaat[[#This Row],[Oppervlak (netto)]]</f>
        <v>11800</v>
      </c>
      <c r="W9" s="100">
        <f>IF(U9&gt;0,Ruimtestaat[[#This Row],[Prest. (m2 /jaar) werkdagen]]/Ruimtestaat[[#This Row],[Norm (m2/uur) werkdagen]],0)</f>
        <v>0</v>
      </c>
      <c r="X9" s="101">
        <f>Ruimtestaat[[#This Row],[uren / jaar werkdagen]]*Tariefsopbouw!$E$35</f>
        <v>0</v>
      </c>
      <c r="Y9" s="98"/>
      <c r="Z9" s="102">
        <f>IF(Ruimtestaat[[#This Row],[Frequentie weekend]]&gt;0,VALUE(LEFT(Y9,1))*R9,0)</f>
        <v>0</v>
      </c>
      <c r="AA9" s="98">
        <f>IF($Z9&gt;0,VLOOKUP($J9,Ruimtegroepen[],3,FALSE)*VLOOKUP($L9,Vloersoorten[],3,FALSE)*VLOOKUP($Y9,Frequenties[],3,FALSE)*VLOOKUP($A4,Locaties[],3,FALSE),0)</f>
        <v>0</v>
      </c>
      <c r="AB9" s="100">
        <f>Ruimtestaat[[#This Row],[Uitvoeringen weekend]]*Ruimtestaat[[#This Row],[Oppervlak (netto)]]</f>
        <v>0</v>
      </c>
      <c r="AC9" s="103">
        <f>IF(AB9&gt;0,Ruimtestaat[[#This Row],[Prest. (m2 /jaar) weekend]]/Ruimtestaat[[#This Row],[Norm (m2/uur) weekend]],0)</f>
        <v>0</v>
      </c>
      <c r="AD9" s="104">
        <f>Ruimtestaat[[#This Row],[uren / jaar weekend]]*Tariefsopbouw!$D$40</f>
        <v>0</v>
      </c>
      <c r="AE9" s="73">
        <f>Ruimtestaat[[#This Row],[Prest. (m2 /jaar) weekend]]+Ruimtestaat[[#This Row],[Prest. (m2 /jaar) werkdagen]]</f>
        <v>11800</v>
      </c>
      <c r="AF9" s="73">
        <f>Ruimtestaat[[#This Row],[uren / jaar weekend]]+Ruimtestaat[[#This Row],[uren / jaar werkdagen]]</f>
        <v>0</v>
      </c>
      <c r="AG9" s="74">
        <f>Ruimtestaat[[#This Row],[kosten / jaar weekend]]+Ruimtestaat[[#This Row],[kosten / jaar werkdagen]]</f>
        <v>0</v>
      </c>
      <c r="AH9" s="105"/>
      <c r="HL9" s="72"/>
    </row>
    <row r="10" spans="1:220" ht="15" customHeight="1">
      <c r="A10" s="123">
        <v>1</v>
      </c>
      <c r="B10" s="24" t="str">
        <f>VLOOKUP(Ruimtestaat[[#This Row],[Code]],Locaties[#All],2,FALSE)</f>
        <v>Hoornbeeck College Amersfoort</v>
      </c>
      <c r="C10" s="24" t="str">
        <f>VLOOKUP(Ruimtestaat[[#This Row],[Code]],Locaties[#All],4,FALSE)</f>
        <v>Utrechtseweg 230</v>
      </c>
      <c r="D10" s="24" t="str">
        <f>VLOOKUP(Ruimtestaat[[#This Row],[Code]],Locaties[#All],5,FALSE)</f>
        <v>3818 ET</v>
      </c>
      <c r="E10" s="24" t="str">
        <f>VLOOKUP(Ruimtestaat[[#This Row],[Code]],Locaties[#All],6,FALSE)</f>
        <v>Amersfoort</v>
      </c>
      <c r="F10" s="67" t="s">
        <v>416</v>
      </c>
      <c r="G10" s="24" t="s">
        <v>417</v>
      </c>
      <c r="H10" s="24" t="s">
        <v>424</v>
      </c>
      <c r="I10" s="4" t="s">
        <v>419</v>
      </c>
      <c r="J10" s="24">
        <v>16</v>
      </c>
      <c r="K10" s="67" t="str">
        <f>VLOOKUP(J10,Ruimtegroepen[],2,FALSE)</f>
        <v>Leslokalen</v>
      </c>
      <c r="L10" s="24" t="s">
        <v>110</v>
      </c>
      <c r="M10" s="24" t="s">
        <v>539</v>
      </c>
      <c r="N10" s="96">
        <v>59</v>
      </c>
      <c r="O10" s="96"/>
      <c r="P10" s="106" t="str">
        <f>LEFT(VLOOKUP(Ruimtestaat[[#This Row],[Ruimte code]],Ruimtegroepen[#All],4,1),2)</f>
        <v>Le</v>
      </c>
      <c r="Q10" s="96"/>
      <c r="R10" s="97">
        <v>40</v>
      </c>
      <c r="S10" s="97" t="s">
        <v>2</v>
      </c>
      <c r="T10" s="98">
        <f>IF(R10&gt;0,IF(RIGHT(Ruimtestaat[[#This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" s="98">
        <f>IF(T10&gt;0,VLOOKUP($J10,Ruimtegroepen[],3,FALSE)*VLOOKUP($L10,Vloersoorten[],3,FALSE)*VLOOKUP($S10,Frequenties[],3,FALSE)*VLOOKUP($A10,Locaties[],3,FALSE),0)</f>
        <v>0</v>
      </c>
      <c r="V10" s="99">
        <f>Ruimtestaat[[#This Row],[Uitvoeringen werkdagen]]*Ruimtestaat[[#This Row],[Oppervlak (netto)]]</f>
        <v>11800</v>
      </c>
      <c r="W10" s="100">
        <f>IF(U10&gt;0,Ruimtestaat[[#This Row],[Prest. (m2 /jaar) werkdagen]]/Ruimtestaat[[#This Row],[Norm (m2/uur) werkdagen]],0)</f>
        <v>0</v>
      </c>
      <c r="X10" s="101">
        <f>Ruimtestaat[[#This Row],[uren / jaar werkdagen]]*Tariefsopbouw!$E$35</f>
        <v>0</v>
      </c>
      <c r="Y10" s="98"/>
      <c r="Z10" s="102">
        <f>IF(Ruimtestaat[[#This Row],[Frequentie weekend]]&gt;0,VALUE(LEFT(Y10,1))*R10,0)</f>
        <v>0</v>
      </c>
      <c r="AA10" s="98">
        <f>IF($Z10&gt;0,VLOOKUP($J10,Ruimtegroepen[],3,FALSE)*VLOOKUP($L10,Vloersoorten[],3,FALSE)*VLOOKUP($Y10,Frequenties[],3,FALSE)*VLOOKUP($A6,Locaties[],3,FALSE),0)</f>
        <v>0</v>
      </c>
      <c r="AB10" s="100">
        <f>Ruimtestaat[[#This Row],[Uitvoeringen weekend]]*Ruimtestaat[[#This Row],[Oppervlak (netto)]]</f>
        <v>0</v>
      </c>
      <c r="AC10" s="103">
        <f>IF(AB10&gt;0,Ruimtestaat[[#This Row],[Prest. (m2 /jaar) weekend]]/Ruimtestaat[[#This Row],[Norm (m2/uur) weekend]],0)</f>
        <v>0</v>
      </c>
      <c r="AD10" s="104">
        <f>Ruimtestaat[[#This Row],[uren / jaar weekend]]*Tariefsopbouw!$D$40</f>
        <v>0</v>
      </c>
      <c r="AE10" s="73">
        <f>Ruimtestaat[[#This Row],[Prest. (m2 /jaar) weekend]]+Ruimtestaat[[#This Row],[Prest. (m2 /jaar) werkdagen]]</f>
        <v>11800</v>
      </c>
      <c r="AF10" s="73">
        <f>Ruimtestaat[[#This Row],[uren / jaar weekend]]+Ruimtestaat[[#This Row],[uren / jaar werkdagen]]</f>
        <v>0</v>
      </c>
      <c r="AG10" s="74">
        <f>Ruimtestaat[[#This Row],[kosten / jaar weekend]]+Ruimtestaat[[#This Row],[kosten / jaar werkdagen]]</f>
        <v>0</v>
      </c>
      <c r="AH10" s="105"/>
      <c r="HL10" s="72"/>
    </row>
    <row r="11" spans="1:220" ht="15" customHeight="1">
      <c r="A11" s="123">
        <v>1</v>
      </c>
      <c r="B11" s="24" t="str">
        <f>VLOOKUP(Ruimtestaat[[#This Row],[Code]],Locaties[#All],2,FALSE)</f>
        <v>Hoornbeeck College Amersfoort</v>
      </c>
      <c r="C11" s="24" t="str">
        <f>VLOOKUP(Ruimtestaat[[#This Row],[Code]],Locaties[#All],4,FALSE)</f>
        <v>Utrechtseweg 230</v>
      </c>
      <c r="D11" s="24" t="str">
        <f>VLOOKUP(Ruimtestaat[[#This Row],[Code]],Locaties[#All],5,FALSE)</f>
        <v>3818 ET</v>
      </c>
      <c r="E11" s="24" t="str">
        <f>VLOOKUP(Ruimtestaat[[#This Row],[Code]],Locaties[#All],6,FALSE)</f>
        <v>Amersfoort</v>
      </c>
      <c r="F11" s="67" t="s">
        <v>416</v>
      </c>
      <c r="G11" s="24" t="s">
        <v>417</v>
      </c>
      <c r="H11" s="24" t="s">
        <v>425</v>
      </c>
      <c r="I11" s="4" t="s">
        <v>419</v>
      </c>
      <c r="J11" s="24">
        <v>16</v>
      </c>
      <c r="K11" s="67" t="str">
        <f>VLOOKUP(J11,Ruimtegroepen[],2,FALSE)</f>
        <v>Leslokalen</v>
      </c>
      <c r="L11" s="24" t="s">
        <v>110</v>
      </c>
      <c r="M11" s="24" t="s">
        <v>539</v>
      </c>
      <c r="N11" s="96">
        <v>58</v>
      </c>
      <c r="O11" s="96"/>
      <c r="P11" s="106" t="str">
        <f>LEFT(VLOOKUP(Ruimtestaat[[#This Row],[Ruimte code]],Ruimtegroepen[#All],4,1),2)</f>
        <v>Le</v>
      </c>
      <c r="Q11" s="96"/>
      <c r="R11" s="97">
        <v>40</v>
      </c>
      <c r="S11" s="97" t="s">
        <v>2</v>
      </c>
      <c r="T11" s="98">
        <f>IF(R11&gt;0,IF(RIGHT(Ruimtestaat[[#This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" s="98">
        <f>IF(T11&gt;0,VLOOKUP($J11,Ruimtegroepen[],3,FALSE)*VLOOKUP($L11,Vloersoorten[],3,FALSE)*VLOOKUP($S11,Frequenties[],3,FALSE)*VLOOKUP($A11,Locaties[],3,FALSE),0)</f>
        <v>0</v>
      </c>
      <c r="V11" s="99">
        <f>Ruimtestaat[[#This Row],[Uitvoeringen werkdagen]]*Ruimtestaat[[#This Row],[Oppervlak (netto)]]</f>
        <v>11600</v>
      </c>
      <c r="W11" s="100">
        <f>IF(U11&gt;0,Ruimtestaat[[#This Row],[Prest. (m2 /jaar) werkdagen]]/Ruimtestaat[[#This Row],[Norm (m2/uur) werkdagen]],0)</f>
        <v>0</v>
      </c>
      <c r="X11" s="101">
        <f>Ruimtestaat[[#This Row],[uren / jaar werkdagen]]*Tariefsopbouw!$E$35</f>
        <v>0</v>
      </c>
      <c r="Y11" s="98"/>
      <c r="Z11" s="102">
        <f>IF(Ruimtestaat[[#This Row],[Frequentie weekend]]&gt;0,VALUE(LEFT(Y11,1))*R11,0)</f>
        <v>0</v>
      </c>
      <c r="AA11" s="98">
        <f>IF($Z11&gt;0,VLOOKUP($J11,Ruimtegroepen[],3,FALSE)*VLOOKUP($L11,Vloersoorten[],3,FALSE)*VLOOKUP($Y11,Frequenties[],3,FALSE)*VLOOKUP($A7,Locaties[],3,FALSE),0)</f>
        <v>0</v>
      </c>
      <c r="AB11" s="100">
        <f>Ruimtestaat[[#This Row],[Uitvoeringen weekend]]*Ruimtestaat[[#This Row],[Oppervlak (netto)]]</f>
        <v>0</v>
      </c>
      <c r="AC11" s="103">
        <f>IF(AB11&gt;0,Ruimtestaat[[#This Row],[Prest. (m2 /jaar) weekend]]/Ruimtestaat[[#This Row],[Norm (m2/uur) weekend]],0)</f>
        <v>0</v>
      </c>
      <c r="AD11" s="104">
        <f>Ruimtestaat[[#This Row],[uren / jaar weekend]]*Tariefsopbouw!$D$40</f>
        <v>0</v>
      </c>
      <c r="AE11" s="73">
        <f>Ruimtestaat[[#This Row],[Prest. (m2 /jaar) weekend]]+Ruimtestaat[[#This Row],[Prest. (m2 /jaar) werkdagen]]</f>
        <v>11600</v>
      </c>
      <c r="AF11" s="73">
        <f>Ruimtestaat[[#This Row],[uren / jaar weekend]]+Ruimtestaat[[#This Row],[uren / jaar werkdagen]]</f>
        <v>0</v>
      </c>
      <c r="AG11" s="74">
        <f>Ruimtestaat[[#This Row],[kosten / jaar weekend]]+Ruimtestaat[[#This Row],[kosten / jaar werkdagen]]</f>
        <v>0</v>
      </c>
      <c r="AH11" s="105"/>
      <c r="HL11" s="72"/>
    </row>
    <row r="12" spans="1:220" ht="15" customHeight="1">
      <c r="A12" s="123">
        <v>1</v>
      </c>
      <c r="B12" s="24" t="str">
        <f>VLOOKUP(Ruimtestaat[[#This Row],[Code]],Locaties[#All],2,FALSE)</f>
        <v>Hoornbeeck College Amersfoort</v>
      </c>
      <c r="C12" s="24" t="str">
        <f>VLOOKUP(Ruimtestaat[[#This Row],[Code]],Locaties[#All],4,FALSE)</f>
        <v>Utrechtseweg 230</v>
      </c>
      <c r="D12" s="24" t="str">
        <f>VLOOKUP(Ruimtestaat[[#This Row],[Code]],Locaties[#All],5,FALSE)</f>
        <v>3818 ET</v>
      </c>
      <c r="E12" s="24" t="str">
        <f>VLOOKUP(Ruimtestaat[[#This Row],[Code]],Locaties[#All],6,FALSE)</f>
        <v>Amersfoort</v>
      </c>
      <c r="F12" s="67" t="s">
        <v>416</v>
      </c>
      <c r="G12" s="24" t="s">
        <v>417</v>
      </c>
      <c r="H12" s="24" t="s">
        <v>426</v>
      </c>
      <c r="I12" s="4" t="s">
        <v>419</v>
      </c>
      <c r="J12" s="24">
        <v>16</v>
      </c>
      <c r="K12" s="67" t="str">
        <f>VLOOKUP(J12,Ruimtegroepen[],2,FALSE)</f>
        <v>Leslokalen</v>
      </c>
      <c r="L12" s="24" t="s">
        <v>110</v>
      </c>
      <c r="M12" s="24" t="s">
        <v>539</v>
      </c>
      <c r="N12" s="96">
        <v>80</v>
      </c>
      <c r="O12" s="96"/>
      <c r="P12" s="106" t="str">
        <f>LEFT(VLOOKUP(Ruimtestaat[[#This Row],[Ruimte code]],Ruimtegroepen[#All],4,1),2)</f>
        <v>Le</v>
      </c>
      <c r="Q12" s="96"/>
      <c r="R12" s="97">
        <v>40</v>
      </c>
      <c r="S12" s="97" t="s">
        <v>2</v>
      </c>
      <c r="T12" s="98">
        <f>IF(R12&gt;0,IF(RIGHT(Ruimtestaat[[#This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" s="98">
        <f>IF(T12&gt;0,VLOOKUP($J12,Ruimtegroepen[],3,FALSE)*VLOOKUP($L12,Vloersoorten[],3,FALSE)*VLOOKUP($S12,Frequenties[],3,FALSE)*VLOOKUP($A12,Locaties[],3,FALSE),0)</f>
        <v>0</v>
      </c>
      <c r="V12" s="99">
        <f>Ruimtestaat[[#This Row],[Uitvoeringen werkdagen]]*Ruimtestaat[[#This Row],[Oppervlak (netto)]]</f>
        <v>16000</v>
      </c>
      <c r="W12" s="100">
        <f>IF(U12&gt;0,Ruimtestaat[[#This Row],[Prest. (m2 /jaar) werkdagen]]/Ruimtestaat[[#This Row],[Norm (m2/uur) werkdagen]],0)</f>
        <v>0</v>
      </c>
      <c r="X12" s="101">
        <f>Ruimtestaat[[#This Row],[uren / jaar werkdagen]]*Tariefsopbouw!$E$35</f>
        <v>0</v>
      </c>
      <c r="Y12" s="98"/>
      <c r="Z12" s="102">
        <f>IF(Ruimtestaat[[#This Row],[Frequentie weekend]]&gt;0,VALUE(LEFT(Y12,1))*R12,0)</f>
        <v>0</v>
      </c>
      <c r="AA12" s="98">
        <f>IF($Z12&gt;0,VLOOKUP($J12,Ruimtegroepen[],3,FALSE)*VLOOKUP($L12,Vloersoorten[],3,FALSE)*VLOOKUP($Y12,Frequenties[],3,FALSE)*VLOOKUP($A8,Locaties[],3,FALSE),0)</f>
        <v>0</v>
      </c>
      <c r="AB12" s="100">
        <f>Ruimtestaat[[#This Row],[Uitvoeringen weekend]]*Ruimtestaat[[#This Row],[Oppervlak (netto)]]</f>
        <v>0</v>
      </c>
      <c r="AC12" s="103">
        <f>IF(AB12&gt;0,Ruimtestaat[[#This Row],[Prest. (m2 /jaar) weekend]]/Ruimtestaat[[#This Row],[Norm (m2/uur) weekend]],0)</f>
        <v>0</v>
      </c>
      <c r="AD12" s="104">
        <f>Ruimtestaat[[#This Row],[uren / jaar weekend]]*Tariefsopbouw!$D$40</f>
        <v>0</v>
      </c>
      <c r="AE12" s="73">
        <f>Ruimtestaat[[#This Row],[Prest. (m2 /jaar) weekend]]+Ruimtestaat[[#This Row],[Prest. (m2 /jaar) werkdagen]]</f>
        <v>16000</v>
      </c>
      <c r="AF12" s="73">
        <f>Ruimtestaat[[#This Row],[uren / jaar weekend]]+Ruimtestaat[[#This Row],[uren / jaar werkdagen]]</f>
        <v>0</v>
      </c>
      <c r="AG12" s="74">
        <f>Ruimtestaat[[#This Row],[kosten / jaar weekend]]+Ruimtestaat[[#This Row],[kosten / jaar werkdagen]]</f>
        <v>0</v>
      </c>
      <c r="AH12" s="105"/>
      <c r="HL12" s="72"/>
    </row>
    <row r="13" spans="1:220" ht="15" customHeight="1">
      <c r="A13" s="123">
        <v>1</v>
      </c>
      <c r="B13" s="24" t="str">
        <f>VLOOKUP(Ruimtestaat[[#This Row],[Code]],Locaties[#All],2,FALSE)</f>
        <v>Hoornbeeck College Amersfoort</v>
      </c>
      <c r="C13" s="24" t="str">
        <f>VLOOKUP(Ruimtestaat[[#This Row],[Code]],Locaties[#All],4,FALSE)</f>
        <v>Utrechtseweg 230</v>
      </c>
      <c r="D13" s="24" t="str">
        <f>VLOOKUP(Ruimtestaat[[#This Row],[Code]],Locaties[#All],5,FALSE)</f>
        <v>3818 ET</v>
      </c>
      <c r="E13" s="24" t="str">
        <f>VLOOKUP(Ruimtestaat[[#This Row],[Code]],Locaties[#All],6,FALSE)</f>
        <v>Amersfoort</v>
      </c>
      <c r="F13" s="67" t="s">
        <v>416</v>
      </c>
      <c r="G13" s="24" t="s">
        <v>427</v>
      </c>
      <c r="H13" s="24" t="s">
        <v>428</v>
      </c>
      <c r="I13" s="4" t="s">
        <v>419</v>
      </c>
      <c r="J13" s="24">
        <v>16</v>
      </c>
      <c r="K13" s="67" t="str">
        <f>VLOOKUP(J13,Ruimtegroepen[],2,FALSE)</f>
        <v>Leslokalen</v>
      </c>
      <c r="L13" s="24" t="s">
        <v>110</v>
      </c>
      <c r="M13" s="24" t="s">
        <v>539</v>
      </c>
      <c r="N13" s="96">
        <v>56</v>
      </c>
      <c r="O13" s="96"/>
      <c r="P13" s="106" t="str">
        <f>LEFT(VLOOKUP(Ruimtestaat[[#This Row],[Ruimte code]],Ruimtegroepen[#All],4,1),2)</f>
        <v>Le</v>
      </c>
      <c r="Q13" s="96"/>
      <c r="R13" s="97">
        <v>40</v>
      </c>
      <c r="S13" s="97" t="s">
        <v>2</v>
      </c>
      <c r="T13" s="98">
        <f>IF(R13&gt;0,IF(RIGHT(Ruimtestaat[[#This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" s="98">
        <f>IF(T13&gt;0,VLOOKUP($J13,Ruimtegroepen[],3,FALSE)*VLOOKUP($L13,Vloersoorten[],3,FALSE)*VLOOKUP($S13,Frequenties[],3,FALSE)*VLOOKUP($A13,Locaties[],3,FALSE),0)</f>
        <v>0</v>
      </c>
      <c r="V13" s="99">
        <f>Ruimtestaat[[#This Row],[Uitvoeringen werkdagen]]*Ruimtestaat[[#This Row],[Oppervlak (netto)]]</f>
        <v>11200</v>
      </c>
      <c r="W13" s="100">
        <f>IF(U13&gt;0,Ruimtestaat[[#This Row],[Prest. (m2 /jaar) werkdagen]]/Ruimtestaat[[#This Row],[Norm (m2/uur) werkdagen]],0)</f>
        <v>0</v>
      </c>
      <c r="X13" s="101">
        <f>Ruimtestaat[[#This Row],[uren / jaar werkdagen]]*Tariefsopbouw!$E$35</f>
        <v>0</v>
      </c>
      <c r="Y13" s="98"/>
      <c r="Z13" s="102">
        <f>IF(Ruimtestaat[[#This Row],[Frequentie weekend]]&gt;0,VALUE(LEFT(Y13,1))*R13,0)</f>
        <v>0</v>
      </c>
      <c r="AA13" s="98">
        <f>IF($Z13&gt;0,VLOOKUP($J13,Ruimtegroepen[],3,FALSE)*VLOOKUP($L13,Vloersoorten[],3,FALSE)*VLOOKUP($Y13,Frequenties[],3,FALSE)*VLOOKUP($A9,Locaties[],3,FALSE),0)</f>
        <v>0</v>
      </c>
      <c r="AB13" s="100">
        <f>Ruimtestaat[[#This Row],[Uitvoeringen weekend]]*Ruimtestaat[[#This Row],[Oppervlak (netto)]]</f>
        <v>0</v>
      </c>
      <c r="AC13" s="103">
        <f>IF(AB13&gt;0,Ruimtestaat[[#This Row],[Prest. (m2 /jaar) weekend]]/Ruimtestaat[[#This Row],[Norm (m2/uur) weekend]],0)</f>
        <v>0</v>
      </c>
      <c r="AD13" s="104">
        <f>Ruimtestaat[[#This Row],[uren / jaar weekend]]*Tariefsopbouw!$D$40</f>
        <v>0</v>
      </c>
      <c r="AE13" s="73">
        <f>Ruimtestaat[[#This Row],[Prest. (m2 /jaar) weekend]]+Ruimtestaat[[#This Row],[Prest. (m2 /jaar) werkdagen]]</f>
        <v>11200</v>
      </c>
      <c r="AF13" s="73">
        <f>Ruimtestaat[[#This Row],[uren / jaar weekend]]+Ruimtestaat[[#This Row],[uren / jaar werkdagen]]</f>
        <v>0</v>
      </c>
      <c r="AG13" s="74">
        <f>Ruimtestaat[[#This Row],[kosten / jaar weekend]]+Ruimtestaat[[#This Row],[kosten / jaar werkdagen]]</f>
        <v>0</v>
      </c>
      <c r="AH13" s="105"/>
      <c r="HL13" s="72"/>
    </row>
    <row r="14" spans="1:220" ht="15" customHeight="1">
      <c r="A14" s="123">
        <v>1</v>
      </c>
      <c r="B14" s="24" t="str">
        <f>VLOOKUP(Ruimtestaat[[#This Row],[Code]],Locaties[#All],2,FALSE)</f>
        <v>Hoornbeeck College Amersfoort</v>
      </c>
      <c r="C14" s="24" t="str">
        <f>VLOOKUP(Ruimtestaat[[#This Row],[Code]],Locaties[#All],4,FALSE)</f>
        <v>Utrechtseweg 230</v>
      </c>
      <c r="D14" s="24" t="str">
        <f>VLOOKUP(Ruimtestaat[[#This Row],[Code]],Locaties[#All],5,FALSE)</f>
        <v>3818 ET</v>
      </c>
      <c r="E14" s="24" t="str">
        <f>VLOOKUP(Ruimtestaat[[#This Row],[Code]],Locaties[#All],6,FALSE)</f>
        <v>Amersfoort</v>
      </c>
      <c r="F14" s="67" t="s">
        <v>416</v>
      </c>
      <c r="G14" s="24" t="s">
        <v>427</v>
      </c>
      <c r="H14" s="24" t="s">
        <v>429</v>
      </c>
      <c r="I14" s="4" t="s">
        <v>419</v>
      </c>
      <c r="J14" s="24">
        <v>16</v>
      </c>
      <c r="K14" s="67" t="str">
        <f>VLOOKUP(J14,Ruimtegroepen[],2,FALSE)</f>
        <v>Leslokalen</v>
      </c>
      <c r="L14" s="24" t="s">
        <v>110</v>
      </c>
      <c r="M14" s="24" t="s">
        <v>539</v>
      </c>
      <c r="N14" s="96">
        <v>55</v>
      </c>
      <c r="O14" s="96"/>
      <c r="P14" s="106" t="str">
        <f>LEFT(VLOOKUP(Ruimtestaat[[#This Row],[Ruimte code]],Ruimtegroepen[#All],4,1),2)</f>
        <v>Le</v>
      </c>
      <c r="Q14" s="96"/>
      <c r="R14" s="97">
        <v>40</v>
      </c>
      <c r="S14" s="97" t="s">
        <v>2</v>
      </c>
      <c r="T14" s="98">
        <f>IF(R14&gt;0,IF(RIGHT(Ruimtestaat[[#This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" s="98">
        <f>IF(T14&gt;0,VLOOKUP($J14,Ruimtegroepen[],3,FALSE)*VLOOKUP($L14,Vloersoorten[],3,FALSE)*VLOOKUP($S14,Frequenties[],3,FALSE)*VLOOKUP($A14,Locaties[],3,FALSE),0)</f>
        <v>0</v>
      </c>
      <c r="V14" s="99">
        <f>Ruimtestaat[[#This Row],[Uitvoeringen werkdagen]]*Ruimtestaat[[#This Row],[Oppervlak (netto)]]</f>
        <v>11000</v>
      </c>
      <c r="W14" s="100">
        <f>IF(U14&gt;0,Ruimtestaat[[#This Row],[Prest. (m2 /jaar) werkdagen]]/Ruimtestaat[[#This Row],[Norm (m2/uur) werkdagen]],0)</f>
        <v>0</v>
      </c>
      <c r="X14" s="101">
        <f>Ruimtestaat[[#This Row],[uren / jaar werkdagen]]*Tariefsopbouw!$E$35</f>
        <v>0</v>
      </c>
      <c r="Y14" s="98"/>
      <c r="Z14" s="102">
        <f>IF(Ruimtestaat[[#This Row],[Frequentie weekend]]&gt;0,VALUE(LEFT(Y14,1))*R14,0)</f>
        <v>0</v>
      </c>
      <c r="AA14" s="98">
        <f>IF($Z14&gt;0,VLOOKUP($J14,Ruimtegroepen[],3,FALSE)*VLOOKUP($L14,Vloersoorten[],3,FALSE)*VLOOKUP($Y14,Frequenties[],3,FALSE)*VLOOKUP($A10,Locaties[],3,FALSE),0)</f>
        <v>0</v>
      </c>
      <c r="AB14" s="100">
        <f>Ruimtestaat[[#This Row],[Uitvoeringen weekend]]*Ruimtestaat[[#This Row],[Oppervlak (netto)]]</f>
        <v>0</v>
      </c>
      <c r="AC14" s="103">
        <f>IF(AB14&gt;0,Ruimtestaat[[#This Row],[Prest. (m2 /jaar) weekend]]/Ruimtestaat[[#This Row],[Norm (m2/uur) weekend]],0)</f>
        <v>0</v>
      </c>
      <c r="AD14" s="104">
        <f>Ruimtestaat[[#This Row],[uren / jaar weekend]]*Tariefsopbouw!$D$40</f>
        <v>0</v>
      </c>
      <c r="AE14" s="73">
        <f>Ruimtestaat[[#This Row],[Prest. (m2 /jaar) weekend]]+Ruimtestaat[[#This Row],[Prest. (m2 /jaar) werkdagen]]</f>
        <v>11000</v>
      </c>
      <c r="AF14" s="73">
        <f>Ruimtestaat[[#This Row],[uren / jaar weekend]]+Ruimtestaat[[#This Row],[uren / jaar werkdagen]]</f>
        <v>0</v>
      </c>
      <c r="AG14" s="74">
        <f>Ruimtestaat[[#This Row],[kosten / jaar weekend]]+Ruimtestaat[[#This Row],[kosten / jaar werkdagen]]</f>
        <v>0</v>
      </c>
      <c r="AH14" s="105"/>
      <c r="HL14" s="72"/>
    </row>
    <row r="15" spans="1:220" ht="12.75" customHeight="1">
      <c r="A15" s="123">
        <v>1</v>
      </c>
      <c r="B15" s="24" t="str">
        <f>VLOOKUP(Ruimtestaat[[#This Row],[Code]],Locaties[#All],2,FALSE)</f>
        <v>Hoornbeeck College Amersfoort</v>
      </c>
      <c r="C15" s="24" t="str">
        <f>VLOOKUP(Ruimtestaat[[#This Row],[Code]],Locaties[#All],4,FALSE)</f>
        <v>Utrechtseweg 230</v>
      </c>
      <c r="D15" s="24" t="str">
        <f>VLOOKUP(Ruimtestaat[[#This Row],[Code]],Locaties[#All],5,FALSE)</f>
        <v>3818 ET</v>
      </c>
      <c r="E15" s="24" t="str">
        <f>VLOOKUP(Ruimtestaat[[#This Row],[Code]],Locaties[#All],6,FALSE)</f>
        <v>Amersfoort</v>
      </c>
      <c r="F15" s="67" t="s">
        <v>416</v>
      </c>
      <c r="G15" s="24" t="s">
        <v>427</v>
      </c>
      <c r="H15" s="24" t="s">
        <v>430</v>
      </c>
      <c r="I15" s="4" t="s">
        <v>419</v>
      </c>
      <c r="J15" s="24">
        <v>16</v>
      </c>
      <c r="K15" s="67" t="str">
        <f>VLOOKUP(J15,Ruimtegroepen[],2,FALSE)</f>
        <v>Leslokalen</v>
      </c>
      <c r="L15" s="24" t="s">
        <v>110</v>
      </c>
      <c r="M15" s="24" t="s">
        <v>539</v>
      </c>
      <c r="N15" s="96">
        <v>55</v>
      </c>
      <c r="O15" s="96"/>
      <c r="P15" s="106" t="str">
        <f>LEFT(VLOOKUP(Ruimtestaat[[#This Row],[Ruimte code]],Ruimtegroepen[#All],4,1),2)</f>
        <v>Le</v>
      </c>
      <c r="Q15" s="96"/>
      <c r="R15" s="97">
        <v>40</v>
      </c>
      <c r="S15" s="97" t="s">
        <v>2</v>
      </c>
      <c r="T15" s="98">
        <f>IF(R15&gt;0,IF(RIGHT(Ruimtestaat[[#This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" s="98">
        <f>IF(T15&gt;0,VLOOKUP($J15,Ruimtegroepen[],3,FALSE)*VLOOKUP($L15,Vloersoorten[],3,FALSE)*VLOOKUP($S15,Frequenties[],3,FALSE)*VLOOKUP($A15,Locaties[],3,FALSE),0)</f>
        <v>0</v>
      </c>
      <c r="V15" s="99">
        <f>Ruimtestaat[[#This Row],[Uitvoeringen werkdagen]]*Ruimtestaat[[#This Row],[Oppervlak (netto)]]</f>
        <v>11000</v>
      </c>
      <c r="W15" s="100">
        <f>IF(U15&gt;0,Ruimtestaat[[#This Row],[Prest. (m2 /jaar) werkdagen]]/Ruimtestaat[[#This Row],[Norm (m2/uur) werkdagen]],0)</f>
        <v>0</v>
      </c>
      <c r="X15" s="101">
        <f>Ruimtestaat[[#This Row],[uren / jaar werkdagen]]*Tariefsopbouw!$E$35</f>
        <v>0</v>
      </c>
      <c r="Y15" s="98"/>
      <c r="Z15" s="102">
        <f>IF(Ruimtestaat[[#This Row],[Frequentie weekend]]&gt;0,VALUE(LEFT(Y15,1))*R15,0)</f>
        <v>0</v>
      </c>
      <c r="AA15" s="98">
        <f>IF($Z15&gt;0,VLOOKUP($J15,Ruimtegroepen[],3,FALSE)*VLOOKUP($L15,Vloersoorten[],3,FALSE)*VLOOKUP($Y15,Frequenties[],3,FALSE)*VLOOKUP($A11,Locaties[],3,FALSE),0)</f>
        <v>0</v>
      </c>
      <c r="AB15" s="100">
        <f>Ruimtestaat[[#This Row],[Uitvoeringen weekend]]*Ruimtestaat[[#This Row],[Oppervlak (netto)]]</f>
        <v>0</v>
      </c>
      <c r="AC15" s="103">
        <f>IF(AB15&gt;0,Ruimtestaat[[#This Row],[Prest. (m2 /jaar) weekend]]/Ruimtestaat[[#This Row],[Norm (m2/uur) weekend]],0)</f>
        <v>0</v>
      </c>
      <c r="AD15" s="104">
        <f>Ruimtestaat[[#This Row],[uren / jaar weekend]]*Tariefsopbouw!$D$40</f>
        <v>0</v>
      </c>
      <c r="AE15" s="73">
        <f>Ruimtestaat[[#This Row],[Prest. (m2 /jaar) weekend]]+Ruimtestaat[[#This Row],[Prest. (m2 /jaar) werkdagen]]</f>
        <v>11000</v>
      </c>
      <c r="AF15" s="73">
        <f>Ruimtestaat[[#This Row],[uren / jaar weekend]]+Ruimtestaat[[#This Row],[uren / jaar werkdagen]]</f>
        <v>0</v>
      </c>
      <c r="AG15" s="74">
        <f>Ruimtestaat[[#This Row],[kosten / jaar weekend]]+Ruimtestaat[[#This Row],[kosten / jaar werkdagen]]</f>
        <v>0</v>
      </c>
      <c r="AH15" s="105"/>
      <c r="HL15" s="72"/>
    </row>
    <row r="16" spans="1:220" ht="15" customHeight="1">
      <c r="A16" s="123">
        <v>1</v>
      </c>
      <c r="B16" s="24" t="str">
        <f>VLOOKUP(Ruimtestaat[[#This Row],[Code]],Locaties[#All],2,FALSE)</f>
        <v>Hoornbeeck College Amersfoort</v>
      </c>
      <c r="C16" s="24" t="str">
        <f>VLOOKUP(Ruimtestaat[[#This Row],[Code]],Locaties[#All],4,FALSE)</f>
        <v>Utrechtseweg 230</v>
      </c>
      <c r="D16" s="24" t="str">
        <f>VLOOKUP(Ruimtestaat[[#This Row],[Code]],Locaties[#All],5,FALSE)</f>
        <v>3818 ET</v>
      </c>
      <c r="E16" s="24" t="str">
        <f>VLOOKUP(Ruimtestaat[[#This Row],[Code]],Locaties[#All],6,FALSE)</f>
        <v>Amersfoort</v>
      </c>
      <c r="F16" s="67" t="s">
        <v>416</v>
      </c>
      <c r="G16" s="24" t="s">
        <v>427</v>
      </c>
      <c r="H16" s="24" t="s">
        <v>431</v>
      </c>
      <c r="I16" s="4" t="s">
        <v>419</v>
      </c>
      <c r="J16" s="24">
        <v>16</v>
      </c>
      <c r="K16" s="67" t="str">
        <f>VLOOKUP(J16,Ruimtegroepen[],2,FALSE)</f>
        <v>Leslokalen</v>
      </c>
      <c r="L16" s="24" t="s">
        <v>110</v>
      </c>
      <c r="M16" s="24" t="s">
        <v>539</v>
      </c>
      <c r="N16" s="96">
        <v>42</v>
      </c>
      <c r="O16" s="96"/>
      <c r="P16" s="106" t="str">
        <f>LEFT(VLOOKUP(Ruimtestaat[[#This Row],[Ruimte code]],Ruimtegroepen[#All],4,1),2)</f>
        <v>Le</v>
      </c>
      <c r="Q16" s="96"/>
      <c r="R16" s="97">
        <v>40</v>
      </c>
      <c r="S16" s="97" t="s">
        <v>2</v>
      </c>
      <c r="T16" s="98">
        <f>IF(R16&gt;0,IF(RIGHT(Ruimtestaat[[#This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" s="98">
        <f>IF(T16&gt;0,VLOOKUP($J16,Ruimtegroepen[],3,FALSE)*VLOOKUP($L16,Vloersoorten[],3,FALSE)*VLOOKUP($S16,Frequenties[],3,FALSE)*VLOOKUP($A16,Locaties[],3,FALSE),0)</f>
        <v>0</v>
      </c>
      <c r="V16" s="99">
        <f>Ruimtestaat[[#This Row],[Uitvoeringen werkdagen]]*Ruimtestaat[[#This Row],[Oppervlak (netto)]]</f>
        <v>8400</v>
      </c>
      <c r="W16" s="100">
        <f>IF(U16&gt;0,Ruimtestaat[[#This Row],[Prest. (m2 /jaar) werkdagen]]/Ruimtestaat[[#This Row],[Norm (m2/uur) werkdagen]],0)</f>
        <v>0</v>
      </c>
      <c r="X16" s="101">
        <f>Ruimtestaat[[#This Row],[uren / jaar werkdagen]]*Tariefsopbouw!$E$35</f>
        <v>0</v>
      </c>
      <c r="Y16" s="98"/>
      <c r="Z16" s="102">
        <f>IF(Ruimtestaat[[#This Row],[Frequentie weekend]]&gt;0,VALUE(LEFT(Y16,1))*R16,0)</f>
        <v>0</v>
      </c>
      <c r="AA16" s="98">
        <f>IF($Z16&gt;0,VLOOKUP($J16,Ruimtegroepen[],3,FALSE)*VLOOKUP($L16,Vloersoorten[],3,FALSE)*VLOOKUP($Y16,Frequenties[],3,FALSE)*VLOOKUP($A12,Locaties[],3,FALSE),0)</f>
        <v>0</v>
      </c>
      <c r="AB16" s="100">
        <f>Ruimtestaat[[#This Row],[Uitvoeringen weekend]]*Ruimtestaat[[#This Row],[Oppervlak (netto)]]</f>
        <v>0</v>
      </c>
      <c r="AC16" s="103">
        <f>IF(AB16&gt;0,Ruimtestaat[[#This Row],[Prest. (m2 /jaar) weekend]]/Ruimtestaat[[#This Row],[Norm (m2/uur) weekend]],0)</f>
        <v>0</v>
      </c>
      <c r="AD16" s="104">
        <f>Ruimtestaat[[#This Row],[uren / jaar weekend]]*Tariefsopbouw!$D$40</f>
        <v>0</v>
      </c>
      <c r="AE16" s="73">
        <f>Ruimtestaat[[#This Row],[Prest. (m2 /jaar) weekend]]+Ruimtestaat[[#This Row],[Prest. (m2 /jaar) werkdagen]]</f>
        <v>8400</v>
      </c>
      <c r="AF16" s="73">
        <f>Ruimtestaat[[#This Row],[uren / jaar weekend]]+Ruimtestaat[[#This Row],[uren / jaar werkdagen]]</f>
        <v>0</v>
      </c>
      <c r="AG16" s="74">
        <f>Ruimtestaat[[#This Row],[kosten / jaar weekend]]+Ruimtestaat[[#This Row],[kosten / jaar werkdagen]]</f>
        <v>0</v>
      </c>
      <c r="AH16" s="105"/>
      <c r="HL16" s="72"/>
    </row>
    <row r="17" spans="1:220" ht="15" customHeight="1">
      <c r="A17" s="123">
        <v>1</v>
      </c>
      <c r="B17" s="24" t="str">
        <f>VLOOKUP(Ruimtestaat[[#This Row],[Code]],Locaties[#All],2,FALSE)</f>
        <v>Hoornbeeck College Amersfoort</v>
      </c>
      <c r="C17" s="24" t="str">
        <f>VLOOKUP(Ruimtestaat[[#This Row],[Code]],Locaties[#All],4,FALSE)</f>
        <v>Utrechtseweg 230</v>
      </c>
      <c r="D17" s="24" t="str">
        <f>VLOOKUP(Ruimtestaat[[#This Row],[Code]],Locaties[#All],5,FALSE)</f>
        <v>3818 ET</v>
      </c>
      <c r="E17" s="24" t="str">
        <f>VLOOKUP(Ruimtestaat[[#This Row],[Code]],Locaties[#All],6,FALSE)</f>
        <v>Amersfoort</v>
      </c>
      <c r="F17" s="67" t="s">
        <v>416</v>
      </c>
      <c r="G17" s="24" t="s">
        <v>427</v>
      </c>
      <c r="H17" s="24" t="s">
        <v>432</v>
      </c>
      <c r="I17" s="4" t="s">
        <v>433</v>
      </c>
      <c r="J17" s="24">
        <v>16</v>
      </c>
      <c r="K17" s="67" t="str">
        <f>VLOOKUP(J17,Ruimtegroepen[],2,FALSE)</f>
        <v>Leslokalen</v>
      </c>
      <c r="L17" s="24" t="s">
        <v>110</v>
      </c>
      <c r="M17" s="24" t="s">
        <v>539</v>
      </c>
      <c r="N17" s="96">
        <v>72</v>
      </c>
      <c r="O17" s="96"/>
      <c r="P17" s="106" t="str">
        <f>LEFT(VLOOKUP(Ruimtestaat[[#This Row],[Ruimte code]],Ruimtegroepen[#All],4,1),2)</f>
        <v>Le</v>
      </c>
      <c r="Q17" s="96"/>
      <c r="R17" s="97">
        <v>40</v>
      </c>
      <c r="S17" s="97" t="s">
        <v>2</v>
      </c>
      <c r="T17" s="98">
        <f>IF(R17&gt;0,IF(RIGHT(Ruimtestaat[[#This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7" s="98">
        <f>IF(T17&gt;0,VLOOKUP($J17,Ruimtegroepen[],3,FALSE)*VLOOKUP($L17,Vloersoorten[],3,FALSE)*VLOOKUP($S17,Frequenties[],3,FALSE)*VLOOKUP($A17,Locaties[],3,FALSE),0)</f>
        <v>0</v>
      </c>
      <c r="V17" s="99">
        <f>Ruimtestaat[[#This Row],[Uitvoeringen werkdagen]]*Ruimtestaat[[#This Row],[Oppervlak (netto)]]</f>
        <v>14400</v>
      </c>
      <c r="W17" s="100">
        <f>IF(U17&gt;0,Ruimtestaat[[#This Row],[Prest. (m2 /jaar) werkdagen]]/Ruimtestaat[[#This Row],[Norm (m2/uur) werkdagen]],0)</f>
        <v>0</v>
      </c>
      <c r="X17" s="101">
        <f>Ruimtestaat[[#This Row],[uren / jaar werkdagen]]*Tariefsopbouw!$E$35</f>
        <v>0</v>
      </c>
      <c r="Y17" s="98"/>
      <c r="Z17" s="102">
        <f>IF(Ruimtestaat[[#This Row],[Frequentie weekend]]&gt;0,VALUE(LEFT(Y17,1))*R17,0)</f>
        <v>0</v>
      </c>
      <c r="AA17" s="98">
        <f>IF($Z17&gt;0,VLOOKUP($J17,Ruimtegroepen[],3,FALSE)*VLOOKUP($L17,Vloersoorten[],3,FALSE)*VLOOKUP($Y17,Frequenties[],3,FALSE)*VLOOKUP($A13,Locaties[],3,FALSE),0)</f>
        <v>0</v>
      </c>
      <c r="AB17" s="100">
        <f>Ruimtestaat[[#This Row],[Uitvoeringen weekend]]*Ruimtestaat[[#This Row],[Oppervlak (netto)]]</f>
        <v>0</v>
      </c>
      <c r="AC17" s="103">
        <f>IF(AB17&gt;0,Ruimtestaat[[#This Row],[Prest. (m2 /jaar) weekend]]/Ruimtestaat[[#This Row],[Norm (m2/uur) weekend]],0)</f>
        <v>0</v>
      </c>
      <c r="AD17" s="104">
        <f>Ruimtestaat[[#This Row],[uren / jaar weekend]]*Tariefsopbouw!$D$40</f>
        <v>0</v>
      </c>
      <c r="AE17" s="73">
        <f>Ruimtestaat[[#This Row],[Prest. (m2 /jaar) weekend]]+Ruimtestaat[[#This Row],[Prest. (m2 /jaar) werkdagen]]</f>
        <v>14400</v>
      </c>
      <c r="AF17" s="73">
        <f>Ruimtestaat[[#This Row],[uren / jaar weekend]]+Ruimtestaat[[#This Row],[uren / jaar werkdagen]]</f>
        <v>0</v>
      </c>
      <c r="AG17" s="74">
        <f>Ruimtestaat[[#This Row],[kosten / jaar weekend]]+Ruimtestaat[[#This Row],[kosten / jaar werkdagen]]</f>
        <v>0</v>
      </c>
      <c r="AH17" s="105"/>
      <c r="HL17" s="72"/>
    </row>
    <row r="18" spans="1:220" ht="15" customHeight="1">
      <c r="A18" s="123">
        <v>1</v>
      </c>
      <c r="B18" s="24" t="str">
        <f>VLOOKUP(Ruimtestaat[[#This Row],[Code]],Locaties[#All],2,FALSE)</f>
        <v>Hoornbeeck College Amersfoort</v>
      </c>
      <c r="C18" s="24" t="str">
        <f>VLOOKUP(Ruimtestaat[[#This Row],[Code]],Locaties[#All],4,FALSE)</f>
        <v>Utrechtseweg 230</v>
      </c>
      <c r="D18" s="24" t="str">
        <f>VLOOKUP(Ruimtestaat[[#This Row],[Code]],Locaties[#All],5,FALSE)</f>
        <v>3818 ET</v>
      </c>
      <c r="E18" s="24" t="str">
        <f>VLOOKUP(Ruimtestaat[[#This Row],[Code]],Locaties[#All],6,FALSE)</f>
        <v>Amersfoort</v>
      </c>
      <c r="F18" s="67" t="s">
        <v>416</v>
      </c>
      <c r="G18" s="24" t="s">
        <v>434</v>
      </c>
      <c r="H18" s="24" t="s">
        <v>435</v>
      </c>
      <c r="I18" s="4" t="s">
        <v>419</v>
      </c>
      <c r="J18" s="24">
        <v>16</v>
      </c>
      <c r="K18" s="67" t="str">
        <f>VLOOKUP(J18,Ruimtegroepen[],2,FALSE)</f>
        <v>Leslokalen</v>
      </c>
      <c r="L18" s="24" t="s">
        <v>110</v>
      </c>
      <c r="M18" s="24" t="s">
        <v>539</v>
      </c>
      <c r="N18" s="96">
        <v>60</v>
      </c>
      <c r="O18" s="96"/>
      <c r="P18" s="106" t="str">
        <f>LEFT(VLOOKUP(Ruimtestaat[[#This Row],[Ruimte code]],Ruimtegroepen[#All],4,1),2)</f>
        <v>Le</v>
      </c>
      <c r="Q18" s="96"/>
      <c r="R18" s="97">
        <v>40</v>
      </c>
      <c r="S18" s="97" t="s">
        <v>2</v>
      </c>
      <c r="T18" s="98">
        <f>IF(R18&gt;0,IF(RIGHT(Ruimtestaat[[#This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" s="98">
        <f>IF(T18&gt;0,VLOOKUP($J18,Ruimtegroepen[],3,FALSE)*VLOOKUP($L18,Vloersoorten[],3,FALSE)*VLOOKUP($S18,Frequenties[],3,FALSE)*VLOOKUP($A18,Locaties[],3,FALSE),0)</f>
        <v>0</v>
      </c>
      <c r="V18" s="99">
        <f>Ruimtestaat[[#This Row],[Uitvoeringen werkdagen]]*Ruimtestaat[[#This Row],[Oppervlak (netto)]]</f>
        <v>12000</v>
      </c>
      <c r="W18" s="100">
        <f>IF(U18&gt;0,Ruimtestaat[[#This Row],[Prest. (m2 /jaar) werkdagen]]/Ruimtestaat[[#This Row],[Norm (m2/uur) werkdagen]],0)</f>
        <v>0</v>
      </c>
      <c r="X18" s="101">
        <f>Ruimtestaat[[#This Row],[uren / jaar werkdagen]]*Tariefsopbouw!$E$35</f>
        <v>0</v>
      </c>
      <c r="Y18" s="98"/>
      <c r="Z18" s="102">
        <f>IF(Ruimtestaat[[#This Row],[Frequentie weekend]]&gt;0,VALUE(LEFT(Y18,1))*R18,0)</f>
        <v>0</v>
      </c>
      <c r="AA18" s="98">
        <f>IF($Z18&gt;0,VLOOKUP($J18,Ruimtegroepen[],3,FALSE)*VLOOKUP($L18,Vloersoorten[],3,FALSE)*VLOOKUP($Y18,Frequenties[],3,FALSE)*VLOOKUP($A14,Locaties[],3,FALSE),0)</f>
        <v>0</v>
      </c>
      <c r="AB18" s="100">
        <f>Ruimtestaat[[#This Row],[Uitvoeringen weekend]]*Ruimtestaat[[#This Row],[Oppervlak (netto)]]</f>
        <v>0</v>
      </c>
      <c r="AC18" s="103">
        <f>IF(AB18&gt;0,Ruimtestaat[[#This Row],[Prest. (m2 /jaar) weekend]]/Ruimtestaat[[#This Row],[Norm (m2/uur) weekend]],0)</f>
        <v>0</v>
      </c>
      <c r="AD18" s="104">
        <f>Ruimtestaat[[#This Row],[uren / jaar weekend]]*Tariefsopbouw!$D$40</f>
        <v>0</v>
      </c>
      <c r="AE18" s="73">
        <f>Ruimtestaat[[#This Row],[Prest. (m2 /jaar) weekend]]+Ruimtestaat[[#This Row],[Prest. (m2 /jaar) werkdagen]]</f>
        <v>12000</v>
      </c>
      <c r="AF18" s="73">
        <f>Ruimtestaat[[#This Row],[uren / jaar weekend]]+Ruimtestaat[[#This Row],[uren / jaar werkdagen]]</f>
        <v>0</v>
      </c>
      <c r="AG18" s="74">
        <f>Ruimtestaat[[#This Row],[kosten / jaar weekend]]+Ruimtestaat[[#This Row],[kosten / jaar werkdagen]]</f>
        <v>0</v>
      </c>
      <c r="AH18" s="105"/>
      <c r="HL18" s="72"/>
    </row>
    <row r="19" spans="1:220" ht="15" customHeight="1">
      <c r="A19" s="123">
        <v>1</v>
      </c>
      <c r="B19" s="24" t="str">
        <f>VLOOKUP(Ruimtestaat[[#This Row],[Code]],Locaties[#All],2,FALSE)</f>
        <v>Hoornbeeck College Amersfoort</v>
      </c>
      <c r="C19" s="24" t="str">
        <f>VLOOKUP(Ruimtestaat[[#This Row],[Code]],Locaties[#All],4,FALSE)</f>
        <v>Utrechtseweg 230</v>
      </c>
      <c r="D19" s="24" t="str">
        <f>VLOOKUP(Ruimtestaat[[#This Row],[Code]],Locaties[#All],5,FALSE)</f>
        <v>3818 ET</v>
      </c>
      <c r="E19" s="24" t="str">
        <f>VLOOKUP(Ruimtestaat[[#This Row],[Code]],Locaties[#All],6,FALSE)</f>
        <v>Amersfoort</v>
      </c>
      <c r="F19" s="67" t="s">
        <v>416</v>
      </c>
      <c r="G19" s="24" t="s">
        <v>434</v>
      </c>
      <c r="H19" s="24" t="s">
        <v>436</v>
      </c>
      <c r="I19" s="4" t="s">
        <v>419</v>
      </c>
      <c r="J19" s="24">
        <v>16</v>
      </c>
      <c r="K19" s="67" t="str">
        <f>VLOOKUP(J19,Ruimtegroepen[],2,FALSE)</f>
        <v>Leslokalen</v>
      </c>
      <c r="L19" s="24" t="s">
        <v>110</v>
      </c>
      <c r="M19" s="24" t="s">
        <v>539</v>
      </c>
      <c r="N19" s="96">
        <v>59</v>
      </c>
      <c r="O19" s="96"/>
      <c r="P19" s="106" t="str">
        <f>LEFT(VLOOKUP(Ruimtestaat[[#This Row],[Ruimte code]],Ruimtegroepen[#All],4,1),2)</f>
        <v>Le</v>
      </c>
      <c r="Q19" s="96"/>
      <c r="R19" s="97">
        <v>40</v>
      </c>
      <c r="S19" s="97" t="s">
        <v>2</v>
      </c>
      <c r="T19" s="98">
        <f>IF(R19&gt;0,IF(RIGHT(Ruimtestaat[[#This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9" s="98">
        <f>IF(T19&gt;0,VLOOKUP($J19,Ruimtegroepen[],3,FALSE)*VLOOKUP($L19,Vloersoorten[],3,FALSE)*VLOOKUP($S19,Frequenties[],3,FALSE)*VLOOKUP($A19,Locaties[],3,FALSE),0)</f>
        <v>0</v>
      </c>
      <c r="V19" s="99">
        <f>Ruimtestaat[[#This Row],[Uitvoeringen werkdagen]]*Ruimtestaat[[#This Row],[Oppervlak (netto)]]</f>
        <v>11800</v>
      </c>
      <c r="W19" s="100">
        <f>IF(U19&gt;0,Ruimtestaat[[#This Row],[Prest. (m2 /jaar) werkdagen]]/Ruimtestaat[[#This Row],[Norm (m2/uur) werkdagen]],0)</f>
        <v>0</v>
      </c>
      <c r="X19" s="101">
        <f>Ruimtestaat[[#This Row],[uren / jaar werkdagen]]*Tariefsopbouw!$E$35</f>
        <v>0</v>
      </c>
      <c r="Y19" s="98"/>
      <c r="Z19" s="102">
        <f>IF(Ruimtestaat[[#This Row],[Frequentie weekend]]&gt;0,VALUE(LEFT(Y19,1))*R19,0)</f>
        <v>0</v>
      </c>
      <c r="AA19" s="98">
        <f>IF($Z19&gt;0,VLOOKUP($J19,Ruimtegroepen[],3,FALSE)*VLOOKUP($L19,Vloersoorten[],3,FALSE)*VLOOKUP($Y19,Frequenties[],3,FALSE)*VLOOKUP($A15,Locaties[],3,FALSE),0)</f>
        <v>0</v>
      </c>
      <c r="AB19" s="100">
        <f>Ruimtestaat[[#This Row],[Uitvoeringen weekend]]*Ruimtestaat[[#This Row],[Oppervlak (netto)]]</f>
        <v>0</v>
      </c>
      <c r="AC19" s="103">
        <f>IF(AB19&gt;0,Ruimtestaat[[#This Row],[Prest. (m2 /jaar) weekend]]/Ruimtestaat[[#This Row],[Norm (m2/uur) weekend]],0)</f>
        <v>0</v>
      </c>
      <c r="AD19" s="104">
        <f>Ruimtestaat[[#This Row],[uren / jaar weekend]]*Tariefsopbouw!$D$40</f>
        <v>0</v>
      </c>
      <c r="AE19" s="73">
        <f>Ruimtestaat[[#This Row],[Prest. (m2 /jaar) weekend]]+Ruimtestaat[[#This Row],[Prest. (m2 /jaar) werkdagen]]</f>
        <v>11800</v>
      </c>
      <c r="AF19" s="73">
        <f>Ruimtestaat[[#This Row],[uren / jaar weekend]]+Ruimtestaat[[#This Row],[uren / jaar werkdagen]]</f>
        <v>0</v>
      </c>
      <c r="AG19" s="74">
        <f>Ruimtestaat[[#This Row],[kosten / jaar weekend]]+Ruimtestaat[[#This Row],[kosten / jaar werkdagen]]</f>
        <v>0</v>
      </c>
      <c r="AH19" s="105"/>
      <c r="HL19" s="72"/>
    </row>
    <row r="20" spans="1:220" ht="15" customHeight="1">
      <c r="A20" s="123">
        <v>1</v>
      </c>
      <c r="B20" s="24" t="str">
        <f>VLOOKUP(Ruimtestaat[[#This Row],[Code]],Locaties[#All],2,FALSE)</f>
        <v>Hoornbeeck College Amersfoort</v>
      </c>
      <c r="C20" s="24" t="str">
        <f>VLOOKUP(Ruimtestaat[[#This Row],[Code]],Locaties[#All],4,FALSE)</f>
        <v>Utrechtseweg 230</v>
      </c>
      <c r="D20" s="24" t="str">
        <f>VLOOKUP(Ruimtestaat[[#This Row],[Code]],Locaties[#All],5,FALSE)</f>
        <v>3818 ET</v>
      </c>
      <c r="E20" s="24" t="str">
        <f>VLOOKUP(Ruimtestaat[[#This Row],[Code]],Locaties[#All],6,FALSE)</f>
        <v>Amersfoort</v>
      </c>
      <c r="F20" s="67" t="s">
        <v>416</v>
      </c>
      <c r="G20" s="24" t="s">
        <v>434</v>
      </c>
      <c r="H20" s="24" t="s">
        <v>437</v>
      </c>
      <c r="I20" s="4" t="s">
        <v>419</v>
      </c>
      <c r="J20" s="24">
        <v>16</v>
      </c>
      <c r="K20" s="67" t="str">
        <f>VLOOKUP(J20,Ruimtegroepen[],2,FALSE)</f>
        <v>Leslokalen</v>
      </c>
      <c r="L20" s="24" t="s">
        <v>110</v>
      </c>
      <c r="M20" s="24" t="s">
        <v>539</v>
      </c>
      <c r="N20" s="96">
        <v>60</v>
      </c>
      <c r="O20" s="96"/>
      <c r="P20" s="106" t="str">
        <f>LEFT(VLOOKUP(Ruimtestaat[[#This Row],[Ruimte code]],Ruimtegroepen[#All],4,1),2)</f>
        <v>Le</v>
      </c>
      <c r="Q20" s="96"/>
      <c r="R20" s="97">
        <v>40</v>
      </c>
      <c r="S20" s="97" t="s">
        <v>2</v>
      </c>
      <c r="T20" s="98">
        <f>IF(R20&gt;0,IF(RIGHT(Ruimtestaat[[#This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0" s="98">
        <f>IF(T20&gt;0,VLOOKUP($J20,Ruimtegroepen[],3,FALSE)*VLOOKUP($L20,Vloersoorten[],3,FALSE)*VLOOKUP($S20,Frequenties[],3,FALSE)*VLOOKUP($A20,Locaties[],3,FALSE),0)</f>
        <v>0</v>
      </c>
      <c r="V20" s="99">
        <f>Ruimtestaat[[#This Row],[Uitvoeringen werkdagen]]*Ruimtestaat[[#This Row],[Oppervlak (netto)]]</f>
        <v>12000</v>
      </c>
      <c r="W20" s="100">
        <f>IF(U20&gt;0,Ruimtestaat[[#This Row],[Prest. (m2 /jaar) werkdagen]]/Ruimtestaat[[#This Row],[Norm (m2/uur) werkdagen]],0)</f>
        <v>0</v>
      </c>
      <c r="X20" s="101">
        <f>Ruimtestaat[[#This Row],[uren / jaar werkdagen]]*Tariefsopbouw!$E$35</f>
        <v>0</v>
      </c>
      <c r="Y20" s="98"/>
      <c r="Z20" s="102">
        <f>IF(Ruimtestaat[[#This Row],[Frequentie weekend]]&gt;0,VALUE(LEFT(Y20,1))*R20,0)</f>
        <v>0</v>
      </c>
      <c r="AA20" s="98">
        <f>IF($Z20&gt;0,VLOOKUP($J20,Ruimtegroepen[],3,FALSE)*VLOOKUP($L20,Vloersoorten[],3,FALSE)*VLOOKUP($Y20,Frequenties[],3,FALSE)*VLOOKUP($A16,Locaties[],3,FALSE),0)</f>
        <v>0</v>
      </c>
      <c r="AB20" s="100">
        <f>Ruimtestaat[[#This Row],[Uitvoeringen weekend]]*Ruimtestaat[[#This Row],[Oppervlak (netto)]]</f>
        <v>0</v>
      </c>
      <c r="AC20" s="103">
        <f>IF(AB20&gt;0,Ruimtestaat[[#This Row],[Prest. (m2 /jaar) weekend]]/Ruimtestaat[[#This Row],[Norm (m2/uur) weekend]],0)</f>
        <v>0</v>
      </c>
      <c r="AD20" s="104">
        <f>Ruimtestaat[[#This Row],[uren / jaar weekend]]*Tariefsopbouw!$D$40</f>
        <v>0</v>
      </c>
      <c r="AE20" s="73">
        <f>Ruimtestaat[[#This Row],[Prest. (m2 /jaar) weekend]]+Ruimtestaat[[#This Row],[Prest. (m2 /jaar) werkdagen]]</f>
        <v>12000</v>
      </c>
      <c r="AF20" s="73">
        <f>Ruimtestaat[[#This Row],[uren / jaar weekend]]+Ruimtestaat[[#This Row],[uren / jaar werkdagen]]</f>
        <v>0</v>
      </c>
      <c r="AG20" s="74">
        <f>Ruimtestaat[[#This Row],[kosten / jaar weekend]]+Ruimtestaat[[#This Row],[kosten / jaar werkdagen]]</f>
        <v>0</v>
      </c>
      <c r="AH20" s="105"/>
      <c r="HL20" s="72"/>
    </row>
    <row r="21" spans="1:220" ht="15" customHeight="1">
      <c r="A21" s="123">
        <v>1</v>
      </c>
      <c r="B21" s="24" t="str">
        <f>VLOOKUP(Ruimtestaat[[#This Row],[Code]],Locaties[#All],2,FALSE)</f>
        <v>Hoornbeeck College Amersfoort</v>
      </c>
      <c r="C21" s="24" t="str">
        <f>VLOOKUP(Ruimtestaat[[#This Row],[Code]],Locaties[#All],4,FALSE)</f>
        <v>Utrechtseweg 230</v>
      </c>
      <c r="D21" s="24" t="str">
        <f>VLOOKUP(Ruimtestaat[[#This Row],[Code]],Locaties[#All],5,FALSE)</f>
        <v>3818 ET</v>
      </c>
      <c r="E21" s="24" t="str">
        <f>VLOOKUP(Ruimtestaat[[#This Row],[Code]],Locaties[#All],6,FALSE)</f>
        <v>Amersfoort</v>
      </c>
      <c r="F21" s="67" t="s">
        <v>416</v>
      </c>
      <c r="G21" s="24" t="s">
        <v>434</v>
      </c>
      <c r="H21" s="24" t="s">
        <v>438</v>
      </c>
      <c r="I21" s="4" t="s">
        <v>419</v>
      </c>
      <c r="J21" s="24">
        <v>16</v>
      </c>
      <c r="K21" s="67" t="str">
        <f>VLOOKUP(J21,Ruimtegroepen[],2,FALSE)</f>
        <v>Leslokalen</v>
      </c>
      <c r="L21" s="24" t="s">
        <v>110</v>
      </c>
      <c r="M21" s="24" t="s">
        <v>539</v>
      </c>
      <c r="N21" s="96">
        <v>58</v>
      </c>
      <c r="O21" s="96"/>
      <c r="P21" s="106" t="str">
        <f>LEFT(VLOOKUP(Ruimtestaat[[#This Row],[Ruimte code]],Ruimtegroepen[#All],4,1),2)</f>
        <v>Le</v>
      </c>
      <c r="Q21" s="96"/>
      <c r="R21" s="97">
        <v>40</v>
      </c>
      <c r="S21" s="97" t="s">
        <v>2</v>
      </c>
      <c r="T21" s="98">
        <f>IF(R21&gt;0,IF(RIGHT(Ruimtestaat[[#This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" s="98">
        <f>IF(T21&gt;0,VLOOKUP($J21,Ruimtegroepen[],3,FALSE)*VLOOKUP($L21,Vloersoorten[],3,FALSE)*VLOOKUP($S21,Frequenties[],3,FALSE)*VLOOKUP($A21,Locaties[],3,FALSE),0)</f>
        <v>0</v>
      </c>
      <c r="V21" s="99">
        <f>Ruimtestaat[[#This Row],[Uitvoeringen werkdagen]]*Ruimtestaat[[#This Row],[Oppervlak (netto)]]</f>
        <v>11600</v>
      </c>
      <c r="W21" s="100">
        <f>IF(U21&gt;0,Ruimtestaat[[#This Row],[Prest. (m2 /jaar) werkdagen]]/Ruimtestaat[[#This Row],[Norm (m2/uur) werkdagen]],0)</f>
        <v>0</v>
      </c>
      <c r="X21" s="101">
        <f>Ruimtestaat[[#This Row],[uren / jaar werkdagen]]*Tariefsopbouw!$E$35</f>
        <v>0</v>
      </c>
      <c r="Y21" s="98"/>
      <c r="Z21" s="102">
        <f>IF(Ruimtestaat[[#This Row],[Frequentie weekend]]&gt;0,VALUE(LEFT(Y21,1))*R21,0)</f>
        <v>0</v>
      </c>
      <c r="AA21" s="98">
        <f>IF($Z21&gt;0,VLOOKUP($J21,Ruimtegroepen[],3,FALSE)*VLOOKUP($L21,Vloersoorten[],3,FALSE)*VLOOKUP($Y21,Frequenties[],3,FALSE)*VLOOKUP($A16,Locaties[],3,FALSE),0)</f>
        <v>0</v>
      </c>
      <c r="AB21" s="100">
        <f>Ruimtestaat[[#This Row],[Uitvoeringen weekend]]*Ruimtestaat[[#This Row],[Oppervlak (netto)]]</f>
        <v>0</v>
      </c>
      <c r="AC21" s="103">
        <f>IF(AB21&gt;0,Ruimtestaat[[#This Row],[Prest. (m2 /jaar) weekend]]/Ruimtestaat[[#This Row],[Norm (m2/uur) weekend]],0)</f>
        <v>0</v>
      </c>
      <c r="AD21" s="104">
        <f>Ruimtestaat[[#This Row],[uren / jaar weekend]]*Tariefsopbouw!$D$40</f>
        <v>0</v>
      </c>
      <c r="AE21" s="73">
        <f>Ruimtestaat[[#This Row],[Prest. (m2 /jaar) weekend]]+Ruimtestaat[[#This Row],[Prest. (m2 /jaar) werkdagen]]</f>
        <v>11600</v>
      </c>
      <c r="AF21" s="73">
        <f>Ruimtestaat[[#This Row],[uren / jaar weekend]]+Ruimtestaat[[#This Row],[uren / jaar werkdagen]]</f>
        <v>0</v>
      </c>
      <c r="AG21" s="74">
        <f>Ruimtestaat[[#This Row],[kosten / jaar weekend]]+Ruimtestaat[[#This Row],[kosten / jaar werkdagen]]</f>
        <v>0</v>
      </c>
      <c r="AH21" s="105"/>
      <c r="HL21" s="72"/>
    </row>
    <row r="22" spans="1:220" ht="15" customHeight="1">
      <c r="A22" s="123">
        <v>1</v>
      </c>
      <c r="B22" s="24" t="str">
        <f>VLOOKUP(Ruimtestaat[[#This Row],[Code]],Locaties[#All],2,FALSE)</f>
        <v>Hoornbeeck College Amersfoort</v>
      </c>
      <c r="C22" s="24" t="str">
        <f>VLOOKUP(Ruimtestaat[[#This Row],[Code]],Locaties[#All],4,FALSE)</f>
        <v>Utrechtseweg 230</v>
      </c>
      <c r="D22" s="24" t="str">
        <f>VLOOKUP(Ruimtestaat[[#This Row],[Code]],Locaties[#All],5,FALSE)</f>
        <v>3818 ET</v>
      </c>
      <c r="E22" s="24" t="str">
        <f>VLOOKUP(Ruimtestaat[[#This Row],[Code]],Locaties[#All],6,FALSE)</f>
        <v>Amersfoort</v>
      </c>
      <c r="F22" s="67" t="s">
        <v>416</v>
      </c>
      <c r="G22" s="24" t="s">
        <v>434</v>
      </c>
      <c r="H22" s="24" t="s">
        <v>439</v>
      </c>
      <c r="I22" s="4" t="s">
        <v>419</v>
      </c>
      <c r="J22" s="24">
        <v>16</v>
      </c>
      <c r="K22" s="67" t="str">
        <f>VLOOKUP(J22,Ruimtegroepen[],2,FALSE)</f>
        <v>Leslokalen</v>
      </c>
      <c r="L22" s="24" t="s">
        <v>110</v>
      </c>
      <c r="M22" s="24" t="s">
        <v>539</v>
      </c>
      <c r="N22" s="96">
        <v>58</v>
      </c>
      <c r="O22" s="96"/>
      <c r="P22" s="106" t="str">
        <f>LEFT(VLOOKUP(Ruimtestaat[[#This Row],[Ruimte code]],Ruimtegroepen[#All],4,1),2)</f>
        <v>Le</v>
      </c>
      <c r="Q22" s="96"/>
      <c r="R22" s="97">
        <v>40</v>
      </c>
      <c r="S22" s="97" t="s">
        <v>2</v>
      </c>
      <c r="T22" s="98">
        <f>IF(R22&gt;0,IF(RIGHT(Ruimtestaat[[#This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2" s="98">
        <f>IF(T22&gt;0,VLOOKUP($J22,Ruimtegroepen[],3,FALSE)*VLOOKUP($L22,Vloersoorten[],3,FALSE)*VLOOKUP($S22,Frequenties[],3,FALSE)*VLOOKUP($A22,Locaties[],3,FALSE),0)</f>
        <v>0</v>
      </c>
      <c r="V22" s="99">
        <f>Ruimtestaat[[#This Row],[Uitvoeringen werkdagen]]*Ruimtestaat[[#This Row],[Oppervlak (netto)]]</f>
        <v>11600</v>
      </c>
      <c r="W22" s="100">
        <f>IF(U22&gt;0,Ruimtestaat[[#This Row],[Prest. (m2 /jaar) werkdagen]]/Ruimtestaat[[#This Row],[Norm (m2/uur) werkdagen]],0)</f>
        <v>0</v>
      </c>
      <c r="X22" s="101">
        <f>Ruimtestaat[[#This Row],[uren / jaar werkdagen]]*Tariefsopbouw!$E$35</f>
        <v>0</v>
      </c>
      <c r="Y22" s="98"/>
      <c r="Z22" s="102">
        <f>IF(Ruimtestaat[[#This Row],[Frequentie weekend]]&gt;0,VALUE(LEFT(Y22,1))*R22,0)</f>
        <v>0</v>
      </c>
      <c r="AA22" s="98">
        <f>IF($Z22&gt;0,VLOOKUP($J22,Ruimtegroepen[],3,FALSE)*VLOOKUP($L22,Vloersoorten[],3,FALSE)*VLOOKUP($Y22,Frequenties[],3,FALSE)*VLOOKUP($A17,Locaties[],3,FALSE),0)</f>
        <v>0</v>
      </c>
      <c r="AB22" s="100">
        <f>Ruimtestaat[[#This Row],[Uitvoeringen weekend]]*Ruimtestaat[[#This Row],[Oppervlak (netto)]]</f>
        <v>0</v>
      </c>
      <c r="AC22" s="103">
        <f>IF(AB22&gt;0,Ruimtestaat[[#This Row],[Prest. (m2 /jaar) weekend]]/Ruimtestaat[[#This Row],[Norm (m2/uur) weekend]],0)</f>
        <v>0</v>
      </c>
      <c r="AD22" s="104">
        <f>Ruimtestaat[[#This Row],[uren / jaar weekend]]*Tariefsopbouw!$D$40</f>
        <v>0</v>
      </c>
      <c r="AE22" s="73">
        <f>Ruimtestaat[[#This Row],[Prest. (m2 /jaar) weekend]]+Ruimtestaat[[#This Row],[Prest. (m2 /jaar) werkdagen]]</f>
        <v>11600</v>
      </c>
      <c r="AF22" s="73">
        <f>Ruimtestaat[[#This Row],[uren / jaar weekend]]+Ruimtestaat[[#This Row],[uren / jaar werkdagen]]</f>
        <v>0</v>
      </c>
      <c r="AG22" s="74">
        <f>Ruimtestaat[[#This Row],[kosten / jaar weekend]]+Ruimtestaat[[#This Row],[kosten / jaar werkdagen]]</f>
        <v>0</v>
      </c>
      <c r="AH22" s="105"/>
      <c r="HL22" s="72"/>
    </row>
    <row r="23" spans="1:220" ht="15" customHeight="1">
      <c r="A23" s="123">
        <v>1</v>
      </c>
      <c r="B23" s="24" t="str">
        <f>VLOOKUP(Ruimtestaat[[#This Row],[Code]],Locaties[#All],2,FALSE)</f>
        <v>Hoornbeeck College Amersfoort</v>
      </c>
      <c r="C23" s="24" t="str">
        <f>VLOOKUP(Ruimtestaat[[#This Row],[Code]],Locaties[#All],4,FALSE)</f>
        <v>Utrechtseweg 230</v>
      </c>
      <c r="D23" s="24" t="str">
        <f>VLOOKUP(Ruimtestaat[[#This Row],[Code]],Locaties[#All],5,FALSE)</f>
        <v>3818 ET</v>
      </c>
      <c r="E23" s="24" t="str">
        <f>VLOOKUP(Ruimtestaat[[#This Row],[Code]],Locaties[#All],6,FALSE)</f>
        <v>Amersfoort</v>
      </c>
      <c r="F23" s="67" t="s">
        <v>416</v>
      </c>
      <c r="G23" s="24" t="s">
        <v>434</v>
      </c>
      <c r="H23" s="24" t="s">
        <v>440</v>
      </c>
      <c r="I23" s="4" t="s">
        <v>419</v>
      </c>
      <c r="J23" s="24">
        <v>16</v>
      </c>
      <c r="K23" s="67" t="str">
        <f>VLOOKUP(J23,Ruimtegroepen[],2,FALSE)</f>
        <v>Leslokalen</v>
      </c>
      <c r="L23" s="24" t="s">
        <v>110</v>
      </c>
      <c r="M23" s="24" t="s">
        <v>539</v>
      </c>
      <c r="N23" s="96">
        <v>45</v>
      </c>
      <c r="O23" s="96"/>
      <c r="P23" s="106" t="str">
        <f>LEFT(VLOOKUP(Ruimtestaat[[#This Row],[Ruimte code]],Ruimtegroepen[#All],4,1),2)</f>
        <v>Le</v>
      </c>
      <c r="Q23" s="96"/>
      <c r="R23" s="97">
        <v>40</v>
      </c>
      <c r="S23" s="97" t="s">
        <v>2</v>
      </c>
      <c r="T23" s="98">
        <f>IF(R23&gt;0,IF(RIGHT(Ruimtestaat[[#This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3" s="98">
        <f>IF(T23&gt;0,VLOOKUP($J23,Ruimtegroepen[],3,FALSE)*VLOOKUP($L23,Vloersoorten[],3,FALSE)*VLOOKUP($S23,Frequenties[],3,FALSE)*VLOOKUP($A23,Locaties[],3,FALSE),0)</f>
        <v>0</v>
      </c>
      <c r="V23" s="99">
        <f>Ruimtestaat[[#This Row],[Uitvoeringen werkdagen]]*Ruimtestaat[[#This Row],[Oppervlak (netto)]]</f>
        <v>9000</v>
      </c>
      <c r="W23" s="100">
        <f>IF(U23&gt;0,Ruimtestaat[[#This Row],[Prest. (m2 /jaar) werkdagen]]/Ruimtestaat[[#This Row],[Norm (m2/uur) werkdagen]],0)</f>
        <v>0</v>
      </c>
      <c r="X23" s="101">
        <f>Ruimtestaat[[#This Row],[uren / jaar werkdagen]]*Tariefsopbouw!$E$35</f>
        <v>0</v>
      </c>
      <c r="Y23" s="98"/>
      <c r="Z23" s="102">
        <f>IF(Ruimtestaat[[#This Row],[Frequentie weekend]]&gt;0,VALUE(LEFT(Y23,1))*R23,0)</f>
        <v>0</v>
      </c>
      <c r="AA23" s="98">
        <f>IF($Z23&gt;0,VLOOKUP($J23,Ruimtegroepen[],3,FALSE)*VLOOKUP($L23,Vloersoorten[],3,FALSE)*VLOOKUP($Y23,Frequenties[],3,FALSE)*VLOOKUP($A18,Locaties[],3,FALSE),0)</f>
        <v>0</v>
      </c>
      <c r="AB23" s="100">
        <f>Ruimtestaat[[#This Row],[Uitvoeringen weekend]]*Ruimtestaat[[#This Row],[Oppervlak (netto)]]</f>
        <v>0</v>
      </c>
      <c r="AC23" s="103">
        <f>IF(AB23&gt;0,Ruimtestaat[[#This Row],[Prest. (m2 /jaar) weekend]]/Ruimtestaat[[#This Row],[Norm (m2/uur) weekend]],0)</f>
        <v>0</v>
      </c>
      <c r="AD23" s="104">
        <f>Ruimtestaat[[#This Row],[uren / jaar weekend]]*Tariefsopbouw!$D$40</f>
        <v>0</v>
      </c>
      <c r="AE23" s="73">
        <f>Ruimtestaat[[#This Row],[Prest. (m2 /jaar) weekend]]+Ruimtestaat[[#This Row],[Prest. (m2 /jaar) werkdagen]]</f>
        <v>9000</v>
      </c>
      <c r="AF23" s="73">
        <f>Ruimtestaat[[#This Row],[uren / jaar weekend]]+Ruimtestaat[[#This Row],[uren / jaar werkdagen]]</f>
        <v>0</v>
      </c>
      <c r="AG23" s="74">
        <f>Ruimtestaat[[#This Row],[kosten / jaar weekend]]+Ruimtestaat[[#This Row],[kosten / jaar werkdagen]]</f>
        <v>0</v>
      </c>
      <c r="AH23" s="105"/>
      <c r="HL23" s="72"/>
    </row>
    <row r="24" spans="1:220" ht="15" customHeight="1">
      <c r="A24" s="123">
        <v>1</v>
      </c>
      <c r="B24" s="24" t="str">
        <f>VLOOKUP(Ruimtestaat[[#This Row],[Code]],Locaties[#All],2,FALSE)</f>
        <v>Hoornbeeck College Amersfoort</v>
      </c>
      <c r="C24" s="24" t="str">
        <f>VLOOKUP(Ruimtestaat[[#This Row],[Code]],Locaties[#All],4,FALSE)</f>
        <v>Utrechtseweg 230</v>
      </c>
      <c r="D24" s="24" t="str">
        <f>VLOOKUP(Ruimtestaat[[#This Row],[Code]],Locaties[#All],5,FALSE)</f>
        <v>3818 ET</v>
      </c>
      <c r="E24" s="24" t="str">
        <f>VLOOKUP(Ruimtestaat[[#This Row],[Code]],Locaties[#All],6,FALSE)</f>
        <v>Amersfoort</v>
      </c>
      <c r="F24" s="67" t="s">
        <v>416</v>
      </c>
      <c r="G24" s="24" t="s">
        <v>434</v>
      </c>
      <c r="H24" s="24" t="s">
        <v>441</v>
      </c>
      <c r="I24" s="4" t="s">
        <v>419</v>
      </c>
      <c r="J24" s="24">
        <v>16</v>
      </c>
      <c r="K24" s="67" t="str">
        <f>VLOOKUP(J24,Ruimtegroepen[],2,FALSE)</f>
        <v>Leslokalen</v>
      </c>
      <c r="L24" s="24" t="s">
        <v>110</v>
      </c>
      <c r="M24" s="24" t="s">
        <v>539</v>
      </c>
      <c r="N24" s="107">
        <v>58</v>
      </c>
      <c r="O24" s="96"/>
      <c r="P24" s="106" t="str">
        <f>LEFT(VLOOKUP(Ruimtestaat[[#This Row],[Ruimte code]],Ruimtegroepen[#All],4,1),2)</f>
        <v>Le</v>
      </c>
      <c r="Q24" s="96"/>
      <c r="R24" s="97">
        <v>40</v>
      </c>
      <c r="S24" s="97" t="s">
        <v>2</v>
      </c>
      <c r="T24" s="98">
        <f>IF(R24&gt;0,IF(RIGHT(Ruimtestaat[[#This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4" s="98">
        <f>IF(T24&gt;0,VLOOKUP($J24,Ruimtegroepen[],3,FALSE)*VLOOKUP($L24,Vloersoorten[],3,FALSE)*VLOOKUP($S24,Frequenties[],3,FALSE)*VLOOKUP($A24,Locaties[],3,FALSE),0)</f>
        <v>0</v>
      </c>
      <c r="V24" s="99">
        <f>Ruimtestaat[[#This Row],[Uitvoeringen werkdagen]]*Ruimtestaat[[#This Row],[Oppervlak (netto)]]</f>
        <v>11600</v>
      </c>
      <c r="W24" s="100">
        <f>IF(U24&gt;0,Ruimtestaat[[#This Row],[Prest. (m2 /jaar) werkdagen]]/Ruimtestaat[[#This Row],[Norm (m2/uur) werkdagen]],0)</f>
        <v>0</v>
      </c>
      <c r="X24" s="101">
        <f>Ruimtestaat[[#This Row],[uren / jaar werkdagen]]*Tariefsopbouw!$E$35</f>
        <v>0</v>
      </c>
      <c r="Y24" s="98"/>
      <c r="Z24" s="102">
        <f>IF(Ruimtestaat[[#This Row],[Frequentie weekend]]&gt;0,VALUE(LEFT(Y24,1))*R24,0)</f>
        <v>0</v>
      </c>
      <c r="AA24" s="98">
        <f>IF($Z24&gt;0,VLOOKUP($J24,Ruimtegroepen[],3,FALSE)*VLOOKUP($L24,Vloersoorten[],3,FALSE)*VLOOKUP($Y24,Frequenties[],3,FALSE)*VLOOKUP($A19,Locaties[],3,FALSE),0)</f>
        <v>0</v>
      </c>
      <c r="AB24" s="100">
        <f>Ruimtestaat[[#This Row],[Uitvoeringen weekend]]*Ruimtestaat[[#This Row],[Oppervlak (netto)]]</f>
        <v>0</v>
      </c>
      <c r="AC24" s="103">
        <f>IF(AB24&gt;0,Ruimtestaat[[#This Row],[Prest. (m2 /jaar) weekend]]/Ruimtestaat[[#This Row],[Norm (m2/uur) weekend]],0)</f>
        <v>0</v>
      </c>
      <c r="AD24" s="104">
        <f>Ruimtestaat[[#This Row],[uren / jaar weekend]]*Tariefsopbouw!$D$40</f>
        <v>0</v>
      </c>
      <c r="AE24" s="73">
        <f>Ruimtestaat[[#This Row],[Prest. (m2 /jaar) weekend]]+Ruimtestaat[[#This Row],[Prest. (m2 /jaar) werkdagen]]</f>
        <v>11600</v>
      </c>
      <c r="AF24" s="73">
        <f>Ruimtestaat[[#This Row],[uren / jaar weekend]]+Ruimtestaat[[#This Row],[uren / jaar werkdagen]]</f>
        <v>0</v>
      </c>
      <c r="AG24" s="74">
        <f>Ruimtestaat[[#This Row],[kosten / jaar weekend]]+Ruimtestaat[[#This Row],[kosten / jaar werkdagen]]</f>
        <v>0</v>
      </c>
      <c r="AH24" s="105"/>
      <c r="HL24" s="72"/>
    </row>
    <row r="25" spans="1:220" ht="15" customHeight="1">
      <c r="A25" s="123">
        <v>1</v>
      </c>
      <c r="B25" s="24" t="str">
        <f>VLOOKUP(Ruimtestaat[[#This Row],[Code]],Locaties[#All],2,FALSE)</f>
        <v>Hoornbeeck College Amersfoort</v>
      </c>
      <c r="C25" s="24" t="str">
        <f>VLOOKUP(Ruimtestaat[[#This Row],[Code]],Locaties[#All],4,FALSE)</f>
        <v>Utrechtseweg 230</v>
      </c>
      <c r="D25" s="24" t="str">
        <f>VLOOKUP(Ruimtestaat[[#This Row],[Code]],Locaties[#All],5,FALSE)</f>
        <v>3818 ET</v>
      </c>
      <c r="E25" s="24" t="str">
        <f>VLOOKUP(Ruimtestaat[[#This Row],[Code]],Locaties[#All],6,FALSE)</f>
        <v>Amersfoort</v>
      </c>
      <c r="F25" s="67" t="s">
        <v>416</v>
      </c>
      <c r="G25" s="24" t="s">
        <v>434</v>
      </c>
      <c r="H25" s="24" t="s">
        <v>442</v>
      </c>
      <c r="I25" s="4" t="s">
        <v>419</v>
      </c>
      <c r="J25" s="24">
        <v>16</v>
      </c>
      <c r="K25" s="67" t="str">
        <f>VLOOKUP(J25,Ruimtegroepen[],2,FALSE)</f>
        <v>Leslokalen</v>
      </c>
      <c r="L25" s="24" t="s">
        <v>110</v>
      </c>
      <c r="M25" s="24" t="s">
        <v>539</v>
      </c>
      <c r="N25" s="96">
        <v>58</v>
      </c>
      <c r="O25" s="96"/>
      <c r="P25" s="106" t="str">
        <f>LEFT(VLOOKUP(Ruimtestaat[[#This Row],[Ruimte code]],Ruimtegroepen[#All],4,1),2)</f>
        <v>Le</v>
      </c>
      <c r="Q25" s="96"/>
      <c r="R25" s="97">
        <v>40</v>
      </c>
      <c r="S25" s="97" t="s">
        <v>2</v>
      </c>
      <c r="T25" s="98">
        <f>IF(R25&gt;0,IF(RIGHT(Ruimtestaat[[#This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5" s="98">
        <f>IF(T25&gt;0,VLOOKUP($J25,Ruimtegroepen[],3,FALSE)*VLOOKUP($L25,Vloersoorten[],3,FALSE)*VLOOKUP($S25,Frequenties[],3,FALSE)*VLOOKUP($A25,Locaties[],3,FALSE),0)</f>
        <v>0</v>
      </c>
      <c r="V25" s="99">
        <f>Ruimtestaat[[#This Row],[Uitvoeringen werkdagen]]*Ruimtestaat[[#This Row],[Oppervlak (netto)]]</f>
        <v>11600</v>
      </c>
      <c r="W25" s="100">
        <f>IF(U25&gt;0,Ruimtestaat[[#This Row],[Prest. (m2 /jaar) werkdagen]]/Ruimtestaat[[#This Row],[Norm (m2/uur) werkdagen]],0)</f>
        <v>0</v>
      </c>
      <c r="X25" s="101">
        <f>Ruimtestaat[[#This Row],[uren / jaar werkdagen]]*Tariefsopbouw!$E$35</f>
        <v>0</v>
      </c>
      <c r="Y25" s="98"/>
      <c r="Z25" s="102">
        <f>IF(Ruimtestaat[[#This Row],[Frequentie weekend]]&gt;0,VALUE(LEFT(Y25,1))*R25,0)</f>
        <v>0</v>
      </c>
      <c r="AA25" s="98">
        <f>IF($Z25&gt;0,VLOOKUP($J25,Ruimtegroepen[],3,FALSE)*VLOOKUP($L25,Vloersoorten[],3,FALSE)*VLOOKUP($Y25,Frequenties[],3,FALSE)*VLOOKUP($A21,Locaties[],3,FALSE),0)</f>
        <v>0</v>
      </c>
      <c r="AB25" s="100">
        <f>Ruimtestaat[[#This Row],[Uitvoeringen weekend]]*Ruimtestaat[[#This Row],[Oppervlak (netto)]]</f>
        <v>0</v>
      </c>
      <c r="AC25" s="103">
        <f>IF(AB25&gt;0,Ruimtestaat[[#This Row],[Prest. (m2 /jaar) weekend]]/Ruimtestaat[[#This Row],[Norm (m2/uur) weekend]],0)</f>
        <v>0</v>
      </c>
      <c r="AD25" s="104">
        <f>Ruimtestaat[[#This Row],[uren / jaar weekend]]*Tariefsopbouw!$D$40</f>
        <v>0</v>
      </c>
      <c r="AE25" s="73">
        <f>Ruimtestaat[[#This Row],[Prest. (m2 /jaar) weekend]]+Ruimtestaat[[#This Row],[Prest. (m2 /jaar) werkdagen]]</f>
        <v>11600</v>
      </c>
      <c r="AF25" s="73">
        <f>Ruimtestaat[[#This Row],[uren / jaar weekend]]+Ruimtestaat[[#This Row],[uren / jaar werkdagen]]</f>
        <v>0</v>
      </c>
      <c r="AG25" s="74">
        <f>Ruimtestaat[[#This Row],[kosten / jaar weekend]]+Ruimtestaat[[#This Row],[kosten / jaar werkdagen]]</f>
        <v>0</v>
      </c>
      <c r="AH25" s="105"/>
      <c r="HL25" s="72"/>
    </row>
    <row r="26" spans="1:220" ht="15" customHeight="1">
      <c r="A26" s="123">
        <v>1</v>
      </c>
      <c r="B26" s="24" t="str">
        <f>VLOOKUP(Ruimtestaat[[#This Row],[Code]],Locaties[#All],2,FALSE)</f>
        <v>Hoornbeeck College Amersfoort</v>
      </c>
      <c r="C26" s="24" t="str">
        <f>VLOOKUP(Ruimtestaat[[#This Row],[Code]],Locaties[#All],4,FALSE)</f>
        <v>Utrechtseweg 230</v>
      </c>
      <c r="D26" s="24" t="str">
        <f>VLOOKUP(Ruimtestaat[[#This Row],[Code]],Locaties[#All],5,FALSE)</f>
        <v>3818 ET</v>
      </c>
      <c r="E26" s="24" t="str">
        <f>VLOOKUP(Ruimtestaat[[#This Row],[Code]],Locaties[#All],6,FALSE)</f>
        <v>Amersfoort</v>
      </c>
      <c r="F26" s="67" t="s">
        <v>416</v>
      </c>
      <c r="G26" s="24" t="s">
        <v>434</v>
      </c>
      <c r="H26" s="24" t="s">
        <v>443</v>
      </c>
      <c r="I26" s="4" t="s">
        <v>419</v>
      </c>
      <c r="J26" s="24">
        <v>16</v>
      </c>
      <c r="K26" s="67" t="str">
        <f>VLOOKUP(J26,Ruimtegroepen[],2,FALSE)</f>
        <v>Leslokalen</v>
      </c>
      <c r="L26" s="24" t="s">
        <v>110</v>
      </c>
      <c r="M26" s="24" t="s">
        <v>539</v>
      </c>
      <c r="N26" s="96">
        <v>58</v>
      </c>
      <c r="O26" s="96"/>
      <c r="P26" s="106" t="str">
        <f>LEFT(VLOOKUP(Ruimtestaat[[#This Row],[Ruimte code]],Ruimtegroepen[#All],4,1),2)</f>
        <v>Le</v>
      </c>
      <c r="Q26" s="96"/>
      <c r="R26" s="97">
        <v>40</v>
      </c>
      <c r="S26" s="97" t="s">
        <v>2</v>
      </c>
      <c r="T26" s="98">
        <f>IF(R26&gt;0,IF(RIGHT(Ruimtestaat[[#This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6" s="98">
        <f>IF(T26&gt;0,VLOOKUP($J26,Ruimtegroepen[],3,FALSE)*VLOOKUP($L26,Vloersoorten[],3,FALSE)*VLOOKUP($S26,Frequenties[],3,FALSE)*VLOOKUP($A26,Locaties[],3,FALSE),0)</f>
        <v>0</v>
      </c>
      <c r="V26" s="99">
        <f>Ruimtestaat[[#This Row],[Uitvoeringen werkdagen]]*Ruimtestaat[[#This Row],[Oppervlak (netto)]]</f>
        <v>11600</v>
      </c>
      <c r="W26" s="100">
        <f>IF(U26&gt;0,Ruimtestaat[[#This Row],[Prest. (m2 /jaar) werkdagen]]/Ruimtestaat[[#This Row],[Norm (m2/uur) werkdagen]],0)</f>
        <v>0</v>
      </c>
      <c r="X26" s="101">
        <f>Ruimtestaat[[#This Row],[uren / jaar werkdagen]]*Tariefsopbouw!$E$35</f>
        <v>0</v>
      </c>
      <c r="Y26" s="98"/>
      <c r="Z26" s="102">
        <f>IF(Ruimtestaat[[#This Row],[Frequentie weekend]]&gt;0,VALUE(LEFT(Y26,1))*R26,0)</f>
        <v>0</v>
      </c>
      <c r="AA26" s="98">
        <f>IF($Z26&gt;0,VLOOKUP($J26,Ruimtegroepen[],3,FALSE)*VLOOKUP($L26,Vloersoorten[],3,FALSE)*VLOOKUP($Y26,Frequenties[],3,FALSE)*VLOOKUP($A22,Locaties[],3,FALSE),0)</f>
        <v>0</v>
      </c>
      <c r="AB26" s="100">
        <f>Ruimtestaat[[#This Row],[Uitvoeringen weekend]]*Ruimtestaat[[#This Row],[Oppervlak (netto)]]</f>
        <v>0</v>
      </c>
      <c r="AC26" s="103">
        <f>IF(AB26&gt;0,Ruimtestaat[[#This Row],[Prest. (m2 /jaar) weekend]]/Ruimtestaat[[#This Row],[Norm (m2/uur) weekend]],0)</f>
        <v>0</v>
      </c>
      <c r="AD26" s="104">
        <f>Ruimtestaat[[#This Row],[uren / jaar weekend]]*Tariefsopbouw!$D$40</f>
        <v>0</v>
      </c>
      <c r="AE26" s="73">
        <f>Ruimtestaat[[#This Row],[Prest. (m2 /jaar) weekend]]+Ruimtestaat[[#This Row],[Prest. (m2 /jaar) werkdagen]]</f>
        <v>11600</v>
      </c>
      <c r="AF26" s="73">
        <f>Ruimtestaat[[#This Row],[uren / jaar weekend]]+Ruimtestaat[[#This Row],[uren / jaar werkdagen]]</f>
        <v>0</v>
      </c>
      <c r="AG26" s="74">
        <f>Ruimtestaat[[#This Row],[kosten / jaar weekend]]+Ruimtestaat[[#This Row],[kosten / jaar werkdagen]]</f>
        <v>0</v>
      </c>
      <c r="AH26" s="105"/>
      <c r="HL26" s="72"/>
    </row>
    <row r="27" spans="1:220" ht="15" customHeight="1">
      <c r="A27" s="123">
        <v>1</v>
      </c>
      <c r="B27" s="24" t="str">
        <f>VLOOKUP(Ruimtestaat[[#This Row],[Code]],Locaties[#All],2,FALSE)</f>
        <v>Hoornbeeck College Amersfoort</v>
      </c>
      <c r="C27" s="24" t="str">
        <f>VLOOKUP(Ruimtestaat[[#This Row],[Code]],Locaties[#All],4,FALSE)</f>
        <v>Utrechtseweg 230</v>
      </c>
      <c r="D27" s="24" t="str">
        <f>VLOOKUP(Ruimtestaat[[#This Row],[Code]],Locaties[#All],5,FALSE)</f>
        <v>3818 ET</v>
      </c>
      <c r="E27" s="24" t="str">
        <f>VLOOKUP(Ruimtestaat[[#This Row],[Code]],Locaties[#All],6,FALSE)</f>
        <v>Amersfoort</v>
      </c>
      <c r="F27" s="67" t="s">
        <v>416</v>
      </c>
      <c r="G27" s="24" t="s">
        <v>434</v>
      </c>
      <c r="H27" s="24" t="s">
        <v>444</v>
      </c>
      <c r="I27" s="4" t="s">
        <v>419</v>
      </c>
      <c r="J27" s="24">
        <v>16</v>
      </c>
      <c r="K27" s="67" t="str">
        <f>VLOOKUP(J27,Ruimtegroepen[],2,FALSE)</f>
        <v>Leslokalen</v>
      </c>
      <c r="L27" s="24" t="s">
        <v>110</v>
      </c>
      <c r="M27" s="24" t="s">
        <v>539</v>
      </c>
      <c r="N27" s="96">
        <v>58</v>
      </c>
      <c r="O27" s="96"/>
      <c r="P27" s="106" t="str">
        <f>LEFT(VLOOKUP(Ruimtestaat[[#This Row],[Ruimte code]],Ruimtegroepen[#All],4,1),2)</f>
        <v>Le</v>
      </c>
      <c r="Q27" s="96"/>
      <c r="R27" s="97">
        <v>40</v>
      </c>
      <c r="S27" s="97" t="s">
        <v>2</v>
      </c>
      <c r="T27" s="98">
        <f>IF(R27&gt;0,IF(RIGHT(Ruimtestaat[[#This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" s="98">
        <f>IF(T27&gt;0,VLOOKUP($J27,Ruimtegroepen[],3,FALSE)*VLOOKUP($L27,Vloersoorten[],3,FALSE)*VLOOKUP($S27,Frequenties[],3,FALSE)*VLOOKUP($A27,Locaties[],3,FALSE),0)</f>
        <v>0</v>
      </c>
      <c r="V27" s="99">
        <f>Ruimtestaat[[#This Row],[Uitvoeringen werkdagen]]*Ruimtestaat[[#This Row],[Oppervlak (netto)]]</f>
        <v>11600</v>
      </c>
      <c r="W27" s="100">
        <f>IF(U27&gt;0,Ruimtestaat[[#This Row],[Prest. (m2 /jaar) werkdagen]]/Ruimtestaat[[#This Row],[Norm (m2/uur) werkdagen]],0)</f>
        <v>0</v>
      </c>
      <c r="X27" s="101">
        <f>Ruimtestaat[[#This Row],[uren / jaar werkdagen]]*Tariefsopbouw!$E$35</f>
        <v>0</v>
      </c>
      <c r="Y27" s="98"/>
      <c r="Z27" s="102">
        <f>IF(Ruimtestaat[[#This Row],[Frequentie weekend]]&gt;0,VALUE(LEFT(Y27,1))*R27,0)</f>
        <v>0</v>
      </c>
      <c r="AA27" s="98">
        <f>IF($Z27&gt;0,VLOOKUP($J27,Ruimtegroepen[],3,FALSE)*VLOOKUP($L27,Vloersoorten[],3,FALSE)*VLOOKUP($Y27,Frequenties[],3,FALSE)*VLOOKUP($A23,Locaties[],3,FALSE),0)</f>
        <v>0</v>
      </c>
      <c r="AB27" s="100">
        <f>Ruimtestaat[[#This Row],[Uitvoeringen weekend]]*Ruimtestaat[[#This Row],[Oppervlak (netto)]]</f>
        <v>0</v>
      </c>
      <c r="AC27" s="103">
        <f>IF(AB27&gt;0,Ruimtestaat[[#This Row],[Prest. (m2 /jaar) weekend]]/Ruimtestaat[[#This Row],[Norm (m2/uur) weekend]],0)</f>
        <v>0</v>
      </c>
      <c r="AD27" s="104">
        <f>Ruimtestaat[[#This Row],[uren / jaar weekend]]*Tariefsopbouw!$D$40</f>
        <v>0</v>
      </c>
      <c r="AE27" s="73">
        <f>Ruimtestaat[[#This Row],[Prest. (m2 /jaar) weekend]]+Ruimtestaat[[#This Row],[Prest. (m2 /jaar) werkdagen]]</f>
        <v>11600</v>
      </c>
      <c r="AF27" s="73">
        <f>Ruimtestaat[[#This Row],[uren / jaar weekend]]+Ruimtestaat[[#This Row],[uren / jaar werkdagen]]</f>
        <v>0</v>
      </c>
      <c r="AG27" s="74">
        <f>Ruimtestaat[[#This Row],[kosten / jaar weekend]]+Ruimtestaat[[#This Row],[kosten / jaar werkdagen]]</f>
        <v>0</v>
      </c>
      <c r="AH27" s="105"/>
      <c r="HL27" s="72"/>
    </row>
    <row r="28" spans="1:220" ht="15" customHeight="1">
      <c r="A28" s="123">
        <v>1</v>
      </c>
      <c r="B28" s="24" t="str">
        <f>VLOOKUP(Ruimtestaat[[#This Row],[Code]],Locaties[#All],2,FALSE)</f>
        <v>Hoornbeeck College Amersfoort</v>
      </c>
      <c r="C28" s="24" t="str">
        <f>VLOOKUP(Ruimtestaat[[#This Row],[Code]],Locaties[#All],4,FALSE)</f>
        <v>Utrechtseweg 230</v>
      </c>
      <c r="D28" s="24" t="str">
        <f>VLOOKUP(Ruimtestaat[[#This Row],[Code]],Locaties[#All],5,FALSE)</f>
        <v>3818 ET</v>
      </c>
      <c r="E28" s="24" t="str">
        <f>VLOOKUP(Ruimtestaat[[#This Row],[Code]],Locaties[#All],6,FALSE)</f>
        <v>Amersfoort</v>
      </c>
      <c r="F28" s="67" t="s">
        <v>416</v>
      </c>
      <c r="G28" s="24" t="s">
        <v>434</v>
      </c>
      <c r="H28" s="24" t="s">
        <v>445</v>
      </c>
      <c r="I28" s="4" t="s">
        <v>419</v>
      </c>
      <c r="J28" s="24">
        <v>16</v>
      </c>
      <c r="K28" s="67" t="str">
        <f>VLOOKUP(J28,Ruimtegroepen[],2,FALSE)</f>
        <v>Leslokalen</v>
      </c>
      <c r="L28" s="24" t="s">
        <v>110</v>
      </c>
      <c r="M28" s="24" t="s">
        <v>539</v>
      </c>
      <c r="N28" s="96">
        <v>52</v>
      </c>
      <c r="O28" s="96"/>
      <c r="P28" s="106" t="str">
        <f>LEFT(VLOOKUP(Ruimtestaat[[#This Row],[Ruimte code]],Ruimtegroepen[#All],4,1),2)</f>
        <v>Le</v>
      </c>
      <c r="Q28" s="96"/>
      <c r="R28" s="97">
        <v>40</v>
      </c>
      <c r="S28" s="97" t="s">
        <v>2</v>
      </c>
      <c r="T28" s="98">
        <f>IF(R28&gt;0,IF(RIGHT(Ruimtestaat[[#This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" s="98">
        <f>IF(T28&gt;0,VLOOKUP($J28,Ruimtegroepen[],3,FALSE)*VLOOKUP($L28,Vloersoorten[],3,FALSE)*VLOOKUP($S28,Frequenties[],3,FALSE)*VLOOKUP($A28,Locaties[],3,FALSE),0)</f>
        <v>0</v>
      </c>
      <c r="V28" s="99">
        <f>Ruimtestaat[[#This Row],[Uitvoeringen werkdagen]]*Ruimtestaat[[#This Row],[Oppervlak (netto)]]</f>
        <v>10400</v>
      </c>
      <c r="W28" s="100">
        <f>IF(U28&gt;0,Ruimtestaat[[#This Row],[Prest. (m2 /jaar) werkdagen]]/Ruimtestaat[[#This Row],[Norm (m2/uur) werkdagen]],0)</f>
        <v>0</v>
      </c>
      <c r="X28" s="101">
        <f>Ruimtestaat[[#This Row],[uren / jaar werkdagen]]*Tariefsopbouw!$E$35</f>
        <v>0</v>
      </c>
      <c r="Y28" s="98"/>
      <c r="Z28" s="102">
        <f>IF(Ruimtestaat[[#This Row],[Frequentie weekend]]&gt;0,VALUE(LEFT(Y28,1))*R28,0)</f>
        <v>0</v>
      </c>
      <c r="AA28" s="98">
        <f>IF($Z28&gt;0,VLOOKUP($J28,Ruimtegroepen[],3,FALSE)*VLOOKUP($L28,Vloersoorten[],3,FALSE)*VLOOKUP($Y28,Frequenties[],3,FALSE)*VLOOKUP($A24,Locaties[],3,FALSE),0)</f>
        <v>0</v>
      </c>
      <c r="AB28" s="100">
        <f>Ruimtestaat[[#This Row],[Uitvoeringen weekend]]*Ruimtestaat[[#This Row],[Oppervlak (netto)]]</f>
        <v>0</v>
      </c>
      <c r="AC28" s="103">
        <f>IF(AB28&gt;0,Ruimtestaat[[#This Row],[Prest. (m2 /jaar) weekend]]/Ruimtestaat[[#This Row],[Norm (m2/uur) weekend]],0)</f>
        <v>0</v>
      </c>
      <c r="AD28" s="104">
        <f>Ruimtestaat[[#This Row],[uren / jaar weekend]]*Tariefsopbouw!$D$40</f>
        <v>0</v>
      </c>
      <c r="AE28" s="73">
        <f>Ruimtestaat[[#This Row],[Prest. (m2 /jaar) weekend]]+Ruimtestaat[[#This Row],[Prest. (m2 /jaar) werkdagen]]</f>
        <v>10400</v>
      </c>
      <c r="AF28" s="73">
        <f>Ruimtestaat[[#This Row],[uren / jaar weekend]]+Ruimtestaat[[#This Row],[uren / jaar werkdagen]]</f>
        <v>0</v>
      </c>
      <c r="AG28" s="74">
        <f>Ruimtestaat[[#This Row],[kosten / jaar weekend]]+Ruimtestaat[[#This Row],[kosten / jaar werkdagen]]</f>
        <v>0</v>
      </c>
      <c r="AH28" s="105"/>
      <c r="HL28" s="72"/>
    </row>
    <row r="29" spans="1:220" ht="15" customHeight="1">
      <c r="A29" s="123">
        <v>1</v>
      </c>
      <c r="B29" s="24" t="str">
        <f>VLOOKUP(Ruimtestaat[[#This Row],[Code]],Locaties[#All],2,FALSE)</f>
        <v>Hoornbeeck College Amersfoort</v>
      </c>
      <c r="C29" s="24" t="str">
        <f>VLOOKUP(Ruimtestaat[[#This Row],[Code]],Locaties[#All],4,FALSE)</f>
        <v>Utrechtseweg 230</v>
      </c>
      <c r="D29" s="24" t="str">
        <f>VLOOKUP(Ruimtestaat[[#This Row],[Code]],Locaties[#All],5,FALSE)</f>
        <v>3818 ET</v>
      </c>
      <c r="E29" s="24" t="str">
        <f>VLOOKUP(Ruimtestaat[[#This Row],[Code]],Locaties[#All],6,FALSE)</f>
        <v>Amersfoort</v>
      </c>
      <c r="F29" s="183" t="s">
        <v>446</v>
      </c>
      <c r="G29" s="24" t="s">
        <v>417</v>
      </c>
      <c r="H29" s="24" t="s">
        <v>447</v>
      </c>
      <c r="I29" s="67" t="s">
        <v>419</v>
      </c>
      <c r="J29" s="182">
        <v>16</v>
      </c>
      <c r="K29" s="67" t="str">
        <f>VLOOKUP(J29,Ruimtegroepen[],2,FALSE)</f>
        <v>Leslokalen</v>
      </c>
      <c r="L29" s="24" t="s">
        <v>110</v>
      </c>
      <c r="M29" s="24" t="s">
        <v>539</v>
      </c>
      <c r="N29" s="184">
        <v>64</v>
      </c>
      <c r="O29" s="184"/>
      <c r="P29" s="106" t="str">
        <f>LEFT(VLOOKUP(Ruimtestaat[[#This Row],[Ruimte code]],Ruimtegroepen[#All],4,1),2)</f>
        <v>Le</v>
      </c>
      <c r="Q29" s="185"/>
      <c r="R29" s="97">
        <v>40</v>
      </c>
      <c r="S29" s="97" t="s">
        <v>2</v>
      </c>
      <c r="T29" s="98">
        <f>IF(R29&gt;0,IF(RIGHT(Ruimtestaat[[#This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9" s="98">
        <f>IF(T29&gt;0,VLOOKUP($J29,Ruimtegroepen[],3,FALSE)*VLOOKUP($L29,Vloersoorten[],3,FALSE)*VLOOKUP($S29,Frequenties[],3,FALSE)*VLOOKUP($A29,Locaties[],3,FALSE),0)</f>
        <v>0</v>
      </c>
      <c r="V29" s="99">
        <f>Ruimtestaat[[#This Row],[Uitvoeringen werkdagen]]*Ruimtestaat[[#This Row],[Oppervlak (netto)]]</f>
        <v>12800</v>
      </c>
      <c r="W29" s="100">
        <f>IF(U29&gt;0,Ruimtestaat[[#This Row],[Prest. (m2 /jaar) werkdagen]]/Ruimtestaat[[#This Row],[Norm (m2/uur) werkdagen]],0)</f>
        <v>0</v>
      </c>
      <c r="X29" s="101">
        <f>Ruimtestaat[[#This Row],[uren / jaar werkdagen]]*Tariefsopbouw!$E$35</f>
        <v>0</v>
      </c>
      <c r="Y29" s="186"/>
      <c r="Z29" s="102">
        <f>IF(Ruimtestaat[[#This Row],[Frequentie weekend]]&gt;0,VALUE(LEFT(Y29,1))*R29,0)</f>
        <v>0</v>
      </c>
      <c r="AA29" s="98">
        <f>IF($Z29&gt;0,VLOOKUP($J29,Ruimtegroepen[],3,FALSE)*VLOOKUP($L29,Vloersoorten[],3,FALSE)*VLOOKUP($Y29,Frequenties[],3,FALSE)*VLOOKUP($A25,Locaties[],3,FALSE),0)</f>
        <v>0</v>
      </c>
      <c r="AB29" s="100">
        <f>Ruimtestaat[[#This Row],[Uitvoeringen weekend]]*Ruimtestaat[[#This Row],[Oppervlak (netto)]]</f>
        <v>0</v>
      </c>
      <c r="AC29" s="103">
        <f>IF(AB29&gt;0,Ruimtestaat[[#This Row],[Prest. (m2 /jaar) weekend]]/Ruimtestaat[[#This Row],[Norm (m2/uur) weekend]],0)</f>
        <v>0</v>
      </c>
      <c r="AD29" s="104">
        <f>Ruimtestaat[[#This Row],[uren / jaar weekend]]*Tariefsopbouw!$D$40</f>
        <v>0</v>
      </c>
      <c r="AE29" s="73">
        <f>Ruimtestaat[[#This Row],[Prest. (m2 /jaar) weekend]]+Ruimtestaat[[#This Row],[Prest. (m2 /jaar) werkdagen]]</f>
        <v>12800</v>
      </c>
      <c r="AF29" s="73">
        <f>Ruimtestaat[[#This Row],[uren / jaar weekend]]+Ruimtestaat[[#This Row],[uren / jaar werkdagen]]</f>
        <v>0</v>
      </c>
      <c r="AG29" s="74">
        <f>Ruimtestaat[[#This Row],[kosten / jaar weekend]]+Ruimtestaat[[#This Row],[kosten / jaar werkdagen]]</f>
        <v>0</v>
      </c>
      <c r="AH29" s="105"/>
      <c r="HL29" s="72"/>
    </row>
    <row r="30" spans="1:220" ht="15" customHeight="1">
      <c r="A30" s="123">
        <v>1</v>
      </c>
      <c r="B30" s="24" t="str">
        <f>VLOOKUP(Ruimtestaat[[#This Row],[Code]],Locaties[#All],2,FALSE)</f>
        <v>Hoornbeeck College Amersfoort</v>
      </c>
      <c r="C30" s="24" t="str">
        <f>VLOOKUP(Ruimtestaat[[#This Row],[Code]],Locaties[#All],4,FALSE)</f>
        <v>Utrechtseweg 230</v>
      </c>
      <c r="D30" s="24" t="str">
        <f>VLOOKUP(Ruimtestaat[[#This Row],[Code]],Locaties[#All],5,FALSE)</f>
        <v>3818 ET</v>
      </c>
      <c r="E30" s="24" t="str">
        <f>VLOOKUP(Ruimtestaat[[#This Row],[Code]],Locaties[#All],6,FALSE)</f>
        <v>Amersfoort</v>
      </c>
      <c r="F30" s="67" t="s">
        <v>446</v>
      </c>
      <c r="G30" s="24" t="s">
        <v>417</v>
      </c>
      <c r="H30" s="24" t="s">
        <v>448</v>
      </c>
      <c r="I30" s="4" t="s">
        <v>419</v>
      </c>
      <c r="J30" s="24">
        <v>16</v>
      </c>
      <c r="K30" s="67" t="str">
        <f>VLOOKUP(J30,Ruimtegroepen[],2,FALSE)</f>
        <v>Leslokalen</v>
      </c>
      <c r="L30" s="24" t="s">
        <v>110</v>
      </c>
      <c r="M30" s="24" t="s">
        <v>539</v>
      </c>
      <c r="N30" s="96">
        <v>37</v>
      </c>
      <c r="O30" s="96"/>
      <c r="P30" s="106" t="str">
        <f>LEFT(VLOOKUP(Ruimtestaat[[#This Row],[Ruimte code]],Ruimtegroepen[#All],4,1),2)</f>
        <v>Le</v>
      </c>
      <c r="Q30" s="96"/>
      <c r="R30" s="97">
        <v>40</v>
      </c>
      <c r="S30" s="97" t="s">
        <v>2</v>
      </c>
      <c r="T30" s="98">
        <f>IF(R30&gt;0,IF(RIGHT(Ruimtestaat[[#This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0" s="98">
        <f>IF(T30&gt;0,VLOOKUP($J30,Ruimtegroepen[],3,FALSE)*VLOOKUP($L30,Vloersoorten[],3,FALSE)*VLOOKUP($S30,Frequenties[],3,FALSE)*VLOOKUP($A30,Locaties[],3,FALSE),0)</f>
        <v>0</v>
      </c>
      <c r="V30" s="99">
        <f>Ruimtestaat[[#This Row],[Uitvoeringen werkdagen]]*Ruimtestaat[[#This Row],[Oppervlak (netto)]]</f>
        <v>7400</v>
      </c>
      <c r="W30" s="100">
        <f>IF(U30&gt;0,Ruimtestaat[[#This Row],[Prest. (m2 /jaar) werkdagen]]/Ruimtestaat[[#This Row],[Norm (m2/uur) werkdagen]],0)</f>
        <v>0</v>
      </c>
      <c r="X30" s="101">
        <f>Ruimtestaat[[#This Row],[uren / jaar werkdagen]]*Tariefsopbouw!$E$35</f>
        <v>0</v>
      </c>
      <c r="Y30" s="98"/>
      <c r="Z30" s="102">
        <f>IF(Ruimtestaat[[#This Row],[Frequentie weekend]]&gt;0,VALUE(LEFT(Y30,1))*R30,0)</f>
        <v>0</v>
      </c>
      <c r="AA30" s="98">
        <f>IF($Z30&gt;0,VLOOKUP($J30,Ruimtegroepen[],3,FALSE)*VLOOKUP($L30,Vloersoorten[],3,FALSE)*VLOOKUP($Y30,Frequenties[],3,FALSE)*VLOOKUP($A25,Locaties[],3,FALSE),0)</f>
        <v>0</v>
      </c>
      <c r="AB30" s="100">
        <f>Ruimtestaat[[#This Row],[Uitvoeringen weekend]]*Ruimtestaat[[#This Row],[Oppervlak (netto)]]</f>
        <v>0</v>
      </c>
      <c r="AC30" s="103">
        <f>IF(AB30&gt;0,Ruimtestaat[[#This Row],[Prest. (m2 /jaar) weekend]]/Ruimtestaat[[#This Row],[Norm (m2/uur) weekend]],0)</f>
        <v>0</v>
      </c>
      <c r="AD30" s="104">
        <f>Ruimtestaat[[#This Row],[uren / jaar weekend]]*Tariefsopbouw!$D$40</f>
        <v>0</v>
      </c>
      <c r="AE30" s="73">
        <f>Ruimtestaat[[#This Row],[Prest. (m2 /jaar) weekend]]+Ruimtestaat[[#This Row],[Prest. (m2 /jaar) werkdagen]]</f>
        <v>7400</v>
      </c>
      <c r="AF30" s="73">
        <f>Ruimtestaat[[#This Row],[uren / jaar weekend]]+Ruimtestaat[[#This Row],[uren / jaar werkdagen]]</f>
        <v>0</v>
      </c>
      <c r="AG30" s="74">
        <f>Ruimtestaat[[#This Row],[kosten / jaar weekend]]+Ruimtestaat[[#This Row],[kosten / jaar werkdagen]]</f>
        <v>0</v>
      </c>
      <c r="AH30" s="105"/>
      <c r="HL30" s="72"/>
    </row>
    <row r="31" spans="1:220" ht="15" customHeight="1">
      <c r="A31" s="123">
        <v>1</v>
      </c>
      <c r="B31" s="24" t="str">
        <f>VLOOKUP(Ruimtestaat[[#This Row],[Code]],Locaties[#All],2,FALSE)</f>
        <v>Hoornbeeck College Amersfoort</v>
      </c>
      <c r="C31" s="24" t="str">
        <f>VLOOKUP(Ruimtestaat[[#This Row],[Code]],Locaties[#All],4,FALSE)</f>
        <v>Utrechtseweg 230</v>
      </c>
      <c r="D31" s="24" t="str">
        <f>VLOOKUP(Ruimtestaat[[#This Row],[Code]],Locaties[#All],5,FALSE)</f>
        <v>3818 ET</v>
      </c>
      <c r="E31" s="24" t="str">
        <f>VLOOKUP(Ruimtestaat[[#This Row],[Code]],Locaties[#All],6,FALSE)</f>
        <v>Amersfoort</v>
      </c>
      <c r="F31" s="67" t="s">
        <v>446</v>
      </c>
      <c r="G31" s="24" t="s">
        <v>417</v>
      </c>
      <c r="H31" s="24" t="s">
        <v>449</v>
      </c>
      <c r="I31" s="4" t="s">
        <v>419</v>
      </c>
      <c r="J31" s="24">
        <v>16</v>
      </c>
      <c r="K31" s="67" t="str">
        <f>VLOOKUP(J31,Ruimtegroepen[],2,FALSE)</f>
        <v>Leslokalen</v>
      </c>
      <c r="L31" s="24" t="s">
        <v>110</v>
      </c>
      <c r="M31" s="24" t="s">
        <v>539</v>
      </c>
      <c r="N31" s="96">
        <v>79</v>
      </c>
      <c r="O31" s="96"/>
      <c r="P31" s="106" t="str">
        <f>LEFT(VLOOKUP(Ruimtestaat[[#This Row],[Ruimte code]],Ruimtegroepen[#All],4,1),2)</f>
        <v>Le</v>
      </c>
      <c r="Q31" s="96"/>
      <c r="R31" s="97">
        <v>40</v>
      </c>
      <c r="S31" s="97" t="s">
        <v>2</v>
      </c>
      <c r="T31" s="98">
        <f>IF(R31&gt;0,IF(RIGHT(Ruimtestaat[[#This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" s="98">
        <f>IF(T31&gt;0,VLOOKUP($J31,Ruimtegroepen[],3,FALSE)*VLOOKUP($L31,Vloersoorten[],3,FALSE)*VLOOKUP($S31,Frequenties[],3,FALSE)*VLOOKUP($A31,Locaties[],3,FALSE),0)</f>
        <v>0</v>
      </c>
      <c r="V31" s="99">
        <f>Ruimtestaat[[#This Row],[Uitvoeringen werkdagen]]*Ruimtestaat[[#This Row],[Oppervlak (netto)]]</f>
        <v>15800</v>
      </c>
      <c r="W31" s="100">
        <f>IF(U31&gt;0,Ruimtestaat[[#This Row],[Prest. (m2 /jaar) werkdagen]]/Ruimtestaat[[#This Row],[Norm (m2/uur) werkdagen]],0)</f>
        <v>0</v>
      </c>
      <c r="X31" s="101">
        <f>Ruimtestaat[[#This Row],[uren / jaar werkdagen]]*Tariefsopbouw!$E$35</f>
        <v>0</v>
      </c>
      <c r="Y31" s="98"/>
      <c r="Z31" s="102">
        <f>IF(Ruimtestaat[[#This Row],[Frequentie weekend]]&gt;0,VALUE(LEFT(Y31,1))*R31,0)</f>
        <v>0</v>
      </c>
      <c r="AA31" s="98">
        <f>IF($Z31&gt;0,VLOOKUP($J31,Ruimtegroepen[],3,FALSE)*VLOOKUP($L31,Vloersoorten[],3,FALSE)*VLOOKUP($Y31,Frequenties[],3,FALSE)*VLOOKUP($A26,Locaties[],3,FALSE),0)</f>
        <v>0</v>
      </c>
      <c r="AB31" s="100">
        <f>Ruimtestaat[[#This Row],[Uitvoeringen weekend]]*Ruimtestaat[[#This Row],[Oppervlak (netto)]]</f>
        <v>0</v>
      </c>
      <c r="AC31" s="103">
        <f>IF(AB31&gt;0,Ruimtestaat[[#This Row],[Prest. (m2 /jaar) weekend]]/Ruimtestaat[[#This Row],[Norm (m2/uur) weekend]],0)</f>
        <v>0</v>
      </c>
      <c r="AD31" s="104">
        <f>Ruimtestaat[[#This Row],[uren / jaar weekend]]*Tariefsopbouw!$D$40</f>
        <v>0</v>
      </c>
      <c r="AE31" s="73">
        <f>Ruimtestaat[[#This Row],[Prest. (m2 /jaar) weekend]]+Ruimtestaat[[#This Row],[Prest. (m2 /jaar) werkdagen]]</f>
        <v>15800</v>
      </c>
      <c r="AF31" s="73">
        <f>Ruimtestaat[[#This Row],[uren / jaar weekend]]+Ruimtestaat[[#This Row],[uren / jaar werkdagen]]</f>
        <v>0</v>
      </c>
      <c r="AG31" s="74">
        <f>Ruimtestaat[[#This Row],[kosten / jaar weekend]]+Ruimtestaat[[#This Row],[kosten / jaar werkdagen]]</f>
        <v>0</v>
      </c>
      <c r="AH31" s="105"/>
      <c r="HL31" s="72"/>
    </row>
    <row r="32" spans="1:220" ht="15" customHeight="1">
      <c r="A32" s="123">
        <v>1</v>
      </c>
      <c r="B32" s="24" t="str">
        <f>VLOOKUP(Ruimtestaat[[#This Row],[Code]],Locaties[#All],2,FALSE)</f>
        <v>Hoornbeeck College Amersfoort</v>
      </c>
      <c r="C32" s="24" t="str">
        <f>VLOOKUP(Ruimtestaat[[#This Row],[Code]],Locaties[#All],4,FALSE)</f>
        <v>Utrechtseweg 230</v>
      </c>
      <c r="D32" s="24" t="str">
        <f>VLOOKUP(Ruimtestaat[[#This Row],[Code]],Locaties[#All],5,FALSE)</f>
        <v>3818 ET</v>
      </c>
      <c r="E32" s="24" t="str">
        <f>VLOOKUP(Ruimtestaat[[#This Row],[Code]],Locaties[#All],6,FALSE)</f>
        <v>Amersfoort</v>
      </c>
      <c r="F32" s="67" t="s">
        <v>446</v>
      </c>
      <c r="G32" s="24" t="s">
        <v>417</v>
      </c>
      <c r="H32" s="24" t="s">
        <v>450</v>
      </c>
      <c r="I32" s="4" t="s">
        <v>451</v>
      </c>
      <c r="J32" s="24">
        <v>1</v>
      </c>
      <c r="K32" s="67" t="str">
        <f>VLOOKUP(J32,Ruimtegroepen[],2,FALSE)</f>
        <v>Magazijnen/bergingen</v>
      </c>
      <c r="L32" s="24" t="s">
        <v>111</v>
      </c>
      <c r="M32" s="24" t="s">
        <v>540</v>
      </c>
      <c r="N32" s="107">
        <v>124</v>
      </c>
      <c r="O32" s="96"/>
      <c r="P32" s="106" t="str">
        <f>LEFT(VLOOKUP(Ruimtestaat[[#This Row],[Ruimte code]],Ruimtegroepen[#All],4,1),2)</f>
        <v>Ve</v>
      </c>
      <c r="Q32" s="96"/>
      <c r="R32" s="97">
        <v>40</v>
      </c>
      <c r="S32" s="97" t="s">
        <v>16</v>
      </c>
      <c r="T32" s="98">
        <f>IF(R32&gt;0,IF(RIGHT(Ruimtestaat[[#This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32" s="98">
        <f>IF(T32&gt;0,VLOOKUP($J32,Ruimtegroepen[],3,FALSE)*VLOOKUP($L32,Vloersoorten[],3,FALSE)*VLOOKUP($S32,Frequenties[],3,FALSE)*VLOOKUP($A32,Locaties[],3,FALSE),0)</f>
        <v>0</v>
      </c>
      <c r="V32" s="99">
        <f>Ruimtestaat[[#This Row],[Uitvoeringen werkdagen]]*Ruimtestaat[[#This Row],[Oppervlak (netto)]]</f>
        <v>1488</v>
      </c>
      <c r="W32" s="100">
        <f>IF(U32&gt;0,Ruimtestaat[[#This Row],[Prest. (m2 /jaar) werkdagen]]/Ruimtestaat[[#This Row],[Norm (m2/uur) werkdagen]],0)</f>
        <v>0</v>
      </c>
      <c r="X32" s="101">
        <f>Ruimtestaat[[#This Row],[uren / jaar werkdagen]]*Tariefsopbouw!$E$35</f>
        <v>0</v>
      </c>
      <c r="Y32" s="98"/>
      <c r="Z32" s="102">
        <f>IF(Ruimtestaat[[#This Row],[Frequentie weekend]]&gt;0,VALUE(LEFT(Y32,1))*R32,0)</f>
        <v>0</v>
      </c>
      <c r="AA32" s="98">
        <f>IF($Z32&gt;0,VLOOKUP($J32,Ruimtegroepen[],3,FALSE)*VLOOKUP($L32,Vloersoorten[],3,FALSE)*VLOOKUP($Y32,Frequenties[],3,FALSE)*VLOOKUP($A27,Locaties[],3,FALSE),0)</f>
        <v>0</v>
      </c>
      <c r="AB32" s="100">
        <f>Ruimtestaat[[#This Row],[Uitvoeringen weekend]]*Ruimtestaat[[#This Row],[Oppervlak (netto)]]</f>
        <v>0</v>
      </c>
      <c r="AC32" s="103">
        <f>IF(AB32&gt;0,Ruimtestaat[[#This Row],[Prest. (m2 /jaar) weekend]]/Ruimtestaat[[#This Row],[Norm (m2/uur) weekend]],0)</f>
        <v>0</v>
      </c>
      <c r="AD32" s="104">
        <f>Ruimtestaat[[#This Row],[uren / jaar weekend]]*Tariefsopbouw!$D$40</f>
        <v>0</v>
      </c>
      <c r="AE32" s="73">
        <f>Ruimtestaat[[#This Row],[Prest. (m2 /jaar) weekend]]+Ruimtestaat[[#This Row],[Prest. (m2 /jaar) werkdagen]]</f>
        <v>1488</v>
      </c>
      <c r="AF32" s="73">
        <f>Ruimtestaat[[#This Row],[uren / jaar weekend]]+Ruimtestaat[[#This Row],[uren / jaar werkdagen]]</f>
        <v>0</v>
      </c>
      <c r="AG32" s="74">
        <f>Ruimtestaat[[#This Row],[kosten / jaar weekend]]+Ruimtestaat[[#This Row],[kosten / jaar werkdagen]]</f>
        <v>0</v>
      </c>
      <c r="AH32" s="105"/>
      <c r="HL32" s="72"/>
    </row>
    <row r="33" spans="1:220" ht="15" customHeight="1">
      <c r="A33" s="123">
        <v>1</v>
      </c>
      <c r="B33" s="24" t="str">
        <f>VLOOKUP(Ruimtestaat[[#This Row],[Code]],Locaties[#All],2,FALSE)</f>
        <v>Hoornbeeck College Amersfoort</v>
      </c>
      <c r="C33" s="24" t="str">
        <f>VLOOKUP(Ruimtestaat[[#This Row],[Code]],Locaties[#All],4,FALSE)</f>
        <v>Utrechtseweg 230</v>
      </c>
      <c r="D33" s="24" t="str">
        <f>VLOOKUP(Ruimtestaat[[#This Row],[Code]],Locaties[#All],5,FALSE)</f>
        <v>3818 ET</v>
      </c>
      <c r="E33" s="24" t="str">
        <f>VLOOKUP(Ruimtestaat[[#This Row],[Code]],Locaties[#All],6,FALSE)</f>
        <v>Amersfoort</v>
      </c>
      <c r="F33" s="67" t="s">
        <v>446</v>
      </c>
      <c r="G33" s="24" t="s">
        <v>417</v>
      </c>
      <c r="H33" s="24" t="s">
        <v>452</v>
      </c>
      <c r="I33" s="4" t="s">
        <v>452</v>
      </c>
      <c r="J33" s="24">
        <v>6</v>
      </c>
      <c r="K33" s="67" t="str">
        <f>VLOOKUP(J33,Ruimtegroepen[],2,FALSE)</f>
        <v>Gangen/hallen</v>
      </c>
      <c r="L33" s="24" t="s">
        <v>110</v>
      </c>
      <c r="M33" s="24" t="s">
        <v>539</v>
      </c>
      <c r="N33" s="96">
        <v>39</v>
      </c>
      <c r="O33" s="96"/>
      <c r="P33" s="106" t="str">
        <f>LEFT(VLOOKUP(Ruimtestaat[[#This Row],[Ruimte code]],Ruimtegroepen[#All],4,1),2)</f>
        <v>Ve</v>
      </c>
      <c r="Q33" s="96"/>
      <c r="R33" s="97">
        <v>40</v>
      </c>
      <c r="S33" s="97" t="s">
        <v>2</v>
      </c>
      <c r="T33" s="98">
        <f>IF(R33&gt;0,IF(RIGHT(Ruimtestaat[[#This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" s="98">
        <f>IF(T33&gt;0,VLOOKUP($J33,Ruimtegroepen[],3,FALSE)*VLOOKUP($L33,Vloersoorten[],3,FALSE)*VLOOKUP($S33,Frequenties[],3,FALSE)*VLOOKUP($A33,Locaties[],3,FALSE),0)</f>
        <v>0</v>
      </c>
      <c r="V33" s="99">
        <f>Ruimtestaat[[#This Row],[Uitvoeringen werkdagen]]*Ruimtestaat[[#This Row],[Oppervlak (netto)]]</f>
        <v>7800</v>
      </c>
      <c r="W33" s="100">
        <f>IF(U33&gt;0,Ruimtestaat[[#This Row],[Prest. (m2 /jaar) werkdagen]]/Ruimtestaat[[#This Row],[Norm (m2/uur) werkdagen]],0)</f>
        <v>0</v>
      </c>
      <c r="X33" s="101">
        <f>Ruimtestaat[[#This Row],[uren / jaar werkdagen]]*Tariefsopbouw!$E$35</f>
        <v>0</v>
      </c>
      <c r="Y33" s="98"/>
      <c r="Z33" s="102">
        <f>IF(Ruimtestaat[[#This Row],[Frequentie weekend]]&gt;0,VALUE(LEFT(Y33,1))*R33,0)</f>
        <v>0</v>
      </c>
      <c r="AA33" s="98">
        <f>IF($Z33&gt;0,VLOOKUP($J33,Ruimtegroepen[],3,FALSE)*VLOOKUP($L33,Vloersoorten[],3,FALSE)*VLOOKUP($Y33,Frequenties[],3,FALSE)*VLOOKUP($A28,Locaties[],3,FALSE),0)</f>
        <v>0</v>
      </c>
      <c r="AB33" s="100">
        <f>Ruimtestaat[[#This Row],[Uitvoeringen weekend]]*Ruimtestaat[[#This Row],[Oppervlak (netto)]]</f>
        <v>0</v>
      </c>
      <c r="AC33" s="103">
        <f>IF(AB33&gt;0,Ruimtestaat[[#This Row],[Prest. (m2 /jaar) weekend]]/Ruimtestaat[[#This Row],[Norm (m2/uur) weekend]],0)</f>
        <v>0</v>
      </c>
      <c r="AD33" s="104">
        <f>Ruimtestaat[[#This Row],[uren / jaar weekend]]*Tariefsopbouw!$D$40</f>
        <v>0</v>
      </c>
      <c r="AE33" s="73">
        <f>Ruimtestaat[[#This Row],[Prest. (m2 /jaar) weekend]]+Ruimtestaat[[#This Row],[Prest. (m2 /jaar) werkdagen]]</f>
        <v>7800</v>
      </c>
      <c r="AF33" s="73">
        <f>Ruimtestaat[[#This Row],[uren / jaar weekend]]+Ruimtestaat[[#This Row],[uren / jaar werkdagen]]</f>
        <v>0</v>
      </c>
      <c r="AG33" s="74">
        <f>Ruimtestaat[[#This Row],[kosten / jaar weekend]]+Ruimtestaat[[#This Row],[kosten / jaar werkdagen]]</f>
        <v>0</v>
      </c>
      <c r="AH33" s="105"/>
      <c r="HL33" s="72"/>
    </row>
    <row r="34" spans="1:220" ht="15" customHeight="1">
      <c r="A34" s="123">
        <v>1</v>
      </c>
      <c r="B34" s="24" t="str">
        <f>VLOOKUP(Ruimtestaat[[#This Row],[Code]],Locaties[#All],2,FALSE)</f>
        <v>Hoornbeeck College Amersfoort</v>
      </c>
      <c r="C34" s="24" t="str">
        <f>VLOOKUP(Ruimtestaat[[#This Row],[Code]],Locaties[#All],4,FALSE)</f>
        <v>Utrechtseweg 230</v>
      </c>
      <c r="D34" s="24" t="str">
        <f>VLOOKUP(Ruimtestaat[[#This Row],[Code]],Locaties[#All],5,FALSE)</f>
        <v>3818 ET</v>
      </c>
      <c r="E34" s="24" t="str">
        <f>VLOOKUP(Ruimtestaat[[#This Row],[Code]],Locaties[#All],6,FALSE)</f>
        <v>Amersfoort</v>
      </c>
      <c r="F34" s="67" t="s">
        <v>446</v>
      </c>
      <c r="G34" s="24" t="s">
        <v>427</v>
      </c>
      <c r="H34" s="24" t="s">
        <v>453</v>
      </c>
      <c r="I34" s="4" t="s">
        <v>419</v>
      </c>
      <c r="J34" s="24">
        <v>16</v>
      </c>
      <c r="K34" s="67" t="str">
        <f>VLOOKUP(J34,Ruimtegroepen[],2,FALSE)</f>
        <v>Leslokalen</v>
      </c>
      <c r="L34" s="24" t="s">
        <v>110</v>
      </c>
      <c r="M34" s="24" t="s">
        <v>539</v>
      </c>
      <c r="N34" s="107">
        <v>48</v>
      </c>
      <c r="O34" s="96"/>
      <c r="P34" s="106" t="str">
        <f>LEFT(VLOOKUP(Ruimtestaat[[#This Row],[Ruimte code]],Ruimtegroepen[#All],4,1),2)</f>
        <v>Le</v>
      </c>
      <c r="Q34" s="96"/>
      <c r="R34" s="97">
        <v>40</v>
      </c>
      <c r="S34" s="97" t="s">
        <v>2</v>
      </c>
      <c r="T34" s="98">
        <f>IF(R34&gt;0,IF(RIGHT(Ruimtestaat[[#This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4" s="98">
        <f>IF(T34&gt;0,VLOOKUP($J34,Ruimtegroepen[],3,FALSE)*VLOOKUP($L34,Vloersoorten[],3,FALSE)*VLOOKUP($S34,Frequenties[],3,FALSE)*VLOOKUP($A34,Locaties[],3,FALSE),0)</f>
        <v>0</v>
      </c>
      <c r="V34" s="99">
        <f>Ruimtestaat[[#This Row],[Uitvoeringen werkdagen]]*Ruimtestaat[[#This Row],[Oppervlak (netto)]]</f>
        <v>9600</v>
      </c>
      <c r="W34" s="100">
        <f>IF(U34&gt;0,Ruimtestaat[[#This Row],[Prest. (m2 /jaar) werkdagen]]/Ruimtestaat[[#This Row],[Norm (m2/uur) werkdagen]],0)</f>
        <v>0</v>
      </c>
      <c r="X34" s="101">
        <f>Ruimtestaat[[#This Row],[uren / jaar werkdagen]]*Tariefsopbouw!$E$35</f>
        <v>0</v>
      </c>
      <c r="Y34" s="98"/>
      <c r="Z34" s="102">
        <f>IF(Ruimtestaat[[#This Row],[Frequentie weekend]]&gt;0,VALUE(LEFT(Y34,1))*R34,0)</f>
        <v>0</v>
      </c>
      <c r="AA34" s="98">
        <f>IF($Z34&gt;0,VLOOKUP($J34,Ruimtegroepen[],3,FALSE)*VLOOKUP($L34,Vloersoorten[],3,FALSE)*VLOOKUP($Y34,Frequenties[],3,FALSE)*VLOOKUP($A30,Locaties[],3,FALSE),0)</f>
        <v>0</v>
      </c>
      <c r="AB34" s="100">
        <f>Ruimtestaat[[#This Row],[Uitvoeringen weekend]]*Ruimtestaat[[#This Row],[Oppervlak (netto)]]</f>
        <v>0</v>
      </c>
      <c r="AC34" s="103">
        <f>IF(AB34&gt;0,Ruimtestaat[[#This Row],[Prest. (m2 /jaar) weekend]]/Ruimtestaat[[#This Row],[Norm (m2/uur) weekend]],0)</f>
        <v>0</v>
      </c>
      <c r="AD34" s="104">
        <f>Ruimtestaat[[#This Row],[uren / jaar weekend]]*Tariefsopbouw!$D$40</f>
        <v>0</v>
      </c>
      <c r="AE34" s="73">
        <f>Ruimtestaat[[#This Row],[Prest. (m2 /jaar) weekend]]+Ruimtestaat[[#This Row],[Prest. (m2 /jaar) werkdagen]]</f>
        <v>9600</v>
      </c>
      <c r="AF34" s="73">
        <f>Ruimtestaat[[#This Row],[uren / jaar weekend]]+Ruimtestaat[[#This Row],[uren / jaar werkdagen]]</f>
        <v>0</v>
      </c>
      <c r="AG34" s="74">
        <f>Ruimtestaat[[#This Row],[kosten / jaar weekend]]+Ruimtestaat[[#This Row],[kosten / jaar werkdagen]]</f>
        <v>0</v>
      </c>
      <c r="AH34" s="105"/>
      <c r="HL34" s="72"/>
    </row>
    <row r="35" spans="1:220" ht="15" customHeight="1">
      <c r="A35" s="123">
        <v>1</v>
      </c>
      <c r="B35" s="24" t="str">
        <f>VLOOKUP(Ruimtestaat[[#This Row],[Code]],Locaties[#All],2,FALSE)</f>
        <v>Hoornbeeck College Amersfoort</v>
      </c>
      <c r="C35" s="24" t="str">
        <f>VLOOKUP(Ruimtestaat[[#This Row],[Code]],Locaties[#All],4,FALSE)</f>
        <v>Utrechtseweg 230</v>
      </c>
      <c r="D35" s="24" t="str">
        <f>VLOOKUP(Ruimtestaat[[#This Row],[Code]],Locaties[#All],5,FALSE)</f>
        <v>3818 ET</v>
      </c>
      <c r="E35" s="24" t="str">
        <f>VLOOKUP(Ruimtestaat[[#This Row],[Code]],Locaties[#All],6,FALSE)</f>
        <v>Amersfoort</v>
      </c>
      <c r="F35" s="67" t="s">
        <v>446</v>
      </c>
      <c r="G35" s="24" t="s">
        <v>427</v>
      </c>
      <c r="H35" s="24" t="s">
        <v>454</v>
      </c>
      <c r="I35" s="4" t="s">
        <v>419</v>
      </c>
      <c r="J35" s="24">
        <v>16</v>
      </c>
      <c r="K35" s="67" t="str">
        <f>VLOOKUP(J35,Ruimtegroepen[],2,FALSE)</f>
        <v>Leslokalen</v>
      </c>
      <c r="L35" s="24" t="s">
        <v>110</v>
      </c>
      <c r="M35" s="24" t="s">
        <v>539</v>
      </c>
      <c r="N35" s="96">
        <v>67</v>
      </c>
      <c r="O35" s="96"/>
      <c r="P35" s="106" t="str">
        <f>LEFT(VLOOKUP(Ruimtestaat[[#This Row],[Ruimte code]],Ruimtegroepen[#All],4,1),2)</f>
        <v>Le</v>
      </c>
      <c r="Q35" s="96"/>
      <c r="R35" s="97">
        <v>40</v>
      </c>
      <c r="S35" s="97" t="s">
        <v>2</v>
      </c>
      <c r="T35" s="98">
        <f>IF(R35&gt;0,IF(RIGHT(Ruimtestaat[[#This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5" s="98">
        <f>IF(T35&gt;0,VLOOKUP($J35,Ruimtegroepen[],3,FALSE)*VLOOKUP($L35,Vloersoorten[],3,FALSE)*VLOOKUP($S35,Frequenties[],3,FALSE)*VLOOKUP($A35,Locaties[],3,FALSE),0)</f>
        <v>0</v>
      </c>
      <c r="V35" s="99">
        <f>Ruimtestaat[[#This Row],[Uitvoeringen werkdagen]]*Ruimtestaat[[#This Row],[Oppervlak (netto)]]</f>
        <v>13400</v>
      </c>
      <c r="W35" s="100">
        <f>IF(U35&gt;0,Ruimtestaat[[#This Row],[Prest. (m2 /jaar) werkdagen]]/Ruimtestaat[[#This Row],[Norm (m2/uur) werkdagen]],0)</f>
        <v>0</v>
      </c>
      <c r="X35" s="101">
        <f>Ruimtestaat[[#This Row],[uren / jaar werkdagen]]*Tariefsopbouw!$E$35</f>
        <v>0</v>
      </c>
      <c r="Y35" s="98"/>
      <c r="Z35" s="102">
        <f>IF(Ruimtestaat[[#This Row],[Frequentie weekend]]&gt;0,VALUE(LEFT(Y35,1))*R35,0)</f>
        <v>0</v>
      </c>
      <c r="AA35" s="98">
        <f>IF($Z35&gt;0,VLOOKUP($J35,Ruimtegroepen[],3,FALSE)*VLOOKUP($L35,Vloersoorten[],3,FALSE)*VLOOKUP($Y35,Frequenties[],3,FALSE)*VLOOKUP($A31,Locaties[],3,FALSE),0)</f>
        <v>0</v>
      </c>
      <c r="AB35" s="100">
        <f>Ruimtestaat[[#This Row],[Uitvoeringen weekend]]*Ruimtestaat[[#This Row],[Oppervlak (netto)]]</f>
        <v>0</v>
      </c>
      <c r="AC35" s="103">
        <f>IF(AB35&gt;0,Ruimtestaat[[#This Row],[Prest. (m2 /jaar) weekend]]/Ruimtestaat[[#This Row],[Norm (m2/uur) weekend]],0)</f>
        <v>0</v>
      </c>
      <c r="AD35" s="104">
        <f>Ruimtestaat[[#This Row],[uren / jaar weekend]]*Tariefsopbouw!$D$40</f>
        <v>0</v>
      </c>
      <c r="AE35" s="73">
        <f>Ruimtestaat[[#This Row],[Prest. (m2 /jaar) weekend]]+Ruimtestaat[[#This Row],[Prest. (m2 /jaar) werkdagen]]</f>
        <v>13400</v>
      </c>
      <c r="AF35" s="73">
        <f>Ruimtestaat[[#This Row],[uren / jaar weekend]]+Ruimtestaat[[#This Row],[uren / jaar werkdagen]]</f>
        <v>0</v>
      </c>
      <c r="AG35" s="74">
        <f>Ruimtestaat[[#This Row],[kosten / jaar weekend]]+Ruimtestaat[[#This Row],[kosten / jaar werkdagen]]</f>
        <v>0</v>
      </c>
      <c r="AH35" s="105"/>
      <c r="HL35" s="72"/>
    </row>
    <row r="36" spans="1:220" ht="15" customHeight="1">
      <c r="A36" s="123">
        <v>1</v>
      </c>
      <c r="B36" s="24" t="str">
        <f>VLOOKUP(Ruimtestaat[[#This Row],[Code]],Locaties[#All],2,FALSE)</f>
        <v>Hoornbeeck College Amersfoort</v>
      </c>
      <c r="C36" s="24" t="str">
        <f>VLOOKUP(Ruimtestaat[[#This Row],[Code]],Locaties[#All],4,FALSE)</f>
        <v>Utrechtseweg 230</v>
      </c>
      <c r="D36" s="24" t="str">
        <f>VLOOKUP(Ruimtestaat[[#This Row],[Code]],Locaties[#All],5,FALSE)</f>
        <v>3818 ET</v>
      </c>
      <c r="E36" s="24" t="str">
        <f>VLOOKUP(Ruimtestaat[[#This Row],[Code]],Locaties[#All],6,FALSE)</f>
        <v>Amersfoort</v>
      </c>
      <c r="F36" s="67" t="s">
        <v>446</v>
      </c>
      <c r="G36" s="24" t="s">
        <v>427</v>
      </c>
      <c r="H36" s="24" t="s">
        <v>455</v>
      </c>
      <c r="I36" s="4" t="s">
        <v>419</v>
      </c>
      <c r="J36" s="24">
        <v>16</v>
      </c>
      <c r="K36" s="67" t="str">
        <f>VLOOKUP(J36,Ruimtegroepen[],2,FALSE)</f>
        <v>Leslokalen</v>
      </c>
      <c r="L36" s="24" t="s">
        <v>110</v>
      </c>
      <c r="M36" s="24" t="s">
        <v>539</v>
      </c>
      <c r="N36" s="96">
        <v>52</v>
      </c>
      <c r="O36" s="96"/>
      <c r="P36" s="106" t="str">
        <f>LEFT(VLOOKUP(Ruimtestaat[[#This Row],[Ruimte code]],Ruimtegroepen[#All],4,1),2)</f>
        <v>Le</v>
      </c>
      <c r="Q36" s="96"/>
      <c r="R36" s="97">
        <v>40</v>
      </c>
      <c r="S36" s="97" t="s">
        <v>2</v>
      </c>
      <c r="T36" s="98">
        <f>IF(R36&gt;0,IF(RIGHT(Ruimtestaat[[#This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6" s="98">
        <f>IF(T36&gt;0,VLOOKUP($J36,Ruimtegroepen[],3,FALSE)*VLOOKUP($L36,Vloersoorten[],3,FALSE)*VLOOKUP($S36,Frequenties[],3,FALSE)*VLOOKUP($A36,Locaties[],3,FALSE),0)</f>
        <v>0</v>
      </c>
      <c r="V36" s="99">
        <f>Ruimtestaat[[#This Row],[Uitvoeringen werkdagen]]*Ruimtestaat[[#This Row],[Oppervlak (netto)]]</f>
        <v>10400</v>
      </c>
      <c r="W36" s="100">
        <f>IF(U36&gt;0,Ruimtestaat[[#This Row],[Prest. (m2 /jaar) werkdagen]]/Ruimtestaat[[#This Row],[Norm (m2/uur) werkdagen]],0)</f>
        <v>0</v>
      </c>
      <c r="X36" s="101">
        <f>Ruimtestaat[[#This Row],[uren / jaar werkdagen]]*Tariefsopbouw!$E$35</f>
        <v>0</v>
      </c>
      <c r="Y36" s="98"/>
      <c r="Z36" s="102">
        <f>IF(Ruimtestaat[[#This Row],[Frequentie weekend]]&gt;0,VALUE(LEFT(Y36,1))*R36,0)</f>
        <v>0</v>
      </c>
      <c r="AA36" s="98">
        <f>IF($Z36&gt;0,VLOOKUP($J36,Ruimtegroepen[],3,FALSE)*VLOOKUP($L36,Vloersoorten[],3,FALSE)*VLOOKUP($Y36,Frequenties[],3,FALSE)*VLOOKUP($A32,Locaties[],3,FALSE),0)</f>
        <v>0</v>
      </c>
      <c r="AB36" s="100">
        <f>Ruimtestaat[[#This Row],[Uitvoeringen weekend]]*Ruimtestaat[[#This Row],[Oppervlak (netto)]]</f>
        <v>0</v>
      </c>
      <c r="AC36" s="103">
        <f>IF(AB36&gt;0,Ruimtestaat[[#This Row],[Prest. (m2 /jaar) weekend]]/Ruimtestaat[[#This Row],[Norm (m2/uur) weekend]],0)</f>
        <v>0</v>
      </c>
      <c r="AD36" s="104">
        <f>Ruimtestaat[[#This Row],[uren / jaar weekend]]*Tariefsopbouw!$D$40</f>
        <v>0</v>
      </c>
      <c r="AE36" s="73">
        <f>Ruimtestaat[[#This Row],[Prest. (m2 /jaar) weekend]]+Ruimtestaat[[#This Row],[Prest. (m2 /jaar) werkdagen]]</f>
        <v>10400</v>
      </c>
      <c r="AF36" s="73">
        <f>Ruimtestaat[[#This Row],[uren / jaar weekend]]+Ruimtestaat[[#This Row],[uren / jaar werkdagen]]</f>
        <v>0</v>
      </c>
      <c r="AG36" s="74">
        <f>Ruimtestaat[[#This Row],[kosten / jaar weekend]]+Ruimtestaat[[#This Row],[kosten / jaar werkdagen]]</f>
        <v>0</v>
      </c>
      <c r="AH36" s="105"/>
      <c r="HL36" s="72"/>
    </row>
    <row r="37" spans="1:220" ht="15" customHeight="1">
      <c r="A37" s="123">
        <v>1</v>
      </c>
      <c r="B37" s="24" t="str">
        <f>VLOOKUP(Ruimtestaat[[#This Row],[Code]],Locaties[#All],2,FALSE)</f>
        <v>Hoornbeeck College Amersfoort</v>
      </c>
      <c r="C37" s="24" t="str">
        <f>VLOOKUP(Ruimtestaat[[#This Row],[Code]],Locaties[#All],4,FALSE)</f>
        <v>Utrechtseweg 230</v>
      </c>
      <c r="D37" s="24" t="str">
        <f>VLOOKUP(Ruimtestaat[[#This Row],[Code]],Locaties[#All],5,FALSE)</f>
        <v>3818 ET</v>
      </c>
      <c r="E37" s="24" t="str">
        <f>VLOOKUP(Ruimtestaat[[#This Row],[Code]],Locaties[#All],6,FALSE)</f>
        <v>Amersfoort</v>
      </c>
      <c r="F37" s="67" t="s">
        <v>446</v>
      </c>
      <c r="G37" s="24" t="s">
        <v>427</v>
      </c>
      <c r="H37" s="24" t="s">
        <v>456</v>
      </c>
      <c r="I37" s="4" t="s">
        <v>419</v>
      </c>
      <c r="J37" s="24">
        <v>16</v>
      </c>
      <c r="K37" s="67" t="str">
        <f>VLOOKUP(J37,Ruimtegroepen[],2,FALSE)</f>
        <v>Leslokalen</v>
      </c>
      <c r="L37" s="24" t="s">
        <v>110</v>
      </c>
      <c r="M37" s="24" t="s">
        <v>539</v>
      </c>
      <c r="N37" s="96">
        <v>42</v>
      </c>
      <c r="O37" s="96"/>
      <c r="P37" s="106" t="str">
        <f>LEFT(VLOOKUP(Ruimtestaat[[#This Row],[Ruimte code]],Ruimtegroepen[#All],4,1),2)</f>
        <v>Le</v>
      </c>
      <c r="Q37" s="96"/>
      <c r="R37" s="97">
        <v>40</v>
      </c>
      <c r="S37" s="97" t="s">
        <v>2</v>
      </c>
      <c r="T37" s="98">
        <f>IF(R37&gt;0,IF(RIGHT(Ruimtestaat[[#This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" s="98">
        <f>IF(T37&gt;0,VLOOKUP($J37,Ruimtegroepen[],3,FALSE)*VLOOKUP($L37,Vloersoorten[],3,FALSE)*VLOOKUP($S37,Frequenties[],3,FALSE)*VLOOKUP($A37,Locaties[],3,FALSE),0)</f>
        <v>0</v>
      </c>
      <c r="V37" s="99">
        <f>Ruimtestaat[[#This Row],[Uitvoeringen werkdagen]]*Ruimtestaat[[#This Row],[Oppervlak (netto)]]</f>
        <v>8400</v>
      </c>
      <c r="W37" s="100">
        <f>IF(U37&gt;0,Ruimtestaat[[#This Row],[Prest. (m2 /jaar) werkdagen]]/Ruimtestaat[[#This Row],[Norm (m2/uur) werkdagen]],0)</f>
        <v>0</v>
      </c>
      <c r="X37" s="101">
        <f>Ruimtestaat[[#This Row],[uren / jaar werkdagen]]*Tariefsopbouw!$E$35</f>
        <v>0</v>
      </c>
      <c r="Y37" s="98"/>
      <c r="Z37" s="102">
        <f>IF(Ruimtestaat[[#This Row],[Frequentie weekend]]&gt;0,VALUE(LEFT(Y37,1))*R37,0)</f>
        <v>0</v>
      </c>
      <c r="AA37" s="98">
        <f>IF($Z37&gt;0,VLOOKUP($J37,Ruimtegroepen[],3,FALSE)*VLOOKUP($L37,Vloersoorten[],3,FALSE)*VLOOKUP($Y37,Frequenties[],3,FALSE)*VLOOKUP($A33,Locaties[],3,FALSE),0)</f>
        <v>0</v>
      </c>
      <c r="AB37" s="100">
        <f>Ruimtestaat[[#This Row],[Uitvoeringen weekend]]*Ruimtestaat[[#This Row],[Oppervlak (netto)]]</f>
        <v>0</v>
      </c>
      <c r="AC37" s="103">
        <f>IF(AB37&gt;0,Ruimtestaat[[#This Row],[Prest. (m2 /jaar) weekend]]/Ruimtestaat[[#This Row],[Norm (m2/uur) weekend]],0)</f>
        <v>0</v>
      </c>
      <c r="AD37" s="104">
        <f>Ruimtestaat[[#This Row],[uren / jaar weekend]]*Tariefsopbouw!$D$40</f>
        <v>0</v>
      </c>
      <c r="AE37" s="73">
        <f>Ruimtestaat[[#This Row],[Prest. (m2 /jaar) weekend]]+Ruimtestaat[[#This Row],[Prest. (m2 /jaar) werkdagen]]</f>
        <v>8400</v>
      </c>
      <c r="AF37" s="73">
        <f>Ruimtestaat[[#This Row],[uren / jaar weekend]]+Ruimtestaat[[#This Row],[uren / jaar werkdagen]]</f>
        <v>0</v>
      </c>
      <c r="AG37" s="74">
        <f>Ruimtestaat[[#This Row],[kosten / jaar weekend]]+Ruimtestaat[[#This Row],[kosten / jaar werkdagen]]</f>
        <v>0</v>
      </c>
      <c r="AH37" s="105"/>
      <c r="HL37" s="72"/>
    </row>
    <row r="38" spans="1:220" ht="15" customHeight="1">
      <c r="A38" s="123">
        <v>1</v>
      </c>
      <c r="B38" s="24" t="str">
        <f>VLOOKUP(Ruimtestaat[[#This Row],[Code]],Locaties[#All],2,FALSE)</f>
        <v>Hoornbeeck College Amersfoort</v>
      </c>
      <c r="C38" s="24" t="str">
        <f>VLOOKUP(Ruimtestaat[[#This Row],[Code]],Locaties[#All],4,FALSE)</f>
        <v>Utrechtseweg 230</v>
      </c>
      <c r="D38" s="24" t="str">
        <f>VLOOKUP(Ruimtestaat[[#This Row],[Code]],Locaties[#All],5,FALSE)</f>
        <v>3818 ET</v>
      </c>
      <c r="E38" s="24" t="str">
        <f>VLOOKUP(Ruimtestaat[[#This Row],[Code]],Locaties[#All],6,FALSE)</f>
        <v>Amersfoort</v>
      </c>
      <c r="F38" s="67" t="s">
        <v>446</v>
      </c>
      <c r="G38" s="24" t="s">
        <v>427</v>
      </c>
      <c r="H38" s="24" t="s">
        <v>457</v>
      </c>
      <c r="I38" s="4" t="s">
        <v>419</v>
      </c>
      <c r="J38" s="24">
        <v>16</v>
      </c>
      <c r="K38" s="67" t="str">
        <f>VLOOKUP(J38,Ruimtegroepen[],2,FALSE)</f>
        <v>Leslokalen</v>
      </c>
      <c r="L38" s="24" t="s">
        <v>110</v>
      </c>
      <c r="M38" s="24" t="s">
        <v>539</v>
      </c>
      <c r="N38" s="107">
        <v>41</v>
      </c>
      <c r="O38" s="96"/>
      <c r="P38" s="106" t="str">
        <f>LEFT(VLOOKUP(Ruimtestaat[[#This Row],[Ruimte code]],Ruimtegroepen[#All],4,1),2)</f>
        <v>Le</v>
      </c>
      <c r="Q38" s="96"/>
      <c r="R38" s="97">
        <v>40</v>
      </c>
      <c r="S38" s="97" t="s">
        <v>2</v>
      </c>
      <c r="T38" s="98">
        <f>IF(R38&gt;0,IF(RIGHT(Ruimtestaat[[#This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" s="98">
        <f>IF(T38&gt;0,VLOOKUP($J38,Ruimtegroepen[],3,FALSE)*VLOOKUP($L38,Vloersoorten[],3,FALSE)*VLOOKUP($S38,Frequenties[],3,FALSE)*VLOOKUP($A38,Locaties[],3,FALSE),0)</f>
        <v>0</v>
      </c>
      <c r="V38" s="99">
        <f>Ruimtestaat[[#This Row],[Uitvoeringen werkdagen]]*Ruimtestaat[[#This Row],[Oppervlak (netto)]]</f>
        <v>8200</v>
      </c>
      <c r="W38" s="100">
        <f>IF(U38&gt;0,Ruimtestaat[[#This Row],[Prest. (m2 /jaar) werkdagen]]/Ruimtestaat[[#This Row],[Norm (m2/uur) werkdagen]],0)</f>
        <v>0</v>
      </c>
      <c r="X38" s="101">
        <f>Ruimtestaat[[#This Row],[uren / jaar werkdagen]]*Tariefsopbouw!$E$35</f>
        <v>0</v>
      </c>
      <c r="Y38" s="98"/>
      <c r="Z38" s="102">
        <f>IF(Ruimtestaat[[#This Row],[Frequentie weekend]]&gt;0,VALUE(LEFT(Y38,1))*R38,0)</f>
        <v>0</v>
      </c>
      <c r="AA38" s="98">
        <f>IF($Z38&gt;0,VLOOKUP($J38,Ruimtegroepen[],3,FALSE)*VLOOKUP($L38,Vloersoorten[],3,FALSE)*VLOOKUP($Y38,Frequenties[],3,FALSE)*VLOOKUP($A34,Locaties[],3,FALSE),0)</f>
        <v>0</v>
      </c>
      <c r="AB38" s="100">
        <f>Ruimtestaat[[#This Row],[Uitvoeringen weekend]]*Ruimtestaat[[#This Row],[Oppervlak (netto)]]</f>
        <v>0</v>
      </c>
      <c r="AC38" s="103">
        <f>IF(AB38&gt;0,Ruimtestaat[[#This Row],[Prest. (m2 /jaar) weekend]]/Ruimtestaat[[#This Row],[Norm (m2/uur) weekend]],0)</f>
        <v>0</v>
      </c>
      <c r="AD38" s="104">
        <f>Ruimtestaat[[#This Row],[uren / jaar weekend]]*Tariefsopbouw!$D$40</f>
        <v>0</v>
      </c>
      <c r="AE38" s="73">
        <f>Ruimtestaat[[#This Row],[Prest. (m2 /jaar) weekend]]+Ruimtestaat[[#This Row],[Prest. (m2 /jaar) werkdagen]]</f>
        <v>8200</v>
      </c>
      <c r="AF38" s="73">
        <f>Ruimtestaat[[#This Row],[uren / jaar weekend]]+Ruimtestaat[[#This Row],[uren / jaar werkdagen]]</f>
        <v>0</v>
      </c>
      <c r="AG38" s="74">
        <f>Ruimtestaat[[#This Row],[kosten / jaar weekend]]+Ruimtestaat[[#This Row],[kosten / jaar werkdagen]]</f>
        <v>0</v>
      </c>
      <c r="AH38" s="105"/>
      <c r="HL38" s="72"/>
    </row>
    <row r="39" spans="1:220" ht="15" customHeight="1">
      <c r="A39" s="123">
        <v>1</v>
      </c>
      <c r="B39" s="24" t="str">
        <f>VLOOKUP(Ruimtestaat[[#This Row],[Code]],Locaties[#All],2,FALSE)</f>
        <v>Hoornbeeck College Amersfoort</v>
      </c>
      <c r="C39" s="24" t="str">
        <f>VLOOKUP(Ruimtestaat[[#This Row],[Code]],Locaties[#All],4,FALSE)</f>
        <v>Utrechtseweg 230</v>
      </c>
      <c r="D39" s="24" t="str">
        <f>VLOOKUP(Ruimtestaat[[#This Row],[Code]],Locaties[#All],5,FALSE)</f>
        <v>3818 ET</v>
      </c>
      <c r="E39" s="24" t="str">
        <f>VLOOKUP(Ruimtestaat[[#This Row],[Code]],Locaties[#All],6,FALSE)</f>
        <v>Amersfoort</v>
      </c>
      <c r="F39" s="67" t="s">
        <v>446</v>
      </c>
      <c r="G39" s="24" t="s">
        <v>427</v>
      </c>
      <c r="H39" s="24" t="s">
        <v>458</v>
      </c>
      <c r="I39" s="4" t="s">
        <v>419</v>
      </c>
      <c r="J39" s="24">
        <v>16</v>
      </c>
      <c r="K39" s="67" t="str">
        <f>VLOOKUP(J39,Ruimtegroepen[],2,FALSE)</f>
        <v>Leslokalen</v>
      </c>
      <c r="L39" s="24" t="s">
        <v>110</v>
      </c>
      <c r="M39" s="24" t="s">
        <v>539</v>
      </c>
      <c r="N39" s="96">
        <v>54</v>
      </c>
      <c r="O39" s="96"/>
      <c r="P39" s="106" t="str">
        <f>LEFT(VLOOKUP(Ruimtestaat[[#This Row],[Ruimte code]],Ruimtegroepen[#All],4,1),2)</f>
        <v>Le</v>
      </c>
      <c r="Q39" s="96"/>
      <c r="R39" s="97">
        <v>40</v>
      </c>
      <c r="S39" s="97" t="s">
        <v>2</v>
      </c>
      <c r="T39" s="98">
        <f>IF(R39&gt;0,IF(RIGHT(Ruimtestaat[[#This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9" s="98">
        <f>IF(T39&gt;0,VLOOKUP($J39,Ruimtegroepen[],3,FALSE)*VLOOKUP($L39,Vloersoorten[],3,FALSE)*VLOOKUP($S39,Frequenties[],3,FALSE)*VLOOKUP($A39,Locaties[],3,FALSE),0)</f>
        <v>0</v>
      </c>
      <c r="V39" s="99">
        <f>Ruimtestaat[[#This Row],[Uitvoeringen werkdagen]]*Ruimtestaat[[#This Row],[Oppervlak (netto)]]</f>
        <v>10800</v>
      </c>
      <c r="W39" s="100">
        <f>IF(U39&gt;0,Ruimtestaat[[#This Row],[Prest. (m2 /jaar) werkdagen]]/Ruimtestaat[[#This Row],[Norm (m2/uur) werkdagen]],0)</f>
        <v>0</v>
      </c>
      <c r="X39" s="101">
        <f>Ruimtestaat[[#This Row],[uren / jaar werkdagen]]*Tariefsopbouw!$E$35</f>
        <v>0</v>
      </c>
      <c r="Y39" s="98"/>
      <c r="Z39" s="102">
        <f>IF(Ruimtestaat[[#This Row],[Frequentie weekend]]&gt;0,VALUE(LEFT(Y39,1))*R39,0)</f>
        <v>0</v>
      </c>
      <c r="AA39" s="98">
        <f>IF($Z39&gt;0,VLOOKUP($J39,Ruimtegroepen[],3,FALSE)*VLOOKUP($L39,Vloersoorten[],3,FALSE)*VLOOKUP($Y39,Frequenties[],3,FALSE)*VLOOKUP($A35,Locaties[],3,FALSE),0)</f>
        <v>0</v>
      </c>
      <c r="AB39" s="100">
        <f>Ruimtestaat[[#This Row],[Uitvoeringen weekend]]*Ruimtestaat[[#This Row],[Oppervlak (netto)]]</f>
        <v>0</v>
      </c>
      <c r="AC39" s="103">
        <f>IF(AB39&gt;0,Ruimtestaat[[#This Row],[Prest. (m2 /jaar) weekend]]/Ruimtestaat[[#This Row],[Norm (m2/uur) weekend]],0)</f>
        <v>0</v>
      </c>
      <c r="AD39" s="104">
        <f>Ruimtestaat[[#This Row],[uren / jaar weekend]]*Tariefsopbouw!$D$40</f>
        <v>0</v>
      </c>
      <c r="AE39" s="73">
        <f>Ruimtestaat[[#This Row],[Prest. (m2 /jaar) weekend]]+Ruimtestaat[[#This Row],[Prest. (m2 /jaar) werkdagen]]</f>
        <v>10800</v>
      </c>
      <c r="AF39" s="73">
        <f>Ruimtestaat[[#This Row],[uren / jaar weekend]]+Ruimtestaat[[#This Row],[uren / jaar werkdagen]]</f>
        <v>0</v>
      </c>
      <c r="AG39" s="74">
        <f>Ruimtestaat[[#This Row],[kosten / jaar weekend]]+Ruimtestaat[[#This Row],[kosten / jaar werkdagen]]</f>
        <v>0</v>
      </c>
      <c r="AH39" s="105"/>
      <c r="HL39" s="72"/>
    </row>
    <row r="40" spans="1:220" ht="15" customHeight="1">
      <c r="A40" s="123">
        <v>1</v>
      </c>
      <c r="B40" s="24" t="str">
        <f>VLOOKUP(Ruimtestaat[[#This Row],[Code]],Locaties[#All],2,FALSE)</f>
        <v>Hoornbeeck College Amersfoort</v>
      </c>
      <c r="C40" s="24" t="str">
        <f>VLOOKUP(Ruimtestaat[[#This Row],[Code]],Locaties[#All],4,FALSE)</f>
        <v>Utrechtseweg 230</v>
      </c>
      <c r="D40" s="24" t="str">
        <f>VLOOKUP(Ruimtestaat[[#This Row],[Code]],Locaties[#All],5,FALSE)</f>
        <v>3818 ET</v>
      </c>
      <c r="E40" s="24" t="str">
        <f>VLOOKUP(Ruimtestaat[[#This Row],[Code]],Locaties[#All],6,FALSE)</f>
        <v>Amersfoort</v>
      </c>
      <c r="F40" s="67" t="s">
        <v>446</v>
      </c>
      <c r="G40" s="24" t="s">
        <v>427</v>
      </c>
      <c r="H40" s="24" t="s">
        <v>459</v>
      </c>
      <c r="I40" s="4" t="s">
        <v>419</v>
      </c>
      <c r="J40" s="24">
        <v>16</v>
      </c>
      <c r="K40" s="67" t="str">
        <f>VLOOKUP(J40,Ruimtegroepen[],2,FALSE)</f>
        <v>Leslokalen</v>
      </c>
      <c r="L40" s="24" t="s">
        <v>110</v>
      </c>
      <c r="M40" s="24" t="s">
        <v>539</v>
      </c>
      <c r="N40" s="96">
        <v>57</v>
      </c>
      <c r="O40" s="96"/>
      <c r="P40" s="106" t="str">
        <f>LEFT(VLOOKUP(Ruimtestaat[[#This Row],[Ruimte code]],Ruimtegroepen[#All],4,1),2)</f>
        <v>Le</v>
      </c>
      <c r="Q40" s="96"/>
      <c r="R40" s="97">
        <v>40</v>
      </c>
      <c r="S40" s="97" t="s">
        <v>2</v>
      </c>
      <c r="T40" s="98">
        <f>IF(R40&gt;0,IF(RIGHT(Ruimtestaat[[#This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0" s="98">
        <f>IF(T40&gt;0,VLOOKUP($J40,Ruimtegroepen[],3,FALSE)*VLOOKUP($L40,Vloersoorten[],3,FALSE)*VLOOKUP($S40,Frequenties[],3,FALSE)*VLOOKUP($A40,Locaties[],3,FALSE),0)</f>
        <v>0</v>
      </c>
      <c r="V40" s="99">
        <f>Ruimtestaat[[#This Row],[Uitvoeringen werkdagen]]*Ruimtestaat[[#This Row],[Oppervlak (netto)]]</f>
        <v>11400</v>
      </c>
      <c r="W40" s="100">
        <f>IF(U40&gt;0,Ruimtestaat[[#This Row],[Prest. (m2 /jaar) werkdagen]]/Ruimtestaat[[#This Row],[Norm (m2/uur) werkdagen]],0)</f>
        <v>0</v>
      </c>
      <c r="X40" s="101">
        <f>Ruimtestaat[[#This Row],[uren / jaar werkdagen]]*Tariefsopbouw!$E$35</f>
        <v>0</v>
      </c>
      <c r="Y40" s="98"/>
      <c r="Z40" s="102">
        <f>IF(Ruimtestaat[[#This Row],[Frequentie weekend]]&gt;0,VALUE(LEFT(Y40,1))*R40,0)</f>
        <v>0</v>
      </c>
      <c r="AA40" s="98">
        <f>IF($Z40&gt;0,VLOOKUP($J40,Ruimtegroepen[],3,FALSE)*VLOOKUP($L40,Vloersoorten[],3,FALSE)*VLOOKUP($Y40,Frequenties[],3,FALSE)*VLOOKUP($A36,Locaties[],3,FALSE),0)</f>
        <v>0</v>
      </c>
      <c r="AB40" s="100">
        <f>Ruimtestaat[[#This Row],[Uitvoeringen weekend]]*Ruimtestaat[[#This Row],[Oppervlak (netto)]]</f>
        <v>0</v>
      </c>
      <c r="AC40" s="103">
        <f>IF(AB40&gt;0,Ruimtestaat[[#This Row],[Prest. (m2 /jaar) weekend]]/Ruimtestaat[[#This Row],[Norm (m2/uur) weekend]],0)</f>
        <v>0</v>
      </c>
      <c r="AD40" s="104">
        <f>Ruimtestaat[[#This Row],[uren / jaar weekend]]*Tariefsopbouw!$D$40</f>
        <v>0</v>
      </c>
      <c r="AE40" s="73">
        <f>Ruimtestaat[[#This Row],[Prest. (m2 /jaar) weekend]]+Ruimtestaat[[#This Row],[Prest. (m2 /jaar) werkdagen]]</f>
        <v>11400</v>
      </c>
      <c r="AF40" s="73">
        <f>Ruimtestaat[[#This Row],[uren / jaar weekend]]+Ruimtestaat[[#This Row],[uren / jaar werkdagen]]</f>
        <v>0</v>
      </c>
      <c r="AG40" s="74">
        <f>Ruimtestaat[[#This Row],[kosten / jaar weekend]]+Ruimtestaat[[#This Row],[kosten / jaar werkdagen]]</f>
        <v>0</v>
      </c>
      <c r="AH40" s="105"/>
      <c r="HL40" s="72"/>
    </row>
    <row r="41" spans="1:220" ht="15" customHeight="1">
      <c r="A41" s="123">
        <v>1</v>
      </c>
      <c r="B41" s="24" t="str">
        <f>VLOOKUP(Ruimtestaat[[#This Row],[Code]],Locaties[#All],2,FALSE)</f>
        <v>Hoornbeeck College Amersfoort</v>
      </c>
      <c r="C41" s="24" t="str">
        <f>VLOOKUP(Ruimtestaat[[#This Row],[Code]],Locaties[#All],4,FALSE)</f>
        <v>Utrechtseweg 230</v>
      </c>
      <c r="D41" s="24" t="str">
        <f>VLOOKUP(Ruimtestaat[[#This Row],[Code]],Locaties[#All],5,FALSE)</f>
        <v>3818 ET</v>
      </c>
      <c r="E41" s="24" t="str">
        <f>VLOOKUP(Ruimtestaat[[#This Row],[Code]],Locaties[#All],6,FALSE)</f>
        <v>Amersfoort</v>
      </c>
      <c r="F41" s="67" t="s">
        <v>446</v>
      </c>
      <c r="G41" s="24" t="s">
        <v>427</v>
      </c>
      <c r="H41" s="24" t="s">
        <v>452</v>
      </c>
      <c r="I41" s="4" t="s">
        <v>452</v>
      </c>
      <c r="J41" s="24">
        <v>6</v>
      </c>
      <c r="K41" s="67" t="str">
        <f>VLOOKUP(J41,Ruimtegroepen[],2,FALSE)</f>
        <v>Gangen/hallen</v>
      </c>
      <c r="L41" s="24" t="s">
        <v>110</v>
      </c>
      <c r="M41" s="24" t="s">
        <v>539</v>
      </c>
      <c r="N41" s="96">
        <v>52.8</v>
      </c>
      <c r="O41" s="96"/>
      <c r="P41" s="106" t="str">
        <f>LEFT(VLOOKUP(Ruimtestaat[[#This Row],[Ruimte code]],Ruimtegroepen[#All],4,1),2)</f>
        <v>Ve</v>
      </c>
      <c r="Q41" s="96"/>
      <c r="R41" s="97">
        <v>40</v>
      </c>
      <c r="S41" s="97" t="s">
        <v>2</v>
      </c>
      <c r="T41" s="98">
        <f>IF(R41&gt;0,IF(RIGHT(Ruimtestaat[[#This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1" s="98">
        <f>IF(T41&gt;0,VLOOKUP($J41,Ruimtegroepen[],3,FALSE)*VLOOKUP($L41,Vloersoorten[],3,FALSE)*VLOOKUP($S41,Frequenties[],3,FALSE)*VLOOKUP($A41,Locaties[],3,FALSE),0)</f>
        <v>0</v>
      </c>
      <c r="V41" s="99">
        <f>Ruimtestaat[[#This Row],[Uitvoeringen werkdagen]]*Ruimtestaat[[#This Row],[Oppervlak (netto)]]</f>
        <v>10560</v>
      </c>
      <c r="W41" s="100">
        <f>IF(U41&gt;0,Ruimtestaat[[#This Row],[Prest. (m2 /jaar) werkdagen]]/Ruimtestaat[[#This Row],[Norm (m2/uur) werkdagen]],0)</f>
        <v>0</v>
      </c>
      <c r="X41" s="101">
        <f>Ruimtestaat[[#This Row],[uren / jaar werkdagen]]*Tariefsopbouw!$E$35</f>
        <v>0</v>
      </c>
      <c r="Y41" s="98"/>
      <c r="Z41" s="102">
        <f>IF(Ruimtestaat[[#This Row],[Frequentie weekend]]&gt;0,VALUE(LEFT(Y41,1))*R41,0)</f>
        <v>0</v>
      </c>
      <c r="AA41" s="98">
        <f>IF($Z41&gt;0,VLOOKUP($J41,Ruimtegroepen[],3,FALSE)*VLOOKUP($L41,Vloersoorten[],3,FALSE)*VLOOKUP($Y41,Frequenties[],3,FALSE)*VLOOKUP($A37,Locaties[],3,FALSE),0)</f>
        <v>0</v>
      </c>
      <c r="AB41" s="100">
        <f>Ruimtestaat[[#This Row],[Uitvoeringen weekend]]*Ruimtestaat[[#This Row],[Oppervlak (netto)]]</f>
        <v>0</v>
      </c>
      <c r="AC41" s="103">
        <f>IF(AB41&gt;0,Ruimtestaat[[#This Row],[Prest. (m2 /jaar) weekend]]/Ruimtestaat[[#This Row],[Norm (m2/uur) weekend]],0)</f>
        <v>0</v>
      </c>
      <c r="AD41" s="104">
        <f>Ruimtestaat[[#This Row],[uren / jaar weekend]]*Tariefsopbouw!$D$40</f>
        <v>0</v>
      </c>
      <c r="AE41" s="73">
        <f>Ruimtestaat[[#This Row],[Prest. (m2 /jaar) weekend]]+Ruimtestaat[[#This Row],[Prest. (m2 /jaar) werkdagen]]</f>
        <v>10560</v>
      </c>
      <c r="AF41" s="73">
        <f>Ruimtestaat[[#This Row],[uren / jaar weekend]]+Ruimtestaat[[#This Row],[uren / jaar werkdagen]]</f>
        <v>0</v>
      </c>
      <c r="AG41" s="74">
        <f>Ruimtestaat[[#This Row],[kosten / jaar weekend]]+Ruimtestaat[[#This Row],[kosten / jaar werkdagen]]</f>
        <v>0</v>
      </c>
      <c r="AH41" s="105"/>
      <c r="HL41" s="72"/>
    </row>
    <row r="42" spans="1:220" ht="15" customHeight="1">
      <c r="A42" s="123">
        <v>1</v>
      </c>
      <c r="B42" s="24" t="str">
        <f>VLOOKUP(Ruimtestaat[[#This Row],[Code]],Locaties[#All],2,FALSE)</f>
        <v>Hoornbeeck College Amersfoort</v>
      </c>
      <c r="C42" s="24" t="str">
        <f>VLOOKUP(Ruimtestaat[[#This Row],[Code]],Locaties[#All],4,FALSE)</f>
        <v>Utrechtseweg 230</v>
      </c>
      <c r="D42" s="24" t="str">
        <f>VLOOKUP(Ruimtestaat[[#This Row],[Code]],Locaties[#All],5,FALSE)</f>
        <v>3818 ET</v>
      </c>
      <c r="E42" s="24" t="str">
        <f>VLOOKUP(Ruimtestaat[[#This Row],[Code]],Locaties[#All],6,FALSE)</f>
        <v>Amersfoort</v>
      </c>
      <c r="F42" s="67" t="s">
        <v>446</v>
      </c>
      <c r="G42" s="24" t="s">
        <v>434</v>
      </c>
      <c r="H42" s="24" t="s">
        <v>460</v>
      </c>
      <c r="I42" s="4" t="s">
        <v>461</v>
      </c>
      <c r="J42" s="24">
        <v>16</v>
      </c>
      <c r="K42" s="67" t="str">
        <f>VLOOKUP(J42,Ruimtegroepen[],2,FALSE)</f>
        <v>Leslokalen</v>
      </c>
      <c r="L42" s="24" t="s">
        <v>110</v>
      </c>
      <c r="M42" s="24" t="s">
        <v>539</v>
      </c>
      <c r="N42" s="96">
        <v>150</v>
      </c>
      <c r="O42" s="96"/>
      <c r="P42" s="106" t="str">
        <f>LEFT(VLOOKUP(Ruimtestaat[[#This Row],[Ruimte code]],Ruimtegroepen[#All],4,1),2)</f>
        <v>Le</v>
      </c>
      <c r="Q42" s="96"/>
      <c r="R42" s="97">
        <v>40</v>
      </c>
      <c r="S42" s="97" t="s">
        <v>2</v>
      </c>
      <c r="T42" s="98">
        <f>IF(R42&gt;0,IF(RIGHT(Ruimtestaat[[#This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2" s="98">
        <f>IF(T42&gt;0,VLOOKUP($J42,Ruimtegroepen[],3,FALSE)*VLOOKUP($L42,Vloersoorten[],3,FALSE)*VLOOKUP($S42,Frequenties[],3,FALSE)*VLOOKUP($A42,Locaties[],3,FALSE),0)</f>
        <v>0</v>
      </c>
      <c r="V42" s="99">
        <f>Ruimtestaat[[#This Row],[Uitvoeringen werkdagen]]*Ruimtestaat[[#This Row],[Oppervlak (netto)]]</f>
        <v>30000</v>
      </c>
      <c r="W42" s="100">
        <f>IF(U42&gt;0,Ruimtestaat[[#This Row],[Prest. (m2 /jaar) werkdagen]]/Ruimtestaat[[#This Row],[Norm (m2/uur) werkdagen]],0)</f>
        <v>0</v>
      </c>
      <c r="X42" s="101">
        <f>Ruimtestaat[[#This Row],[uren / jaar werkdagen]]*Tariefsopbouw!$E$35</f>
        <v>0</v>
      </c>
      <c r="Y42" s="98"/>
      <c r="Z42" s="102">
        <f>IF(Ruimtestaat[[#This Row],[Frequentie weekend]]&gt;0,VALUE(LEFT(Y42,1))*R42,0)</f>
        <v>0</v>
      </c>
      <c r="AA42" s="98">
        <f>IF($Z42&gt;0,VLOOKUP($J42,Ruimtegroepen[],3,FALSE)*VLOOKUP($L42,Vloersoorten[],3,FALSE)*VLOOKUP($Y42,Frequenties[],3,FALSE)*VLOOKUP($A38,Locaties[],3,FALSE),0)</f>
        <v>0</v>
      </c>
      <c r="AB42" s="100">
        <f>Ruimtestaat[[#This Row],[Uitvoeringen weekend]]*Ruimtestaat[[#This Row],[Oppervlak (netto)]]</f>
        <v>0</v>
      </c>
      <c r="AC42" s="103">
        <f>IF(AB42&gt;0,Ruimtestaat[[#This Row],[Prest. (m2 /jaar) weekend]]/Ruimtestaat[[#This Row],[Norm (m2/uur) weekend]],0)</f>
        <v>0</v>
      </c>
      <c r="AD42" s="104">
        <f>Ruimtestaat[[#This Row],[uren / jaar weekend]]*Tariefsopbouw!$D$40</f>
        <v>0</v>
      </c>
      <c r="AE42" s="73">
        <f>Ruimtestaat[[#This Row],[Prest. (m2 /jaar) weekend]]+Ruimtestaat[[#This Row],[Prest. (m2 /jaar) werkdagen]]</f>
        <v>30000</v>
      </c>
      <c r="AF42" s="73">
        <f>Ruimtestaat[[#This Row],[uren / jaar weekend]]+Ruimtestaat[[#This Row],[uren / jaar werkdagen]]</f>
        <v>0</v>
      </c>
      <c r="AG42" s="74">
        <f>Ruimtestaat[[#This Row],[kosten / jaar weekend]]+Ruimtestaat[[#This Row],[kosten / jaar werkdagen]]</f>
        <v>0</v>
      </c>
      <c r="AH42" s="105"/>
      <c r="HL42" s="72"/>
    </row>
    <row r="43" spans="1:220" ht="15" customHeight="1">
      <c r="A43" s="123">
        <v>1</v>
      </c>
      <c r="B43" s="24" t="str">
        <f>VLOOKUP(Ruimtestaat[[#This Row],[Code]],Locaties[#All],2,FALSE)</f>
        <v>Hoornbeeck College Amersfoort</v>
      </c>
      <c r="C43" s="24" t="str">
        <f>VLOOKUP(Ruimtestaat[[#This Row],[Code]],Locaties[#All],4,FALSE)</f>
        <v>Utrechtseweg 230</v>
      </c>
      <c r="D43" s="24" t="str">
        <f>VLOOKUP(Ruimtestaat[[#This Row],[Code]],Locaties[#All],5,FALSE)</f>
        <v>3818 ET</v>
      </c>
      <c r="E43" s="24" t="str">
        <f>VLOOKUP(Ruimtestaat[[#This Row],[Code]],Locaties[#All],6,FALSE)</f>
        <v>Amersfoort</v>
      </c>
      <c r="F43" s="67" t="s">
        <v>446</v>
      </c>
      <c r="G43" s="24" t="s">
        <v>434</v>
      </c>
      <c r="H43" s="24" t="s">
        <v>462</v>
      </c>
      <c r="I43" s="4" t="s">
        <v>419</v>
      </c>
      <c r="J43" s="24">
        <v>16</v>
      </c>
      <c r="K43" s="67" t="str">
        <f>VLOOKUP(J43,Ruimtegroepen[],2,FALSE)</f>
        <v>Leslokalen</v>
      </c>
      <c r="L43" s="24" t="s">
        <v>110</v>
      </c>
      <c r="M43" s="24" t="s">
        <v>539</v>
      </c>
      <c r="N43" s="96">
        <v>53</v>
      </c>
      <c r="O43" s="96"/>
      <c r="P43" s="106" t="str">
        <f>LEFT(VLOOKUP(Ruimtestaat[[#This Row],[Ruimte code]],Ruimtegroepen[#All],4,1),2)</f>
        <v>Le</v>
      </c>
      <c r="Q43" s="96"/>
      <c r="R43" s="97">
        <v>40</v>
      </c>
      <c r="S43" s="97" t="s">
        <v>2</v>
      </c>
      <c r="T43" s="98">
        <f>IF(R43&gt;0,IF(RIGHT(Ruimtestaat[[#This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" s="98">
        <f>IF(T43&gt;0,VLOOKUP($J43,Ruimtegroepen[],3,FALSE)*VLOOKUP($L43,Vloersoorten[],3,FALSE)*VLOOKUP($S43,Frequenties[],3,FALSE)*VLOOKUP($A43,Locaties[],3,FALSE),0)</f>
        <v>0</v>
      </c>
      <c r="V43" s="99">
        <f>Ruimtestaat[[#This Row],[Uitvoeringen werkdagen]]*Ruimtestaat[[#This Row],[Oppervlak (netto)]]</f>
        <v>10600</v>
      </c>
      <c r="W43" s="100">
        <f>IF(U43&gt;0,Ruimtestaat[[#This Row],[Prest. (m2 /jaar) werkdagen]]/Ruimtestaat[[#This Row],[Norm (m2/uur) werkdagen]],0)</f>
        <v>0</v>
      </c>
      <c r="X43" s="101">
        <f>Ruimtestaat[[#This Row],[uren / jaar werkdagen]]*Tariefsopbouw!$E$35</f>
        <v>0</v>
      </c>
      <c r="Y43" s="98"/>
      <c r="Z43" s="102">
        <f>IF(Ruimtestaat[[#This Row],[Frequentie weekend]]&gt;0,VALUE(LEFT(Y43,1))*R43,0)</f>
        <v>0</v>
      </c>
      <c r="AA43" s="98">
        <f>IF($Z43&gt;0,VLOOKUP($J43,Ruimtegroepen[],3,FALSE)*VLOOKUP($L43,Vloersoorten[],3,FALSE)*VLOOKUP($Y43,Frequenties[],3,FALSE)*VLOOKUP($A39,Locaties[],3,FALSE),0)</f>
        <v>0</v>
      </c>
      <c r="AB43" s="100">
        <f>Ruimtestaat[[#This Row],[Uitvoeringen weekend]]*Ruimtestaat[[#This Row],[Oppervlak (netto)]]</f>
        <v>0</v>
      </c>
      <c r="AC43" s="103">
        <f>IF(AB43&gt;0,Ruimtestaat[[#This Row],[Prest. (m2 /jaar) weekend]]/Ruimtestaat[[#This Row],[Norm (m2/uur) weekend]],0)</f>
        <v>0</v>
      </c>
      <c r="AD43" s="104">
        <f>Ruimtestaat[[#This Row],[uren / jaar weekend]]*Tariefsopbouw!$D$40</f>
        <v>0</v>
      </c>
      <c r="AE43" s="73">
        <f>Ruimtestaat[[#This Row],[Prest. (m2 /jaar) weekend]]+Ruimtestaat[[#This Row],[Prest. (m2 /jaar) werkdagen]]</f>
        <v>10600</v>
      </c>
      <c r="AF43" s="73">
        <f>Ruimtestaat[[#This Row],[uren / jaar weekend]]+Ruimtestaat[[#This Row],[uren / jaar werkdagen]]</f>
        <v>0</v>
      </c>
      <c r="AG43" s="74">
        <f>Ruimtestaat[[#This Row],[kosten / jaar weekend]]+Ruimtestaat[[#This Row],[kosten / jaar werkdagen]]</f>
        <v>0</v>
      </c>
      <c r="AH43" s="105"/>
      <c r="HL43" s="72"/>
    </row>
    <row r="44" spans="1:220" ht="15" customHeight="1">
      <c r="A44" s="123">
        <v>1</v>
      </c>
      <c r="B44" s="24" t="str">
        <f>VLOOKUP(Ruimtestaat[[#This Row],[Code]],Locaties[#All],2,FALSE)</f>
        <v>Hoornbeeck College Amersfoort</v>
      </c>
      <c r="C44" s="24" t="str">
        <f>VLOOKUP(Ruimtestaat[[#This Row],[Code]],Locaties[#All],4,FALSE)</f>
        <v>Utrechtseweg 230</v>
      </c>
      <c r="D44" s="24" t="str">
        <f>VLOOKUP(Ruimtestaat[[#This Row],[Code]],Locaties[#All],5,FALSE)</f>
        <v>3818 ET</v>
      </c>
      <c r="E44" s="24" t="str">
        <f>VLOOKUP(Ruimtestaat[[#This Row],[Code]],Locaties[#All],6,FALSE)</f>
        <v>Amersfoort</v>
      </c>
      <c r="F44" s="67" t="s">
        <v>446</v>
      </c>
      <c r="G44" s="24" t="s">
        <v>434</v>
      </c>
      <c r="H44" s="24" t="s">
        <v>463</v>
      </c>
      <c r="I44" s="4" t="s">
        <v>419</v>
      </c>
      <c r="J44" s="24">
        <v>16</v>
      </c>
      <c r="K44" s="67" t="str">
        <f>VLOOKUP(J44,Ruimtegroepen[],2,FALSE)</f>
        <v>Leslokalen</v>
      </c>
      <c r="L44" s="24" t="s">
        <v>110</v>
      </c>
      <c r="M44" s="24" t="s">
        <v>539</v>
      </c>
      <c r="N44" s="96">
        <v>154</v>
      </c>
      <c r="O44" s="96"/>
      <c r="P44" s="106" t="str">
        <f>LEFT(VLOOKUP(Ruimtestaat[[#This Row],[Ruimte code]],Ruimtegroepen[#All],4,1),2)</f>
        <v>Le</v>
      </c>
      <c r="Q44" s="96"/>
      <c r="R44" s="97">
        <v>40</v>
      </c>
      <c r="S44" s="97" t="s">
        <v>2</v>
      </c>
      <c r="T44" s="98">
        <f>IF(R44&gt;0,IF(RIGHT(Ruimtestaat[[#This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4" s="98">
        <f>IF(T44&gt;0,VLOOKUP($J44,Ruimtegroepen[],3,FALSE)*VLOOKUP($L44,Vloersoorten[],3,FALSE)*VLOOKUP($S44,Frequenties[],3,FALSE)*VLOOKUP($A44,Locaties[],3,FALSE),0)</f>
        <v>0</v>
      </c>
      <c r="V44" s="99">
        <f>Ruimtestaat[[#This Row],[Uitvoeringen werkdagen]]*Ruimtestaat[[#This Row],[Oppervlak (netto)]]</f>
        <v>30800</v>
      </c>
      <c r="W44" s="100">
        <f>IF(U44&gt;0,Ruimtestaat[[#This Row],[Prest. (m2 /jaar) werkdagen]]/Ruimtestaat[[#This Row],[Norm (m2/uur) werkdagen]],0)</f>
        <v>0</v>
      </c>
      <c r="X44" s="101">
        <f>Ruimtestaat[[#This Row],[uren / jaar werkdagen]]*Tariefsopbouw!$E$35</f>
        <v>0</v>
      </c>
      <c r="Y44" s="98"/>
      <c r="Z44" s="102">
        <f>IF(Ruimtestaat[[#This Row],[Frequentie weekend]]&gt;0,VALUE(LEFT(Y44,1))*R44,0)</f>
        <v>0</v>
      </c>
      <c r="AA44" s="98">
        <f>IF($Z44&gt;0,VLOOKUP($J44,Ruimtegroepen[],3,FALSE)*VLOOKUP($L44,Vloersoorten[],3,FALSE)*VLOOKUP($Y44,Frequenties[],3,FALSE)*VLOOKUP($A40,Locaties[],3,FALSE),0)</f>
        <v>0</v>
      </c>
      <c r="AB44" s="100">
        <f>Ruimtestaat[[#This Row],[Uitvoeringen weekend]]*Ruimtestaat[[#This Row],[Oppervlak (netto)]]</f>
        <v>0</v>
      </c>
      <c r="AC44" s="103">
        <f>IF(AB44&gt;0,Ruimtestaat[[#This Row],[Prest. (m2 /jaar) weekend]]/Ruimtestaat[[#This Row],[Norm (m2/uur) weekend]],0)</f>
        <v>0</v>
      </c>
      <c r="AD44" s="104">
        <f>Ruimtestaat[[#This Row],[uren / jaar weekend]]*Tariefsopbouw!$D$40</f>
        <v>0</v>
      </c>
      <c r="AE44" s="73">
        <f>Ruimtestaat[[#This Row],[Prest. (m2 /jaar) weekend]]+Ruimtestaat[[#This Row],[Prest. (m2 /jaar) werkdagen]]</f>
        <v>30800</v>
      </c>
      <c r="AF44" s="73">
        <f>Ruimtestaat[[#This Row],[uren / jaar weekend]]+Ruimtestaat[[#This Row],[uren / jaar werkdagen]]</f>
        <v>0</v>
      </c>
      <c r="AG44" s="74">
        <f>Ruimtestaat[[#This Row],[kosten / jaar weekend]]+Ruimtestaat[[#This Row],[kosten / jaar werkdagen]]</f>
        <v>0</v>
      </c>
      <c r="AH44" s="105"/>
      <c r="HL44" s="72"/>
    </row>
    <row r="45" spans="1:220" ht="15" customHeight="1">
      <c r="A45" s="123">
        <v>1</v>
      </c>
      <c r="B45" s="24" t="str">
        <f>VLOOKUP(Ruimtestaat[[#This Row],[Code]],Locaties[#All],2,FALSE)</f>
        <v>Hoornbeeck College Amersfoort</v>
      </c>
      <c r="C45" s="24" t="str">
        <f>VLOOKUP(Ruimtestaat[[#This Row],[Code]],Locaties[#All],4,FALSE)</f>
        <v>Utrechtseweg 230</v>
      </c>
      <c r="D45" s="24" t="str">
        <f>VLOOKUP(Ruimtestaat[[#This Row],[Code]],Locaties[#All],5,FALSE)</f>
        <v>3818 ET</v>
      </c>
      <c r="E45" s="24" t="str">
        <f>VLOOKUP(Ruimtestaat[[#This Row],[Code]],Locaties[#All],6,FALSE)</f>
        <v>Amersfoort</v>
      </c>
      <c r="F45" s="67" t="s">
        <v>446</v>
      </c>
      <c r="G45" s="24" t="s">
        <v>434</v>
      </c>
      <c r="H45" s="24" t="s">
        <v>542</v>
      </c>
      <c r="I45" s="4" t="s">
        <v>419</v>
      </c>
      <c r="J45" s="24">
        <v>16</v>
      </c>
      <c r="K45" s="67" t="str">
        <f>VLOOKUP(J45,Ruimtegroepen[],2,FALSE)</f>
        <v>Leslokalen</v>
      </c>
      <c r="L45" s="24" t="s">
        <v>110</v>
      </c>
      <c r="M45" s="24" t="s">
        <v>539</v>
      </c>
      <c r="N45" s="96">
        <v>37</v>
      </c>
      <c r="O45" s="96"/>
      <c r="P45" s="106" t="str">
        <f>LEFT(VLOOKUP(Ruimtestaat[[#This Row],[Ruimte code]],Ruimtegroepen[#All],4,1),2)</f>
        <v>Le</v>
      </c>
      <c r="Q45" s="96"/>
      <c r="R45" s="97">
        <v>40</v>
      </c>
      <c r="S45" s="97" t="s">
        <v>2</v>
      </c>
      <c r="T45" s="98">
        <f>IF(R45&gt;0,IF(RIGHT(Ruimtestaat[[#This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5" s="98">
        <f>IF(T45&gt;0,VLOOKUP($J45,Ruimtegroepen[],3,FALSE)*VLOOKUP($L45,Vloersoorten[],3,FALSE)*VLOOKUP($S45,Frequenties[],3,FALSE)*VLOOKUP($A45,Locaties[],3,FALSE),0)</f>
        <v>0</v>
      </c>
      <c r="V45" s="99">
        <f>Ruimtestaat[[#This Row],[Uitvoeringen werkdagen]]*Ruimtestaat[[#This Row],[Oppervlak (netto)]]</f>
        <v>7400</v>
      </c>
      <c r="W45" s="100">
        <f>IF(U45&gt;0,Ruimtestaat[[#This Row],[Prest. (m2 /jaar) werkdagen]]/Ruimtestaat[[#This Row],[Norm (m2/uur) werkdagen]],0)</f>
        <v>0</v>
      </c>
      <c r="X45" s="101">
        <f>Ruimtestaat[[#This Row],[uren / jaar werkdagen]]*Tariefsopbouw!$E$35</f>
        <v>0</v>
      </c>
      <c r="Y45" s="98"/>
      <c r="Z45" s="102">
        <f>IF(Ruimtestaat[[#This Row],[Frequentie weekend]]&gt;0,VALUE(LEFT(Y45,1))*R45,0)</f>
        <v>0</v>
      </c>
      <c r="AA45" s="98">
        <f>IF($Z45&gt;0,VLOOKUP($J45,Ruimtegroepen[],3,FALSE)*VLOOKUP($L45,Vloersoorten[],3,FALSE)*VLOOKUP($Y45,Frequenties[],3,FALSE)*VLOOKUP($A41,Locaties[],3,FALSE),0)</f>
        <v>0</v>
      </c>
      <c r="AB45" s="100">
        <f>Ruimtestaat[[#This Row],[Uitvoeringen weekend]]*Ruimtestaat[[#This Row],[Oppervlak (netto)]]</f>
        <v>0</v>
      </c>
      <c r="AC45" s="103">
        <f>IF(AB45&gt;0,Ruimtestaat[[#This Row],[Prest. (m2 /jaar) weekend]]/Ruimtestaat[[#This Row],[Norm (m2/uur) weekend]],0)</f>
        <v>0</v>
      </c>
      <c r="AD45" s="104">
        <f>Ruimtestaat[[#This Row],[uren / jaar weekend]]*Tariefsopbouw!$D$40</f>
        <v>0</v>
      </c>
      <c r="AE45" s="73">
        <f>Ruimtestaat[[#This Row],[Prest. (m2 /jaar) weekend]]+Ruimtestaat[[#This Row],[Prest. (m2 /jaar) werkdagen]]</f>
        <v>7400</v>
      </c>
      <c r="AF45" s="73">
        <f>Ruimtestaat[[#This Row],[uren / jaar weekend]]+Ruimtestaat[[#This Row],[uren / jaar werkdagen]]</f>
        <v>0</v>
      </c>
      <c r="AG45" s="74">
        <f>Ruimtestaat[[#This Row],[kosten / jaar weekend]]+Ruimtestaat[[#This Row],[kosten / jaar werkdagen]]</f>
        <v>0</v>
      </c>
      <c r="AH45" s="105"/>
      <c r="HL45" s="72"/>
    </row>
    <row r="46" spans="1:220" ht="15" customHeight="1">
      <c r="A46" s="123">
        <v>1</v>
      </c>
      <c r="B46" s="24" t="str">
        <f>VLOOKUP(Ruimtestaat[[#This Row],[Code]],Locaties[#All],2,FALSE)</f>
        <v>Hoornbeeck College Amersfoort</v>
      </c>
      <c r="C46" s="24" t="str">
        <f>VLOOKUP(Ruimtestaat[[#This Row],[Code]],Locaties[#All],4,FALSE)</f>
        <v>Utrechtseweg 230</v>
      </c>
      <c r="D46" s="24" t="str">
        <f>VLOOKUP(Ruimtestaat[[#This Row],[Code]],Locaties[#All],5,FALSE)</f>
        <v>3818 ET</v>
      </c>
      <c r="E46" s="24" t="str">
        <f>VLOOKUP(Ruimtestaat[[#This Row],[Code]],Locaties[#All],6,FALSE)</f>
        <v>Amersfoort</v>
      </c>
      <c r="F46" s="67" t="s">
        <v>446</v>
      </c>
      <c r="G46" s="24" t="s">
        <v>434</v>
      </c>
      <c r="H46" s="24" t="s">
        <v>464</v>
      </c>
      <c r="I46" s="4" t="s">
        <v>419</v>
      </c>
      <c r="J46" s="24">
        <v>16</v>
      </c>
      <c r="K46" s="67" t="str">
        <f>VLOOKUP(J46,Ruimtegroepen[],2,FALSE)</f>
        <v>Leslokalen</v>
      </c>
      <c r="L46" s="24" t="s">
        <v>110</v>
      </c>
      <c r="M46" s="24" t="s">
        <v>539</v>
      </c>
      <c r="N46" s="96">
        <v>65</v>
      </c>
      <c r="O46" s="96"/>
      <c r="P46" s="106" t="str">
        <f>LEFT(VLOOKUP(Ruimtestaat[[#This Row],[Ruimte code]],Ruimtegroepen[#All],4,1),2)</f>
        <v>Le</v>
      </c>
      <c r="Q46" s="96"/>
      <c r="R46" s="97">
        <v>40</v>
      </c>
      <c r="S46" s="97" t="s">
        <v>2</v>
      </c>
      <c r="T46" s="98">
        <f>IF(R46&gt;0,IF(RIGHT(Ruimtestaat[[#This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6" s="98">
        <f>IF(T46&gt;0,VLOOKUP($J46,Ruimtegroepen[],3,FALSE)*VLOOKUP($L46,Vloersoorten[],3,FALSE)*VLOOKUP($S46,Frequenties[],3,FALSE)*VLOOKUP($A46,Locaties[],3,FALSE),0)</f>
        <v>0</v>
      </c>
      <c r="V46" s="99">
        <f>Ruimtestaat[[#This Row],[Uitvoeringen werkdagen]]*Ruimtestaat[[#This Row],[Oppervlak (netto)]]</f>
        <v>13000</v>
      </c>
      <c r="W46" s="100">
        <f>IF(U46&gt;0,Ruimtestaat[[#This Row],[Prest. (m2 /jaar) werkdagen]]/Ruimtestaat[[#This Row],[Norm (m2/uur) werkdagen]],0)</f>
        <v>0</v>
      </c>
      <c r="X46" s="101">
        <f>Ruimtestaat[[#This Row],[uren / jaar werkdagen]]*Tariefsopbouw!$E$35</f>
        <v>0</v>
      </c>
      <c r="Y46" s="98"/>
      <c r="Z46" s="102">
        <f>IF(Ruimtestaat[[#This Row],[Frequentie weekend]]&gt;0,VALUE(LEFT(Y46,1))*R46,0)</f>
        <v>0</v>
      </c>
      <c r="AA46" s="98">
        <f>IF($Z46&gt;0,VLOOKUP($J46,Ruimtegroepen[],3,FALSE)*VLOOKUP($L46,Vloersoorten[],3,FALSE)*VLOOKUP($Y46,Frequenties[],3,FALSE)*VLOOKUP($A41,Locaties[],3,FALSE),0)</f>
        <v>0</v>
      </c>
      <c r="AB46" s="100">
        <f>Ruimtestaat[[#This Row],[Uitvoeringen weekend]]*Ruimtestaat[[#This Row],[Oppervlak (netto)]]</f>
        <v>0</v>
      </c>
      <c r="AC46" s="103">
        <f>IF(AB46&gt;0,Ruimtestaat[[#This Row],[Prest. (m2 /jaar) weekend]]/Ruimtestaat[[#This Row],[Norm (m2/uur) weekend]],0)</f>
        <v>0</v>
      </c>
      <c r="AD46" s="104">
        <f>Ruimtestaat[[#This Row],[uren / jaar weekend]]*Tariefsopbouw!$D$40</f>
        <v>0</v>
      </c>
      <c r="AE46" s="73">
        <f>Ruimtestaat[[#This Row],[Prest. (m2 /jaar) weekend]]+Ruimtestaat[[#This Row],[Prest. (m2 /jaar) werkdagen]]</f>
        <v>13000</v>
      </c>
      <c r="AF46" s="73">
        <f>Ruimtestaat[[#This Row],[uren / jaar weekend]]+Ruimtestaat[[#This Row],[uren / jaar werkdagen]]</f>
        <v>0</v>
      </c>
      <c r="AG46" s="74">
        <f>Ruimtestaat[[#This Row],[kosten / jaar weekend]]+Ruimtestaat[[#This Row],[kosten / jaar werkdagen]]</f>
        <v>0</v>
      </c>
      <c r="AH46" s="105"/>
      <c r="HL46" s="72"/>
    </row>
    <row r="47" spans="1:220" ht="15" customHeight="1">
      <c r="A47" s="123">
        <v>1</v>
      </c>
      <c r="B47" s="24" t="str">
        <f>VLOOKUP(Ruimtestaat[[#This Row],[Code]],Locaties[#All],2,FALSE)</f>
        <v>Hoornbeeck College Amersfoort</v>
      </c>
      <c r="C47" s="24" t="str">
        <f>VLOOKUP(Ruimtestaat[[#This Row],[Code]],Locaties[#All],4,FALSE)</f>
        <v>Utrechtseweg 230</v>
      </c>
      <c r="D47" s="24" t="str">
        <f>VLOOKUP(Ruimtestaat[[#This Row],[Code]],Locaties[#All],5,FALSE)</f>
        <v>3818 ET</v>
      </c>
      <c r="E47" s="24" t="str">
        <f>VLOOKUP(Ruimtestaat[[#This Row],[Code]],Locaties[#All],6,FALSE)</f>
        <v>Amersfoort</v>
      </c>
      <c r="F47" s="67" t="s">
        <v>446</v>
      </c>
      <c r="G47" s="24" t="s">
        <v>434</v>
      </c>
      <c r="H47" s="24" t="s">
        <v>465</v>
      </c>
      <c r="I47" s="4" t="s">
        <v>466</v>
      </c>
      <c r="J47" s="24">
        <v>16</v>
      </c>
      <c r="K47" s="67" t="str">
        <f>VLOOKUP(J47,Ruimtegroepen[],2,FALSE)</f>
        <v>Leslokalen</v>
      </c>
      <c r="L47" s="24" t="s">
        <v>110</v>
      </c>
      <c r="M47" s="24" t="s">
        <v>539</v>
      </c>
      <c r="N47" s="96">
        <v>120</v>
      </c>
      <c r="O47" s="96"/>
      <c r="P47" s="106" t="str">
        <f>LEFT(VLOOKUP(Ruimtestaat[[#This Row],[Ruimte code]],Ruimtegroepen[#All],4,1),2)</f>
        <v>Le</v>
      </c>
      <c r="Q47" s="96"/>
      <c r="R47" s="97">
        <v>40</v>
      </c>
      <c r="S47" s="97" t="s">
        <v>2</v>
      </c>
      <c r="T47" s="98">
        <f>IF(R47&gt;0,IF(RIGHT(Ruimtestaat[[#This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" s="98">
        <f>IF(T47&gt;0,VLOOKUP($J47,Ruimtegroepen[],3,FALSE)*VLOOKUP($L47,Vloersoorten[],3,FALSE)*VLOOKUP($S47,Frequenties[],3,FALSE)*VLOOKUP($A47,Locaties[],3,FALSE),0)</f>
        <v>0</v>
      </c>
      <c r="V47" s="99">
        <f>Ruimtestaat[[#This Row],[Uitvoeringen werkdagen]]*Ruimtestaat[[#This Row],[Oppervlak (netto)]]</f>
        <v>24000</v>
      </c>
      <c r="W47" s="100">
        <f>IF(U47&gt;0,Ruimtestaat[[#This Row],[Prest. (m2 /jaar) werkdagen]]/Ruimtestaat[[#This Row],[Norm (m2/uur) werkdagen]],0)</f>
        <v>0</v>
      </c>
      <c r="X47" s="101">
        <f>Ruimtestaat[[#This Row],[uren / jaar werkdagen]]*Tariefsopbouw!$E$35</f>
        <v>0</v>
      </c>
      <c r="Y47" s="98"/>
      <c r="Z47" s="102">
        <f>IF(Ruimtestaat[[#This Row],[Frequentie weekend]]&gt;0,VALUE(LEFT(Y47,1))*R47,0)</f>
        <v>0</v>
      </c>
      <c r="AA47" s="98">
        <f>IF($Z47&gt;0,VLOOKUP($J47,Ruimtegroepen[],3,FALSE)*VLOOKUP($L47,Vloersoorten[],3,FALSE)*VLOOKUP($Y47,Frequenties[],3,FALSE)*VLOOKUP($A42,Locaties[],3,FALSE),0)</f>
        <v>0</v>
      </c>
      <c r="AB47" s="100">
        <f>Ruimtestaat[[#This Row],[Uitvoeringen weekend]]*Ruimtestaat[[#This Row],[Oppervlak (netto)]]</f>
        <v>0</v>
      </c>
      <c r="AC47" s="103">
        <f>IF(AB47&gt;0,Ruimtestaat[[#This Row],[Prest. (m2 /jaar) weekend]]/Ruimtestaat[[#This Row],[Norm (m2/uur) weekend]],0)</f>
        <v>0</v>
      </c>
      <c r="AD47" s="104">
        <f>Ruimtestaat[[#This Row],[uren / jaar weekend]]*Tariefsopbouw!$D$40</f>
        <v>0</v>
      </c>
      <c r="AE47" s="73">
        <f>Ruimtestaat[[#This Row],[Prest. (m2 /jaar) weekend]]+Ruimtestaat[[#This Row],[Prest. (m2 /jaar) werkdagen]]</f>
        <v>24000</v>
      </c>
      <c r="AF47" s="73">
        <f>Ruimtestaat[[#This Row],[uren / jaar weekend]]+Ruimtestaat[[#This Row],[uren / jaar werkdagen]]</f>
        <v>0</v>
      </c>
      <c r="AG47" s="74">
        <f>Ruimtestaat[[#This Row],[kosten / jaar weekend]]+Ruimtestaat[[#This Row],[kosten / jaar werkdagen]]</f>
        <v>0</v>
      </c>
      <c r="AH47" s="105"/>
      <c r="HL47" s="72"/>
    </row>
    <row r="48" spans="1:220" ht="15" customHeight="1">
      <c r="A48" s="123">
        <v>1</v>
      </c>
      <c r="B48" s="24" t="str">
        <f>VLOOKUP(Ruimtestaat[[#This Row],[Code]],Locaties[#All],2,FALSE)</f>
        <v>Hoornbeeck College Amersfoort</v>
      </c>
      <c r="C48" s="24" t="str">
        <f>VLOOKUP(Ruimtestaat[[#This Row],[Code]],Locaties[#All],4,FALSE)</f>
        <v>Utrechtseweg 230</v>
      </c>
      <c r="D48" s="24" t="str">
        <f>VLOOKUP(Ruimtestaat[[#This Row],[Code]],Locaties[#All],5,FALSE)</f>
        <v>3818 ET</v>
      </c>
      <c r="E48" s="24" t="str">
        <f>VLOOKUP(Ruimtestaat[[#This Row],[Code]],Locaties[#All],6,FALSE)</f>
        <v>Amersfoort</v>
      </c>
      <c r="F48" s="67" t="s">
        <v>446</v>
      </c>
      <c r="G48" s="24" t="s">
        <v>434</v>
      </c>
      <c r="H48" s="24" t="s">
        <v>452</v>
      </c>
      <c r="I48" s="4" t="s">
        <v>467</v>
      </c>
      <c r="J48" s="24">
        <v>6</v>
      </c>
      <c r="K48" s="67" t="str">
        <f>VLOOKUP(J48,Ruimtegroepen[],2,FALSE)</f>
        <v>Gangen/hallen</v>
      </c>
      <c r="L48" s="24" t="s">
        <v>110</v>
      </c>
      <c r="M48" s="24" t="s">
        <v>539</v>
      </c>
      <c r="N48" s="96">
        <v>25</v>
      </c>
      <c r="O48" s="96"/>
      <c r="P48" s="106" t="str">
        <f>LEFT(VLOOKUP(Ruimtestaat[[#This Row],[Ruimte code]],Ruimtegroepen[#All],4,1),2)</f>
        <v>Ve</v>
      </c>
      <c r="Q48" s="96"/>
      <c r="R48" s="97">
        <v>40</v>
      </c>
      <c r="S48" s="97" t="s">
        <v>2</v>
      </c>
      <c r="T48" s="98">
        <f>IF(R48&gt;0,IF(RIGHT(Ruimtestaat[[#This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" s="98">
        <f>IF(T48&gt;0,VLOOKUP($J48,Ruimtegroepen[],3,FALSE)*VLOOKUP($L48,Vloersoorten[],3,FALSE)*VLOOKUP($S48,Frequenties[],3,FALSE)*VLOOKUP($A48,Locaties[],3,FALSE),0)</f>
        <v>0</v>
      </c>
      <c r="V48" s="99">
        <f>Ruimtestaat[[#This Row],[Uitvoeringen werkdagen]]*Ruimtestaat[[#This Row],[Oppervlak (netto)]]</f>
        <v>5000</v>
      </c>
      <c r="W48" s="100">
        <f>IF(U48&gt;0,Ruimtestaat[[#This Row],[Prest. (m2 /jaar) werkdagen]]/Ruimtestaat[[#This Row],[Norm (m2/uur) werkdagen]],0)</f>
        <v>0</v>
      </c>
      <c r="X48" s="101">
        <f>Ruimtestaat[[#This Row],[uren / jaar werkdagen]]*Tariefsopbouw!$E$35</f>
        <v>0</v>
      </c>
      <c r="Y48" s="98"/>
      <c r="Z48" s="102">
        <f>IF(Ruimtestaat[[#This Row],[Frequentie weekend]]&gt;0,VALUE(LEFT(Y48,1))*R48,0)</f>
        <v>0</v>
      </c>
      <c r="AA48" s="98">
        <f>IF($Z48&gt;0,VLOOKUP($J48,Ruimtegroepen[],3,FALSE)*VLOOKUP($L48,Vloersoorten[],3,FALSE)*VLOOKUP($Y48,Frequenties[],3,FALSE)*VLOOKUP($A43,Locaties[],3,FALSE),0)</f>
        <v>0</v>
      </c>
      <c r="AB48" s="100">
        <f>Ruimtestaat[[#This Row],[Uitvoeringen weekend]]*Ruimtestaat[[#This Row],[Oppervlak (netto)]]</f>
        <v>0</v>
      </c>
      <c r="AC48" s="103">
        <f>IF(AB48&gt;0,Ruimtestaat[[#This Row],[Prest. (m2 /jaar) weekend]]/Ruimtestaat[[#This Row],[Norm (m2/uur) weekend]],0)</f>
        <v>0</v>
      </c>
      <c r="AD48" s="104">
        <f>Ruimtestaat[[#This Row],[uren / jaar weekend]]*Tariefsopbouw!$D$40</f>
        <v>0</v>
      </c>
      <c r="AE48" s="73">
        <f>Ruimtestaat[[#This Row],[Prest. (m2 /jaar) weekend]]+Ruimtestaat[[#This Row],[Prest. (m2 /jaar) werkdagen]]</f>
        <v>5000</v>
      </c>
      <c r="AF48" s="73">
        <f>Ruimtestaat[[#This Row],[uren / jaar weekend]]+Ruimtestaat[[#This Row],[uren / jaar werkdagen]]</f>
        <v>0</v>
      </c>
      <c r="AG48" s="74">
        <f>Ruimtestaat[[#This Row],[kosten / jaar weekend]]+Ruimtestaat[[#This Row],[kosten / jaar werkdagen]]</f>
        <v>0</v>
      </c>
      <c r="AH48" s="105"/>
      <c r="HL48" s="72"/>
    </row>
    <row r="49" spans="1:220" ht="15" customHeight="1">
      <c r="A49" s="123">
        <v>1</v>
      </c>
      <c r="B49" s="24" t="str">
        <f>VLOOKUP(Ruimtestaat[[#This Row],[Code]],Locaties[#All],2,FALSE)</f>
        <v>Hoornbeeck College Amersfoort</v>
      </c>
      <c r="C49" s="24" t="str">
        <f>VLOOKUP(Ruimtestaat[[#This Row],[Code]],Locaties[#All],4,FALSE)</f>
        <v>Utrechtseweg 230</v>
      </c>
      <c r="D49" s="24" t="str">
        <f>VLOOKUP(Ruimtestaat[[#This Row],[Code]],Locaties[#All],5,FALSE)</f>
        <v>3818 ET</v>
      </c>
      <c r="E49" s="24" t="str">
        <f>VLOOKUP(Ruimtestaat[[#This Row],[Code]],Locaties[#All],6,FALSE)</f>
        <v>Amersfoort</v>
      </c>
      <c r="F49" s="67" t="s">
        <v>446</v>
      </c>
      <c r="G49" s="24" t="s">
        <v>434</v>
      </c>
      <c r="H49" s="24" t="s">
        <v>468</v>
      </c>
      <c r="I49" s="4" t="s">
        <v>466</v>
      </c>
      <c r="J49" s="24">
        <v>16</v>
      </c>
      <c r="K49" s="67" t="str">
        <f>VLOOKUP(J49,Ruimtegroepen[],2,FALSE)</f>
        <v>Leslokalen</v>
      </c>
      <c r="L49" s="24" t="s">
        <v>110</v>
      </c>
      <c r="M49" s="24" t="s">
        <v>539</v>
      </c>
      <c r="N49" s="96">
        <v>159</v>
      </c>
      <c r="O49" s="96"/>
      <c r="P49" s="106" t="str">
        <f>LEFT(VLOOKUP(Ruimtestaat[[#This Row],[Ruimte code]],Ruimtegroepen[#All],4,1),2)</f>
        <v>Le</v>
      </c>
      <c r="Q49" s="96"/>
      <c r="R49" s="97">
        <v>40</v>
      </c>
      <c r="S49" s="97" t="s">
        <v>2</v>
      </c>
      <c r="T49" s="98">
        <f>IF(R49&gt;0,IF(RIGHT(Ruimtestaat[[#This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" s="98">
        <f>IF(T49&gt;0,VLOOKUP($J49,Ruimtegroepen[],3,FALSE)*VLOOKUP($L49,Vloersoorten[],3,FALSE)*VLOOKUP($S49,Frequenties[],3,FALSE)*VLOOKUP($A49,Locaties[],3,FALSE),0)</f>
        <v>0</v>
      </c>
      <c r="V49" s="99">
        <f>Ruimtestaat[[#This Row],[Uitvoeringen werkdagen]]*Ruimtestaat[[#This Row],[Oppervlak (netto)]]</f>
        <v>31800</v>
      </c>
      <c r="W49" s="100">
        <f>IF(U49&gt;0,Ruimtestaat[[#This Row],[Prest. (m2 /jaar) werkdagen]]/Ruimtestaat[[#This Row],[Norm (m2/uur) werkdagen]],0)</f>
        <v>0</v>
      </c>
      <c r="X49" s="101">
        <f>Ruimtestaat[[#This Row],[uren / jaar werkdagen]]*Tariefsopbouw!$E$35</f>
        <v>0</v>
      </c>
      <c r="Y49" s="98"/>
      <c r="Z49" s="102">
        <f>IF(Ruimtestaat[[#This Row],[Frequentie weekend]]&gt;0,VALUE(LEFT(Y49,1))*R49,0)</f>
        <v>0</v>
      </c>
      <c r="AA49" s="98">
        <f>IF($Z49&gt;0,VLOOKUP($J49,Ruimtegroepen[],3,FALSE)*VLOOKUP($L49,Vloersoorten[],3,FALSE)*VLOOKUP($Y49,Frequenties[],3,FALSE)*VLOOKUP($A43,Locaties[],3,FALSE),0)</f>
        <v>0</v>
      </c>
      <c r="AB49" s="100">
        <f>Ruimtestaat[[#This Row],[Uitvoeringen weekend]]*Ruimtestaat[[#This Row],[Oppervlak (netto)]]</f>
        <v>0</v>
      </c>
      <c r="AC49" s="103">
        <f>IF(AB49&gt;0,Ruimtestaat[[#This Row],[Prest. (m2 /jaar) weekend]]/Ruimtestaat[[#This Row],[Norm (m2/uur) weekend]],0)</f>
        <v>0</v>
      </c>
      <c r="AD49" s="104">
        <f>Ruimtestaat[[#This Row],[uren / jaar weekend]]*Tariefsopbouw!$D$40</f>
        <v>0</v>
      </c>
      <c r="AE49" s="73">
        <f>Ruimtestaat[[#This Row],[Prest. (m2 /jaar) weekend]]+Ruimtestaat[[#This Row],[Prest. (m2 /jaar) werkdagen]]</f>
        <v>31800</v>
      </c>
      <c r="AF49" s="73">
        <f>Ruimtestaat[[#This Row],[uren / jaar weekend]]+Ruimtestaat[[#This Row],[uren / jaar werkdagen]]</f>
        <v>0</v>
      </c>
      <c r="AG49" s="74">
        <f>Ruimtestaat[[#This Row],[kosten / jaar weekend]]+Ruimtestaat[[#This Row],[kosten / jaar werkdagen]]</f>
        <v>0</v>
      </c>
      <c r="AH49" s="105"/>
      <c r="HL49" s="72"/>
    </row>
    <row r="50" spans="1:220" ht="15" customHeight="1">
      <c r="A50" s="123">
        <v>1</v>
      </c>
      <c r="B50" s="24" t="str">
        <f>VLOOKUP(Ruimtestaat[[#This Row],[Code]],Locaties[#All],2,FALSE)</f>
        <v>Hoornbeeck College Amersfoort</v>
      </c>
      <c r="C50" s="24" t="str">
        <f>VLOOKUP(Ruimtestaat[[#This Row],[Code]],Locaties[#All],4,FALSE)</f>
        <v>Utrechtseweg 230</v>
      </c>
      <c r="D50" s="24" t="str">
        <f>VLOOKUP(Ruimtestaat[[#This Row],[Code]],Locaties[#All],5,FALSE)</f>
        <v>3818 ET</v>
      </c>
      <c r="E50" s="24" t="str">
        <f>VLOOKUP(Ruimtestaat[[#This Row],[Code]],Locaties[#All],6,FALSE)</f>
        <v>Amersfoort</v>
      </c>
      <c r="F50" s="67" t="s">
        <v>446</v>
      </c>
      <c r="G50" s="24" t="s">
        <v>434</v>
      </c>
      <c r="H50" s="24" t="s">
        <v>469</v>
      </c>
      <c r="I50" s="4" t="s">
        <v>419</v>
      </c>
      <c r="J50" s="24">
        <v>16</v>
      </c>
      <c r="K50" s="67" t="str">
        <f>VLOOKUP(J50,Ruimtegroepen[],2,FALSE)</f>
        <v>Leslokalen</v>
      </c>
      <c r="L50" s="24" t="s">
        <v>110</v>
      </c>
      <c r="M50" s="24" t="s">
        <v>539</v>
      </c>
      <c r="N50" s="96">
        <v>78</v>
      </c>
      <c r="O50" s="96"/>
      <c r="P50" s="106" t="str">
        <f>LEFT(VLOOKUP(Ruimtestaat[[#This Row],[Ruimte code]],Ruimtegroepen[#All],4,1),2)</f>
        <v>Le</v>
      </c>
      <c r="Q50" s="96"/>
      <c r="R50" s="97">
        <v>40</v>
      </c>
      <c r="S50" s="97" t="s">
        <v>2</v>
      </c>
      <c r="T50" s="98">
        <f>IF(R50&gt;0,IF(RIGHT(Ruimtestaat[[#This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0" s="98">
        <f>IF(T50&gt;0,VLOOKUP($J50,Ruimtegroepen[],3,FALSE)*VLOOKUP($L50,Vloersoorten[],3,FALSE)*VLOOKUP($S50,Frequenties[],3,FALSE)*VLOOKUP($A50,Locaties[],3,FALSE),0)</f>
        <v>0</v>
      </c>
      <c r="V50" s="99">
        <f>Ruimtestaat[[#This Row],[Uitvoeringen werkdagen]]*Ruimtestaat[[#This Row],[Oppervlak (netto)]]</f>
        <v>15600</v>
      </c>
      <c r="W50" s="100">
        <f>IF(U50&gt;0,Ruimtestaat[[#This Row],[Prest. (m2 /jaar) werkdagen]]/Ruimtestaat[[#This Row],[Norm (m2/uur) werkdagen]],0)</f>
        <v>0</v>
      </c>
      <c r="X50" s="101">
        <f>Ruimtestaat[[#This Row],[uren / jaar werkdagen]]*Tariefsopbouw!$E$35</f>
        <v>0</v>
      </c>
      <c r="Y50" s="98"/>
      <c r="Z50" s="102">
        <f>IF(Ruimtestaat[[#This Row],[Frequentie weekend]]&gt;0,VALUE(LEFT(Y50,1))*R50,0)</f>
        <v>0</v>
      </c>
      <c r="AA50" s="98">
        <f>IF($Z50&gt;0,VLOOKUP($J50,Ruimtegroepen[],3,FALSE)*VLOOKUP($L50,Vloersoorten[],3,FALSE)*VLOOKUP($Y50,Frequenties[],3,FALSE)*VLOOKUP($A46,Locaties[],3,FALSE),0)</f>
        <v>0</v>
      </c>
      <c r="AB50" s="100">
        <f>Ruimtestaat[[#This Row],[Uitvoeringen weekend]]*Ruimtestaat[[#This Row],[Oppervlak (netto)]]</f>
        <v>0</v>
      </c>
      <c r="AC50" s="103">
        <f>IF(AB50&gt;0,Ruimtestaat[[#This Row],[Prest. (m2 /jaar) weekend]]/Ruimtestaat[[#This Row],[Norm (m2/uur) weekend]],0)</f>
        <v>0</v>
      </c>
      <c r="AD50" s="104">
        <f>Ruimtestaat[[#This Row],[uren / jaar weekend]]*Tariefsopbouw!$D$40</f>
        <v>0</v>
      </c>
      <c r="AE50" s="73">
        <f>Ruimtestaat[[#This Row],[Prest. (m2 /jaar) weekend]]+Ruimtestaat[[#This Row],[Prest. (m2 /jaar) werkdagen]]</f>
        <v>15600</v>
      </c>
      <c r="AF50" s="73">
        <f>Ruimtestaat[[#This Row],[uren / jaar weekend]]+Ruimtestaat[[#This Row],[uren / jaar werkdagen]]</f>
        <v>0</v>
      </c>
      <c r="AG50" s="74">
        <f>Ruimtestaat[[#This Row],[kosten / jaar weekend]]+Ruimtestaat[[#This Row],[kosten / jaar werkdagen]]</f>
        <v>0</v>
      </c>
      <c r="AH50" s="105"/>
      <c r="HL50" s="72"/>
    </row>
    <row r="51" spans="1:220" ht="15" customHeight="1">
      <c r="A51" s="123">
        <v>1</v>
      </c>
      <c r="B51" s="24" t="str">
        <f>VLOOKUP(Ruimtestaat[[#This Row],[Code]],Locaties[#All],2,FALSE)</f>
        <v>Hoornbeeck College Amersfoort</v>
      </c>
      <c r="C51" s="24" t="str">
        <f>VLOOKUP(Ruimtestaat[[#This Row],[Code]],Locaties[#All],4,FALSE)</f>
        <v>Utrechtseweg 230</v>
      </c>
      <c r="D51" s="24" t="str">
        <f>VLOOKUP(Ruimtestaat[[#This Row],[Code]],Locaties[#All],5,FALSE)</f>
        <v>3818 ET</v>
      </c>
      <c r="E51" s="24" t="str">
        <f>VLOOKUP(Ruimtestaat[[#This Row],[Code]],Locaties[#All],6,FALSE)</f>
        <v>Amersfoort</v>
      </c>
      <c r="F51" s="67" t="s">
        <v>446</v>
      </c>
      <c r="G51" s="24" t="s">
        <v>434</v>
      </c>
      <c r="H51" s="24" t="s">
        <v>470</v>
      </c>
      <c r="I51" s="4" t="s">
        <v>419</v>
      </c>
      <c r="J51" s="24">
        <v>16</v>
      </c>
      <c r="K51" s="67" t="str">
        <f>VLOOKUP(J51,Ruimtegroepen[],2,FALSE)</f>
        <v>Leslokalen</v>
      </c>
      <c r="L51" s="24" t="s">
        <v>110</v>
      </c>
      <c r="M51" s="24" t="s">
        <v>539</v>
      </c>
      <c r="N51" s="96">
        <v>153</v>
      </c>
      <c r="O51" s="96"/>
      <c r="P51" s="106" t="str">
        <f>LEFT(VLOOKUP(Ruimtestaat[[#This Row],[Ruimte code]],Ruimtegroepen[#All],4,1),2)</f>
        <v>Le</v>
      </c>
      <c r="Q51" s="96"/>
      <c r="R51" s="97">
        <v>40</v>
      </c>
      <c r="S51" s="97" t="s">
        <v>2</v>
      </c>
      <c r="T51" s="98">
        <f>IF(R51&gt;0,IF(RIGHT(Ruimtestaat[[#This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1" s="98">
        <f>IF(T51&gt;0,VLOOKUP($J51,Ruimtegroepen[],3,FALSE)*VLOOKUP($L51,Vloersoorten[],3,FALSE)*VLOOKUP($S51,Frequenties[],3,FALSE)*VLOOKUP($A51,Locaties[],3,FALSE),0)</f>
        <v>0</v>
      </c>
      <c r="V51" s="99">
        <f>Ruimtestaat[[#This Row],[Uitvoeringen werkdagen]]*Ruimtestaat[[#This Row],[Oppervlak (netto)]]</f>
        <v>30600</v>
      </c>
      <c r="W51" s="100">
        <f>IF(U51&gt;0,Ruimtestaat[[#This Row],[Prest. (m2 /jaar) werkdagen]]/Ruimtestaat[[#This Row],[Norm (m2/uur) werkdagen]],0)</f>
        <v>0</v>
      </c>
      <c r="X51" s="101">
        <f>Ruimtestaat[[#This Row],[uren / jaar werkdagen]]*Tariefsopbouw!$E$35</f>
        <v>0</v>
      </c>
      <c r="Y51" s="98"/>
      <c r="Z51" s="102">
        <f>IF(Ruimtestaat[[#This Row],[Frequentie weekend]]&gt;0,VALUE(LEFT(Y51,1))*R51,0)</f>
        <v>0</v>
      </c>
      <c r="AA51" s="98">
        <f>IF($Z51&gt;0,VLOOKUP($J51,Ruimtegroepen[],3,FALSE)*VLOOKUP($L51,Vloersoorten[],3,FALSE)*VLOOKUP($Y51,Frequenties[],3,FALSE)*VLOOKUP($A47,Locaties[],3,FALSE),0)</f>
        <v>0</v>
      </c>
      <c r="AB51" s="100">
        <f>Ruimtestaat[[#This Row],[Uitvoeringen weekend]]*Ruimtestaat[[#This Row],[Oppervlak (netto)]]</f>
        <v>0</v>
      </c>
      <c r="AC51" s="103">
        <f>IF(AB51&gt;0,Ruimtestaat[[#This Row],[Prest. (m2 /jaar) weekend]]/Ruimtestaat[[#This Row],[Norm (m2/uur) weekend]],0)</f>
        <v>0</v>
      </c>
      <c r="AD51" s="104">
        <f>Ruimtestaat[[#This Row],[uren / jaar weekend]]*Tariefsopbouw!$D$40</f>
        <v>0</v>
      </c>
      <c r="AE51" s="73">
        <f>Ruimtestaat[[#This Row],[Prest. (m2 /jaar) weekend]]+Ruimtestaat[[#This Row],[Prest. (m2 /jaar) werkdagen]]</f>
        <v>30600</v>
      </c>
      <c r="AF51" s="73">
        <f>Ruimtestaat[[#This Row],[uren / jaar weekend]]+Ruimtestaat[[#This Row],[uren / jaar werkdagen]]</f>
        <v>0</v>
      </c>
      <c r="AG51" s="74">
        <f>Ruimtestaat[[#This Row],[kosten / jaar weekend]]+Ruimtestaat[[#This Row],[kosten / jaar werkdagen]]</f>
        <v>0</v>
      </c>
      <c r="AH51" s="105"/>
      <c r="HL51" s="72"/>
    </row>
    <row r="52" spans="1:220" ht="15" customHeight="1">
      <c r="A52" s="123">
        <v>1</v>
      </c>
      <c r="B52" s="24" t="str">
        <f>VLOOKUP(Ruimtestaat[[#This Row],[Code]],Locaties[#All],2,FALSE)</f>
        <v>Hoornbeeck College Amersfoort</v>
      </c>
      <c r="C52" s="24" t="str">
        <f>VLOOKUP(Ruimtestaat[[#This Row],[Code]],Locaties[#All],4,FALSE)</f>
        <v>Utrechtseweg 230</v>
      </c>
      <c r="D52" s="24" t="str">
        <f>VLOOKUP(Ruimtestaat[[#This Row],[Code]],Locaties[#All],5,FALSE)</f>
        <v>3818 ET</v>
      </c>
      <c r="E52" s="24" t="str">
        <f>VLOOKUP(Ruimtestaat[[#This Row],[Code]],Locaties[#All],6,FALSE)</f>
        <v>Amersfoort</v>
      </c>
      <c r="F52" s="67" t="s">
        <v>471</v>
      </c>
      <c r="G52" s="24" t="s">
        <v>417</v>
      </c>
      <c r="H52" s="24" t="s">
        <v>472</v>
      </c>
      <c r="I52" s="4" t="s">
        <v>419</v>
      </c>
      <c r="J52" s="24">
        <v>16</v>
      </c>
      <c r="K52" s="67" t="str">
        <f>VLOOKUP(J52,Ruimtegroepen[],2,FALSE)</f>
        <v>Leslokalen</v>
      </c>
      <c r="L52" s="24" t="s">
        <v>110</v>
      </c>
      <c r="M52" s="24" t="s">
        <v>539</v>
      </c>
      <c r="N52" s="96">
        <v>48</v>
      </c>
      <c r="O52" s="96"/>
      <c r="P52" s="106" t="str">
        <f>LEFT(VLOOKUP(Ruimtestaat[[#This Row],[Ruimte code]],Ruimtegroepen[#All],4,1),2)</f>
        <v>Le</v>
      </c>
      <c r="Q52" s="96"/>
      <c r="R52" s="97">
        <v>40</v>
      </c>
      <c r="S52" s="97" t="s">
        <v>2</v>
      </c>
      <c r="T52" s="98">
        <f>IF(R52&gt;0,IF(RIGHT(Ruimtestaat[[#This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2" s="98">
        <f>IF(T52&gt;0,VLOOKUP($J52,Ruimtegroepen[],3,FALSE)*VLOOKUP($L52,Vloersoorten[],3,FALSE)*VLOOKUP($S52,Frequenties[],3,FALSE)*VLOOKUP($A52,Locaties[],3,FALSE),0)</f>
        <v>0</v>
      </c>
      <c r="V52" s="99">
        <f>Ruimtestaat[[#This Row],[Uitvoeringen werkdagen]]*Ruimtestaat[[#This Row],[Oppervlak (netto)]]</f>
        <v>9600</v>
      </c>
      <c r="W52" s="100">
        <f>IF(U52&gt;0,Ruimtestaat[[#This Row],[Prest. (m2 /jaar) werkdagen]]/Ruimtestaat[[#This Row],[Norm (m2/uur) werkdagen]],0)</f>
        <v>0</v>
      </c>
      <c r="X52" s="101">
        <f>Ruimtestaat[[#This Row],[uren / jaar werkdagen]]*Tariefsopbouw!$E$35</f>
        <v>0</v>
      </c>
      <c r="Y52" s="98"/>
      <c r="Z52" s="102">
        <f>IF(Ruimtestaat[[#This Row],[Frequentie weekend]]&gt;0,VALUE(LEFT(Y52,1))*R52,0)</f>
        <v>0</v>
      </c>
      <c r="AA52" s="98">
        <f>IF($Z52&gt;0,VLOOKUP($J52,Ruimtegroepen[],3,FALSE)*VLOOKUP($L52,Vloersoorten[],3,FALSE)*VLOOKUP($Y52,Frequenties[],3,FALSE)*VLOOKUP($A49,Locaties[],3,FALSE),0)</f>
        <v>0</v>
      </c>
      <c r="AB52" s="100">
        <f>Ruimtestaat[[#This Row],[Uitvoeringen weekend]]*Ruimtestaat[[#This Row],[Oppervlak (netto)]]</f>
        <v>0</v>
      </c>
      <c r="AC52" s="103">
        <f>IF(AB52&gt;0,Ruimtestaat[[#This Row],[Prest. (m2 /jaar) weekend]]/Ruimtestaat[[#This Row],[Norm (m2/uur) weekend]],0)</f>
        <v>0</v>
      </c>
      <c r="AD52" s="104">
        <f>Ruimtestaat[[#This Row],[uren / jaar weekend]]*Tariefsopbouw!$D$40</f>
        <v>0</v>
      </c>
      <c r="AE52" s="73">
        <f>Ruimtestaat[[#This Row],[Prest. (m2 /jaar) weekend]]+Ruimtestaat[[#This Row],[Prest. (m2 /jaar) werkdagen]]</f>
        <v>9600</v>
      </c>
      <c r="AF52" s="73">
        <f>Ruimtestaat[[#This Row],[uren / jaar weekend]]+Ruimtestaat[[#This Row],[uren / jaar werkdagen]]</f>
        <v>0</v>
      </c>
      <c r="AG52" s="74">
        <f>Ruimtestaat[[#This Row],[kosten / jaar weekend]]+Ruimtestaat[[#This Row],[kosten / jaar werkdagen]]</f>
        <v>0</v>
      </c>
      <c r="AH52" s="105"/>
      <c r="HL52" s="72"/>
    </row>
    <row r="53" spans="1:220" ht="15" customHeight="1">
      <c r="A53" s="123">
        <v>1</v>
      </c>
      <c r="B53" s="24" t="str">
        <f>VLOOKUP(Ruimtestaat[[#This Row],[Code]],Locaties[#All],2,FALSE)</f>
        <v>Hoornbeeck College Amersfoort</v>
      </c>
      <c r="C53" s="24" t="str">
        <f>VLOOKUP(Ruimtestaat[[#This Row],[Code]],Locaties[#All],4,FALSE)</f>
        <v>Utrechtseweg 230</v>
      </c>
      <c r="D53" s="24" t="str">
        <f>VLOOKUP(Ruimtestaat[[#This Row],[Code]],Locaties[#All],5,FALSE)</f>
        <v>3818 ET</v>
      </c>
      <c r="E53" s="24" t="str">
        <f>VLOOKUP(Ruimtestaat[[#This Row],[Code]],Locaties[#All],6,FALSE)</f>
        <v>Amersfoort</v>
      </c>
      <c r="F53" s="67" t="s">
        <v>471</v>
      </c>
      <c r="G53" s="24" t="s">
        <v>417</v>
      </c>
      <c r="H53" s="24" t="s">
        <v>473</v>
      </c>
      <c r="I53" s="4" t="s">
        <v>419</v>
      </c>
      <c r="J53" s="24">
        <v>16</v>
      </c>
      <c r="K53" s="67" t="str">
        <f>VLOOKUP(J53,Ruimtegroepen[],2,FALSE)</f>
        <v>Leslokalen</v>
      </c>
      <c r="L53" s="24" t="s">
        <v>110</v>
      </c>
      <c r="M53" s="24" t="s">
        <v>539</v>
      </c>
      <c r="N53" s="96">
        <v>48</v>
      </c>
      <c r="O53" s="96"/>
      <c r="P53" s="106" t="str">
        <f>LEFT(VLOOKUP(Ruimtestaat[[#This Row],[Ruimte code]],Ruimtegroepen[#All],4,1),2)</f>
        <v>Le</v>
      </c>
      <c r="Q53" s="96"/>
      <c r="R53" s="97">
        <v>40</v>
      </c>
      <c r="S53" s="97" t="s">
        <v>2</v>
      </c>
      <c r="T53" s="98">
        <f>IF(R53&gt;0,IF(RIGHT(Ruimtestaat[[#This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" s="98">
        <f>IF(T53&gt;0,VLOOKUP($J53,Ruimtegroepen[],3,FALSE)*VLOOKUP($L53,Vloersoorten[],3,FALSE)*VLOOKUP($S53,Frequenties[],3,FALSE)*VLOOKUP($A53,Locaties[],3,FALSE),0)</f>
        <v>0</v>
      </c>
      <c r="V53" s="99">
        <f>Ruimtestaat[[#This Row],[Uitvoeringen werkdagen]]*Ruimtestaat[[#This Row],[Oppervlak (netto)]]</f>
        <v>9600</v>
      </c>
      <c r="W53" s="100">
        <f>IF(U53&gt;0,Ruimtestaat[[#This Row],[Prest. (m2 /jaar) werkdagen]]/Ruimtestaat[[#This Row],[Norm (m2/uur) werkdagen]],0)</f>
        <v>0</v>
      </c>
      <c r="X53" s="101">
        <f>Ruimtestaat[[#This Row],[uren / jaar werkdagen]]*Tariefsopbouw!$E$35</f>
        <v>0</v>
      </c>
      <c r="Y53" s="98"/>
      <c r="Z53" s="102">
        <f>IF(Ruimtestaat[[#This Row],[Frequentie weekend]]&gt;0,VALUE(LEFT(Y53,1))*R53,0)</f>
        <v>0</v>
      </c>
      <c r="AA53" s="98">
        <f>IF($Z53&gt;0,VLOOKUP($J53,Ruimtegroepen[],3,FALSE)*VLOOKUP($L53,Vloersoorten[],3,FALSE)*VLOOKUP($Y53,Frequenties[],3,FALSE)*VLOOKUP(#REF!,Locaties[],3,FALSE),0)</f>
        <v>0</v>
      </c>
      <c r="AB53" s="100">
        <f>Ruimtestaat[[#This Row],[Uitvoeringen weekend]]*Ruimtestaat[[#This Row],[Oppervlak (netto)]]</f>
        <v>0</v>
      </c>
      <c r="AC53" s="103">
        <f>IF(AB53&gt;0,Ruimtestaat[[#This Row],[Prest. (m2 /jaar) weekend]]/Ruimtestaat[[#This Row],[Norm (m2/uur) weekend]],0)</f>
        <v>0</v>
      </c>
      <c r="AD53" s="104">
        <f>Ruimtestaat[[#This Row],[uren / jaar weekend]]*Tariefsopbouw!$D$40</f>
        <v>0</v>
      </c>
      <c r="AE53" s="73">
        <f>Ruimtestaat[[#This Row],[Prest. (m2 /jaar) weekend]]+Ruimtestaat[[#This Row],[Prest. (m2 /jaar) werkdagen]]</f>
        <v>9600</v>
      </c>
      <c r="AF53" s="73">
        <f>Ruimtestaat[[#This Row],[uren / jaar weekend]]+Ruimtestaat[[#This Row],[uren / jaar werkdagen]]</f>
        <v>0</v>
      </c>
      <c r="AG53" s="74">
        <f>Ruimtestaat[[#This Row],[kosten / jaar weekend]]+Ruimtestaat[[#This Row],[kosten / jaar werkdagen]]</f>
        <v>0</v>
      </c>
      <c r="AH53" s="105"/>
      <c r="HL53" s="72"/>
    </row>
    <row r="54" spans="1:220" ht="15" customHeight="1">
      <c r="A54" s="123">
        <v>1</v>
      </c>
      <c r="B54" s="24" t="str">
        <f>VLOOKUP(Ruimtestaat[[#This Row],[Code]],Locaties[#All],2,FALSE)</f>
        <v>Hoornbeeck College Amersfoort</v>
      </c>
      <c r="C54" s="24" t="str">
        <f>VLOOKUP(Ruimtestaat[[#This Row],[Code]],Locaties[#All],4,FALSE)</f>
        <v>Utrechtseweg 230</v>
      </c>
      <c r="D54" s="24" t="str">
        <f>VLOOKUP(Ruimtestaat[[#This Row],[Code]],Locaties[#All],5,FALSE)</f>
        <v>3818 ET</v>
      </c>
      <c r="E54" s="24" t="str">
        <f>VLOOKUP(Ruimtestaat[[#This Row],[Code]],Locaties[#All],6,FALSE)</f>
        <v>Amersfoort</v>
      </c>
      <c r="F54" s="67" t="s">
        <v>471</v>
      </c>
      <c r="G54" s="24" t="s">
        <v>417</v>
      </c>
      <c r="H54" s="24" t="s">
        <v>474</v>
      </c>
      <c r="I54" s="4" t="s">
        <v>419</v>
      </c>
      <c r="J54" s="24">
        <v>16</v>
      </c>
      <c r="K54" s="67" t="str">
        <f>VLOOKUP(J54,Ruimtegroepen[],2,FALSE)</f>
        <v>Leslokalen</v>
      </c>
      <c r="L54" s="24" t="s">
        <v>110</v>
      </c>
      <c r="M54" s="24" t="s">
        <v>539</v>
      </c>
      <c r="N54" s="96">
        <v>49</v>
      </c>
      <c r="O54" s="96"/>
      <c r="P54" s="106" t="str">
        <f>LEFT(VLOOKUP(Ruimtestaat[[#This Row],[Ruimte code]],Ruimtegroepen[#All],4,1),2)</f>
        <v>Le</v>
      </c>
      <c r="Q54" s="96"/>
      <c r="R54" s="97">
        <v>40</v>
      </c>
      <c r="S54" s="97" t="s">
        <v>2</v>
      </c>
      <c r="T54" s="98">
        <f>IF(R54&gt;0,IF(RIGHT(Ruimtestaat[[#This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4" s="98">
        <f>IF(T54&gt;0,VLOOKUP($J54,Ruimtegroepen[],3,FALSE)*VLOOKUP($L54,Vloersoorten[],3,FALSE)*VLOOKUP($S54,Frequenties[],3,FALSE)*VLOOKUP($A54,Locaties[],3,FALSE),0)</f>
        <v>0</v>
      </c>
      <c r="V54" s="99">
        <f>Ruimtestaat[[#This Row],[Uitvoeringen werkdagen]]*Ruimtestaat[[#This Row],[Oppervlak (netto)]]</f>
        <v>9800</v>
      </c>
      <c r="W54" s="100">
        <f>IF(U54&gt;0,Ruimtestaat[[#This Row],[Prest. (m2 /jaar) werkdagen]]/Ruimtestaat[[#This Row],[Norm (m2/uur) werkdagen]],0)</f>
        <v>0</v>
      </c>
      <c r="X54" s="101">
        <f>Ruimtestaat[[#This Row],[uren / jaar werkdagen]]*Tariefsopbouw!$E$35</f>
        <v>0</v>
      </c>
      <c r="Y54" s="98"/>
      <c r="Z54" s="102">
        <f>IF(Ruimtestaat[[#This Row],[Frequentie weekend]]&gt;0,VALUE(LEFT(Y54,1))*R54,0)</f>
        <v>0</v>
      </c>
      <c r="AA54" s="98">
        <f>IF($Z54&gt;0,VLOOKUP($J54,Ruimtegroepen[],3,FALSE)*VLOOKUP($L54,Vloersoorten[],3,FALSE)*VLOOKUP($Y54,Frequenties[],3,FALSE)*VLOOKUP($A50,Locaties[],3,FALSE),0)</f>
        <v>0</v>
      </c>
      <c r="AB54" s="100">
        <f>Ruimtestaat[[#This Row],[Uitvoeringen weekend]]*Ruimtestaat[[#This Row],[Oppervlak (netto)]]</f>
        <v>0</v>
      </c>
      <c r="AC54" s="103">
        <f>IF(AB54&gt;0,Ruimtestaat[[#This Row],[Prest. (m2 /jaar) weekend]]/Ruimtestaat[[#This Row],[Norm (m2/uur) weekend]],0)</f>
        <v>0</v>
      </c>
      <c r="AD54" s="104">
        <f>Ruimtestaat[[#This Row],[uren / jaar weekend]]*Tariefsopbouw!$D$40</f>
        <v>0</v>
      </c>
      <c r="AE54" s="73">
        <f>Ruimtestaat[[#This Row],[Prest. (m2 /jaar) weekend]]+Ruimtestaat[[#This Row],[Prest. (m2 /jaar) werkdagen]]</f>
        <v>9800</v>
      </c>
      <c r="AF54" s="73">
        <f>Ruimtestaat[[#This Row],[uren / jaar weekend]]+Ruimtestaat[[#This Row],[uren / jaar werkdagen]]</f>
        <v>0</v>
      </c>
      <c r="AG54" s="74">
        <f>Ruimtestaat[[#This Row],[kosten / jaar weekend]]+Ruimtestaat[[#This Row],[kosten / jaar werkdagen]]</f>
        <v>0</v>
      </c>
      <c r="AH54" s="105"/>
      <c r="HL54" s="72"/>
    </row>
    <row r="55" spans="1:220" ht="15" customHeight="1">
      <c r="A55" s="123">
        <v>1</v>
      </c>
      <c r="B55" s="24" t="str">
        <f>VLOOKUP(Ruimtestaat[[#This Row],[Code]],Locaties[#All],2,FALSE)</f>
        <v>Hoornbeeck College Amersfoort</v>
      </c>
      <c r="C55" s="24" t="str">
        <f>VLOOKUP(Ruimtestaat[[#This Row],[Code]],Locaties[#All],4,FALSE)</f>
        <v>Utrechtseweg 230</v>
      </c>
      <c r="D55" s="24" t="str">
        <f>VLOOKUP(Ruimtestaat[[#This Row],[Code]],Locaties[#All],5,FALSE)</f>
        <v>3818 ET</v>
      </c>
      <c r="E55" s="24" t="str">
        <f>VLOOKUP(Ruimtestaat[[#This Row],[Code]],Locaties[#All],6,FALSE)</f>
        <v>Amersfoort</v>
      </c>
      <c r="F55" s="67" t="s">
        <v>471</v>
      </c>
      <c r="G55" s="24" t="s">
        <v>417</v>
      </c>
      <c r="H55" s="24" t="s">
        <v>475</v>
      </c>
      <c r="I55" s="4" t="s">
        <v>419</v>
      </c>
      <c r="J55" s="24">
        <v>16</v>
      </c>
      <c r="K55" s="67" t="str">
        <f>VLOOKUP(J55,Ruimtegroepen[],2,FALSE)</f>
        <v>Leslokalen</v>
      </c>
      <c r="L55" s="24" t="s">
        <v>110</v>
      </c>
      <c r="M55" s="24" t="s">
        <v>539</v>
      </c>
      <c r="N55" s="96">
        <v>68</v>
      </c>
      <c r="O55" s="96"/>
      <c r="P55" s="106" t="str">
        <f>LEFT(VLOOKUP(Ruimtestaat[[#This Row],[Ruimte code]],Ruimtegroepen[#All],4,1),2)</f>
        <v>Le</v>
      </c>
      <c r="Q55" s="96"/>
      <c r="R55" s="97">
        <v>40</v>
      </c>
      <c r="S55" s="97" t="s">
        <v>2</v>
      </c>
      <c r="T55" s="98">
        <f>IF(R55&gt;0,IF(RIGHT(Ruimtestaat[[#This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5" s="98">
        <f>IF(T55&gt;0,VLOOKUP($J55,Ruimtegroepen[],3,FALSE)*VLOOKUP($L55,Vloersoorten[],3,FALSE)*VLOOKUP($S55,Frequenties[],3,FALSE)*VLOOKUP($A55,Locaties[],3,FALSE),0)</f>
        <v>0</v>
      </c>
      <c r="V55" s="99">
        <f>Ruimtestaat[[#This Row],[Uitvoeringen werkdagen]]*Ruimtestaat[[#This Row],[Oppervlak (netto)]]</f>
        <v>13600</v>
      </c>
      <c r="W55" s="100">
        <f>IF(U55&gt;0,Ruimtestaat[[#This Row],[Prest. (m2 /jaar) werkdagen]]/Ruimtestaat[[#This Row],[Norm (m2/uur) werkdagen]],0)</f>
        <v>0</v>
      </c>
      <c r="X55" s="101">
        <f>Ruimtestaat[[#This Row],[uren / jaar werkdagen]]*Tariefsopbouw!$E$35</f>
        <v>0</v>
      </c>
      <c r="Y55" s="98"/>
      <c r="Z55" s="102">
        <f>IF(Ruimtestaat[[#This Row],[Frequentie weekend]]&gt;0,VALUE(LEFT(Y55,1))*R55,0)</f>
        <v>0</v>
      </c>
      <c r="AA55" s="98">
        <f>IF($Z55&gt;0,VLOOKUP($J55,Ruimtegroepen[],3,FALSE)*VLOOKUP($L55,Vloersoorten[],3,FALSE)*VLOOKUP($Y55,Frequenties[],3,FALSE)*VLOOKUP($A51,Locaties[],3,FALSE),0)</f>
        <v>0</v>
      </c>
      <c r="AB55" s="100">
        <f>Ruimtestaat[[#This Row],[Uitvoeringen weekend]]*Ruimtestaat[[#This Row],[Oppervlak (netto)]]</f>
        <v>0</v>
      </c>
      <c r="AC55" s="103">
        <f>IF(AB55&gt;0,Ruimtestaat[[#This Row],[Prest. (m2 /jaar) weekend]]/Ruimtestaat[[#This Row],[Norm (m2/uur) weekend]],0)</f>
        <v>0</v>
      </c>
      <c r="AD55" s="104">
        <f>Ruimtestaat[[#This Row],[uren / jaar weekend]]*Tariefsopbouw!$D$40</f>
        <v>0</v>
      </c>
      <c r="AE55" s="73">
        <f>Ruimtestaat[[#This Row],[Prest. (m2 /jaar) weekend]]+Ruimtestaat[[#This Row],[Prest. (m2 /jaar) werkdagen]]</f>
        <v>13600</v>
      </c>
      <c r="AF55" s="73">
        <f>Ruimtestaat[[#This Row],[uren / jaar weekend]]+Ruimtestaat[[#This Row],[uren / jaar werkdagen]]</f>
        <v>0</v>
      </c>
      <c r="AG55" s="74">
        <f>Ruimtestaat[[#This Row],[kosten / jaar weekend]]+Ruimtestaat[[#This Row],[kosten / jaar werkdagen]]</f>
        <v>0</v>
      </c>
      <c r="AH55" s="105"/>
      <c r="HL55" s="72"/>
    </row>
    <row r="56" spans="1:220" ht="15" customHeight="1">
      <c r="A56" s="123">
        <v>1</v>
      </c>
      <c r="B56" s="24" t="str">
        <f>VLOOKUP(Ruimtestaat[[#This Row],[Code]],Locaties[#All],2,FALSE)</f>
        <v>Hoornbeeck College Amersfoort</v>
      </c>
      <c r="C56" s="24" t="str">
        <f>VLOOKUP(Ruimtestaat[[#This Row],[Code]],Locaties[#All],4,FALSE)</f>
        <v>Utrechtseweg 230</v>
      </c>
      <c r="D56" s="24" t="str">
        <f>VLOOKUP(Ruimtestaat[[#This Row],[Code]],Locaties[#All],5,FALSE)</f>
        <v>3818 ET</v>
      </c>
      <c r="E56" s="24" t="str">
        <f>VLOOKUP(Ruimtestaat[[#This Row],[Code]],Locaties[#All],6,FALSE)</f>
        <v>Amersfoort</v>
      </c>
      <c r="F56" s="67" t="s">
        <v>471</v>
      </c>
      <c r="G56" s="24" t="s">
        <v>417</v>
      </c>
      <c r="H56" s="24" t="s">
        <v>476</v>
      </c>
      <c r="I56" s="4" t="s">
        <v>419</v>
      </c>
      <c r="J56" s="24">
        <v>16</v>
      </c>
      <c r="K56" s="67" t="str">
        <f>VLOOKUP(J56,Ruimtegroepen[],2,FALSE)</f>
        <v>Leslokalen</v>
      </c>
      <c r="L56" s="24" t="s">
        <v>110</v>
      </c>
      <c r="M56" s="24" t="s">
        <v>38</v>
      </c>
      <c r="N56" s="96">
        <v>36</v>
      </c>
      <c r="O56" s="96"/>
      <c r="P56" s="106" t="str">
        <f>LEFT(VLOOKUP(Ruimtestaat[[#This Row],[Ruimte code]],Ruimtegroepen[#All],4,1),2)</f>
        <v>Le</v>
      </c>
      <c r="Q56" s="96"/>
      <c r="R56" s="97">
        <v>40</v>
      </c>
      <c r="S56" s="97" t="s">
        <v>2</v>
      </c>
      <c r="T56" s="98">
        <f>IF(R56&gt;0,IF(RIGHT(Ruimtestaat[[#This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6" s="98">
        <f>IF(T56&gt;0,VLOOKUP($J56,Ruimtegroepen[],3,FALSE)*VLOOKUP($L56,Vloersoorten[],3,FALSE)*VLOOKUP($S56,Frequenties[],3,FALSE)*VLOOKUP($A56,Locaties[],3,FALSE),0)</f>
        <v>0</v>
      </c>
      <c r="V56" s="99">
        <f>Ruimtestaat[[#This Row],[Uitvoeringen werkdagen]]*Ruimtestaat[[#This Row],[Oppervlak (netto)]]</f>
        <v>7200</v>
      </c>
      <c r="W56" s="100">
        <f>IF(U56&gt;0,Ruimtestaat[[#This Row],[Prest. (m2 /jaar) werkdagen]]/Ruimtestaat[[#This Row],[Norm (m2/uur) werkdagen]],0)</f>
        <v>0</v>
      </c>
      <c r="X56" s="101">
        <f>Ruimtestaat[[#This Row],[uren / jaar werkdagen]]*Tariefsopbouw!$E$35</f>
        <v>0</v>
      </c>
      <c r="Y56" s="98"/>
      <c r="Z56" s="102">
        <f>IF(Ruimtestaat[[#This Row],[Frequentie weekend]]&gt;0,VALUE(LEFT(Y56,1))*R56,0)</f>
        <v>0</v>
      </c>
      <c r="AA56" s="98">
        <f>IF($Z56&gt;0,VLOOKUP($J56,Ruimtegroepen[],3,FALSE)*VLOOKUP($L56,Vloersoorten[],3,FALSE)*VLOOKUP($Y56,Frequenties[],3,FALSE)*VLOOKUP($A52,Locaties[],3,FALSE),0)</f>
        <v>0</v>
      </c>
      <c r="AB56" s="100">
        <f>Ruimtestaat[[#This Row],[Uitvoeringen weekend]]*Ruimtestaat[[#This Row],[Oppervlak (netto)]]</f>
        <v>0</v>
      </c>
      <c r="AC56" s="103">
        <f>IF(AB56&gt;0,Ruimtestaat[[#This Row],[Prest. (m2 /jaar) weekend]]/Ruimtestaat[[#This Row],[Norm (m2/uur) weekend]],0)</f>
        <v>0</v>
      </c>
      <c r="AD56" s="104">
        <f>Ruimtestaat[[#This Row],[uren / jaar weekend]]*Tariefsopbouw!$D$40</f>
        <v>0</v>
      </c>
      <c r="AE56" s="73">
        <f>Ruimtestaat[[#This Row],[Prest. (m2 /jaar) weekend]]+Ruimtestaat[[#This Row],[Prest. (m2 /jaar) werkdagen]]</f>
        <v>7200</v>
      </c>
      <c r="AF56" s="73">
        <f>Ruimtestaat[[#This Row],[uren / jaar weekend]]+Ruimtestaat[[#This Row],[uren / jaar werkdagen]]</f>
        <v>0</v>
      </c>
      <c r="AG56" s="74">
        <f>Ruimtestaat[[#This Row],[kosten / jaar weekend]]+Ruimtestaat[[#This Row],[kosten / jaar werkdagen]]</f>
        <v>0</v>
      </c>
      <c r="AH56" s="105"/>
      <c r="HL56" s="72"/>
    </row>
    <row r="57" spans="1:220" ht="15" customHeight="1">
      <c r="A57" s="123">
        <v>1</v>
      </c>
      <c r="B57" s="24" t="str">
        <f>VLOOKUP(Ruimtestaat[[#This Row],[Code]],Locaties[#All],2,FALSE)</f>
        <v>Hoornbeeck College Amersfoort</v>
      </c>
      <c r="C57" s="24" t="str">
        <f>VLOOKUP(Ruimtestaat[[#This Row],[Code]],Locaties[#All],4,FALSE)</f>
        <v>Utrechtseweg 230</v>
      </c>
      <c r="D57" s="24" t="str">
        <f>VLOOKUP(Ruimtestaat[[#This Row],[Code]],Locaties[#All],5,FALSE)</f>
        <v>3818 ET</v>
      </c>
      <c r="E57" s="24" t="str">
        <f>VLOOKUP(Ruimtestaat[[#This Row],[Code]],Locaties[#All],6,FALSE)</f>
        <v>Amersfoort</v>
      </c>
      <c r="F57" s="67" t="s">
        <v>471</v>
      </c>
      <c r="G57" s="24" t="s">
        <v>417</v>
      </c>
      <c r="H57" s="24" t="s">
        <v>477</v>
      </c>
      <c r="I57" s="4" t="s">
        <v>478</v>
      </c>
      <c r="J57" s="24">
        <v>6</v>
      </c>
      <c r="K57" s="67" t="str">
        <f>VLOOKUP(J57,Ruimtegroepen[],2,FALSE)</f>
        <v>Gangen/hallen</v>
      </c>
      <c r="L57" s="24" t="s">
        <v>110</v>
      </c>
      <c r="M57" s="24" t="s">
        <v>38</v>
      </c>
      <c r="N57" s="96">
        <v>21</v>
      </c>
      <c r="O57" s="96"/>
      <c r="P57" s="106" t="str">
        <f>LEFT(VLOOKUP(Ruimtestaat[[#This Row],[Ruimte code]],Ruimtegroepen[#All],4,1),2)</f>
        <v>Ve</v>
      </c>
      <c r="Q57" s="96"/>
      <c r="R57" s="97">
        <v>40</v>
      </c>
      <c r="S57" s="97" t="s">
        <v>2</v>
      </c>
      <c r="T57" s="98">
        <f>IF(R57&gt;0,IF(RIGHT(Ruimtestaat[[#This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7" s="98">
        <f>IF(T57&gt;0,VLOOKUP($J57,Ruimtegroepen[],3,FALSE)*VLOOKUP($L57,Vloersoorten[],3,FALSE)*VLOOKUP($S57,Frequenties[],3,FALSE)*VLOOKUP($A57,Locaties[],3,FALSE),0)</f>
        <v>0</v>
      </c>
      <c r="V57" s="99">
        <f>Ruimtestaat[[#This Row],[Uitvoeringen werkdagen]]*Ruimtestaat[[#This Row],[Oppervlak (netto)]]</f>
        <v>4200</v>
      </c>
      <c r="W57" s="100">
        <f>IF(U57&gt;0,Ruimtestaat[[#This Row],[Prest. (m2 /jaar) werkdagen]]/Ruimtestaat[[#This Row],[Norm (m2/uur) werkdagen]],0)</f>
        <v>0</v>
      </c>
      <c r="X57" s="101">
        <f>Ruimtestaat[[#This Row],[uren / jaar werkdagen]]*Tariefsopbouw!$E$35</f>
        <v>0</v>
      </c>
      <c r="Y57" s="98"/>
      <c r="Z57" s="102">
        <f>IF(Ruimtestaat[[#This Row],[Frequentie weekend]]&gt;0,VALUE(LEFT(Y57,1))*R57,0)</f>
        <v>0</v>
      </c>
      <c r="AA57" s="98">
        <f>IF($Z57&gt;0,VLOOKUP($J57,Ruimtegroepen[],3,FALSE)*VLOOKUP($L57,Vloersoorten[],3,FALSE)*VLOOKUP($Y57,Frequenties[],3,FALSE)*VLOOKUP(#REF!,Locaties[],3,FALSE),0)</f>
        <v>0</v>
      </c>
      <c r="AB57" s="100">
        <f>Ruimtestaat[[#This Row],[Uitvoeringen weekend]]*Ruimtestaat[[#This Row],[Oppervlak (netto)]]</f>
        <v>0</v>
      </c>
      <c r="AC57" s="103">
        <f>IF(AB57&gt;0,Ruimtestaat[[#This Row],[Prest. (m2 /jaar) weekend]]/Ruimtestaat[[#This Row],[Norm (m2/uur) weekend]],0)</f>
        <v>0</v>
      </c>
      <c r="AD57" s="104">
        <f>Ruimtestaat[[#This Row],[uren / jaar weekend]]*Tariefsopbouw!$D$40</f>
        <v>0</v>
      </c>
      <c r="AE57" s="73">
        <f>Ruimtestaat[[#This Row],[Prest. (m2 /jaar) weekend]]+Ruimtestaat[[#This Row],[Prest. (m2 /jaar) werkdagen]]</f>
        <v>4200</v>
      </c>
      <c r="AF57" s="73">
        <f>Ruimtestaat[[#This Row],[uren / jaar weekend]]+Ruimtestaat[[#This Row],[uren / jaar werkdagen]]</f>
        <v>0</v>
      </c>
      <c r="AG57" s="74">
        <f>Ruimtestaat[[#This Row],[kosten / jaar weekend]]+Ruimtestaat[[#This Row],[kosten / jaar werkdagen]]</f>
        <v>0</v>
      </c>
      <c r="AH57" s="105"/>
      <c r="HL57" s="72"/>
    </row>
    <row r="58" spans="1:220" ht="15" customHeight="1">
      <c r="A58" s="123">
        <v>1</v>
      </c>
      <c r="B58" s="24" t="str">
        <f>VLOOKUP(Ruimtestaat[[#This Row],[Code]],Locaties[#All],2,FALSE)</f>
        <v>Hoornbeeck College Amersfoort</v>
      </c>
      <c r="C58" s="24" t="str">
        <f>VLOOKUP(Ruimtestaat[[#This Row],[Code]],Locaties[#All],4,FALSE)</f>
        <v>Utrechtseweg 230</v>
      </c>
      <c r="D58" s="24" t="str">
        <f>VLOOKUP(Ruimtestaat[[#This Row],[Code]],Locaties[#All],5,FALSE)</f>
        <v>3818 ET</v>
      </c>
      <c r="E58" s="24" t="str">
        <f>VLOOKUP(Ruimtestaat[[#This Row],[Code]],Locaties[#All],6,FALSE)</f>
        <v>Amersfoort</v>
      </c>
      <c r="F58" s="67" t="s">
        <v>479</v>
      </c>
      <c r="G58" s="24" t="s">
        <v>417</v>
      </c>
      <c r="H58" s="24" t="s">
        <v>480</v>
      </c>
      <c r="I58" s="4" t="s">
        <v>419</v>
      </c>
      <c r="J58" s="24">
        <v>16</v>
      </c>
      <c r="K58" s="67" t="str">
        <f>VLOOKUP(J58,Ruimtegroepen[],2,FALSE)</f>
        <v>Leslokalen</v>
      </c>
      <c r="L58" s="24" t="s">
        <v>110</v>
      </c>
      <c r="M58" s="24" t="s">
        <v>539</v>
      </c>
      <c r="N58" s="96">
        <v>60</v>
      </c>
      <c r="O58" s="96"/>
      <c r="P58" s="106" t="str">
        <f>LEFT(VLOOKUP(Ruimtestaat[[#This Row],[Ruimte code]],Ruimtegroepen[#All],4,1),2)</f>
        <v>Le</v>
      </c>
      <c r="Q58" s="96"/>
      <c r="R58" s="97">
        <v>40</v>
      </c>
      <c r="S58" s="97" t="s">
        <v>2</v>
      </c>
      <c r="T58" s="98">
        <f>IF(R58&gt;0,IF(RIGHT(Ruimtestaat[[#This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8" s="98">
        <f>IF(T58&gt;0,VLOOKUP($J58,Ruimtegroepen[],3,FALSE)*VLOOKUP($L58,Vloersoorten[],3,FALSE)*VLOOKUP($S58,Frequenties[],3,FALSE)*VLOOKUP($A58,Locaties[],3,FALSE),0)</f>
        <v>0</v>
      </c>
      <c r="V58" s="99">
        <f>Ruimtestaat[[#This Row],[Uitvoeringen werkdagen]]*Ruimtestaat[[#This Row],[Oppervlak (netto)]]</f>
        <v>12000</v>
      </c>
      <c r="W58" s="100">
        <f>IF(U58&gt;0,Ruimtestaat[[#This Row],[Prest. (m2 /jaar) werkdagen]]/Ruimtestaat[[#This Row],[Norm (m2/uur) werkdagen]],0)</f>
        <v>0</v>
      </c>
      <c r="X58" s="101">
        <f>Ruimtestaat[[#This Row],[uren / jaar werkdagen]]*Tariefsopbouw!$E$35</f>
        <v>0</v>
      </c>
      <c r="Y58" s="98"/>
      <c r="Z58" s="102">
        <f>IF(Ruimtestaat[[#This Row],[Frequentie weekend]]&gt;0,VALUE(LEFT(Y58,1))*R58,0)</f>
        <v>0</v>
      </c>
      <c r="AA58" s="98">
        <f>IF($Z58&gt;0,VLOOKUP($J58,Ruimtegroepen[],3,FALSE)*VLOOKUP($L58,Vloersoorten[],3,FALSE)*VLOOKUP($Y58,Frequenties[],3,FALSE)*VLOOKUP($A50,Locaties[],3,FALSE),0)</f>
        <v>0</v>
      </c>
      <c r="AB58" s="100">
        <f>Ruimtestaat[[#This Row],[Uitvoeringen weekend]]*Ruimtestaat[[#This Row],[Oppervlak (netto)]]</f>
        <v>0</v>
      </c>
      <c r="AC58" s="103">
        <f>IF(AB58&gt;0,Ruimtestaat[[#This Row],[Prest. (m2 /jaar) weekend]]/Ruimtestaat[[#This Row],[Norm (m2/uur) weekend]],0)</f>
        <v>0</v>
      </c>
      <c r="AD58" s="104">
        <f>Ruimtestaat[[#This Row],[uren / jaar weekend]]*Tariefsopbouw!$D$40</f>
        <v>0</v>
      </c>
      <c r="AE58" s="73">
        <f>Ruimtestaat[[#This Row],[Prest. (m2 /jaar) weekend]]+Ruimtestaat[[#This Row],[Prest. (m2 /jaar) werkdagen]]</f>
        <v>12000</v>
      </c>
      <c r="AF58" s="73">
        <f>Ruimtestaat[[#This Row],[uren / jaar weekend]]+Ruimtestaat[[#This Row],[uren / jaar werkdagen]]</f>
        <v>0</v>
      </c>
      <c r="AG58" s="74">
        <f>Ruimtestaat[[#This Row],[kosten / jaar weekend]]+Ruimtestaat[[#This Row],[kosten / jaar werkdagen]]</f>
        <v>0</v>
      </c>
      <c r="AH58" s="105"/>
      <c r="HL58" s="72"/>
    </row>
    <row r="59" spans="1:220" ht="15" customHeight="1">
      <c r="A59" s="123">
        <v>1</v>
      </c>
      <c r="B59" s="24" t="str">
        <f>VLOOKUP(Ruimtestaat[[#This Row],[Code]],Locaties[#All],2,FALSE)</f>
        <v>Hoornbeeck College Amersfoort</v>
      </c>
      <c r="C59" s="24" t="str">
        <f>VLOOKUP(Ruimtestaat[[#This Row],[Code]],Locaties[#All],4,FALSE)</f>
        <v>Utrechtseweg 230</v>
      </c>
      <c r="D59" s="24" t="str">
        <f>VLOOKUP(Ruimtestaat[[#This Row],[Code]],Locaties[#All],5,FALSE)</f>
        <v>3818 ET</v>
      </c>
      <c r="E59" s="24" t="str">
        <f>VLOOKUP(Ruimtestaat[[#This Row],[Code]],Locaties[#All],6,FALSE)</f>
        <v>Amersfoort</v>
      </c>
      <c r="F59" s="67" t="s">
        <v>479</v>
      </c>
      <c r="G59" s="24" t="s">
        <v>417</v>
      </c>
      <c r="H59" s="24" t="s">
        <v>481</v>
      </c>
      <c r="I59" s="4" t="s">
        <v>419</v>
      </c>
      <c r="J59" s="24">
        <v>16</v>
      </c>
      <c r="K59" s="67" t="str">
        <f>VLOOKUP(J59,Ruimtegroepen[],2,FALSE)</f>
        <v>Leslokalen</v>
      </c>
      <c r="L59" s="24" t="s">
        <v>110</v>
      </c>
      <c r="M59" s="24" t="s">
        <v>539</v>
      </c>
      <c r="N59" s="96">
        <v>37</v>
      </c>
      <c r="O59" s="96"/>
      <c r="P59" s="106" t="str">
        <f>LEFT(VLOOKUP(Ruimtestaat[[#This Row],[Ruimte code]],Ruimtegroepen[#All],4,1),2)</f>
        <v>Le</v>
      </c>
      <c r="Q59" s="96"/>
      <c r="R59" s="97">
        <v>40</v>
      </c>
      <c r="S59" s="97" t="s">
        <v>2</v>
      </c>
      <c r="T59" s="98">
        <f>IF(R59&gt;0,IF(RIGHT(Ruimtestaat[[#This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9" s="98">
        <f>IF(T59&gt;0,VLOOKUP($J59,Ruimtegroepen[],3,FALSE)*VLOOKUP($L59,Vloersoorten[],3,FALSE)*VLOOKUP($S59,Frequenties[],3,FALSE)*VLOOKUP($A59,Locaties[],3,FALSE),0)</f>
        <v>0</v>
      </c>
      <c r="V59" s="99">
        <f>Ruimtestaat[[#This Row],[Uitvoeringen werkdagen]]*Ruimtestaat[[#This Row],[Oppervlak (netto)]]</f>
        <v>7400</v>
      </c>
      <c r="W59" s="100">
        <f>IF(U59&gt;0,Ruimtestaat[[#This Row],[Prest. (m2 /jaar) werkdagen]]/Ruimtestaat[[#This Row],[Norm (m2/uur) werkdagen]],0)</f>
        <v>0</v>
      </c>
      <c r="X59" s="101">
        <f>Ruimtestaat[[#This Row],[uren / jaar werkdagen]]*Tariefsopbouw!$E$35</f>
        <v>0</v>
      </c>
      <c r="Y59" s="98"/>
      <c r="Z59" s="102">
        <f>IF(Ruimtestaat[[#This Row],[Frequentie weekend]]&gt;0,VALUE(LEFT(Y59,1))*R59,0)</f>
        <v>0</v>
      </c>
      <c r="AA59" s="98">
        <f>IF($Z59&gt;0,VLOOKUP($J59,Ruimtegroepen[],3,FALSE)*VLOOKUP($L59,Vloersoorten[],3,FALSE)*VLOOKUP($Y59,Frequenties[],3,FALSE)*VLOOKUP($A51,Locaties[],3,FALSE),0)</f>
        <v>0</v>
      </c>
      <c r="AB59" s="100">
        <f>Ruimtestaat[[#This Row],[Uitvoeringen weekend]]*Ruimtestaat[[#This Row],[Oppervlak (netto)]]</f>
        <v>0</v>
      </c>
      <c r="AC59" s="103">
        <f>IF(AB59&gt;0,Ruimtestaat[[#This Row],[Prest. (m2 /jaar) weekend]]/Ruimtestaat[[#This Row],[Norm (m2/uur) weekend]],0)</f>
        <v>0</v>
      </c>
      <c r="AD59" s="104">
        <f>Ruimtestaat[[#This Row],[uren / jaar weekend]]*Tariefsopbouw!$D$40</f>
        <v>0</v>
      </c>
      <c r="AE59" s="73">
        <f>Ruimtestaat[[#This Row],[Prest. (m2 /jaar) weekend]]+Ruimtestaat[[#This Row],[Prest. (m2 /jaar) werkdagen]]</f>
        <v>7400</v>
      </c>
      <c r="AF59" s="73">
        <f>Ruimtestaat[[#This Row],[uren / jaar weekend]]+Ruimtestaat[[#This Row],[uren / jaar werkdagen]]</f>
        <v>0</v>
      </c>
      <c r="AG59" s="74">
        <f>Ruimtestaat[[#This Row],[kosten / jaar weekend]]+Ruimtestaat[[#This Row],[kosten / jaar werkdagen]]</f>
        <v>0</v>
      </c>
      <c r="AH59" s="105"/>
      <c r="HL59" s="72"/>
    </row>
    <row r="60" spans="1:220" ht="15" customHeight="1">
      <c r="A60" s="123">
        <v>1</v>
      </c>
      <c r="B60" s="24" t="str">
        <f>VLOOKUP(Ruimtestaat[[#This Row],[Code]],Locaties[#All],2,FALSE)</f>
        <v>Hoornbeeck College Amersfoort</v>
      </c>
      <c r="C60" s="24" t="str">
        <f>VLOOKUP(Ruimtestaat[[#This Row],[Code]],Locaties[#All],4,FALSE)</f>
        <v>Utrechtseweg 230</v>
      </c>
      <c r="D60" s="24" t="str">
        <f>VLOOKUP(Ruimtestaat[[#This Row],[Code]],Locaties[#All],5,FALSE)</f>
        <v>3818 ET</v>
      </c>
      <c r="E60" s="24" t="str">
        <f>VLOOKUP(Ruimtestaat[[#This Row],[Code]],Locaties[#All],6,FALSE)</f>
        <v>Amersfoort</v>
      </c>
      <c r="F60" s="67" t="s">
        <v>479</v>
      </c>
      <c r="G60" s="24" t="s">
        <v>417</v>
      </c>
      <c r="H60" s="24" t="s">
        <v>482</v>
      </c>
      <c r="I60" s="4" t="s">
        <v>419</v>
      </c>
      <c r="J60" s="24">
        <v>16</v>
      </c>
      <c r="K60" s="67" t="str">
        <f>VLOOKUP(J60,Ruimtegroepen[],2,FALSE)</f>
        <v>Leslokalen</v>
      </c>
      <c r="L60" s="24" t="s">
        <v>110</v>
      </c>
      <c r="M60" s="24" t="s">
        <v>539</v>
      </c>
      <c r="N60" s="96">
        <v>106</v>
      </c>
      <c r="O60" s="96"/>
      <c r="P60" s="106" t="str">
        <f>LEFT(VLOOKUP(Ruimtestaat[[#This Row],[Ruimte code]],Ruimtegroepen[#All],4,1),2)</f>
        <v>Le</v>
      </c>
      <c r="Q60" s="96"/>
      <c r="R60" s="97">
        <v>40</v>
      </c>
      <c r="S60" s="97" t="s">
        <v>2</v>
      </c>
      <c r="T60" s="98">
        <f>IF(R60&gt;0,IF(RIGHT(Ruimtestaat[[#This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" s="98">
        <f>IF(T60&gt;0,VLOOKUP($J60,Ruimtegroepen[],3,FALSE)*VLOOKUP($L60,Vloersoorten[],3,FALSE)*VLOOKUP($S60,Frequenties[],3,FALSE)*VLOOKUP($A60,Locaties[],3,FALSE),0)</f>
        <v>0</v>
      </c>
      <c r="V60" s="99">
        <f>Ruimtestaat[[#This Row],[Uitvoeringen werkdagen]]*Ruimtestaat[[#This Row],[Oppervlak (netto)]]</f>
        <v>21200</v>
      </c>
      <c r="W60" s="100">
        <f>IF(U60&gt;0,Ruimtestaat[[#This Row],[Prest. (m2 /jaar) werkdagen]]/Ruimtestaat[[#This Row],[Norm (m2/uur) werkdagen]],0)</f>
        <v>0</v>
      </c>
      <c r="X60" s="101">
        <f>Ruimtestaat[[#This Row],[uren / jaar werkdagen]]*Tariefsopbouw!$E$35</f>
        <v>0</v>
      </c>
      <c r="Y60" s="98"/>
      <c r="Z60" s="102">
        <f>IF(Ruimtestaat[[#This Row],[Frequentie weekend]]&gt;0,VALUE(LEFT(Y60,1))*R60,0)</f>
        <v>0</v>
      </c>
      <c r="AA60" s="98">
        <f>IF($Z60&gt;0,VLOOKUP($J60,Ruimtegroepen[],3,FALSE)*VLOOKUP($L60,Vloersoorten[],3,FALSE)*VLOOKUP($Y60,Frequenties[],3,FALSE)*VLOOKUP($A52,Locaties[],3,FALSE),0)</f>
        <v>0</v>
      </c>
      <c r="AB60" s="100">
        <f>Ruimtestaat[[#This Row],[Uitvoeringen weekend]]*Ruimtestaat[[#This Row],[Oppervlak (netto)]]</f>
        <v>0</v>
      </c>
      <c r="AC60" s="103">
        <f>IF(AB60&gt;0,Ruimtestaat[[#This Row],[Prest. (m2 /jaar) weekend]]/Ruimtestaat[[#This Row],[Norm (m2/uur) weekend]],0)</f>
        <v>0</v>
      </c>
      <c r="AD60" s="104">
        <f>Ruimtestaat[[#This Row],[uren / jaar weekend]]*Tariefsopbouw!$D$40</f>
        <v>0</v>
      </c>
      <c r="AE60" s="73">
        <f>Ruimtestaat[[#This Row],[Prest. (m2 /jaar) weekend]]+Ruimtestaat[[#This Row],[Prest. (m2 /jaar) werkdagen]]</f>
        <v>21200</v>
      </c>
      <c r="AF60" s="73">
        <f>Ruimtestaat[[#This Row],[uren / jaar weekend]]+Ruimtestaat[[#This Row],[uren / jaar werkdagen]]</f>
        <v>0</v>
      </c>
      <c r="AG60" s="74">
        <f>Ruimtestaat[[#This Row],[kosten / jaar weekend]]+Ruimtestaat[[#This Row],[kosten / jaar werkdagen]]</f>
        <v>0</v>
      </c>
      <c r="AH60" s="105"/>
      <c r="HL60" s="72"/>
    </row>
    <row r="61" spans="1:220" ht="15" customHeight="1">
      <c r="A61" s="123">
        <v>1</v>
      </c>
      <c r="B61" s="24" t="str">
        <f>VLOOKUP(Ruimtestaat[[#This Row],[Code]],Locaties[#All],2,FALSE)</f>
        <v>Hoornbeeck College Amersfoort</v>
      </c>
      <c r="C61" s="24" t="str">
        <f>VLOOKUP(Ruimtestaat[[#This Row],[Code]],Locaties[#All],4,FALSE)</f>
        <v>Utrechtseweg 230</v>
      </c>
      <c r="D61" s="24" t="str">
        <f>VLOOKUP(Ruimtestaat[[#This Row],[Code]],Locaties[#All],5,FALSE)</f>
        <v>3818 ET</v>
      </c>
      <c r="E61" s="24" t="str">
        <f>VLOOKUP(Ruimtestaat[[#This Row],[Code]],Locaties[#All],6,FALSE)</f>
        <v>Amersfoort</v>
      </c>
      <c r="F61" s="67" t="s">
        <v>479</v>
      </c>
      <c r="G61" s="24" t="s">
        <v>427</v>
      </c>
      <c r="H61" s="24" t="s">
        <v>483</v>
      </c>
      <c r="I61" s="4" t="s">
        <v>419</v>
      </c>
      <c r="J61" s="24">
        <v>16</v>
      </c>
      <c r="K61" s="67" t="str">
        <f>VLOOKUP(J61,Ruimtegroepen[],2,FALSE)</f>
        <v>Leslokalen</v>
      </c>
      <c r="L61" s="24" t="s">
        <v>110</v>
      </c>
      <c r="M61" s="24" t="s">
        <v>539</v>
      </c>
      <c r="N61" s="96">
        <v>58</v>
      </c>
      <c r="O61" s="96"/>
      <c r="P61" s="106" t="str">
        <f>LEFT(VLOOKUP(Ruimtestaat[[#This Row],[Ruimte code]],Ruimtegroepen[#All],4,1),2)</f>
        <v>Le</v>
      </c>
      <c r="Q61" s="96"/>
      <c r="R61" s="97">
        <v>40</v>
      </c>
      <c r="S61" s="97" t="s">
        <v>2</v>
      </c>
      <c r="T61" s="98">
        <f>IF(R61&gt;0,IF(RIGHT(Ruimtestaat[[#This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1" s="98">
        <f>IF(T61&gt;0,VLOOKUP($J61,Ruimtegroepen[],3,FALSE)*VLOOKUP($L61,Vloersoorten[],3,FALSE)*VLOOKUP($S61,Frequenties[],3,FALSE)*VLOOKUP($A61,Locaties[],3,FALSE),0)</f>
        <v>0</v>
      </c>
      <c r="V61" s="99">
        <f>Ruimtestaat[[#This Row],[Uitvoeringen werkdagen]]*Ruimtestaat[[#This Row],[Oppervlak (netto)]]</f>
        <v>11600</v>
      </c>
      <c r="W61" s="100">
        <f>IF(U61&gt;0,Ruimtestaat[[#This Row],[Prest. (m2 /jaar) werkdagen]]/Ruimtestaat[[#This Row],[Norm (m2/uur) werkdagen]],0)</f>
        <v>0</v>
      </c>
      <c r="X61" s="101">
        <f>Ruimtestaat[[#This Row],[uren / jaar werkdagen]]*Tariefsopbouw!$E$35</f>
        <v>0</v>
      </c>
      <c r="Y61" s="98"/>
      <c r="Z61" s="102">
        <f>IF(Ruimtestaat[[#This Row],[Frequentie weekend]]&gt;0,VALUE(LEFT(Y61,1))*R61,0)</f>
        <v>0</v>
      </c>
      <c r="AA61" s="98">
        <f>IF($Z61&gt;0,VLOOKUP($J61,Ruimtegroepen[],3,FALSE)*VLOOKUP($L61,Vloersoorten[],3,FALSE)*VLOOKUP($Y61,Frequenties[],3,FALSE)*VLOOKUP($A53,Locaties[],3,FALSE),0)</f>
        <v>0</v>
      </c>
      <c r="AB61" s="100">
        <f>Ruimtestaat[[#This Row],[Uitvoeringen weekend]]*Ruimtestaat[[#This Row],[Oppervlak (netto)]]</f>
        <v>0</v>
      </c>
      <c r="AC61" s="103">
        <f>IF(AB61&gt;0,Ruimtestaat[[#This Row],[Prest. (m2 /jaar) weekend]]/Ruimtestaat[[#This Row],[Norm (m2/uur) weekend]],0)</f>
        <v>0</v>
      </c>
      <c r="AD61" s="104">
        <f>Ruimtestaat[[#This Row],[uren / jaar weekend]]*Tariefsopbouw!$D$40</f>
        <v>0</v>
      </c>
      <c r="AE61" s="73">
        <f>Ruimtestaat[[#This Row],[Prest. (m2 /jaar) weekend]]+Ruimtestaat[[#This Row],[Prest. (m2 /jaar) werkdagen]]</f>
        <v>11600</v>
      </c>
      <c r="AF61" s="73">
        <f>Ruimtestaat[[#This Row],[uren / jaar weekend]]+Ruimtestaat[[#This Row],[uren / jaar werkdagen]]</f>
        <v>0</v>
      </c>
      <c r="AG61" s="74">
        <f>Ruimtestaat[[#This Row],[kosten / jaar weekend]]+Ruimtestaat[[#This Row],[kosten / jaar werkdagen]]</f>
        <v>0</v>
      </c>
      <c r="AH61" s="105"/>
      <c r="HL61" s="72"/>
    </row>
    <row r="62" spans="1:220" ht="15" customHeight="1">
      <c r="A62" s="123">
        <v>1</v>
      </c>
      <c r="B62" s="24" t="str">
        <f>VLOOKUP(Ruimtestaat[[#This Row],[Code]],Locaties[#All],2,FALSE)</f>
        <v>Hoornbeeck College Amersfoort</v>
      </c>
      <c r="C62" s="24" t="str">
        <f>VLOOKUP(Ruimtestaat[[#This Row],[Code]],Locaties[#All],4,FALSE)</f>
        <v>Utrechtseweg 230</v>
      </c>
      <c r="D62" s="24" t="str">
        <f>VLOOKUP(Ruimtestaat[[#This Row],[Code]],Locaties[#All],5,FALSE)</f>
        <v>3818 ET</v>
      </c>
      <c r="E62" s="24" t="str">
        <f>VLOOKUP(Ruimtestaat[[#This Row],[Code]],Locaties[#All],6,FALSE)</f>
        <v>Amersfoort</v>
      </c>
      <c r="F62" s="67" t="s">
        <v>479</v>
      </c>
      <c r="G62" s="24" t="s">
        <v>427</v>
      </c>
      <c r="H62" s="24" t="s">
        <v>484</v>
      </c>
      <c r="I62" s="4" t="s">
        <v>419</v>
      </c>
      <c r="J62" s="24">
        <v>16</v>
      </c>
      <c r="K62" s="67" t="str">
        <f>VLOOKUP(J62,Ruimtegroepen[],2,FALSE)</f>
        <v>Leslokalen</v>
      </c>
      <c r="L62" s="24" t="s">
        <v>110</v>
      </c>
      <c r="M62" s="24" t="s">
        <v>539</v>
      </c>
      <c r="N62" s="96">
        <v>59</v>
      </c>
      <c r="O62" s="96"/>
      <c r="P62" s="106" t="str">
        <f>LEFT(VLOOKUP(Ruimtestaat[[#This Row],[Ruimte code]],Ruimtegroepen[#All],4,1),2)</f>
        <v>Le</v>
      </c>
      <c r="Q62" s="96"/>
      <c r="R62" s="97">
        <v>40</v>
      </c>
      <c r="S62" s="97" t="s">
        <v>2</v>
      </c>
      <c r="T62" s="98">
        <f>IF(R62&gt;0,IF(RIGHT(Ruimtestaat[[#This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2" s="98">
        <f>IF(T62&gt;0,VLOOKUP($J62,Ruimtegroepen[],3,FALSE)*VLOOKUP($L62,Vloersoorten[],3,FALSE)*VLOOKUP($S62,Frequenties[],3,FALSE)*VLOOKUP($A62,Locaties[],3,FALSE),0)</f>
        <v>0</v>
      </c>
      <c r="V62" s="99">
        <f>Ruimtestaat[[#This Row],[Uitvoeringen werkdagen]]*Ruimtestaat[[#This Row],[Oppervlak (netto)]]</f>
        <v>11800</v>
      </c>
      <c r="W62" s="100">
        <f>IF(U62&gt;0,Ruimtestaat[[#This Row],[Prest. (m2 /jaar) werkdagen]]/Ruimtestaat[[#This Row],[Norm (m2/uur) werkdagen]],0)</f>
        <v>0</v>
      </c>
      <c r="X62" s="101">
        <f>Ruimtestaat[[#This Row],[uren / jaar werkdagen]]*Tariefsopbouw!$E$35</f>
        <v>0</v>
      </c>
      <c r="Y62" s="98"/>
      <c r="Z62" s="102">
        <f>IF(Ruimtestaat[[#This Row],[Frequentie weekend]]&gt;0,VALUE(LEFT(Y62,1))*R62,0)</f>
        <v>0</v>
      </c>
      <c r="AA62" s="98">
        <f>IF($Z62&gt;0,VLOOKUP($J62,Ruimtegroepen[],3,FALSE)*VLOOKUP($L62,Vloersoorten[],3,FALSE)*VLOOKUP($Y62,Frequenties[],3,FALSE)*VLOOKUP($A53,Locaties[],3,FALSE),0)</f>
        <v>0</v>
      </c>
      <c r="AB62" s="100">
        <f>Ruimtestaat[[#This Row],[Uitvoeringen weekend]]*Ruimtestaat[[#This Row],[Oppervlak (netto)]]</f>
        <v>0</v>
      </c>
      <c r="AC62" s="103">
        <f>IF(AB62&gt;0,Ruimtestaat[[#This Row],[Prest. (m2 /jaar) weekend]]/Ruimtestaat[[#This Row],[Norm (m2/uur) weekend]],0)</f>
        <v>0</v>
      </c>
      <c r="AD62" s="104">
        <f>Ruimtestaat[[#This Row],[uren / jaar weekend]]*Tariefsopbouw!$D$40</f>
        <v>0</v>
      </c>
      <c r="AE62" s="73">
        <f>Ruimtestaat[[#This Row],[Prest. (m2 /jaar) weekend]]+Ruimtestaat[[#This Row],[Prest. (m2 /jaar) werkdagen]]</f>
        <v>11800</v>
      </c>
      <c r="AF62" s="73">
        <f>Ruimtestaat[[#This Row],[uren / jaar weekend]]+Ruimtestaat[[#This Row],[uren / jaar werkdagen]]</f>
        <v>0</v>
      </c>
      <c r="AG62" s="74">
        <f>Ruimtestaat[[#This Row],[kosten / jaar weekend]]+Ruimtestaat[[#This Row],[kosten / jaar werkdagen]]</f>
        <v>0</v>
      </c>
      <c r="AH62" s="105"/>
      <c r="HL62" s="72"/>
    </row>
    <row r="63" spans="1:220" ht="15" customHeight="1">
      <c r="A63" s="123">
        <v>1</v>
      </c>
      <c r="B63" s="24" t="str">
        <f>VLOOKUP(Ruimtestaat[[#This Row],[Code]],Locaties[#All],2,FALSE)</f>
        <v>Hoornbeeck College Amersfoort</v>
      </c>
      <c r="C63" s="24" t="str">
        <f>VLOOKUP(Ruimtestaat[[#This Row],[Code]],Locaties[#All],4,FALSE)</f>
        <v>Utrechtseweg 230</v>
      </c>
      <c r="D63" s="24" t="str">
        <f>VLOOKUP(Ruimtestaat[[#This Row],[Code]],Locaties[#All],5,FALSE)</f>
        <v>3818 ET</v>
      </c>
      <c r="E63" s="24" t="str">
        <f>VLOOKUP(Ruimtestaat[[#This Row],[Code]],Locaties[#All],6,FALSE)</f>
        <v>Amersfoort</v>
      </c>
      <c r="F63" s="67" t="s">
        <v>479</v>
      </c>
      <c r="G63" s="24" t="s">
        <v>427</v>
      </c>
      <c r="H63" s="28" t="s">
        <v>485</v>
      </c>
      <c r="I63" s="4" t="s">
        <v>419</v>
      </c>
      <c r="J63" s="24">
        <v>16</v>
      </c>
      <c r="K63" s="67" t="str">
        <f>VLOOKUP(J63,Ruimtegroepen[],2,FALSE)</f>
        <v>Leslokalen</v>
      </c>
      <c r="L63" s="24" t="s">
        <v>110</v>
      </c>
      <c r="M63" s="24" t="s">
        <v>539</v>
      </c>
      <c r="N63" s="96">
        <v>104.96</v>
      </c>
      <c r="O63" s="96"/>
      <c r="P63" s="106" t="str">
        <f>LEFT(VLOOKUP(Ruimtestaat[[#This Row],[Ruimte code]],Ruimtegroepen[#All],4,1),2)</f>
        <v>Le</v>
      </c>
      <c r="Q63" s="96"/>
      <c r="R63" s="97">
        <v>40</v>
      </c>
      <c r="S63" s="97" t="s">
        <v>2</v>
      </c>
      <c r="T63" s="98">
        <f>IF(R63&gt;0,IF(RIGHT(Ruimtestaat[[#This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" s="98">
        <f>IF(T63&gt;0,VLOOKUP($J63,Ruimtegroepen[],3,FALSE)*VLOOKUP($L63,Vloersoorten[],3,FALSE)*VLOOKUP($S63,Frequenties[],3,FALSE)*VLOOKUP($A63,Locaties[],3,FALSE),0)</f>
        <v>0</v>
      </c>
      <c r="V63" s="99">
        <f>Ruimtestaat[[#This Row],[Uitvoeringen werkdagen]]*Ruimtestaat[[#This Row],[Oppervlak (netto)]]</f>
        <v>20992</v>
      </c>
      <c r="W63" s="100">
        <f>IF(U63&gt;0,Ruimtestaat[[#This Row],[Prest. (m2 /jaar) werkdagen]]/Ruimtestaat[[#This Row],[Norm (m2/uur) werkdagen]],0)</f>
        <v>0</v>
      </c>
      <c r="X63" s="101">
        <f>Ruimtestaat[[#This Row],[uren / jaar werkdagen]]*Tariefsopbouw!$E$35</f>
        <v>0</v>
      </c>
      <c r="Y63" s="98"/>
      <c r="Z63" s="102">
        <f>IF(Ruimtestaat[[#This Row],[Frequentie weekend]]&gt;0,VALUE(LEFT(Y63,1))*R63,0)</f>
        <v>0</v>
      </c>
      <c r="AA63" s="98">
        <f>IF($Z63&gt;0,VLOOKUP($J63,Ruimtegroepen[],3,FALSE)*VLOOKUP($L63,Vloersoorten[],3,FALSE)*VLOOKUP($Y63,Frequenties[],3,FALSE)*VLOOKUP($A54,Locaties[],3,FALSE),0)</f>
        <v>0</v>
      </c>
      <c r="AB63" s="100">
        <f>Ruimtestaat[[#This Row],[Uitvoeringen weekend]]*Ruimtestaat[[#This Row],[Oppervlak (netto)]]</f>
        <v>0</v>
      </c>
      <c r="AC63" s="103">
        <f>IF(AB63&gt;0,Ruimtestaat[[#This Row],[Prest. (m2 /jaar) weekend]]/Ruimtestaat[[#This Row],[Norm (m2/uur) weekend]],0)</f>
        <v>0</v>
      </c>
      <c r="AD63" s="104">
        <f>Ruimtestaat[[#This Row],[uren / jaar weekend]]*Tariefsopbouw!$D$40</f>
        <v>0</v>
      </c>
      <c r="AE63" s="73">
        <f>Ruimtestaat[[#This Row],[Prest. (m2 /jaar) weekend]]+Ruimtestaat[[#This Row],[Prest. (m2 /jaar) werkdagen]]</f>
        <v>20992</v>
      </c>
      <c r="AF63" s="73">
        <f>Ruimtestaat[[#This Row],[uren / jaar weekend]]+Ruimtestaat[[#This Row],[uren / jaar werkdagen]]</f>
        <v>0</v>
      </c>
      <c r="AG63" s="74">
        <f>Ruimtestaat[[#This Row],[kosten / jaar weekend]]+Ruimtestaat[[#This Row],[kosten / jaar werkdagen]]</f>
        <v>0</v>
      </c>
      <c r="AH63" s="105"/>
      <c r="HL63" s="72"/>
    </row>
    <row r="64" spans="1:220" ht="15" customHeight="1">
      <c r="A64" s="123">
        <v>1</v>
      </c>
      <c r="B64" s="24" t="str">
        <f>VLOOKUP(Ruimtestaat[[#This Row],[Code]],Locaties[#All],2,FALSE)</f>
        <v>Hoornbeeck College Amersfoort</v>
      </c>
      <c r="C64" s="24" t="str">
        <f>VLOOKUP(Ruimtestaat[[#This Row],[Code]],Locaties[#All],4,FALSE)</f>
        <v>Utrechtseweg 230</v>
      </c>
      <c r="D64" s="24" t="str">
        <f>VLOOKUP(Ruimtestaat[[#This Row],[Code]],Locaties[#All],5,FALSE)</f>
        <v>3818 ET</v>
      </c>
      <c r="E64" s="24" t="str">
        <f>VLOOKUP(Ruimtestaat[[#This Row],[Code]],Locaties[#All],6,FALSE)</f>
        <v>Amersfoort</v>
      </c>
      <c r="F64" s="67" t="s">
        <v>479</v>
      </c>
      <c r="G64" s="24" t="s">
        <v>427</v>
      </c>
      <c r="H64" s="28" t="s">
        <v>486</v>
      </c>
      <c r="I64" s="4" t="s">
        <v>419</v>
      </c>
      <c r="J64" s="24">
        <v>16</v>
      </c>
      <c r="K64" s="67" t="str">
        <f>VLOOKUP(J64,Ruimtegroepen[],2,FALSE)</f>
        <v>Leslokalen</v>
      </c>
      <c r="L64" s="24" t="s">
        <v>110</v>
      </c>
      <c r="M64" s="24" t="s">
        <v>539</v>
      </c>
      <c r="N64" s="96">
        <v>52</v>
      </c>
      <c r="O64" s="96"/>
      <c r="P64" s="106" t="str">
        <f>LEFT(VLOOKUP(Ruimtestaat[[#This Row],[Ruimte code]],Ruimtegroepen[#All],4,1),2)</f>
        <v>Le</v>
      </c>
      <c r="Q64" s="96"/>
      <c r="R64" s="97">
        <v>40</v>
      </c>
      <c r="S64" s="97" t="s">
        <v>2</v>
      </c>
      <c r="T64" s="98">
        <f>IF(R64&gt;0,IF(RIGHT(Ruimtestaat[[#This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4" s="98">
        <f>IF(T64&gt;0,VLOOKUP($J64,Ruimtegroepen[],3,FALSE)*VLOOKUP($L64,Vloersoorten[],3,FALSE)*VLOOKUP($S64,Frequenties[],3,FALSE)*VLOOKUP($A64,Locaties[],3,FALSE),0)</f>
        <v>0</v>
      </c>
      <c r="V64" s="99">
        <f>Ruimtestaat[[#This Row],[Uitvoeringen werkdagen]]*Ruimtestaat[[#This Row],[Oppervlak (netto)]]</f>
        <v>10400</v>
      </c>
      <c r="W64" s="100">
        <f>IF(U64&gt;0,Ruimtestaat[[#This Row],[Prest. (m2 /jaar) werkdagen]]/Ruimtestaat[[#This Row],[Norm (m2/uur) werkdagen]],0)</f>
        <v>0</v>
      </c>
      <c r="X64" s="101">
        <f>Ruimtestaat[[#This Row],[uren / jaar werkdagen]]*Tariefsopbouw!$E$35</f>
        <v>0</v>
      </c>
      <c r="Y64" s="98"/>
      <c r="Z64" s="102">
        <f>IF(Ruimtestaat[[#This Row],[Frequentie weekend]]&gt;0,VALUE(LEFT(Y64,1))*R64,0)</f>
        <v>0</v>
      </c>
      <c r="AA64" s="98">
        <f>IF($Z64&gt;0,VLOOKUP($J64,Ruimtegroepen[],3,FALSE)*VLOOKUP($L64,Vloersoorten[],3,FALSE)*VLOOKUP($Y64,Frequenties[],3,FALSE)*VLOOKUP($A55,Locaties[],3,FALSE),0)</f>
        <v>0</v>
      </c>
      <c r="AB64" s="100">
        <f>Ruimtestaat[[#This Row],[Uitvoeringen weekend]]*Ruimtestaat[[#This Row],[Oppervlak (netto)]]</f>
        <v>0</v>
      </c>
      <c r="AC64" s="103">
        <f>IF(AB64&gt;0,Ruimtestaat[[#This Row],[Prest. (m2 /jaar) weekend]]/Ruimtestaat[[#This Row],[Norm (m2/uur) weekend]],0)</f>
        <v>0</v>
      </c>
      <c r="AD64" s="104">
        <f>Ruimtestaat[[#This Row],[uren / jaar weekend]]*Tariefsopbouw!$D$40</f>
        <v>0</v>
      </c>
      <c r="AE64" s="73">
        <f>Ruimtestaat[[#This Row],[Prest. (m2 /jaar) weekend]]+Ruimtestaat[[#This Row],[Prest. (m2 /jaar) werkdagen]]</f>
        <v>10400</v>
      </c>
      <c r="AF64" s="73">
        <f>Ruimtestaat[[#This Row],[uren / jaar weekend]]+Ruimtestaat[[#This Row],[uren / jaar werkdagen]]</f>
        <v>0</v>
      </c>
      <c r="AG64" s="74">
        <f>Ruimtestaat[[#This Row],[kosten / jaar weekend]]+Ruimtestaat[[#This Row],[kosten / jaar werkdagen]]</f>
        <v>0</v>
      </c>
      <c r="AH64" s="105"/>
      <c r="HL64" s="72"/>
    </row>
    <row r="65" spans="1:220" ht="15" customHeight="1">
      <c r="A65" s="123">
        <v>1</v>
      </c>
      <c r="B65" s="24" t="str">
        <f>VLOOKUP(Ruimtestaat[[#This Row],[Code]],Locaties[#All],2,FALSE)</f>
        <v>Hoornbeeck College Amersfoort</v>
      </c>
      <c r="C65" s="24" t="str">
        <f>VLOOKUP(Ruimtestaat[[#This Row],[Code]],Locaties[#All],4,FALSE)</f>
        <v>Utrechtseweg 230</v>
      </c>
      <c r="D65" s="24" t="str">
        <f>VLOOKUP(Ruimtestaat[[#This Row],[Code]],Locaties[#All],5,FALSE)</f>
        <v>3818 ET</v>
      </c>
      <c r="E65" s="24" t="str">
        <f>VLOOKUP(Ruimtestaat[[#This Row],[Code]],Locaties[#All],6,FALSE)</f>
        <v>Amersfoort</v>
      </c>
      <c r="F65" s="67" t="s">
        <v>487</v>
      </c>
      <c r="G65" s="24" t="s">
        <v>417</v>
      </c>
      <c r="H65" s="28" t="s">
        <v>488</v>
      </c>
      <c r="I65" s="4" t="s">
        <v>419</v>
      </c>
      <c r="J65" s="24">
        <v>16</v>
      </c>
      <c r="K65" s="67" t="str">
        <f>VLOOKUP(J65,Ruimtegroepen[],2,FALSE)</f>
        <v>Leslokalen</v>
      </c>
      <c r="L65" s="24" t="s">
        <v>110</v>
      </c>
      <c r="M65" s="24" t="s">
        <v>539</v>
      </c>
      <c r="N65" s="96">
        <v>65.28</v>
      </c>
      <c r="O65" s="96"/>
      <c r="P65" s="106" t="str">
        <f>LEFT(VLOOKUP(Ruimtestaat[[#This Row],[Ruimte code]],Ruimtegroepen[#All],4,1),2)</f>
        <v>Le</v>
      </c>
      <c r="Q65" s="96"/>
      <c r="R65" s="97">
        <v>40</v>
      </c>
      <c r="S65" s="97" t="s">
        <v>2</v>
      </c>
      <c r="T65" s="98">
        <f>IF(R65&gt;0,IF(RIGHT(Ruimtestaat[[#This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5" s="98">
        <f>IF(T65&gt;0,VLOOKUP($J65,Ruimtegroepen[],3,FALSE)*VLOOKUP($L65,Vloersoorten[],3,FALSE)*VLOOKUP($S65,Frequenties[],3,FALSE)*VLOOKUP($A65,Locaties[],3,FALSE),0)</f>
        <v>0</v>
      </c>
      <c r="V65" s="99">
        <f>Ruimtestaat[[#This Row],[Uitvoeringen werkdagen]]*Ruimtestaat[[#This Row],[Oppervlak (netto)]]</f>
        <v>13056</v>
      </c>
      <c r="W65" s="100">
        <f>IF(U65&gt;0,Ruimtestaat[[#This Row],[Prest. (m2 /jaar) werkdagen]]/Ruimtestaat[[#This Row],[Norm (m2/uur) werkdagen]],0)</f>
        <v>0</v>
      </c>
      <c r="X65" s="101">
        <f>Ruimtestaat[[#This Row],[uren / jaar werkdagen]]*Tariefsopbouw!$E$35</f>
        <v>0</v>
      </c>
      <c r="Y65" s="98"/>
      <c r="Z65" s="102">
        <f>IF(Ruimtestaat[[#This Row],[Frequentie weekend]]&gt;0,VALUE(LEFT(Y65,1))*R65,0)</f>
        <v>0</v>
      </c>
      <c r="AA65" s="98">
        <f>IF($Z65&gt;0,VLOOKUP($J65,Ruimtegroepen[],3,FALSE)*VLOOKUP($L65,Vloersoorten[],3,FALSE)*VLOOKUP($Y65,Frequenties[],3,FALSE)*VLOOKUP($A56,Locaties[],3,FALSE),0)</f>
        <v>0</v>
      </c>
      <c r="AB65" s="100">
        <f>Ruimtestaat[[#This Row],[Uitvoeringen weekend]]*Ruimtestaat[[#This Row],[Oppervlak (netto)]]</f>
        <v>0</v>
      </c>
      <c r="AC65" s="103">
        <f>IF(AB65&gt;0,Ruimtestaat[[#This Row],[Prest. (m2 /jaar) weekend]]/Ruimtestaat[[#This Row],[Norm (m2/uur) weekend]],0)</f>
        <v>0</v>
      </c>
      <c r="AD65" s="104">
        <f>Ruimtestaat[[#This Row],[uren / jaar weekend]]*Tariefsopbouw!$D$40</f>
        <v>0</v>
      </c>
      <c r="AE65" s="73">
        <f>Ruimtestaat[[#This Row],[Prest. (m2 /jaar) weekend]]+Ruimtestaat[[#This Row],[Prest. (m2 /jaar) werkdagen]]</f>
        <v>13056</v>
      </c>
      <c r="AF65" s="73">
        <f>Ruimtestaat[[#This Row],[uren / jaar weekend]]+Ruimtestaat[[#This Row],[uren / jaar werkdagen]]</f>
        <v>0</v>
      </c>
      <c r="AG65" s="74">
        <f>Ruimtestaat[[#This Row],[kosten / jaar weekend]]+Ruimtestaat[[#This Row],[kosten / jaar werkdagen]]</f>
        <v>0</v>
      </c>
      <c r="AH65" s="105"/>
      <c r="HL65" s="72"/>
    </row>
    <row r="66" spans="1:220" ht="15" customHeight="1">
      <c r="A66" s="123">
        <v>1</v>
      </c>
      <c r="B66" s="24" t="str">
        <f>VLOOKUP(Ruimtestaat[[#This Row],[Code]],Locaties[#All],2,FALSE)</f>
        <v>Hoornbeeck College Amersfoort</v>
      </c>
      <c r="C66" s="24" t="str">
        <f>VLOOKUP(Ruimtestaat[[#This Row],[Code]],Locaties[#All],4,FALSE)</f>
        <v>Utrechtseweg 230</v>
      </c>
      <c r="D66" s="24" t="str">
        <f>VLOOKUP(Ruimtestaat[[#This Row],[Code]],Locaties[#All],5,FALSE)</f>
        <v>3818 ET</v>
      </c>
      <c r="E66" s="24" t="str">
        <f>VLOOKUP(Ruimtestaat[[#This Row],[Code]],Locaties[#All],6,FALSE)</f>
        <v>Amersfoort</v>
      </c>
      <c r="F66" s="67" t="s">
        <v>487</v>
      </c>
      <c r="G66" s="24" t="s">
        <v>417</v>
      </c>
      <c r="H66" s="28" t="s">
        <v>489</v>
      </c>
      <c r="I66" s="4" t="s">
        <v>419</v>
      </c>
      <c r="J66" s="24">
        <v>16</v>
      </c>
      <c r="K66" s="67" t="str">
        <f>VLOOKUP(J66,Ruimtegroepen[],2,FALSE)</f>
        <v>Leslokalen</v>
      </c>
      <c r="L66" s="24" t="s">
        <v>111</v>
      </c>
      <c r="M66" s="24" t="s">
        <v>540</v>
      </c>
      <c r="N66" s="96">
        <v>54</v>
      </c>
      <c r="O66" s="96"/>
      <c r="P66" s="106" t="str">
        <f>LEFT(VLOOKUP(Ruimtestaat[[#This Row],[Ruimte code]],Ruimtegroepen[#All],4,1),2)</f>
        <v>Le</v>
      </c>
      <c r="Q66" s="96"/>
      <c r="R66" s="97">
        <v>40</v>
      </c>
      <c r="S66" s="97" t="s">
        <v>2</v>
      </c>
      <c r="T66" s="98">
        <f>IF(R66&gt;0,IF(RIGHT(Ruimtestaat[[#This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6" s="98">
        <f>IF(T66&gt;0,VLOOKUP($J66,Ruimtegroepen[],3,FALSE)*VLOOKUP($L66,Vloersoorten[],3,FALSE)*VLOOKUP($S66,Frequenties[],3,FALSE)*VLOOKUP($A66,Locaties[],3,FALSE),0)</f>
        <v>0</v>
      </c>
      <c r="V66" s="99">
        <f>Ruimtestaat[[#This Row],[Uitvoeringen werkdagen]]*Ruimtestaat[[#This Row],[Oppervlak (netto)]]</f>
        <v>10800</v>
      </c>
      <c r="W66" s="100">
        <f>IF(U66&gt;0,Ruimtestaat[[#This Row],[Prest. (m2 /jaar) werkdagen]]/Ruimtestaat[[#This Row],[Norm (m2/uur) werkdagen]],0)</f>
        <v>0</v>
      </c>
      <c r="X66" s="101">
        <f>Ruimtestaat[[#This Row],[uren / jaar werkdagen]]*Tariefsopbouw!$E$35</f>
        <v>0</v>
      </c>
      <c r="Y66" s="98"/>
      <c r="Z66" s="102">
        <f>IF(Ruimtestaat[[#This Row],[Frequentie weekend]]&gt;0,VALUE(LEFT(Y66,1))*R66,0)</f>
        <v>0</v>
      </c>
      <c r="AA66" s="98">
        <f>IF($Z66&gt;0,VLOOKUP($J66,Ruimtegroepen[],3,FALSE)*VLOOKUP($L66,Vloersoorten[],3,FALSE)*VLOOKUP($Y66,Frequenties[],3,FALSE)*VLOOKUP($A62,Locaties[],3,FALSE),0)</f>
        <v>0</v>
      </c>
      <c r="AB66" s="100">
        <f>Ruimtestaat[[#This Row],[Uitvoeringen weekend]]*Ruimtestaat[[#This Row],[Oppervlak (netto)]]</f>
        <v>0</v>
      </c>
      <c r="AC66" s="103">
        <f>IF(AB66&gt;0,Ruimtestaat[[#This Row],[Prest. (m2 /jaar) weekend]]/Ruimtestaat[[#This Row],[Norm (m2/uur) weekend]],0)</f>
        <v>0</v>
      </c>
      <c r="AD66" s="104">
        <f>Ruimtestaat[[#This Row],[uren / jaar weekend]]*Tariefsopbouw!$D$40</f>
        <v>0</v>
      </c>
      <c r="AE66" s="73">
        <f>Ruimtestaat[[#This Row],[Prest. (m2 /jaar) weekend]]+Ruimtestaat[[#This Row],[Prest. (m2 /jaar) werkdagen]]</f>
        <v>10800</v>
      </c>
      <c r="AF66" s="73">
        <f>Ruimtestaat[[#This Row],[uren / jaar weekend]]+Ruimtestaat[[#This Row],[uren / jaar werkdagen]]</f>
        <v>0</v>
      </c>
      <c r="AG66" s="74">
        <f>Ruimtestaat[[#This Row],[kosten / jaar weekend]]+Ruimtestaat[[#This Row],[kosten / jaar werkdagen]]</f>
        <v>0</v>
      </c>
      <c r="AH66" s="105"/>
      <c r="HL66" s="72"/>
    </row>
    <row r="67" spans="1:220" ht="15" customHeight="1">
      <c r="A67" s="123">
        <v>1</v>
      </c>
      <c r="B67" s="24" t="str">
        <f>VLOOKUP(Ruimtestaat[[#This Row],[Code]],Locaties[#All],2,FALSE)</f>
        <v>Hoornbeeck College Amersfoort</v>
      </c>
      <c r="C67" s="24" t="str">
        <f>VLOOKUP(Ruimtestaat[[#This Row],[Code]],Locaties[#All],4,FALSE)</f>
        <v>Utrechtseweg 230</v>
      </c>
      <c r="D67" s="24" t="str">
        <f>VLOOKUP(Ruimtestaat[[#This Row],[Code]],Locaties[#All],5,FALSE)</f>
        <v>3818 ET</v>
      </c>
      <c r="E67" s="24" t="str">
        <f>VLOOKUP(Ruimtestaat[[#This Row],[Code]],Locaties[#All],6,FALSE)</f>
        <v>Amersfoort</v>
      </c>
      <c r="F67" s="67" t="s">
        <v>487</v>
      </c>
      <c r="G67" s="24" t="s">
        <v>417</v>
      </c>
      <c r="H67" s="28" t="s">
        <v>490</v>
      </c>
      <c r="I67" s="4" t="s">
        <v>419</v>
      </c>
      <c r="J67" s="24">
        <v>16</v>
      </c>
      <c r="K67" s="67" t="str">
        <f>VLOOKUP(J67,Ruimtegroepen[],2,FALSE)</f>
        <v>Leslokalen</v>
      </c>
      <c r="L67" s="24" t="s">
        <v>110</v>
      </c>
      <c r="M67" s="24" t="s">
        <v>539</v>
      </c>
      <c r="N67" s="96">
        <v>82</v>
      </c>
      <c r="O67" s="96"/>
      <c r="P67" s="106" t="str">
        <f>LEFT(VLOOKUP(Ruimtestaat[[#This Row],[Ruimte code]],Ruimtegroepen[#All],4,1),2)</f>
        <v>Le</v>
      </c>
      <c r="Q67" s="96"/>
      <c r="R67" s="97">
        <v>40</v>
      </c>
      <c r="S67" s="97" t="s">
        <v>2</v>
      </c>
      <c r="T67" s="98">
        <f>IF(R67&gt;0,IF(RIGHT(Ruimtestaat[[#This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" s="98">
        <f>IF(T67&gt;0,VLOOKUP($J67,Ruimtegroepen[],3,FALSE)*VLOOKUP($L67,Vloersoorten[],3,FALSE)*VLOOKUP($S67,Frequenties[],3,FALSE)*VLOOKUP($A67,Locaties[],3,FALSE),0)</f>
        <v>0</v>
      </c>
      <c r="V67" s="99">
        <f>Ruimtestaat[[#This Row],[Uitvoeringen werkdagen]]*Ruimtestaat[[#This Row],[Oppervlak (netto)]]</f>
        <v>16400</v>
      </c>
      <c r="W67" s="100">
        <f>IF(U67&gt;0,Ruimtestaat[[#This Row],[Prest. (m2 /jaar) werkdagen]]/Ruimtestaat[[#This Row],[Norm (m2/uur) werkdagen]],0)</f>
        <v>0</v>
      </c>
      <c r="X67" s="101">
        <f>Ruimtestaat[[#This Row],[uren / jaar werkdagen]]*Tariefsopbouw!$E$35</f>
        <v>0</v>
      </c>
      <c r="Y67" s="98"/>
      <c r="Z67" s="102">
        <f>IF(Ruimtestaat[[#This Row],[Frequentie weekend]]&gt;0,VALUE(LEFT(Y67,1))*R67,0)</f>
        <v>0</v>
      </c>
      <c r="AA67" s="98">
        <f>IF($Z67&gt;0,VLOOKUP($J67,Ruimtegroepen[],3,FALSE)*VLOOKUP($L67,Vloersoorten[],3,FALSE)*VLOOKUP($Y67,Frequenties[],3,FALSE)*VLOOKUP($A63,Locaties[],3,FALSE),0)</f>
        <v>0</v>
      </c>
      <c r="AB67" s="100">
        <f>Ruimtestaat[[#This Row],[Uitvoeringen weekend]]*Ruimtestaat[[#This Row],[Oppervlak (netto)]]</f>
        <v>0</v>
      </c>
      <c r="AC67" s="103">
        <f>IF(AB67&gt;0,Ruimtestaat[[#This Row],[Prest. (m2 /jaar) weekend]]/Ruimtestaat[[#This Row],[Norm (m2/uur) weekend]],0)</f>
        <v>0</v>
      </c>
      <c r="AD67" s="104">
        <f>Ruimtestaat[[#This Row],[uren / jaar weekend]]*Tariefsopbouw!$D$40</f>
        <v>0</v>
      </c>
      <c r="AE67" s="73">
        <f>Ruimtestaat[[#This Row],[Prest. (m2 /jaar) weekend]]+Ruimtestaat[[#This Row],[Prest. (m2 /jaar) werkdagen]]</f>
        <v>16400</v>
      </c>
      <c r="AF67" s="73">
        <f>Ruimtestaat[[#This Row],[uren / jaar weekend]]+Ruimtestaat[[#This Row],[uren / jaar werkdagen]]</f>
        <v>0</v>
      </c>
      <c r="AG67" s="74">
        <f>Ruimtestaat[[#This Row],[kosten / jaar weekend]]+Ruimtestaat[[#This Row],[kosten / jaar werkdagen]]</f>
        <v>0</v>
      </c>
      <c r="AH67" s="105"/>
      <c r="HL67" s="72"/>
    </row>
    <row r="68" spans="1:220" ht="15" customHeight="1">
      <c r="A68" s="123">
        <v>1</v>
      </c>
      <c r="B68" s="24" t="str">
        <f>VLOOKUP(Ruimtestaat[[#This Row],[Code]],Locaties[#All],2,FALSE)</f>
        <v>Hoornbeeck College Amersfoort</v>
      </c>
      <c r="C68" s="24" t="str">
        <f>VLOOKUP(Ruimtestaat[[#This Row],[Code]],Locaties[#All],4,FALSE)</f>
        <v>Utrechtseweg 230</v>
      </c>
      <c r="D68" s="24" t="str">
        <f>VLOOKUP(Ruimtestaat[[#This Row],[Code]],Locaties[#All],5,FALSE)</f>
        <v>3818 ET</v>
      </c>
      <c r="E68" s="24" t="str">
        <f>VLOOKUP(Ruimtestaat[[#This Row],[Code]],Locaties[#All],6,FALSE)</f>
        <v>Amersfoort</v>
      </c>
      <c r="F68" s="67" t="s">
        <v>487</v>
      </c>
      <c r="G68" s="24" t="s">
        <v>417</v>
      </c>
      <c r="H68" s="28" t="s">
        <v>491</v>
      </c>
      <c r="I68" s="4" t="s">
        <v>419</v>
      </c>
      <c r="J68" s="24">
        <v>16</v>
      </c>
      <c r="K68" s="67" t="str">
        <f>VLOOKUP(J68,Ruimtegroepen[],2,FALSE)</f>
        <v>Leslokalen</v>
      </c>
      <c r="L68" s="24" t="s">
        <v>110</v>
      </c>
      <c r="M68" s="24" t="s">
        <v>539</v>
      </c>
      <c r="N68" s="96">
        <v>82</v>
      </c>
      <c r="O68" s="96"/>
      <c r="P68" s="106" t="str">
        <f>LEFT(VLOOKUP(Ruimtestaat[[#This Row],[Ruimte code]],Ruimtegroepen[#All],4,1),2)</f>
        <v>Le</v>
      </c>
      <c r="Q68" s="96"/>
      <c r="R68" s="97">
        <v>40</v>
      </c>
      <c r="S68" s="97" t="s">
        <v>2</v>
      </c>
      <c r="T68" s="98">
        <f>IF(R68&gt;0,IF(RIGHT(Ruimtestaat[[#This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8" s="98">
        <f>IF(T68&gt;0,VLOOKUP($J68,Ruimtegroepen[],3,FALSE)*VLOOKUP($L68,Vloersoorten[],3,FALSE)*VLOOKUP($S68,Frequenties[],3,FALSE)*VLOOKUP($A68,Locaties[],3,FALSE),0)</f>
        <v>0</v>
      </c>
      <c r="V68" s="99">
        <f>Ruimtestaat[[#This Row],[Uitvoeringen werkdagen]]*Ruimtestaat[[#This Row],[Oppervlak (netto)]]</f>
        <v>16400</v>
      </c>
      <c r="W68" s="100">
        <f>IF(U68&gt;0,Ruimtestaat[[#This Row],[Prest. (m2 /jaar) werkdagen]]/Ruimtestaat[[#This Row],[Norm (m2/uur) werkdagen]],0)</f>
        <v>0</v>
      </c>
      <c r="X68" s="101">
        <f>Ruimtestaat[[#This Row],[uren / jaar werkdagen]]*Tariefsopbouw!$E$35</f>
        <v>0</v>
      </c>
      <c r="Y68" s="98"/>
      <c r="Z68" s="102">
        <f>IF(Ruimtestaat[[#This Row],[Frequentie weekend]]&gt;0,VALUE(LEFT(Y68,1))*R68,0)</f>
        <v>0</v>
      </c>
      <c r="AA68" s="98">
        <f>IF($Z68&gt;0,VLOOKUP($J68,Ruimtegroepen[],3,FALSE)*VLOOKUP($L68,Vloersoorten[],3,FALSE)*VLOOKUP($Y68,Frequenties[],3,FALSE)*VLOOKUP($A64,Locaties[],3,FALSE),0)</f>
        <v>0</v>
      </c>
      <c r="AB68" s="100">
        <f>Ruimtestaat[[#This Row],[Uitvoeringen weekend]]*Ruimtestaat[[#This Row],[Oppervlak (netto)]]</f>
        <v>0</v>
      </c>
      <c r="AC68" s="103">
        <f>IF(AB68&gt;0,Ruimtestaat[[#This Row],[Prest. (m2 /jaar) weekend]]/Ruimtestaat[[#This Row],[Norm (m2/uur) weekend]],0)</f>
        <v>0</v>
      </c>
      <c r="AD68" s="104">
        <f>Ruimtestaat[[#This Row],[uren / jaar weekend]]*Tariefsopbouw!$D$40</f>
        <v>0</v>
      </c>
      <c r="AE68" s="73">
        <f>Ruimtestaat[[#This Row],[Prest. (m2 /jaar) weekend]]+Ruimtestaat[[#This Row],[Prest. (m2 /jaar) werkdagen]]</f>
        <v>16400</v>
      </c>
      <c r="AF68" s="73">
        <f>Ruimtestaat[[#This Row],[uren / jaar weekend]]+Ruimtestaat[[#This Row],[uren / jaar werkdagen]]</f>
        <v>0</v>
      </c>
      <c r="AG68" s="74">
        <f>Ruimtestaat[[#This Row],[kosten / jaar weekend]]+Ruimtestaat[[#This Row],[kosten / jaar werkdagen]]</f>
        <v>0</v>
      </c>
      <c r="AH68" s="105"/>
      <c r="HL68" s="72"/>
    </row>
    <row r="69" spans="1:220" ht="15" customHeight="1">
      <c r="A69" s="123">
        <v>1</v>
      </c>
      <c r="B69" s="24" t="str">
        <f>VLOOKUP(Ruimtestaat[[#This Row],[Code]],Locaties[#All],2,FALSE)</f>
        <v>Hoornbeeck College Amersfoort</v>
      </c>
      <c r="C69" s="24" t="str">
        <f>VLOOKUP(Ruimtestaat[[#This Row],[Code]],Locaties[#All],4,FALSE)</f>
        <v>Utrechtseweg 230</v>
      </c>
      <c r="D69" s="24" t="str">
        <f>VLOOKUP(Ruimtestaat[[#This Row],[Code]],Locaties[#All],5,FALSE)</f>
        <v>3818 ET</v>
      </c>
      <c r="E69" s="24" t="str">
        <f>VLOOKUP(Ruimtestaat[[#This Row],[Code]],Locaties[#All],6,FALSE)</f>
        <v>Amersfoort</v>
      </c>
      <c r="F69" s="67" t="s">
        <v>487</v>
      </c>
      <c r="G69" s="24" t="s">
        <v>417</v>
      </c>
      <c r="H69" s="28" t="s">
        <v>492</v>
      </c>
      <c r="I69" s="4" t="s">
        <v>419</v>
      </c>
      <c r="J69" s="24">
        <v>16</v>
      </c>
      <c r="K69" s="67" t="str">
        <f>VLOOKUP(J69,Ruimtegroepen[],2,FALSE)</f>
        <v>Leslokalen</v>
      </c>
      <c r="L69" s="24" t="s">
        <v>110</v>
      </c>
      <c r="M69" s="24" t="s">
        <v>539</v>
      </c>
      <c r="N69" s="96">
        <v>77</v>
      </c>
      <c r="O69" s="96"/>
      <c r="P69" s="106" t="str">
        <f>LEFT(VLOOKUP(Ruimtestaat[[#This Row],[Ruimte code]],Ruimtegroepen[#All],4,1),2)</f>
        <v>Le</v>
      </c>
      <c r="Q69" s="96"/>
      <c r="R69" s="97">
        <v>40</v>
      </c>
      <c r="S69" s="97" t="s">
        <v>2</v>
      </c>
      <c r="T69" s="98">
        <f>IF(R69&gt;0,IF(RIGHT(Ruimtestaat[[#This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9" s="98">
        <f>IF(T69&gt;0,VLOOKUP($J69,Ruimtegroepen[],3,FALSE)*VLOOKUP($L69,Vloersoorten[],3,FALSE)*VLOOKUP($S69,Frequenties[],3,FALSE)*VLOOKUP($A69,Locaties[],3,FALSE),0)</f>
        <v>0</v>
      </c>
      <c r="V69" s="99">
        <f>Ruimtestaat[[#This Row],[Uitvoeringen werkdagen]]*Ruimtestaat[[#This Row],[Oppervlak (netto)]]</f>
        <v>15400</v>
      </c>
      <c r="W69" s="100">
        <f>IF(U69&gt;0,Ruimtestaat[[#This Row],[Prest. (m2 /jaar) werkdagen]]/Ruimtestaat[[#This Row],[Norm (m2/uur) werkdagen]],0)</f>
        <v>0</v>
      </c>
      <c r="X69" s="101">
        <f>Ruimtestaat[[#This Row],[uren / jaar werkdagen]]*Tariefsopbouw!$E$35</f>
        <v>0</v>
      </c>
      <c r="Y69" s="98"/>
      <c r="Z69" s="102">
        <f>IF(Ruimtestaat[[#This Row],[Frequentie weekend]]&gt;0,VALUE(LEFT(Y69,1))*R69,0)</f>
        <v>0</v>
      </c>
      <c r="AA69" s="98">
        <f>IF($Z69&gt;0,VLOOKUP($J69,Ruimtegroepen[],3,FALSE)*VLOOKUP($L69,Vloersoorten[],3,FALSE)*VLOOKUP($Y69,Frequenties[],3,FALSE)*VLOOKUP($A65,Locaties[],3,FALSE),0)</f>
        <v>0</v>
      </c>
      <c r="AB69" s="100">
        <f>Ruimtestaat[[#This Row],[Uitvoeringen weekend]]*Ruimtestaat[[#This Row],[Oppervlak (netto)]]</f>
        <v>0</v>
      </c>
      <c r="AC69" s="103">
        <f>IF(AB69&gt;0,Ruimtestaat[[#This Row],[Prest. (m2 /jaar) weekend]]/Ruimtestaat[[#This Row],[Norm (m2/uur) weekend]],0)</f>
        <v>0</v>
      </c>
      <c r="AD69" s="104">
        <f>Ruimtestaat[[#This Row],[uren / jaar weekend]]*Tariefsopbouw!$D$40</f>
        <v>0</v>
      </c>
      <c r="AE69" s="73">
        <f>Ruimtestaat[[#This Row],[Prest. (m2 /jaar) weekend]]+Ruimtestaat[[#This Row],[Prest. (m2 /jaar) werkdagen]]</f>
        <v>15400</v>
      </c>
      <c r="AF69" s="73">
        <f>Ruimtestaat[[#This Row],[uren / jaar weekend]]+Ruimtestaat[[#This Row],[uren / jaar werkdagen]]</f>
        <v>0</v>
      </c>
      <c r="AG69" s="74">
        <f>Ruimtestaat[[#This Row],[kosten / jaar weekend]]+Ruimtestaat[[#This Row],[kosten / jaar werkdagen]]</f>
        <v>0</v>
      </c>
      <c r="AH69" s="105"/>
      <c r="HL69" s="72"/>
    </row>
    <row r="70" spans="1:220" ht="15" customHeight="1">
      <c r="A70" s="123">
        <v>1</v>
      </c>
      <c r="B70" s="24" t="str">
        <f>VLOOKUP(Ruimtestaat[[#This Row],[Code]],Locaties[#All],2,FALSE)</f>
        <v>Hoornbeeck College Amersfoort</v>
      </c>
      <c r="C70" s="24" t="str">
        <f>VLOOKUP(Ruimtestaat[[#This Row],[Code]],Locaties[#All],4,FALSE)</f>
        <v>Utrechtseweg 230</v>
      </c>
      <c r="D70" s="24" t="str">
        <f>VLOOKUP(Ruimtestaat[[#This Row],[Code]],Locaties[#All],5,FALSE)</f>
        <v>3818 ET</v>
      </c>
      <c r="E70" s="24" t="str">
        <f>VLOOKUP(Ruimtestaat[[#This Row],[Code]],Locaties[#All],6,FALSE)</f>
        <v>Amersfoort</v>
      </c>
      <c r="F70" s="67" t="s">
        <v>487</v>
      </c>
      <c r="G70" s="24" t="s">
        <v>417</v>
      </c>
      <c r="H70" s="28" t="s">
        <v>452</v>
      </c>
      <c r="I70" s="4" t="s">
        <v>493</v>
      </c>
      <c r="J70" s="24">
        <v>14</v>
      </c>
      <c r="K70" s="67" t="str">
        <f>VLOOKUP(J70,Ruimtegroepen[],2,FALSE)</f>
        <v>Praktijklokalen</v>
      </c>
      <c r="L70" s="24" t="s">
        <v>110</v>
      </c>
      <c r="M70" s="24" t="s">
        <v>539</v>
      </c>
      <c r="N70" s="96">
        <v>57</v>
      </c>
      <c r="O70" s="96"/>
      <c r="P70" s="106" t="str">
        <f>LEFT(VLOOKUP(Ruimtestaat[[#This Row],[Ruimte code]],Ruimtegroepen[#All],4,1),2)</f>
        <v>Le</v>
      </c>
      <c r="Q70" s="96"/>
      <c r="R70" s="97">
        <v>40</v>
      </c>
      <c r="S70" s="97" t="s">
        <v>2</v>
      </c>
      <c r="T70" s="98">
        <f>IF(R70&gt;0,IF(RIGHT(Ruimtestaat[[#This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0" s="98">
        <f>IF(T70&gt;0,VLOOKUP($J70,Ruimtegroepen[],3,FALSE)*VLOOKUP($L70,Vloersoorten[],3,FALSE)*VLOOKUP($S70,Frequenties[],3,FALSE)*VLOOKUP($A70,Locaties[],3,FALSE),0)</f>
        <v>0</v>
      </c>
      <c r="V70" s="99">
        <f>Ruimtestaat[[#This Row],[Uitvoeringen werkdagen]]*Ruimtestaat[[#This Row],[Oppervlak (netto)]]</f>
        <v>11400</v>
      </c>
      <c r="W70" s="100">
        <f>IF(U70&gt;0,Ruimtestaat[[#This Row],[Prest. (m2 /jaar) werkdagen]]/Ruimtestaat[[#This Row],[Norm (m2/uur) werkdagen]],0)</f>
        <v>0</v>
      </c>
      <c r="X70" s="101">
        <f>Ruimtestaat[[#This Row],[uren / jaar werkdagen]]*Tariefsopbouw!$E$35</f>
        <v>0</v>
      </c>
      <c r="Y70" s="98"/>
      <c r="Z70" s="102">
        <f>IF(Ruimtestaat[[#This Row],[Frequentie weekend]]&gt;0,VALUE(LEFT(Y70,1))*R70,0)</f>
        <v>0</v>
      </c>
      <c r="AA70" s="98">
        <f>IF($Z70&gt;0,VLOOKUP($J70,Ruimtegroepen[],3,FALSE)*VLOOKUP($L70,Vloersoorten[],3,FALSE)*VLOOKUP($Y70,Frequenties[],3,FALSE)*VLOOKUP($A66,Locaties[],3,FALSE),0)</f>
        <v>0</v>
      </c>
      <c r="AB70" s="100">
        <f>Ruimtestaat[[#This Row],[Uitvoeringen weekend]]*Ruimtestaat[[#This Row],[Oppervlak (netto)]]</f>
        <v>0</v>
      </c>
      <c r="AC70" s="103">
        <f>IF(AB70&gt;0,Ruimtestaat[[#This Row],[Prest. (m2 /jaar) weekend]]/Ruimtestaat[[#This Row],[Norm (m2/uur) weekend]],0)</f>
        <v>0</v>
      </c>
      <c r="AD70" s="104">
        <f>Ruimtestaat[[#This Row],[uren / jaar weekend]]*Tariefsopbouw!$D$40</f>
        <v>0</v>
      </c>
      <c r="AE70" s="73">
        <f>Ruimtestaat[[#This Row],[Prest. (m2 /jaar) weekend]]+Ruimtestaat[[#This Row],[Prest. (m2 /jaar) werkdagen]]</f>
        <v>11400</v>
      </c>
      <c r="AF70" s="73">
        <f>Ruimtestaat[[#This Row],[uren / jaar weekend]]+Ruimtestaat[[#This Row],[uren / jaar werkdagen]]</f>
        <v>0</v>
      </c>
      <c r="AG70" s="74">
        <f>Ruimtestaat[[#This Row],[kosten / jaar weekend]]+Ruimtestaat[[#This Row],[kosten / jaar werkdagen]]</f>
        <v>0</v>
      </c>
      <c r="AH70" s="105"/>
      <c r="HL70" s="72"/>
    </row>
    <row r="71" spans="1:220" ht="15" customHeight="1">
      <c r="A71" s="123">
        <v>1</v>
      </c>
      <c r="B71" s="24" t="str">
        <f>VLOOKUP(Ruimtestaat[[#This Row],[Code]],Locaties[#All],2,FALSE)</f>
        <v>Hoornbeeck College Amersfoort</v>
      </c>
      <c r="C71" s="24" t="str">
        <f>VLOOKUP(Ruimtestaat[[#This Row],[Code]],Locaties[#All],4,FALSE)</f>
        <v>Utrechtseweg 230</v>
      </c>
      <c r="D71" s="24" t="str">
        <f>VLOOKUP(Ruimtestaat[[#This Row],[Code]],Locaties[#All],5,FALSE)</f>
        <v>3818 ET</v>
      </c>
      <c r="E71" s="24" t="str">
        <f>VLOOKUP(Ruimtestaat[[#This Row],[Code]],Locaties[#All],6,FALSE)</f>
        <v>Amersfoort</v>
      </c>
      <c r="F71" s="67" t="s">
        <v>487</v>
      </c>
      <c r="G71" s="24" t="s">
        <v>417</v>
      </c>
      <c r="H71" s="28" t="s">
        <v>494</v>
      </c>
      <c r="I71" s="4" t="s">
        <v>493</v>
      </c>
      <c r="J71" s="24">
        <v>14</v>
      </c>
      <c r="K71" s="67" t="str">
        <f>VLOOKUP(J71,Ruimtegroepen[],2,FALSE)</f>
        <v>Praktijklokalen</v>
      </c>
      <c r="L71" s="24" t="s">
        <v>111</v>
      </c>
      <c r="M71" s="24" t="s">
        <v>543</v>
      </c>
      <c r="N71" s="96">
        <v>139</v>
      </c>
      <c r="O71" s="96"/>
      <c r="P71" s="106" t="str">
        <f>LEFT(VLOOKUP(Ruimtestaat[[#This Row],[Ruimte code]],Ruimtegroepen[#All],4,1),2)</f>
        <v>Le</v>
      </c>
      <c r="Q71" s="96"/>
      <c r="R71" s="97">
        <v>40</v>
      </c>
      <c r="S71" s="97" t="s">
        <v>2</v>
      </c>
      <c r="T71" s="98">
        <f>IF(R71&gt;0,IF(RIGHT(Ruimtestaat[[#This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" s="98">
        <f>IF(T71&gt;0,VLOOKUP($J71,Ruimtegroepen[],3,FALSE)*VLOOKUP($L71,Vloersoorten[],3,FALSE)*VLOOKUP($S71,Frequenties[],3,FALSE)*VLOOKUP($A71,Locaties[],3,FALSE),0)</f>
        <v>0</v>
      </c>
      <c r="V71" s="99">
        <f>Ruimtestaat[[#This Row],[Uitvoeringen werkdagen]]*Ruimtestaat[[#This Row],[Oppervlak (netto)]]</f>
        <v>27800</v>
      </c>
      <c r="W71" s="100">
        <f>IF(U71&gt;0,Ruimtestaat[[#This Row],[Prest. (m2 /jaar) werkdagen]]/Ruimtestaat[[#This Row],[Norm (m2/uur) werkdagen]],0)</f>
        <v>0</v>
      </c>
      <c r="X71" s="101">
        <f>Ruimtestaat[[#This Row],[uren / jaar werkdagen]]*Tariefsopbouw!$E$35</f>
        <v>0</v>
      </c>
      <c r="Y71" s="98"/>
      <c r="Z71" s="102">
        <f>IF(Ruimtestaat[[#This Row],[Frequentie weekend]]&gt;0,VALUE(LEFT(Y71,1))*R71,0)</f>
        <v>0</v>
      </c>
      <c r="AA71" s="98">
        <f>IF($Z71&gt;0,VLOOKUP($J71,Ruimtegroepen[],3,FALSE)*VLOOKUP($L71,Vloersoorten[],3,FALSE)*VLOOKUP($Y71,Frequenties[],3,FALSE)*VLOOKUP($A67,Locaties[],3,FALSE),0)</f>
        <v>0</v>
      </c>
      <c r="AB71" s="100">
        <f>Ruimtestaat[[#This Row],[Uitvoeringen weekend]]*Ruimtestaat[[#This Row],[Oppervlak (netto)]]</f>
        <v>0</v>
      </c>
      <c r="AC71" s="103">
        <f>IF(AB71&gt;0,Ruimtestaat[[#This Row],[Prest. (m2 /jaar) weekend]]/Ruimtestaat[[#This Row],[Norm (m2/uur) weekend]],0)</f>
        <v>0</v>
      </c>
      <c r="AD71" s="104">
        <f>Ruimtestaat[[#This Row],[uren / jaar weekend]]*Tariefsopbouw!$D$40</f>
        <v>0</v>
      </c>
      <c r="AE71" s="73">
        <f>Ruimtestaat[[#This Row],[Prest. (m2 /jaar) weekend]]+Ruimtestaat[[#This Row],[Prest. (m2 /jaar) werkdagen]]</f>
        <v>27800</v>
      </c>
      <c r="AF71" s="73">
        <f>Ruimtestaat[[#This Row],[uren / jaar weekend]]+Ruimtestaat[[#This Row],[uren / jaar werkdagen]]</f>
        <v>0</v>
      </c>
      <c r="AG71" s="74">
        <f>Ruimtestaat[[#This Row],[kosten / jaar weekend]]+Ruimtestaat[[#This Row],[kosten / jaar werkdagen]]</f>
        <v>0</v>
      </c>
      <c r="AH71" s="105"/>
      <c r="HL71" s="72"/>
    </row>
    <row r="72" spans="1:220" ht="15" customHeight="1">
      <c r="A72" s="123">
        <v>1</v>
      </c>
      <c r="B72" s="24" t="str">
        <f>VLOOKUP(Ruimtestaat[[#This Row],[Code]],Locaties[#All],2,FALSE)</f>
        <v>Hoornbeeck College Amersfoort</v>
      </c>
      <c r="C72" s="24" t="str">
        <f>VLOOKUP(Ruimtestaat[[#This Row],[Code]],Locaties[#All],4,FALSE)</f>
        <v>Utrechtseweg 230</v>
      </c>
      <c r="D72" s="24" t="str">
        <f>VLOOKUP(Ruimtestaat[[#This Row],[Code]],Locaties[#All],5,FALSE)</f>
        <v>3818 ET</v>
      </c>
      <c r="E72" s="24" t="str">
        <f>VLOOKUP(Ruimtestaat[[#This Row],[Code]],Locaties[#All],6,FALSE)</f>
        <v>Amersfoort</v>
      </c>
      <c r="F72" s="67" t="s">
        <v>487</v>
      </c>
      <c r="G72" s="24" t="s">
        <v>417</v>
      </c>
      <c r="H72" s="28" t="s">
        <v>495</v>
      </c>
      <c r="I72" s="4" t="s">
        <v>493</v>
      </c>
      <c r="J72" s="24">
        <v>14</v>
      </c>
      <c r="K72" s="67" t="str">
        <f>VLOOKUP(J72,Ruimtegroepen[],2,FALSE)</f>
        <v>Praktijklokalen</v>
      </c>
      <c r="L72" s="24" t="s">
        <v>110</v>
      </c>
      <c r="M72" s="24" t="s">
        <v>539</v>
      </c>
      <c r="N72" s="96">
        <v>139</v>
      </c>
      <c r="O72" s="96"/>
      <c r="P72" s="106" t="str">
        <f>LEFT(VLOOKUP(Ruimtestaat[[#This Row],[Ruimte code]],Ruimtegroepen[#All],4,1),2)</f>
        <v>Le</v>
      </c>
      <c r="Q72" s="96"/>
      <c r="R72" s="97">
        <v>40</v>
      </c>
      <c r="S72" s="97" t="s">
        <v>2</v>
      </c>
      <c r="T72" s="98">
        <f>IF(R72&gt;0,IF(RIGHT(Ruimtestaat[[#This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" s="98">
        <f>IF(T72&gt;0,VLOOKUP($J72,Ruimtegroepen[],3,FALSE)*VLOOKUP($L72,Vloersoorten[],3,FALSE)*VLOOKUP($S72,Frequenties[],3,FALSE)*VLOOKUP($A72,Locaties[],3,FALSE),0)</f>
        <v>0</v>
      </c>
      <c r="V72" s="99">
        <f>Ruimtestaat[[#This Row],[Uitvoeringen werkdagen]]*Ruimtestaat[[#This Row],[Oppervlak (netto)]]</f>
        <v>27800</v>
      </c>
      <c r="W72" s="100">
        <f>IF(U72&gt;0,Ruimtestaat[[#This Row],[Prest. (m2 /jaar) werkdagen]]/Ruimtestaat[[#This Row],[Norm (m2/uur) werkdagen]],0)</f>
        <v>0</v>
      </c>
      <c r="X72" s="101">
        <f>Ruimtestaat[[#This Row],[uren / jaar werkdagen]]*Tariefsopbouw!$E$35</f>
        <v>0</v>
      </c>
      <c r="Y72" s="98"/>
      <c r="Z72" s="102">
        <f>IF(Ruimtestaat[[#This Row],[Frequentie weekend]]&gt;0,VALUE(LEFT(Y72,1))*R72,0)</f>
        <v>0</v>
      </c>
      <c r="AA72" s="98">
        <f>IF($Z72&gt;0,VLOOKUP($J72,Ruimtegroepen[],3,FALSE)*VLOOKUP($L72,Vloersoorten[],3,FALSE)*VLOOKUP($Y72,Frequenties[],3,FALSE)*VLOOKUP($A68,Locaties[],3,FALSE),0)</f>
        <v>0</v>
      </c>
      <c r="AB72" s="100">
        <f>Ruimtestaat[[#This Row],[Uitvoeringen weekend]]*Ruimtestaat[[#This Row],[Oppervlak (netto)]]</f>
        <v>0</v>
      </c>
      <c r="AC72" s="103">
        <f>IF(AB72&gt;0,Ruimtestaat[[#This Row],[Prest. (m2 /jaar) weekend]]/Ruimtestaat[[#This Row],[Norm (m2/uur) weekend]],0)</f>
        <v>0</v>
      </c>
      <c r="AD72" s="104">
        <f>Ruimtestaat[[#This Row],[uren / jaar weekend]]*Tariefsopbouw!$D$40</f>
        <v>0</v>
      </c>
      <c r="AE72" s="73">
        <f>Ruimtestaat[[#This Row],[Prest. (m2 /jaar) weekend]]+Ruimtestaat[[#This Row],[Prest. (m2 /jaar) werkdagen]]</f>
        <v>27800</v>
      </c>
      <c r="AF72" s="73">
        <f>Ruimtestaat[[#This Row],[uren / jaar weekend]]+Ruimtestaat[[#This Row],[uren / jaar werkdagen]]</f>
        <v>0</v>
      </c>
      <c r="AG72" s="74">
        <f>Ruimtestaat[[#This Row],[kosten / jaar weekend]]+Ruimtestaat[[#This Row],[kosten / jaar werkdagen]]</f>
        <v>0</v>
      </c>
      <c r="AH72" s="105"/>
      <c r="HL72" s="72"/>
    </row>
    <row r="73" spans="1:220" ht="15" customHeight="1">
      <c r="A73" s="123">
        <v>1</v>
      </c>
      <c r="B73" s="24" t="str">
        <f>VLOOKUP(Ruimtestaat[[#This Row],[Code]],Locaties[#All],2,FALSE)</f>
        <v>Hoornbeeck College Amersfoort</v>
      </c>
      <c r="C73" s="24" t="str">
        <f>VLOOKUP(Ruimtestaat[[#This Row],[Code]],Locaties[#All],4,FALSE)</f>
        <v>Utrechtseweg 230</v>
      </c>
      <c r="D73" s="24" t="str">
        <f>VLOOKUP(Ruimtestaat[[#This Row],[Code]],Locaties[#All],5,FALSE)</f>
        <v>3818 ET</v>
      </c>
      <c r="E73" s="24" t="str">
        <f>VLOOKUP(Ruimtestaat[[#This Row],[Code]],Locaties[#All],6,FALSE)</f>
        <v>Amersfoort</v>
      </c>
      <c r="F73" s="67" t="s">
        <v>487</v>
      </c>
      <c r="G73" s="24" t="s">
        <v>427</v>
      </c>
      <c r="H73" s="28" t="s">
        <v>496</v>
      </c>
      <c r="I73" s="4" t="s">
        <v>419</v>
      </c>
      <c r="J73" s="24">
        <v>16</v>
      </c>
      <c r="K73" s="67" t="str">
        <f>VLOOKUP(J73,Ruimtegroepen[],2,FALSE)</f>
        <v>Leslokalen</v>
      </c>
      <c r="L73" s="24" t="s">
        <v>110</v>
      </c>
      <c r="M73" s="24" t="s">
        <v>539</v>
      </c>
      <c r="N73" s="96">
        <v>68</v>
      </c>
      <c r="O73" s="96"/>
      <c r="P73" s="106" t="str">
        <f>LEFT(VLOOKUP(Ruimtestaat[[#This Row],[Ruimte code]],Ruimtegroepen[#All],4,1),2)</f>
        <v>Le</v>
      </c>
      <c r="Q73" s="96"/>
      <c r="R73" s="97">
        <v>40</v>
      </c>
      <c r="S73" s="97" t="s">
        <v>2</v>
      </c>
      <c r="T73" s="98">
        <f>IF(R73&gt;0,IF(RIGHT(Ruimtestaat[[#This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" s="98">
        <f>IF(T73&gt;0,VLOOKUP($J73,Ruimtegroepen[],3,FALSE)*VLOOKUP($L73,Vloersoorten[],3,FALSE)*VLOOKUP($S73,Frequenties[],3,FALSE)*VLOOKUP($A73,Locaties[],3,FALSE),0)</f>
        <v>0</v>
      </c>
      <c r="V73" s="99">
        <f>Ruimtestaat[[#This Row],[Uitvoeringen werkdagen]]*Ruimtestaat[[#This Row],[Oppervlak (netto)]]</f>
        <v>13600</v>
      </c>
      <c r="W73" s="100">
        <f>IF(U73&gt;0,Ruimtestaat[[#This Row],[Prest. (m2 /jaar) werkdagen]]/Ruimtestaat[[#This Row],[Norm (m2/uur) werkdagen]],0)</f>
        <v>0</v>
      </c>
      <c r="X73" s="101">
        <f>Ruimtestaat[[#This Row],[uren / jaar werkdagen]]*Tariefsopbouw!$E$35</f>
        <v>0</v>
      </c>
      <c r="Y73" s="98"/>
      <c r="Z73" s="102">
        <f>IF(Ruimtestaat[[#This Row],[Frequentie weekend]]&gt;0,VALUE(LEFT(Y73,1))*R73,0)</f>
        <v>0</v>
      </c>
      <c r="AA73" s="98">
        <f>IF($Z73&gt;0,VLOOKUP($J73,Ruimtegroepen[],3,FALSE)*VLOOKUP($L73,Vloersoorten[],3,FALSE)*VLOOKUP($Y73,Frequenties[],3,FALSE)*VLOOKUP($A69,Locaties[],3,FALSE),0)</f>
        <v>0</v>
      </c>
      <c r="AB73" s="100">
        <f>Ruimtestaat[[#This Row],[Uitvoeringen weekend]]*Ruimtestaat[[#This Row],[Oppervlak (netto)]]</f>
        <v>0</v>
      </c>
      <c r="AC73" s="103">
        <f>IF(AB73&gt;0,Ruimtestaat[[#This Row],[Prest. (m2 /jaar) weekend]]/Ruimtestaat[[#This Row],[Norm (m2/uur) weekend]],0)</f>
        <v>0</v>
      </c>
      <c r="AD73" s="104">
        <f>Ruimtestaat[[#This Row],[uren / jaar weekend]]*Tariefsopbouw!$D$40</f>
        <v>0</v>
      </c>
      <c r="AE73" s="73">
        <f>Ruimtestaat[[#This Row],[Prest. (m2 /jaar) weekend]]+Ruimtestaat[[#This Row],[Prest. (m2 /jaar) werkdagen]]</f>
        <v>13600</v>
      </c>
      <c r="AF73" s="73">
        <f>Ruimtestaat[[#This Row],[uren / jaar weekend]]+Ruimtestaat[[#This Row],[uren / jaar werkdagen]]</f>
        <v>0</v>
      </c>
      <c r="AG73" s="74">
        <f>Ruimtestaat[[#This Row],[kosten / jaar weekend]]+Ruimtestaat[[#This Row],[kosten / jaar werkdagen]]</f>
        <v>0</v>
      </c>
      <c r="AH73" s="105"/>
      <c r="HL73" s="72"/>
    </row>
    <row r="74" spans="1:220" ht="15" customHeight="1">
      <c r="A74" s="123">
        <v>1</v>
      </c>
      <c r="B74" s="24" t="str">
        <f>VLOOKUP(Ruimtestaat[[#This Row],[Code]],Locaties[#All],2,FALSE)</f>
        <v>Hoornbeeck College Amersfoort</v>
      </c>
      <c r="C74" s="24" t="str">
        <f>VLOOKUP(Ruimtestaat[[#This Row],[Code]],Locaties[#All],4,FALSE)</f>
        <v>Utrechtseweg 230</v>
      </c>
      <c r="D74" s="24" t="str">
        <f>VLOOKUP(Ruimtestaat[[#This Row],[Code]],Locaties[#All],5,FALSE)</f>
        <v>3818 ET</v>
      </c>
      <c r="E74" s="24" t="str">
        <f>VLOOKUP(Ruimtestaat[[#This Row],[Code]],Locaties[#All],6,FALSE)</f>
        <v>Amersfoort</v>
      </c>
      <c r="F74" s="67" t="s">
        <v>487</v>
      </c>
      <c r="G74" s="24" t="s">
        <v>427</v>
      </c>
      <c r="H74" s="28" t="s">
        <v>497</v>
      </c>
      <c r="I74" s="4" t="s">
        <v>419</v>
      </c>
      <c r="J74" s="24">
        <v>16</v>
      </c>
      <c r="K74" s="67" t="str">
        <f>VLOOKUP(J74,Ruimtegroepen[],2,FALSE)</f>
        <v>Leslokalen</v>
      </c>
      <c r="L74" s="24" t="s">
        <v>110</v>
      </c>
      <c r="M74" s="24" t="s">
        <v>539</v>
      </c>
      <c r="N74" s="96">
        <v>46</v>
      </c>
      <c r="O74" s="96"/>
      <c r="P74" s="106" t="str">
        <f>LEFT(VLOOKUP(Ruimtestaat[[#This Row],[Ruimte code]],Ruimtegroepen[#All],4,1),2)</f>
        <v>Le</v>
      </c>
      <c r="Q74" s="96"/>
      <c r="R74" s="97">
        <v>40</v>
      </c>
      <c r="S74" s="97" t="s">
        <v>2</v>
      </c>
      <c r="T74" s="98">
        <f>IF(R74&gt;0,IF(RIGHT(Ruimtestaat[[#This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4" s="98">
        <f>IF(T74&gt;0,VLOOKUP($J74,Ruimtegroepen[],3,FALSE)*VLOOKUP($L74,Vloersoorten[],3,FALSE)*VLOOKUP($S74,Frequenties[],3,FALSE)*VLOOKUP($A74,Locaties[],3,FALSE),0)</f>
        <v>0</v>
      </c>
      <c r="V74" s="99">
        <f>Ruimtestaat[[#This Row],[Uitvoeringen werkdagen]]*Ruimtestaat[[#This Row],[Oppervlak (netto)]]</f>
        <v>9200</v>
      </c>
      <c r="W74" s="100">
        <f>IF(U74&gt;0,Ruimtestaat[[#This Row],[Prest. (m2 /jaar) werkdagen]]/Ruimtestaat[[#This Row],[Norm (m2/uur) werkdagen]],0)</f>
        <v>0</v>
      </c>
      <c r="X74" s="101">
        <f>Ruimtestaat[[#This Row],[uren / jaar werkdagen]]*Tariefsopbouw!$E$35</f>
        <v>0</v>
      </c>
      <c r="Y74" s="98"/>
      <c r="Z74" s="102">
        <f>IF(Ruimtestaat[[#This Row],[Frequentie weekend]]&gt;0,VALUE(LEFT(Y74,1))*R74,0)</f>
        <v>0</v>
      </c>
      <c r="AA74" s="98">
        <f>IF($Z74&gt;0,VLOOKUP($J74,Ruimtegroepen[],3,FALSE)*VLOOKUP($L74,Vloersoorten[],3,FALSE)*VLOOKUP($Y74,Frequenties[],3,FALSE)*VLOOKUP($A70,Locaties[],3,FALSE),0)</f>
        <v>0</v>
      </c>
      <c r="AB74" s="100">
        <f>Ruimtestaat[[#This Row],[Uitvoeringen weekend]]*Ruimtestaat[[#This Row],[Oppervlak (netto)]]</f>
        <v>0</v>
      </c>
      <c r="AC74" s="103">
        <f>IF(AB74&gt;0,Ruimtestaat[[#This Row],[Prest. (m2 /jaar) weekend]]/Ruimtestaat[[#This Row],[Norm (m2/uur) weekend]],0)</f>
        <v>0</v>
      </c>
      <c r="AD74" s="104">
        <f>Ruimtestaat[[#This Row],[uren / jaar weekend]]*Tariefsopbouw!$D$40</f>
        <v>0</v>
      </c>
      <c r="AE74" s="73">
        <f>Ruimtestaat[[#This Row],[Prest. (m2 /jaar) weekend]]+Ruimtestaat[[#This Row],[Prest. (m2 /jaar) werkdagen]]</f>
        <v>9200</v>
      </c>
      <c r="AF74" s="73">
        <f>Ruimtestaat[[#This Row],[uren / jaar weekend]]+Ruimtestaat[[#This Row],[uren / jaar werkdagen]]</f>
        <v>0</v>
      </c>
      <c r="AG74" s="74">
        <f>Ruimtestaat[[#This Row],[kosten / jaar weekend]]+Ruimtestaat[[#This Row],[kosten / jaar werkdagen]]</f>
        <v>0</v>
      </c>
      <c r="AH74" s="105"/>
      <c r="HL74" s="72"/>
    </row>
    <row r="75" spans="1:220" ht="15" customHeight="1">
      <c r="A75" s="123">
        <v>1</v>
      </c>
      <c r="B75" s="24" t="str">
        <f>VLOOKUP(Ruimtestaat[[#This Row],[Code]],Locaties[#All],2,FALSE)</f>
        <v>Hoornbeeck College Amersfoort</v>
      </c>
      <c r="C75" s="24" t="str">
        <f>VLOOKUP(Ruimtestaat[[#This Row],[Code]],Locaties[#All],4,FALSE)</f>
        <v>Utrechtseweg 230</v>
      </c>
      <c r="D75" s="24" t="str">
        <f>VLOOKUP(Ruimtestaat[[#This Row],[Code]],Locaties[#All],5,FALSE)</f>
        <v>3818 ET</v>
      </c>
      <c r="E75" s="24" t="str">
        <f>VLOOKUP(Ruimtestaat[[#This Row],[Code]],Locaties[#All],6,FALSE)</f>
        <v>Amersfoort</v>
      </c>
      <c r="F75" s="67" t="s">
        <v>487</v>
      </c>
      <c r="G75" s="24" t="s">
        <v>427</v>
      </c>
      <c r="H75" s="28" t="s">
        <v>498</v>
      </c>
      <c r="I75" s="4" t="s">
        <v>419</v>
      </c>
      <c r="J75" s="24">
        <v>16</v>
      </c>
      <c r="K75" s="67" t="str">
        <f>VLOOKUP(J75,Ruimtegroepen[],2,FALSE)</f>
        <v>Leslokalen</v>
      </c>
      <c r="L75" s="24" t="s">
        <v>110</v>
      </c>
      <c r="M75" s="24" t="s">
        <v>539</v>
      </c>
      <c r="N75" s="96">
        <v>78</v>
      </c>
      <c r="O75" s="96"/>
      <c r="P75" s="106" t="str">
        <f>LEFT(VLOOKUP(Ruimtestaat[[#This Row],[Ruimte code]],Ruimtegroepen[#All],4,1),2)</f>
        <v>Le</v>
      </c>
      <c r="Q75" s="96"/>
      <c r="R75" s="97">
        <v>40</v>
      </c>
      <c r="S75" s="97" t="s">
        <v>2</v>
      </c>
      <c r="T75" s="98">
        <f>IF(R75&gt;0,IF(RIGHT(Ruimtestaat[[#This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" s="98">
        <f>IF(T75&gt;0,VLOOKUP($J75,Ruimtegroepen[],3,FALSE)*VLOOKUP($L75,Vloersoorten[],3,FALSE)*VLOOKUP($S75,Frequenties[],3,FALSE)*VLOOKUP($A75,Locaties[],3,FALSE),0)</f>
        <v>0</v>
      </c>
      <c r="V75" s="99">
        <f>Ruimtestaat[[#This Row],[Uitvoeringen werkdagen]]*Ruimtestaat[[#This Row],[Oppervlak (netto)]]</f>
        <v>15600</v>
      </c>
      <c r="W75" s="100">
        <f>IF(U75&gt;0,Ruimtestaat[[#This Row],[Prest. (m2 /jaar) werkdagen]]/Ruimtestaat[[#This Row],[Norm (m2/uur) werkdagen]],0)</f>
        <v>0</v>
      </c>
      <c r="X75" s="101">
        <f>Ruimtestaat[[#This Row],[uren / jaar werkdagen]]*Tariefsopbouw!$E$35</f>
        <v>0</v>
      </c>
      <c r="Y75" s="98"/>
      <c r="Z75" s="102">
        <f>IF(Ruimtestaat[[#This Row],[Frequentie weekend]]&gt;0,VALUE(LEFT(Y75,1))*R75,0)</f>
        <v>0</v>
      </c>
      <c r="AA75" s="98">
        <f>IF($Z75&gt;0,VLOOKUP($J75,Ruimtegroepen[],3,FALSE)*VLOOKUP($L75,Vloersoorten[],3,FALSE)*VLOOKUP($Y75,Frequenties[],3,FALSE)*VLOOKUP($A71,Locaties[],3,FALSE),0)</f>
        <v>0</v>
      </c>
      <c r="AB75" s="100">
        <f>Ruimtestaat[[#This Row],[Uitvoeringen weekend]]*Ruimtestaat[[#This Row],[Oppervlak (netto)]]</f>
        <v>0</v>
      </c>
      <c r="AC75" s="103">
        <f>IF(AB75&gt;0,Ruimtestaat[[#This Row],[Prest. (m2 /jaar) weekend]]/Ruimtestaat[[#This Row],[Norm (m2/uur) weekend]],0)</f>
        <v>0</v>
      </c>
      <c r="AD75" s="104">
        <f>Ruimtestaat[[#This Row],[uren / jaar weekend]]*Tariefsopbouw!$D$40</f>
        <v>0</v>
      </c>
      <c r="AE75" s="73">
        <f>Ruimtestaat[[#This Row],[Prest. (m2 /jaar) weekend]]+Ruimtestaat[[#This Row],[Prest. (m2 /jaar) werkdagen]]</f>
        <v>15600</v>
      </c>
      <c r="AF75" s="73">
        <f>Ruimtestaat[[#This Row],[uren / jaar weekend]]+Ruimtestaat[[#This Row],[uren / jaar werkdagen]]</f>
        <v>0</v>
      </c>
      <c r="AG75" s="74">
        <f>Ruimtestaat[[#This Row],[kosten / jaar weekend]]+Ruimtestaat[[#This Row],[kosten / jaar werkdagen]]</f>
        <v>0</v>
      </c>
      <c r="AH75" s="105"/>
      <c r="HL75" s="72"/>
    </row>
    <row r="76" spans="1:220" ht="15" customHeight="1">
      <c r="A76" s="123">
        <v>1</v>
      </c>
      <c r="B76" s="24" t="str">
        <f>VLOOKUP(Ruimtestaat[[#This Row],[Code]],Locaties[#All],2,FALSE)</f>
        <v>Hoornbeeck College Amersfoort</v>
      </c>
      <c r="C76" s="24" t="str">
        <f>VLOOKUP(Ruimtestaat[[#This Row],[Code]],Locaties[#All],4,FALSE)</f>
        <v>Utrechtseweg 230</v>
      </c>
      <c r="D76" s="24" t="str">
        <f>VLOOKUP(Ruimtestaat[[#This Row],[Code]],Locaties[#All],5,FALSE)</f>
        <v>3818 ET</v>
      </c>
      <c r="E76" s="24" t="str">
        <f>VLOOKUP(Ruimtestaat[[#This Row],[Code]],Locaties[#All],6,FALSE)</f>
        <v>Amersfoort</v>
      </c>
      <c r="F76" s="67" t="s">
        <v>487</v>
      </c>
      <c r="G76" s="24" t="s">
        <v>427</v>
      </c>
      <c r="H76" s="28" t="s">
        <v>499</v>
      </c>
      <c r="I76" s="4" t="s">
        <v>419</v>
      </c>
      <c r="J76" s="24">
        <v>16</v>
      </c>
      <c r="K76" s="67" t="str">
        <f>VLOOKUP(J76,Ruimtegroepen[],2,FALSE)</f>
        <v>Leslokalen</v>
      </c>
      <c r="L76" s="24" t="s">
        <v>110</v>
      </c>
      <c r="M76" s="24" t="s">
        <v>539</v>
      </c>
      <c r="N76" s="96">
        <v>206</v>
      </c>
      <c r="O76" s="96"/>
      <c r="P76" s="106" t="str">
        <f>LEFT(VLOOKUP(Ruimtestaat[[#This Row],[Ruimte code]],Ruimtegroepen[#All],4,1),2)</f>
        <v>Le</v>
      </c>
      <c r="Q76" s="96"/>
      <c r="R76" s="97">
        <v>40</v>
      </c>
      <c r="S76" s="97" t="s">
        <v>2</v>
      </c>
      <c r="T76" s="98">
        <f>IF(R76&gt;0,IF(RIGHT(Ruimtestaat[[#This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6" s="98">
        <f>IF(T76&gt;0,VLOOKUP($J76,Ruimtegroepen[],3,FALSE)*VLOOKUP($L76,Vloersoorten[],3,FALSE)*VLOOKUP($S76,Frequenties[],3,FALSE)*VLOOKUP($A76,Locaties[],3,FALSE),0)</f>
        <v>0</v>
      </c>
      <c r="V76" s="99">
        <f>Ruimtestaat[[#This Row],[Uitvoeringen werkdagen]]*Ruimtestaat[[#This Row],[Oppervlak (netto)]]</f>
        <v>41200</v>
      </c>
      <c r="W76" s="100">
        <f>IF(U76&gt;0,Ruimtestaat[[#This Row],[Prest. (m2 /jaar) werkdagen]]/Ruimtestaat[[#This Row],[Norm (m2/uur) werkdagen]],0)</f>
        <v>0</v>
      </c>
      <c r="X76" s="101">
        <f>Ruimtestaat[[#This Row],[uren / jaar werkdagen]]*Tariefsopbouw!$E$35</f>
        <v>0</v>
      </c>
      <c r="Y76" s="98"/>
      <c r="Z76" s="102">
        <f>IF(Ruimtestaat[[#This Row],[Frequentie weekend]]&gt;0,VALUE(LEFT(Y76,1))*R76,0)</f>
        <v>0</v>
      </c>
      <c r="AA76" s="98">
        <f>IF($Z76&gt;0,VLOOKUP($J76,Ruimtegroepen[],3,FALSE)*VLOOKUP($L76,Vloersoorten[],3,FALSE)*VLOOKUP($Y76,Frequenties[],3,FALSE)*VLOOKUP($A72,Locaties[],3,FALSE),0)</f>
        <v>0</v>
      </c>
      <c r="AB76" s="100">
        <f>Ruimtestaat[[#This Row],[Uitvoeringen weekend]]*Ruimtestaat[[#This Row],[Oppervlak (netto)]]</f>
        <v>0</v>
      </c>
      <c r="AC76" s="103">
        <f>IF(AB76&gt;0,Ruimtestaat[[#This Row],[Prest. (m2 /jaar) weekend]]/Ruimtestaat[[#This Row],[Norm (m2/uur) weekend]],0)</f>
        <v>0</v>
      </c>
      <c r="AD76" s="104">
        <f>Ruimtestaat[[#This Row],[uren / jaar weekend]]*Tariefsopbouw!$D$40</f>
        <v>0</v>
      </c>
      <c r="AE76" s="73">
        <f>Ruimtestaat[[#This Row],[Prest. (m2 /jaar) weekend]]+Ruimtestaat[[#This Row],[Prest. (m2 /jaar) werkdagen]]</f>
        <v>41200</v>
      </c>
      <c r="AF76" s="73">
        <f>Ruimtestaat[[#This Row],[uren / jaar weekend]]+Ruimtestaat[[#This Row],[uren / jaar werkdagen]]</f>
        <v>0</v>
      </c>
      <c r="AG76" s="74">
        <f>Ruimtestaat[[#This Row],[kosten / jaar weekend]]+Ruimtestaat[[#This Row],[kosten / jaar werkdagen]]</f>
        <v>0</v>
      </c>
      <c r="AH76" s="105"/>
      <c r="HL76" s="72"/>
    </row>
    <row r="77" spans="1:220" ht="15" customHeight="1">
      <c r="A77" s="123">
        <v>1</v>
      </c>
      <c r="B77" s="24" t="str">
        <f>VLOOKUP(Ruimtestaat[[#This Row],[Code]],Locaties[#All],2,FALSE)</f>
        <v>Hoornbeeck College Amersfoort</v>
      </c>
      <c r="C77" s="24" t="str">
        <f>VLOOKUP(Ruimtestaat[[#This Row],[Code]],Locaties[#All],4,FALSE)</f>
        <v>Utrechtseweg 230</v>
      </c>
      <c r="D77" s="24" t="str">
        <f>VLOOKUP(Ruimtestaat[[#This Row],[Code]],Locaties[#All],5,FALSE)</f>
        <v>3818 ET</v>
      </c>
      <c r="E77" s="24" t="str">
        <f>VLOOKUP(Ruimtestaat[[#This Row],[Code]],Locaties[#All],6,FALSE)</f>
        <v>Amersfoort</v>
      </c>
      <c r="F77" s="67" t="s">
        <v>487</v>
      </c>
      <c r="G77" s="24" t="s">
        <v>427</v>
      </c>
      <c r="H77" s="28" t="s">
        <v>500</v>
      </c>
      <c r="I77" s="4" t="s">
        <v>419</v>
      </c>
      <c r="J77" s="24">
        <v>16</v>
      </c>
      <c r="K77" s="67" t="str">
        <f>VLOOKUP(J77,Ruimtegroepen[],2,FALSE)</f>
        <v>Leslokalen</v>
      </c>
      <c r="L77" s="24" t="s">
        <v>111</v>
      </c>
      <c r="M77" s="24" t="s">
        <v>543</v>
      </c>
      <c r="N77" s="96">
        <v>60</v>
      </c>
      <c r="O77" s="96"/>
      <c r="P77" s="106" t="str">
        <f>LEFT(VLOOKUP(Ruimtestaat[[#This Row],[Ruimte code]],Ruimtegroepen[#All],4,1),2)</f>
        <v>Le</v>
      </c>
      <c r="Q77" s="96"/>
      <c r="R77" s="97">
        <v>40</v>
      </c>
      <c r="S77" s="97" t="s">
        <v>2</v>
      </c>
      <c r="T77" s="98">
        <f>IF(R77&gt;0,IF(RIGHT(Ruimtestaat[[#This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7" s="98">
        <f>IF(T77&gt;0,VLOOKUP($J77,Ruimtegroepen[],3,FALSE)*VLOOKUP($L77,Vloersoorten[],3,FALSE)*VLOOKUP($S77,Frequenties[],3,FALSE)*VLOOKUP($A77,Locaties[],3,FALSE),0)</f>
        <v>0</v>
      </c>
      <c r="V77" s="99">
        <f>Ruimtestaat[[#This Row],[Uitvoeringen werkdagen]]*Ruimtestaat[[#This Row],[Oppervlak (netto)]]</f>
        <v>12000</v>
      </c>
      <c r="W77" s="100">
        <f>IF(U77&gt;0,Ruimtestaat[[#This Row],[Prest. (m2 /jaar) werkdagen]]/Ruimtestaat[[#This Row],[Norm (m2/uur) werkdagen]],0)</f>
        <v>0</v>
      </c>
      <c r="X77" s="101">
        <f>Ruimtestaat[[#This Row],[uren / jaar werkdagen]]*Tariefsopbouw!$E$35</f>
        <v>0</v>
      </c>
      <c r="Y77" s="98"/>
      <c r="Z77" s="102">
        <f>IF(Ruimtestaat[[#This Row],[Frequentie weekend]]&gt;0,VALUE(LEFT(Y77,1))*R77,0)</f>
        <v>0</v>
      </c>
      <c r="AA77" s="98">
        <f>IF($Z77&gt;0,VLOOKUP($J77,Ruimtegroepen[],3,FALSE)*VLOOKUP($L77,Vloersoorten[],3,FALSE)*VLOOKUP($Y77,Frequenties[],3,FALSE)*VLOOKUP($A73,Locaties[],3,FALSE),0)</f>
        <v>0</v>
      </c>
      <c r="AB77" s="100">
        <f>Ruimtestaat[[#This Row],[Uitvoeringen weekend]]*Ruimtestaat[[#This Row],[Oppervlak (netto)]]</f>
        <v>0</v>
      </c>
      <c r="AC77" s="103">
        <f>IF(AB77&gt;0,Ruimtestaat[[#This Row],[Prest. (m2 /jaar) weekend]]/Ruimtestaat[[#This Row],[Norm (m2/uur) weekend]],0)</f>
        <v>0</v>
      </c>
      <c r="AD77" s="104">
        <f>Ruimtestaat[[#This Row],[uren / jaar weekend]]*Tariefsopbouw!$D$40</f>
        <v>0</v>
      </c>
      <c r="AE77" s="73">
        <f>Ruimtestaat[[#This Row],[Prest. (m2 /jaar) weekend]]+Ruimtestaat[[#This Row],[Prest. (m2 /jaar) werkdagen]]</f>
        <v>12000</v>
      </c>
      <c r="AF77" s="73">
        <f>Ruimtestaat[[#This Row],[uren / jaar weekend]]+Ruimtestaat[[#This Row],[uren / jaar werkdagen]]</f>
        <v>0</v>
      </c>
      <c r="AG77" s="74">
        <f>Ruimtestaat[[#This Row],[kosten / jaar weekend]]+Ruimtestaat[[#This Row],[kosten / jaar werkdagen]]</f>
        <v>0</v>
      </c>
      <c r="AH77" s="105"/>
      <c r="HL77" s="72"/>
    </row>
    <row r="78" spans="1:220" ht="15" customHeight="1">
      <c r="A78" s="123">
        <v>1</v>
      </c>
      <c r="B78" s="24" t="str">
        <f>VLOOKUP(Ruimtestaat[[#This Row],[Code]],Locaties[#All],2,FALSE)</f>
        <v>Hoornbeeck College Amersfoort</v>
      </c>
      <c r="C78" s="24" t="str">
        <f>VLOOKUP(Ruimtestaat[[#This Row],[Code]],Locaties[#All],4,FALSE)</f>
        <v>Utrechtseweg 230</v>
      </c>
      <c r="D78" s="24" t="str">
        <f>VLOOKUP(Ruimtestaat[[#This Row],[Code]],Locaties[#All],5,FALSE)</f>
        <v>3818 ET</v>
      </c>
      <c r="E78" s="24" t="str">
        <f>VLOOKUP(Ruimtestaat[[#This Row],[Code]],Locaties[#All],6,FALSE)</f>
        <v>Amersfoort</v>
      </c>
      <c r="F78" s="67" t="s">
        <v>487</v>
      </c>
      <c r="G78" s="24" t="s">
        <v>427</v>
      </c>
      <c r="H78" s="24" t="s">
        <v>501</v>
      </c>
      <c r="I78" s="4" t="s">
        <v>419</v>
      </c>
      <c r="J78" s="24">
        <v>16</v>
      </c>
      <c r="K78" s="67" t="str">
        <f>VLOOKUP(J78,Ruimtegroepen[],2,FALSE)</f>
        <v>Leslokalen</v>
      </c>
      <c r="L78" s="24" t="s">
        <v>111</v>
      </c>
      <c r="M78" s="24" t="s">
        <v>543</v>
      </c>
      <c r="N78" s="107">
        <v>188</v>
      </c>
      <c r="O78" s="96"/>
      <c r="P78" s="106" t="str">
        <f>LEFT(VLOOKUP(Ruimtestaat[[#This Row],[Ruimte code]],Ruimtegroepen[#All],4,1),2)</f>
        <v>Le</v>
      </c>
      <c r="Q78" s="96"/>
      <c r="R78" s="97">
        <v>40</v>
      </c>
      <c r="S78" s="97" t="s">
        <v>2</v>
      </c>
      <c r="T78" s="98">
        <f>IF(R78&gt;0,IF(RIGHT(Ruimtestaat[[#This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" s="98">
        <f>IF(T78&gt;0,VLOOKUP($J78,Ruimtegroepen[],3,FALSE)*VLOOKUP($L78,Vloersoorten[],3,FALSE)*VLOOKUP($S78,Frequenties[],3,FALSE)*VLOOKUP($A78,Locaties[],3,FALSE),0)</f>
        <v>0</v>
      </c>
      <c r="V78" s="99">
        <f>Ruimtestaat[[#This Row],[Uitvoeringen werkdagen]]*Ruimtestaat[[#This Row],[Oppervlak (netto)]]</f>
        <v>37600</v>
      </c>
      <c r="W78" s="100">
        <f>IF(U78&gt;0,Ruimtestaat[[#This Row],[Prest. (m2 /jaar) werkdagen]]/Ruimtestaat[[#This Row],[Norm (m2/uur) werkdagen]],0)</f>
        <v>0</v>
      </c>
      <c r="X78" s="101">
        <f>Ruimtestaat[[#This Row],[uren / jaar werkdagen]]*Tariefsopbouw!$E$35</f>
        <v>0</v>
      </c>
      <c r="Y78" s="98"/>
      <c r="Z78" s="102">
        <f>IF(Ruimtestaat[[#This Row],[Frequentie weekend]]&gt;0,VALUE(LEFT(Y78,1))*R78,0)</f>
        <v>0</v>
      </c>
      <c r="AA78" s="98">
        <f>IF($Z78&gt;0,VLOOKUP($J78,Ruimtegroepen[],3,FALSE)*VLOOKUP($L78,Vloersoorten[],3,FALSE)*VLOOKUP($Y78,Frequenties[],3,FALSE)*VLOOKUP($A74,Locaties[],3,FALSE),0)</f>
        <v>0</v>
      </c>
      <c r="AB78" s="100">
        <f>Ruimtestaat[[#This Row],[Uitvoeringen weekend]]*Ruimtestaat[[#This Row],[Oppervlak (netto)]]</f>
        <v>0</v>
      </c>
      <c r="AC78" s="103">
        <f>IF(AB78&gt;0,Ruimtestaat[[#This Row],[Prest. (m2 /jaar) weekend]]/Ruimtestaat[[#This Row],[Norm (m2/uur) weekend]],0)</f>
        <v>0</v>
      </c>
      <c r="AD78" s="104">
        <f>Ruimtestaat[[#This Row],[uren / jaar weekend]]*Tariefsopbouw!$D$40</f>
        <v>0</v>
      </c>
      <c r="AE78" s="73">
        <f>Ruimtestaat[[#This Row],[Prest. (m2 /jaar) weekend]]+Ruimtestaat[[#This Row],[Prest. (m2 /jaar) werkdagen]]</f>
        <v>37600</v>
      </c>
      <c r="AF78" s="73">
        <f>Ruimtestaat[[#This Row],[uren / jaar weekend]]+Ruimtestaat[[#This Row],[uren / jaar werkdagen]]</f>
        <v>0</v>
      </c>
      <c r="AG78" s="74">
        <f>Ruimtestaat[[#This Row],[kosten / jaar weekend]]+Ruimtestaat[[#This Row],[kosten / jaar werkdagen]]</f>
        <v>0</v>
      </c>
      <c r="AH78" s="105"/>
      <c r="HL78" s="72"/>
    </row>
    <row r="79" spans="1:220" ht="15" customHeight="1">
      <c r="A79" s="123">
        <v>1</v>
      </c>
      <c r="B79" s="24" t="str">
        <f>VLOOKUP(Ruimtestaat[[#This Row],[Code]],Locaties[#All],2,FALSE)</f>
        <v>Hoornbeeck College Amersfoort</v>
      </c>
      <c r="C79" s="24" t="str">
        <f>VLOOKUP(Ruimtestaat[[#This Row],[Code]],Locaties[#All],4,FALSE)</f>
        <v>Utrechtseweg 230</v>
      </c>
      <c r="D79" s="24" t="str">
        <f>VLOOKUP(Ruimtestaat[[#This Row],[Code]],Locaties[#All],5,FALSE)</f>
        <v>3818 ET</v>
      </c>
      <c r="E79" s="24" t="str">
        <f>VLOOKUP(Ruimtestaat[[#This Row],[Code]],Locaties[#All],6,FALSE)</f>
        <v>Amersfoort</v>
      </c>
      <c r="F79" s="67" t="s">
        <v>487</v>
      </c>
      <c r="G79" s="24" t="s">
        <v>427</v>
      </c>
      <c r="H79" s="28" t="s">
        <v>502</v>
      </c>
      <c r="I79" s="4" t="s">
        <v>419</v>
      </c>
      <c r="J79" s="24">
        <v>16</v>
      </c>
      <c r="K79" s="67" t="str">
        <f>VLOOKUP(J79,Ruimtegroepen[],2,FALSE)</f>
        <v>Leslokalen</v>
      </c>
      <c r="L79" s="24" t="s">
        <v>110</v>
      </c>
      <c r="M79" s="24" t="s">
        <v>38</v>
      </c>
      <c r="N79" s="107">
        <v>59</v>
      </c>
      <c r="O79" s="96"/>
      <c r="P79" s="106" t="str">
        <f>LEFT(VLOOKUP(Ruimtestaat[[#This Row],[Ruimte code]],Ruimtegroepen[#All],4,1),2)</f>
        <v>Le</v>
      </c>
      <c r="Q79" s="96"/>
      <c r="R79" s="97">
        <v>40</v>
      </c>
      <c r="S79" s="97" t="s">
        <v>2</v>
      </c>
      <c r="T79" s="98">
        <f>IF(R79&gt;0,IF(RIGHT(Ruimtestaat[[#This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" s="98">
        <f>IF(T79&gt;0,VLOOKUP($J79,Ruimtegroepen[],3,FALSE)*VLOOKUP($L79,Vloersoorten[],3,FALSE)*VLOOKUP($S79,Frequenties[],3,FALSE)*VLOOKUP($A79,Locaties[],3,FALSE),0)</f>
        <v>0</v>
      </c>
      <c r="V79" s="99">
        <f>Ruimtestaat[[#This Row],[Uitvoeringen werkdagen]]*Ruimtestaat[[#This Row],[Oppervlak (netto)]]</f>
        <v>11800</v>
      </c>
      <c r="W79" s="100">
        <f>IF(U79&gt;0,Ruimtestaat[[#This Row],[Prest. (m2 /jaar) werkdagen]]/Ruimtestaat[[#This Row],[Norm (m2/uur) werkdagen]],0)</f>
        <v>0</v>
      </c>
      <c r="X79" s="101">
        <f>Ruimtestaat[[#This Row],[uren / jaar werkdagen]]*Tariefsopbouw!$E$35</f>
        <v>0</v>
      </c>
      <c r="Y79" s="98"/>
      <c r="Z79" s="102">
        <f>IF(Ruimtestaat[[#This Row],[Frequentie weekend]]&gt;0,VALUE(LEFT(Y79,1))*R79,0)</f>
        <v>0</v>
      </c>
      <c r="AA79" s="98">
        <f>IF($Z79&gt;0,VLOOKUP($J79,Ruimtegroepen[],3,FALSE)*VLOOKUP($L79,Vloersoorten[],3,FALSE)*VLOOKUP($Y79,Frequenties[],3,FALSE)*VLOOKUP($A75,Locaties[],3,FALSE),0)</f>
        <v>0</v>
      </c>
      <c r="AB79" s="100">
        <f>Ruimtestaat[[#This Row],[Uitvoeringen weekend]]*Ruimtestaat[[#This Row],[Oppervlak (netto)]]</f>
        <v>0</v>
      </c>
      <c r="AC79" s="103">
        <f>IF(AB79&gt;0,Ruimtestaat[[#This Row],[Prest. (m2 /jaar) weekend]]/Ruimtestaat[[#This Row],[Norm (m2/uur) weekend]],0)</f>
        <v>0</v>
      </c>
      <c r="AD79" s="104">
        <f>Ruimtestaat[[#This Row],[uren / jaar weekend]]*Tariefsopbouw!$D$40</f>
        <v>0</v>
      </c>
      <c r="AE79" s="73">
        <f>Ruimtestaat[[#This Row],[Prest. (m2 /jaar) weekend]]+Ruimtestaat[[#This Row],[Prest. (m2 /jaar) werkdagen]]</f>
        <v>11800</v>
      </c>
      <c r="AF79" s="73">
        <f>Ruimtestaat[[#This Row],[uren / jaar weekend]]+Ruimtestaat[[#This Row],[uren / jaar werkdagen]]</f>
        <v>0</v>
      </c>
      <c r="AG79" s="74">
        <f>Ruimtestaat[[#This Row],[kosten / jaar weekend]]+Ruimtestaat[[#This Row],[kosten / jaar werkdagen]]</f>
        <v>0</v>
      </c>
      <c r="AH79" s="105"/>
      <c r="HL79" s="72"/>
    </row>
    <row r="80" spans="1:220" ht="15" customHeight="1">
      <c r="A80" s="123">
        <v>1</v>
      </c>
      <c r="B80" s="24" t="str">
        <f>VLOOKUP(Ruimtestaat[[#This Row],[Code]],Locaties[#All],2,FALSE)</f>
        <v>Hoornbeeck College Amersfoort</v>
      </c>
      <c r="C80" s="24" t="str">
        <f>VLOOKUP(Ruimtestaat[[#This Row],[Code]],Locaties[#All],4,FALSE)</f>
        <v>Utrechtseweg 230</v>
      </c>
      <c r="D80" s="24" t="str">
        <f>VLOOKUP(Ruimtestaat[[#This Row],[Code]],Locaties[#All],5,FALSE)</f>
        <v>3818 ET</v>
      </c>
      <c r="E80" s="24" t="str">
        <f>VLOOKUP(Ruimtestaat[[#This Row],[Code]],Locaties[#All],6,FALSE)</f>
        <v>Amersfoort</v>
      </c>
      <c r="F80" s="67" t="s">
        <v>487</v>
      </c>
      <c r="G80" s="24" t="s">
        <v>427</v>
      </c>
      <c r="H80" s="28" t="s">
        <v>503</v>
      </c>
      <c r="I80" s="4" t="s">
        <v>419</v>
      </c>
      <c r="J80" s="24">
        <v>16</v>
      </c>
      <c r="K80" s="67" t="str">
        <f>VLOOKUP(J80,Ruimtegroepen[],2,FALSE)</f>
        <v>Leslokalen</v>
      </c>
      <c r="L80" s="24" t="s">
        <v>110</v>
      </c>
      <c r="M80" s="24" t="s">
        <v>38</v>
      </c>
      <c r="N80" s="107">
        <v>59</v>
      </c>
      <c r="O80" s="96"/>
      <c r="P80" s="106" t="str">
        <f>LEFT(VLOOKUP(Ruimtestaat[[#This Row],[Ruimte code]],Ruimtegroepen[#All],4,1),2)</f>
        <v>Le</v>
      </c>
      <c r="Q80" s="96"/>
      <c r="R80" s="97">
        <v>40</v>
      </c>
      <c r="S80" s="97" t="s">
        <v>2</v>
      </c>
      <c r="T80" s="98">
        <f>IF(R80&gt;0,IF(RIGHT(Ruimtestaat[[#This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0" s="98">
        <f>IF(T80&gt;0,VLOOKUP($J80,Ruimtegroepen[],3,FALSE)*VLOOKUP($L80,Vloersoorten[],3,FALSE)*VLOOKUP($S80,Frequenties[],3,FALSE)*VLOOKUP($A80,Locaties[],3,FALSE),0)</f>
        <v>0</v>
      </c>
      <c r="V80" s="99">
        <f>Ruimtestaat[[#This Row],[Uitvoeringen werkdagen]]*Ruimtestaat[[#This Row],[Oppervlak (netto)]]</f>
        <v>11800</v>
      </c>
      <c r="W80" s="100">
        <f>IF(U80&gt;0,Ruimtestaat[[#This Row],[Prest. (m2 /jaar) werkdagen]]/Ruimtestaat[[#This Row],[Norm (m2/uur) werkdagen]],0)</f>
        <v>0</v>
      </c>
      <c r="X80" s="101">
        <f>Ruimtestaat[[#This Row],[uren / jaar werkdagen]]*Tariefsopbouw!$E$35</f>
        <v>0</v>
      </c>
      <c r="Y80" s="98"/>
      <c r="Z80" s="102">
        <f>IF(Ruimtestaat[[#This Row],[Frequentie weekend]]&gt;0,VALUE(LEFT(Y80,1))*R80,0)</f>
        <v>0</v>
      </c>
      <c r="AA80" s="98">
        <f>IF($Z80&gt;0,VLOOKUP($J80,Ruimtegroepen[],3,FALSE)*VLOOKUP($L80,Vloersoorten[],3,FALSE)*VLOOKUP($Y80,Frequenties[],3,FALSE)*VLOOKUP($A76,Locaties[],3,FALSE),0)</f>
        <v>0</v>
      </c>
      <c r="AB80" s="100">
        <f>Ruimtestaat[[#This Row],[Uitvoeringen weekend]]*Ruimtestaat[[#This Row],[Oppervlak (netto)]]</f>
        <v>0</v>
      </c>
      <c r="AC80" s="103">
        <f>IF(AB80&gt;0,Ruimtestaat[[#This Row],[Prest. (m2 /jaar) weekend]]/Ruimtestaat[[#This Row],[Norm (m2/uur) weekend]],0)</f>
        <v>0</v>
      </c>
      <c r="AD80" s="104">
        <f>Ruimtestaat[[#This Row],[uren / jaar weekend]]*Tariefsopbouw!$D$40</f>
        <v>0</v>
      </c>
      <c r="AE80" s="73">
        <f>Ruimtestaat[[#This Row],[Prest. (m2 /jaar) weekend]]+Ruimtestaat[[#This Row],[Prest. (m2 /jaar) werkdagen]]</f>
        <v>11800</v>
      </c>
      <c r="AF80" s="73">
        <f>Ruimtestaat[[#This Row],[uren / jaar weekend]]+Ruimtestaat[[#This Row],[uren / jaar werkdagen]]</f>
        <v>0</v>
      </c>
      <c r="AG80" s="74">
        <f>Ruimtestaat[[#This Row],[kosten / jaar weekend]]+Ruimtestaat[[#This Row],[kosten / jaar werkdagen]]</f>
        <v>0</v>
      </c>
      <c r="AH80" s="105"/>
      <c r="HL80" s="72"/>
    </row>
    <row r="81" spans="1:220" ht="15" customHeight="1">
      <c r="A81" s="123">
        <v>1</v>
      </c>
      <c r="B81" s="24" t="str">
        <f>VLOOKUP(Ruimtestaat[[#This Row],[Code]],Locaties[#All],2,FALSE)</f>
        <v>Hoornbeeck College Amersfoort</v>
      </c>
      <c r="C81" s="24" t="str">
        <f>VLOOKUP(Ruimtestaat[[#This Row],[Code]],Locaties[#All],4,FALSE)</f>
        <v>Utrechtseweg 230</v>
      </c>
      <c r="D81" s="24" t="str">
        <f>VLOOKUP(Ruimtestaat[[#This Row],[Code]],Locaties[#All],5,FALSE)</f>
        <v>3818 ET</v>
      </c>
      <c r="E81" s="24" t="str">
        <f>VLOOKUP(Ruimtestaat[[#This Row],[Code]],Locaties[#All],6,FALSE)</f>
        <v>Amersfoort</v>
      </c>
      <c r="F81" s="67" t="s">
        <v>487</v>
      </c>
      <c r="G81" s="24" t="s">
        <v>427</v>
      </c>
      <c r="H81" s="28" t="s">
        <v>504</v>
      </c>
      <c r="I81" s="4" t="s">
        <v>419</v>
      </c>
      <c r="J81" s="24">
        <v>16</v>
      </c>
      <c r="K81" s="67" t="str">
        <f>VLOOKUP(J81,Ruimtegroepen[],2,FALSE)</f>
        <v>Leslokalen</v>
      </c>
      <c r="L81" s="24" t="s">
        <v>110</v>
      </c>
      <c r="M81" s="24" t="s">
        <v>38</v>
      </c>
      <c r="N81" s="96">
        <v>59</v>
      </c>
      <c r="O81" s="96"/>
      <c r="P81" s="106" t="str">
        <f>LEFT(VLOOKUP(Ruimtestaat[[#This Row],[Ruimte code]],Ruimtegroepen[#All],4,1),2)</f>
        <v>Le</v>
      </c>
      <c r="Q81" s="96"/>
      <c r="R81" s="97">
        <v>40</v>
      </c>
      <c r="S81" s="97" t="s">
        <v>2</v>
      </c>
      <c r="T81" s="98">
        <f>IF(R81&gt;0,IF(RIGHT(Ruimtestaat[[#This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1" s="98">
        <f>IF(T81&gt;0,VLOOKUP($J81,Ruimtegroepen[],3,FALSE)*VLOOKUP($L81,Vloersoorten[],3,FALSE)*VLOOKUP($S81,Frequenties[],3,FALSE)*VLOOKUP($A81,Locaties[],3,FALSE),0)</f>
        <v>0</v>
      </c>
      <c r="V81" s="99">
        <f>Ruimtestaat[[#This Row],[Uitvoeringen werkdagen]]*Ruimtestaat[[#This Row],[Oppervlak (netto)]]</f>
        <v>11800</v>
      </c>
      <c r="W81" s="100">
        <f>IF(U81&gt;0,Ruimtestaat[[#This Row],[Prest. (m2 /jaar) werkdagen]]/Ruimtestaat[[#This Row],[Norm (m2/uur) werkdagen]],0)</f>
        <v>0</v>
      </c>
      <c r="X81" s="101">
        <f>Ruimtestaat[[#This Row],[uren / jaar werkdagen]]*Tariefsopbouw!$E$35</f>
        <v>0</v>
      </c>
      <c r="Y81" s="98"/>
      <c r="Z81" s="102">
        <f>IF(Ruimtestaat[[#This Row],[Frequentie weekend]]&gt;0,VALUE(LEFT(Y81,1))*R81,0)</f>
        <v>0</v>
      </c>
      <c r="AA81" s="98">
        <f>IF($Z81&gt;0,VLOOKUP($J81,Ruimtegroepen[],3,FALSE)*VLOOKUP($L81,Vloersoorten[],3,FALSE)*VLOOKUP($Y81,Frequenties[],3,FALSE)*VLOOKUP($A77,Locaties[],3,FALSE),0)</f>
        <v>0</v>
      </c>
      <c r="AB81" s="100">
        <f>Ruimtestaat[[#This Row],[Uitvoeringen weekend]]*Ruimtestaat[[#This Row],[Oppervlak (netto)]]</f>
        <v>0</v>
      </c>
      <c r="AC81" s="103">
        <f>IF(AB81&gt;0,Ruimtestaat[[#This Row],[Prest. (m2 /jaar) weekend]]/Ruimtestaat[[#This Row],[Norm (m2/uur) weekend]],0)</f>
        <v>0</v>
      </c>
      <c r="AD81" s="104">
        <f>Ruimtestaat[[#This Row],[uren / jaar weekend]]*Tariefsopbouw!$D$40</f>
        <v>0</v>
      </c>
      <c r="AE81" s="73">
        <f>Ruimtestaat[[#This Row],[Prest. (m2 /jaar) weekend]]+Ruimtestaat[[#This Row],[Prest. (m2 /jaar) werkdagen]]</f>
        <v>11800</v>
      </c>
      <c r="AF81" s="73">
        <f>Ruimtestaat[[#This Row],[uren / jaar weekend]]+Ruimtestaat[[#This Row],[uren / jaar werkdagen]]</f>
        <v>0</v>
      </c>
      <c r="AG81" s="74">
        <f>Ruimtestaat[[#This Row],[kosten / jaar weekend]]+Ruimtestaat[[#This Row],[kosten / jaar werkdagen]]</f>
        <v>0</v>
      </c>
      <c r="AH81" s="105"/>
      <c r="HL81" s="72"/>
    </row>
    <row r="82" spans="1:220" ht="15" customHeight="1">
      <c r="A82" s="123">
        <v>1</v>
      </c>
      <c r="B82" s="24" t="str">
        <f>VLOOKUP(Ruimtestaat[[#This Row],[Code]],Locaties[#All],2,FALSE)</f>
        <v>Hoornbeeck College Amersfoort</v>
      </c>
      <c r="C82" s="24" t="str">
        <f>VLOOKUP(Ruimtestaat[[#This Row],[Code]],Locaties[#All],4,FALSE)</f>
        <v>Utrechtseweg 230</v>
      </c>
      <c r="D82" s="24" t="str">
        <f>VLOOKUP(Ruimtestaat[[#This Row],[Code]],Locaties[#All],5,FALSE)</f>
        <v>3818 ET</v>
      </c>
      <c r="E82" s="24" t="str">
        <f>VLOOKUP(Ruimtestaat[[#This Row],[Code]],Locaties[#All],6,FALSE)</f>
        <v>Amersfoort</v>
      </c>
      <c r="F82" s="67" t="s">
        <v>487</v>
      </c>
      <c r="G82" s="24" t="s">
        <v>427</v>
      </c>
      <c r="H82" s="28" t="s">
        <v>505</v>
      </c>
      <c r="I82" s="4" t="s">
        <v>419</v>
      </c>
      <c r="J82" s="24">
        <v>16</v>
      </c>
      <c r="K82" s="67" t="str">
        <f>VLOOKUP(J82,Ruimtegroepen[],2,FALSE)</f>
        <v>Leslokalen</v>
      </c>
      <c r="L82" s="24" t="s">
        <v>110</v>
      </c>
      <c r="M82" s="24" t="s">
        <v>38</v>
      </c>
      <c r="N82" s="96">
        <v>59</v>
      </c>
      <c r="O82" s="96"/>
      <c r="P82" s="106" t="str">
        <f>LEFT(VLOOKUP(Ruimtestaat[[#This Row],[Ruimte code]],Ruimtegroepen[#All],4,1),2)</f>
        <v>Le</v>
      </c>
      <c r="Q82" s="96"/>
      <c r="R82" s="97">
        <v>40</v>
      </c>
      <c r="S82" s="97" t="s">
        <v>2</v>
      </c>
      <c r="T82" s="98">
        <f>IF(R82&gt;0,IF(RIGHT(Ruimtestaat[[#This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2" s="98">
        <f>IF(T82&gt;0,VLOOKUP($J82,Ruimtegroepen[],3,FALSE)*VLOOKUP($L82,Vloersoorten[],3,FALSE)*VLOOKUP($S82,Frequenties[],3,FALSE)*VLOOKUP($A82,Locaties[],3,FALSE),0)</f>
        <v>0</v>
      </c>
      <c r="V82" s="99">
        <f>Ruimtestaat[[#This Row],[Uitvoeringen werkdagen]]*Ruimtestaat[[#This Row],[Oppervlak (netto)]]</f>
        <v>11800</v>
      </c>
      <c r="W82" s="100">
        <f>IF(U82&gt;0,Ruimtestaat[[#This Row],[Prest. (m2 /jaar) werkdagen]]/Ruimtestaat[[#This Row],[Norm (m2/uur) werkdagen]],0)</f>
        <v>0</v>
      </c>
      <c r="X82" s="101">
        <f>Ruimtestaat[[#This Row],[uren / jaar werkdagen]]*Tariefsopbouw!$E$35</f>
        <v>0</v>
      </c>
      <c r="Y82" s="98"/>
      <c r="Z82" s="102">
        <f>IF(Ruimtestaat[[#This Row],[Frequentie weekend]]&gt;0,VALUE(LEFT(Y82,1))*R82,0)</f>
        <v>0</v>
      </c>
      <c r="AA82" s="98">
        <f>IF($Z82&gt;0,VLOOKUP($J82,Ruimtegroepen[],3,FALSE)*VLOOKUP($L82,Vloersoorten[],3,FALSE)*VLOOKUP($Y82,Frequenties[],3,FALSE)*VLOOKUP($A78,Locaties[],3,FALSE),0)</f>
        <v>0</v>
      </c>
      <c r="AB82" s="100">
        <f>Ruimtestaat[[#This Row],[Uitvoeringen weekend]]*Ruimtestaat[[#This Row],[Oppervlak (netto)]]</f>
        <v>0</v>
      </c>
      <c r="AC82" s="103">
        <f>IF(AB82&gt;0,Ruimtestaat[[#This Row],[Prest. (m2 /jaar) weekend]]/Ruimtestaat[[#This Row],[Norm (m2/uur) weekend]],0)</f>
        <v>0</v>
      </c>
      <c r="AD82" s="104">
        <f>Ruimtestaat[[#This Row],[uren / jaar weekend]]*Tariefsopbouw!$D$40</f>
        <v>0</v>
      </c>
      <c r="AE82" s="73">
        <f>Ruimtestaat[[#This Row],[Prest. (m2 /jaar) weekend]]+Ruimtestaat[[#This Row],[Prest. (m2 /jaar) werkdagen]]</f>
        <v>11800</v>
      </c>
      <c r="AF82" s="73">
        <f>Ruimtestaat[[#This Row],[uren / jaar weekend]]+Ruimtestaat[[#This Row],[uren / jaar werkdagen]]</f>
        <v>0</v>
      </c>
      <c r="AG82" s="74">
        <f>Ruimtestaat[[#This Row],[kosten / jaar weekend]]+Ruimtestaat[[#This Row],[kosten / jaar werkdagen]]</f>
        <v>0</v>
      </c>
      <c r="AH82" s="105"/>
      <c r="HL82" s="72"/>
    </row>
    <row r="83" spans="1:220" ht="15" customHeight="1">
      <c r="A83" s="123">
        <v>1</v>
      </c>
      <c r="B83" s="24" t="str">
        <f>VLOOKUP(Ruimtestaat[[#This Row],[Code]],Locaties[#All],2,FALSE)</f>
        <v>Hoornbeeck College Amersfoort</v>
      </c>
      <c r="C83" s="24" t="str">
        <f>VLOOKUP(Ruimtestaat[[#This Row],[Code]],Locaties[#All],4,FALSE)</f>
        <v>Utrechtseweg 230</v>
      </c>
      <c r="D83" s="24" t="str">
        <f>VLOOKUP(Ruimtestaat[[#This Row],[Code]],Locaties[#All],5,FALSE)</f>
        <v>3818 ET</v>
      </c>
      <c r="E83" s="24" t="str">
        <f>VLOOKUP(Ruimtestaat[[#This Row],[Code]],Locaties[#All],6,FALSE)</f>
        <v>Amersfoort</v>
      </c>
      <c r="F83" s="67" t="s">
        <v>487</v>
      </c>
      <c r="G83" s="24" t="s">
        <v>427</v>
      </c>
      <c r="H83" s="28" t="s">
        <v>452</v>
      </c>
      <c r="I83" s="4" t="s">
        <v>452</v>
      </c>
      <c r="J83" s="24">
        <v>6</v>
      </c>
      <c r="K83" s="67" t="str">
        <f>VLOOKUP(J83,Ruimtegroepen[],2,FALSE)</f>
        <v>Gangen/hallen</v>
      </c>
      <c r="L83" s="24" t="s">
        <v>110</v>
      </c>
      <c r="M83" s="24" t="s">
        <v>38</v>
      </c>
      <c r="N83" s="96">
        <v>56.55</v>
      </c>
      <c r="O83" s="96"/>
      <c r="P83" s="106" t="str">
        <f>LEFT(VLOOKUP(Ruimtestaat[[#This Row],[Ruimte code]],Ruimtegroepen[#All],4,1),2)</f>
        <v>Ve</v>
      </c>
      <c r="Q83" s="96"/>
      <c r="R83" s="97">
        <v>40</v>
      </c>
      <c r="S83" s="97" t="s">
        <v>2</v>
      </c>
      <c r="T83" s="98">
        <f>IF(R83&gt;0,IF(RIGHT(Ruimtestaat[[#This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" s="98">
        <f>IF(T83&gt;0,VLOOKUP($J83,Ruimtegroepen[],3,FALSE)*VLOOKUP($L83,Vloersoorten[],3,FALSE)*VLOOKUP($S83,Frequenties[],3,FALSE)*VLOOKUP($A83,Locaties[],3,FALSE),0)</f>
        <v>0</v>
      </c>
      <c r="V83" s="99">
        <f>Ruimtestaat[[#This Row],[Uitvoeringen werkdagen]]*Ruimtestaat[[#This Row],[Oppervlak (netto)]]</f>
        <v>11310</v>
      </c>
      <c r="W83" s="100">
        <f>IF(U83&gt;0,Ruimtestaat[[#This Row],[Prest. (m2 /jaar) werkdagen]]/Ruimtestaat[[#This Row],[Norm (m2/uur) werkdagen]],0)</f>
        <v>0</v>
      </c>
      <c r="X83" s="101">
        <f>Ruimtestaat[[#This Row],[uren / jaar werkdagen]]*Tariefsopbouw!$E$35</f>
        <v>0</v>
      </c>
      <c r="Y83" s="98"/>
      <c r="Z83" s="102">
        <f>IF(Ruimtestaat[[#This Row],[Frequentie weekend]]&gt;0,VALUE(LEFT(Y83,1))*R83,0)</f>
        <v>0</v>
      </c>
      <c r="AA83" s="98">
        <f>IF($Z83&gt;0,VLOOKUP($J83,Ruimtegroepen[],3,FALSE)*VLOOKUP($L83,Vloersoorten[],3,FALSE)*VLOOKUP($Y83,Frequenties[],3,FALSE)*VLOOKUP($A79,Locaties[],3,FALSE),0)</f>
        <v>0</v>
      </c>
      <c r="AB83" s="100">
        <f>Ruimtestaat[[#This Row],[Uitvoeringen weekend]]*Ruimtestaat[[#This Row],[Oppervlak (netto)]]</f>
        <v>0</v>
      </c>
      <c r="AC83" s="103">
        <f>IF(AB83&gt;0,Ruimtestaat[[#This Row],[Prest. (m2 /jaar) weekend]]/Ruimtestaat[[#This Row],[Norm (m2/uur) weekend]],0)</f>
        <v>0</v>
      </c>
      <c r="AD83" s="104">
        <f>Ruimtestaat[[#This Row],[uren / jaar weekend]]*Tariefsopbouw!$D$40</f>
        <v>0</v>
      </c>
      <c r="AE83" s="73">
        <f>Ruimtestaat[[#This Row],[Prest. (m2 /jaar) weekend]]+Ruimtestaat[[#This Row],[Prest. (m2 /jaar) werkdagen]]</f>
        <v>11310</v>
      </c>
      <c r="AF83" s="73">
        <f>Ruimtestaat[[#This Row],[uren / jaar weekend]]+Ruimtestaat[[#This Row],[uren / jaar werkdagen]]</f>
        <v>0</v>
      </c>
      <c r="AG83" s="74">
        <f>Ruimtestaat[[#This Row],[kosten / jaar weekend]]+Ruimtestaat[[#This Row],[kosten / jaar werkdagen]]</f>
        <v>0</v>
      </c>
      <c r="AH83" s="105"/>
      <c r="HL83" s="72"/>
    </row>
    <row r="84" spans="1:220" ht="15" customHeight="1">
      <c r="A84" s="123">
        <v>1</v>
      </c>
      <c r="B84" s="24" t="str">
        <f>VLOOKUP(Ruimtestaat[[#This Row],[Code]],Locaties[#All],2,FALSE)</f>
        <v>Hoornbeeck College Amersfoort</v>
      </c>
      <c r="C84" s="24" t="str">
        <f>VLOOKUP(Ruimtestaat[[#This Row],[Code]],Locaties[#All],4,FALSE)</f>
        <v>Utrechtseweg 230</v>
      </c>
      <c r="D84" s="24" t="str">
        <f>VLOOKUP(Ruimtestaat[[#This Row],[Code]],Locaties[#All],5,FALSE)</f>
        <v>3818 ET</v>
      </c>
      <c r="E84" s="24" t="str">
        <f>VLOOKUP(Ruimtestaat[[#This Row],[Code]],Locaties[#All],6,FALSE)</f>
        <v>Amersfoort</v>
      </c>
      <c r="F84" s="67" t="s">
        <v>487</v>
      </c>
      <c r="G84" s="24" t="s">
        <v>434</v>
      </c>
      <c r="H84" s="28" t="s">
        <v>506</v>
      </c>
      <c r="I84" s="4" t="s">
        <v>466</v>
      </c>
      <c r="J84" s="24">
        <v>16</v>
      </c>
      <c r="K84" s="67" t="str">
        <f>VLOOKUP(J84,Ruimtegroepen[],2,FALSE)</f>
        <v>Leslokalen</v>
      </c>
      <c r="L84" s="24" t="s">
        <v>110</v>
      </c>
      <c r="M84" s="24" t="s">
        <v>539</v>
      </c>
      <c r="N84" s="96">
        <v>85.919999999999987</v>
      </c>
      <c r="O84" s="96"/>
      <c r="P84" s="106" t="str">
        <f>LEFT(VLOOKUP(Ruimtestaat[[#This Row],[Ruimte code]],Ruimtegroepen[#All],4,1),2)</f>
        <v>Le</v>
      </c>
      <c r="Q84" s="96"/>
      <c r="R84" s="97">
        <v>40</v>
      </c>
      <c r="S84" s="97" t="s">
        <v>2</v>
      </c>
      <c r="T84" s="98">
        <f>IF(R84&gt;0,IF(RIGHT(Ruimtestaat[[#This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" s="98">
        <f>IF(T84&gt;0,VLOOKUP($J84,Ruimtegroepen[],3,FALSE)*VLOOKUP($L84,Vloersoorten[],3,FALSE)*VLOOKUP($S84,Frequenties[],3,FALSE)*VLOOKUP($A84,Locaties[],3,FALSE),0)</f>
        <v>0</v>
      </c>
      <c r="V84" s="99">
        <f>Ruimtestaat[[#This Row],[Uitvoeringen werkdagen]]*Ruimtestaat[[#This Row],[Oppervlak (netto)]]</f>
        <v>17183.999999999996</v>
      </c>
      <c r="W84" s="100">
        <f>IF(U84&gt;0,Ruimtestaat[[#This Row],[Prest. (m2 /jaar) werkdagen]]/Ruimtestaat[[#This Row],[Norm (m2/uur) werkdagen]],0)</f>
        <v>0</v>
      </c>
      <c r="X84" s="101">
        <f>Ruimtestaat[[#This Row],[uren / jaar werkdagen]]*Tariefsopbouw!$E$35</f>
        <v>0</v>
      </c>
      <c r="Y84" s="98"/>
      <c r="Z84" s="102">
        <f>IF(Ruimtestaat[[#This Row],[Frequentie weekend]]&gt;0,VALUE(LEFT(Y84,1))*R84,0)</f>
        <v>0</v>
      </c>
      <c r="AA84" s="98">
        <f>IF($Z84&gt;0,VLOOKUP($J84,Ruimtegroepen[],3,FALSE)*VLOOKUP($L84,Vloersoorten[],3,FALSE)*VLOOKUP($Y84,Frequenties[],3,FALSE)*VLOOKUP($A80,Locaties[],3,FALSE),0)</f>
        <v>0</v>
      </c>
      <c r="AB84" s="100">
        <f>Ruimtestaat[[#This Row],[Uitvoeringen weekend]]*Ruimtestaat[[#This Row],[Oppervlak (netto)]]</f>
        <v>0</v>
      </c>
      <c r="AC84" s="103">
        <f>IF(AB84&gt;0,Ruimtestaat[[#This Row],[Prest. (m2 /jaar) weekend]]/Ruimtestaat[[#This Row],[Norm (m2/uur) weekend]],0)</f>
        <v>0</v>
      </c>
      <c r="AD84" s="104">
        <f>Ruimtestaat[[#This Row],[uren / jaar weekend]]*Tariefsopbouw!$D$40</f>
        <v>0</v>
      </c>
      <c r="AE84" s="73">
        <f>Ruimtestaat[[#This Row],[Prest. (m2 /jaar) weekend]]+Ruimtestaat[[#This Row],[Prest. (m2 /jaar) werkdagen]]</f>
        <v>17183.999999999996</v>
      </c>
      <c r="AF84" s="73">
        <f>Ruimtestaat[[#This Row],[uren / jaar weekend]]+Ruimtestaat[[#This Row],[uren / jaar werkdagen]]</f>
        <v>0</v>
      </c>
      <c r="AG84" s="74">
        <f>Ruimtestaat[[#This Row],[kosten / jaar weekend]]+Ruimtestaat[[#This Row],[kosten / jaar werkdagen]]</f>
        <v>0</v>
      </c>
      <c r="AH84" s="105"/>
      <c r="HL84" s="72"/>
    </row>
    <row r="85" spans="1:220" ht="15" customHeight="1">
      <c r="A85" s="123">
        <v>1</v>
      </c>
      <c r="B85" s="24" t="str">
        <f>VLOOKUP(Ruimtestaat[[#This Row],[Code]],Locaties[#All],2,FALSE)</f>
        <v>Hoornbeeck College Amersfoort</v>
      </c>
      <c r="C85" s="24" t="str">
        <f>VLOOKUP(Ruimtestaat[[#This Row],[Code]],Locaties[#All],4,FALSE)</f>
        <v>Utrechtseweg 230</v>
      </c>
      <c r="D85" s="24" t="str">
        <f>VLOOKUP(Ruimtestaat[[#This Row],[Code]],Locaties[#All],5,FALSE)</f>
        <v>3818 ET</v>
      </c>
      <c r="E85" s="24" t="str">
        <f>VLOOKUP(Ruimtestaat[[#This Row],[Code]],Locaties[#All],6,FALSE)</f>
        <v>Amersfoort</v>
      </c>
      <c r="F85" s="67" t="s">
        <v>487</v>
      </c>
      <c r="G85" s="24" t="s">
        <v>434</v>
      </c>
      <c r="H85" s="28" t="s">
        <v>507</v>
      </c>
      <c r="I85" s="4" t="s">
        <v>466</v>
      </c>
      <c r="J85" s="24">
        <v>16</v>
      </c>
      <c r="K85" s="67" t="str">
        <f>VLOOKUP(J85,Ruimtegroepen[],2,FALSE)</f>
        <v>Leslokalen</v>
      </c>
      <c r="L85" s="24" t="s">
        <v>110</v>
      </c>
      <c r="M85" s="24" t="s">
        <v>539</v>
      </c>
      <c r="N85" s="96">
        <v>336</v>
      </c>
      <c r="O85" s="96"/>
      <c r="P85" s="106" t="str">
        <f>LEFT(VLOOKUP(Ruimtestaat[[#This Row],[Ruimte code]],Ruimtegroepen[#All],4,1),2)</f>
        <v>Le</v>
      </c>
      <c r="Q85" s="96"/>
      <c r="R85" s="97">
        <v>40</v>
      </c>
      <c r="S85" s="97" t="s">
        <v>2</v>
      </c>
      <c r="T85" s="98">
        <f>IF(R85&gt;0,IF(RIGHT(Ruimtestaat[[#This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5" s="98">
        <f>IF(T85&gt;0,VLOOKUP($J85,Ruimtegroepen[],3,FALSE)*VLOOKUP($L85,Vloersoorten[],3,FALSE)*VLOOKUP($S85,Frequenties[],3,FALSE)*VLOOKUP($A85,Locaties[],3,FALSE),0)</f>
        <v>0</v>
      </c>
      <c r="V85" s="99">
        <f>Ruimtestaat[[#This Row],[Uitvoeringen werkdagen]]*Ruimtestaat[[#This Row],[Oppervlak (netto)]]</f>
        <v>67200</v>
      </c>
      <c r="W85" s="100">
        <f>IF(U85&gt;0,Ruimtestaat[[#This Row],[Prest. (m2 /jaar) werkdagen]]/Ruimtestaat[[#This Row],[Norm (m2/uur) werkdagen]],0)</f>
        <v>0</v>
      </c>
      <c r="X85" s="101">
        <f>Ruimtestaat[[#This Row],[uren / jaar werkdagen]]*Tariefsopbouw!$E$35</f>
        <v>0</v>
      </c>
      <c r="Y85" s="98"/>
      <c r="Z85" s="102">
        <f>IF(Ruimtestaat[[#This Row],[Frequentie weekend]]&gt;0,VALUE(LEFT(Y85,1))*R85,0)</f>
        <v>0</v>
      </c>
      <c r="AA85" s="98">
        <f>IF($Z85&gt;0,VLOOKUP($J85,Ruimtegroepen[],3,FALSE)*VLOOKUP($L85,Vloersoorten[],3,FALSE)*VLOOKUP($Y85,Frequenties[],3,FALSE)*VLOOKUP($A82,Locaties[],3,FALSE),0)</f>
        <v>0</v>
      </c>
      <c r="AB85" s="100">
        <f>Ruimtestaat[[#This Row],[Uitvoeringen weekend]]*Ruimtestaat[[#This Row],[Oppervlak (netto)]]</f>
        <v>0</v>
      </c>
      <c r="AC85" s="103">
        <f>IF(AB85&gt;0,Ruimtestaat[[#This Row],[Prest. (m2 /jaar) weekend]]/Ruimtestaat[[#This Row],[Norm (m2/uur) weekend]],0)</f>
        <v>0</v>
      </c>
      <c r="AD85" s="104">
        <f>Ruimtestaat[[#This Row],[uren / jaar weekend]]*Tariefsopbouw!$D$40</f>
        <v>0</v>
      </c>
      <c r="AE85" s="73">
        <f>Ruimtestaat[[#This Row],[Prest. (m2 /jaar) weekend]]+Ruimtestaat[[#This Row],[Prest. (m2 /jaar) werkdagen]]</f>
        <v>67200</v>
      </c>
      <c r="AF85" s="73">
        <f>Ruimtestaat[[#This Row],[uren / jaar weekend]]+Ruimtestaat[[#This Row],[uren / jaar werkdagen]]</f>
        <v>0</v>
      </c>
      <c r="AG85" s="74">
        <f>Ruimtestaat[[#This Row],[kosten / jaar weekend]]+Ruimtestaat[[#This Row],[kosten / jaar werkdagen]]</f>
        <v>0</v>
      </c>
      <c r="AH85" s="105"/>
      <c r="HL85" s="72"/>
    </row>
    <row r="86" spans="1:220" ht="15" customHeight="1">
      <c r="A86" s="123">
        <v>1</v>
      </c>
      <c r="B86" s="24" t="str">
        <f>VLOOKUP(Ruimtestaat[[#This Row],[Code]],Locaties[#All],2,FALSE)</f>
        <v>Hoornbeeck College Amersfoort</v>
      </c>
      <c r="C86" s="24" t="str">
        <f>VLOOKUP(Ruimtestaat[[#This Row],[Code]],Locaties[#All],4,FALSE)</f>
        <v>Utrechtseweg 230</v>
      </c>
      <c r="D86" s="24" t="str">
        <f>VLOOKUP(Ruimtestaat[[#This Row],[Code]],Locaties[#All],5,FALSE)</f>
        <v>3818 ET</v>
      </c>
      <c r="E86" s="24" t="str">
        <f>VLOOKUP(Ruimtestaat[[#This Row],[Code]],Locaties[#All],6,FALSE)</f>
        <v>Amersfoort</v>
      </c>
      <c r="F86" s="67" t="s">
        <v>487</v>
      </c>
      <c r="G86" s="24" t="s">
        <v>434</v>
      </c>
      <c r="H86" s="28" t="s">
        <v>508</v>
      </c>
      <c r="I86" s="4" t="s">
        <v>466</v>
      </c>
      <c r="J86" s="24">
        <v>16</v>
      </c>
      <c r="K86" s="67" t="str">
        <f>VLOOKUP(J86,Ruimtegroepen[],2,FALSE)</f>
        <v>Leslokalen</v>
      </c>
      <c r="L86" s="24" t="s">
        <v>110</v>
      </c>
      <c r="M86" s="24" t="s">
        <v>539</v>
      </c>
      <c r="N86" s="96">
        <v>129</v>
      </c>
      <c r="O86" s="96"/>
      <c r="P86" s="106" t="str">
        <f>LEFT(VLOOKUP(Ruimtestaat[[#This Row],[Ruimte code]],Ruimtegroepen[#All],4,1),2)</f>
        <v>Le</v>
      </c>
      <c r="Q86" s="106"/>
      <c r="R86" s="97">
        <v>40</v>
      </c>
      <c r="S86" s="97" t="s">
        <v>2</v>
      </c>
      <c r="T86" s="98">
        <f>IF(R86&gt;0,IF(RIGHT(Ruimtestaat[[#This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6" s="98">
        <f>IF(T86&gt;0,VLOOKUP($J86,Ruimtegroepen[],3,FALSE)*VLOOKUP($L86,Vloersoorten[],3,FALSE)*VLOOKUP($S86,Frequenties[],3,FALSE)*VLOOKUP($A86,Locaties[],3,FALSE),0)</f>
        <v>0</v>
      </c>
      <c r="V86" s="99">
        <f>Ruimtestaat[[#This Row],[Uitvoeringen werkdagen]]*Ruimtestaat[[#This Row],[Oppervlak (netto)]]</f>
        <v>25800</v>
      </c>
      <c r="W86" s="100">
        <f>IF(U86&gt;0,Ruimtestaat[[#This Row],[Prest. (m2 /jaar) werkdagen]]/Ruimtestaat[[#This Row],[Norm (m2/uur) werkdagen]],0)</f>
        <v>0</v>
      </c>
      <c r="X86" s="101">
        <f>Ruimtestaat[[#This Row],[uren / jaar werkdagen]]*Tariefsopbouw!$E$35</f>
        <v>0</v>
      </c>
      <c r="Y86" s="98"/>
      <c r="Z86" s="102">
        <f>IF(Ruimtestaat[[#This Row],[Frequentie weekend]]&gt;0,VALUE(LEFT(Y86,1))*R86,0)</f>
        <v>0</v>
      </c>
      <c r="AA86" s="98">
        <f>IF($Z86&gt;0,VLOOKUP($J86,Ruimtegroepen[],3,FALSE)*VLOOKUP($L86,Vloersoorten[],3,FALSE)*VLOOKUP($Y86,Frequenties[],3,FALSE)*VLOOKUP($A83,Locaties[],3,FALSE),0)</f>
        <v>0</v>
      </c>
      <c r="AB86" s="100">
        <f>Ruimtestaat[[#This Row],[Uitvoeringen weekend]]*Ruimtestaat[[#This Row],[Oppervlak (netto)]]</f>
        <v>0</v>
      </c>
      <c r="AC86" s="103">
        <f>IF(AB86&gt;0,Ruimtestaat[[#This Row],[Prest. (m2 /jaar) weekend]]/Ruimtestaat[[#This Row],[Norm (m2/uur) weekend]],0)</f>
        <v>0</v>
      </c>
      <c r="AD86" s="104">
        <f>Ruimtestaat[[#This Row],[uren / jaar weekend]]*Tariefsopbouw!$D$40</f>
        <v>0</v>
      </c>
      <c r="AE86" s="73">
        <f>Ruimtestaat[[#This Row],[Prest. (m2 /jaar) weekend]]+Ruimtestaat[[#This Row],[Prest. (m2 /jaar) werkdagen]]</f>
        <v>25800</v>
      </c>
      <c r="AF86" s="73">
        <f>Ruimtestaat[[#This Row],[uren / jaar weekend]]+Ruimtestaat[[#This Row],[uren / jaar werkdagen]]</f>
        <v>0</v>
      </c>
      <c r="AG86" s="74">
        <f>Ruimtestaat[[#This Row],[kosten / jaar weekend]]+Ruimtestaat[[#This Row],[kosten / jaar werkdagen]]</f>
        <v>0</v>
      </c>
      <c r="AH86" s="105"/>
      <c r="HL86" s="72"/>
    </row>
    <row r="87" spans="1:220" ht="15" customHeight="1">
      <c r="A87" s="123">
        <v>1</v>
      </c>
      <c r="B87" s="24" t="str">
        <f>VLOOKUP(Ruimtestaat[[#This Row],[Code]],Locaties[#All],2,FALSE)</f>
        <v>Hoornbeeck College Amersfoort</v>
      </c>
      <c r="C87" s="24" t="str">
        <f>VLOOKUP(Ruimtestaat[[#This Row],[Code]],Locaties[#All],4,FALSE)</f>
        <v>Utrechtseweg 230</v>
      </c>
      <c r="D87" s="24" t="str">
        <f>VLOOKUP(Ruimtestaat[[#This Row],[Code]],Locaties[#All],5,FALSE)</f>
        <v>3818 ET</v>
      </c>
      <c r="E87" s="24" t="str">
        <f>VLOOKUP(Ruimtestaat[[#This Row],[Code]],Locaties[#All],6,FALSE)</f>
        <v>Amersfoort</v>
      </c>
      <c r="F87" s="67" t="s">
        <v>487</v>
      </c>
      <c r="G87" s="24" t="s">
        <v>434</v>
      </c>
      <c r="H87" s="28" t="s">
        <v>509</v>
      </c>
      <c r="I87" s="4" t="s">
        <v>419</v>
      </c>
      <c r="J87" s="24">
        <v>16</v>
      </c>
      <c r="K87" s="67" t="str">
        <f>VLOOKUP(J87,Ruimtegroepen[],2,FALSE)</f>
        <v>Leslokalen</v>
      </c>
      <c r="L87" s="24" t="s">
        <v>111</v>
      </c>
      <c r="M87" s="24" t="s">
        <v>540</v>
      </c>
      <c r="N87" s="96">
        <v>58</v>
      </c>
      <c r="O87" s="96"/>
      <c r="P87" s="106" t="str">
        <f>LEFT(VLOOKUP(Ruimtestaat[[#This Row],[Ruimte code]],Ruimtegroepen[#All],4,1),2)</f>
        <v>Le</v>
      </c>
      <c r="Q87" s="106"/>
      <c r="R87" s="97">
        <v>40</v>
      </c>
      <c r="S87" s="97" t="s">
        <v>2</v>
      </c>
      <c r="T87" s="98">
        <f>IF(R87&gt;0,IF(RIGHT(Ruimtestaat[[#This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7" s="98">
        <f>IF(T87&gt;0,VLOOKUP($J87,Ruimtegroepen[],3,FALSE)*VLOOKUP($L87,Vloersoorten[],3,FALSE)*VLOOKUP($S87,Frequenties[],3,FALSE)*VLOOKUP($A87,Locaties[],3,FALSE),0)</f>
        <v>0</v>
      </c>
      <c r="V87" s="99">
        <f>Ruimtestaat[[#This Row],[Uitvoeringen werkdagen]]*Ruimtestaat[[#This Row],[Oppervlak (netto)]]</f>
        <v>11600</v>
      </c>
      <c r="W87" s="100">
        <f>IF(U87&gt;0,Ruimtestaat[[#This Row],[Prest. (m2 /jaar) werkdagen]]/Ruimtestaat[[#This Row],[Norm (m2/uur) werkdagen]],0)</f>
        <v>0</v>
      </c>
      <c r="X87" s="101">
        <f>Ruimtestaat[[#This Row],[uren / jaar werkdagen]]*Tariefsopbouw!$E$35</f>
        <v>0</v>
      </c>
      <c r="Y87" s="98"/>
      <c r="Z87" s="102">
        <f>IF(Ruimtestaat[[#This Row],[Frequentie weekend]]&gt;0,VALUE(LEFT(Y87,1))*R87,0)</f>
        <v>0</v>
      </c>
      <c r="AA87" s="98">
        <f>IF($Z87&gt;0,VLOOKUP($J87,Ruimtegroepen[],3,FALSE)*VLOOKUP($L87,Vloersoorten[],3,FALSE)*VLOOKUP($Y87,Frequenties[],3,FALSE)*VLOOKUP($A84,Locaties[],3,FALSE),0)</f>
        <v>0</v>
      </c>
      <c r="AB87" s="100">
        <f>Ruimtestaat[[#This Row],[Uitvoeringen weekend]]*Ruimtestaat[[#This Row],[Oppervlak (netto)]]</f>
        <v>0</v>
      </c>
      <c r="AC87" s="103">
        <f>IF(AB87&gt;0,Ruimtestaat[[#This Row],[Prest. (m2 /jaar) weekend]]/Ruimtestaat[[#This Row],[Norm (m2/uur) weekend]],0)</f>
        <v>0</v>
      </c>
      <c r="AD87" s="104">
        <f>Ruimtestaat[[#This Row],[uren / jaar weekend]]*Tariefsopbouw!$D$40</f>
        <v>0</v>
      </c>
      <c r="AE87" s="73">
        <f>Ruimtestaat[[#This Row],[Prest. (m2 /jaar) weekend]]+Ruimtestaat[[#This Row],[Prest. (m2 /jaar) werkdagen]]</f>
        <v>11600</v>
      </c>
      <c r="AF87" s="73">
        <f>Ruimtestaat[[#This Row],[uren / jaar weekend]]+Ruimtestaat[[#This Row],[uren / jaar werkdagen]]</f>
        <v>0</v>
      </c>
      <c r="AG87" s="74">
        <f>Ruimtestaat[[#This Row],[kosten / jaar weekend]]+Ruimtestaat[[#This Row],[kosten / jaar werkdagen]]</f>
        <v>0</v>
      </c>
      <c r="AH87" s="105"/>
      <c r="HL87" s="72"/>
    </row>
    <row r="88" spans="1:220" ht="15" customHeight="1">
      <c r="A88" s="123">
        <v>1</v>
      </c>
      <c r="B88" s="24" t="str">
        <f>VLOOKUP(Ruimtestaat[[#This Row],[Code]],Locaties[#All],2,FALSE)</f>
        <v>Hoornbeeck College Amersfoort</v>
      </c>
      <c r="C88" s="24" t="str">
        <f>VLOOKUP(Ruimtestaat[[#This Row],[Code]],Locaties[#All],4,FALSE)</f>
        <v>Utrechtseweg 230</v>
      </c>
      <c r="D88" s="24" t="str">
        <f>VLOOKUP(Ruimtestaat[[#This Row],[Code]],Locaties[#All],5,FALSE)</f>
        <v>3818 ET</v>
      </c>
      <c r="E88" s="24" t="str">
        <f>VLOOKUP(Ruimtestaat[[#This Row],[Code]],Locaties[#All],6,FALSE)</f>
        <v>Amersfoort</v>
      </c>
      <c r="F88" s="67" t="s">
        <v>487</v>
      </c>
      <c r="G88" s="24" t="s">
        <v>434</v>
      </c>
      <c r="H88" s="28" t="s">
        <v>510</v>
      </c>
      <c r="I88" s="4" t="s">
        <v>419</v>
      </c>
      <c r="J88" s="24">
        <v>16</v>
      </c>
      <c r="K88" s="67" t="str">
        <f>VLOOKUP(J88,Ruimtegroepen[],2,FALSE)</f>
        <v>Leslokalen</v>
      </c>
      <c r="L88" s="24" t="s">
        <v>111</v>
      </c>
      <c r="M88" s="24" t="s">
        <v>540</v>
      </c>
      <c r="N88" s="96">
        <v>59</v>
      </c>
      <c r="O88" s="96"/>
      <c r="P88" s="106" t="str">
        <f>LEFT(VLOOKUP(Ruimtestaat[[#This Row],[Ruimte code]],Ruimtegroepen[#All],4,1),2)</f>
        <v>Le</v>
      </c>
      <c r="Q88" s="106"/>
      <c r="R88" s="97">
        <v>40</v>
      </c>
      <c r="S88" s="97" t="s">
        <v>2</v>
      </c>
      <c r="T88" s="98">
        <f>IF(R88&gt;0,IF(RIGHT(Ruimtestaat[[#This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8" s="98">
        <f>IF(T88&gt;0,VLOOKUP($J88,Ruimtegroepen[],3,FALSE)*VLOOKUP($L88,Vloersoorten[],3,FALSE)*VLOOKUP($S88,Frequenties[],3,FALSE)*VLOOKUP($A88,Locaties[],3,FALSE),0)</f>
        <v>0</v>
      </c>
      <c r="V88" s="99">
        <f>Ruimtestaat[[#This Row],[Uitvoeringen werkdagen]]*Ruimtestaat[[#This Row],[Oppervlak (netto)]]</f>
        <v>11800</v>
      </c>
      <c r="W88" s="100">
        <f>IF(U88&gt;0,Ruimtestaat[[#This Row],[Prest. (m2 /jaar) werkdagen]]/Ruimtestaat[[#This Row],[Norm (m2/uur) werkdagen]],0)</f>
        <v>0</v>
      </c>
      <c r="X88" s="101">
        <f>Ruimtestaat[[#This Row],[uren / jaar werkdagen]]*Tariefsopbouw!$E$35</f>
        <v>0</v>
      </c>
      <c r="Y88" s="98"/>
      <c r="Z88" s="102">
        <f>IF(Ruimtestaat[[#This Row],[Frequentie weekend]]&gt;0,VALUE(LEFT(Y88,1))*R88,0)</f>
        <v>0</v>
      </c>
      <c r="AA88" s="98">
        <f>IF($Z88&gt;0,VLOOKUP($J88,Ruimtegroepen[],3,FALSE)*VLOOKUP($L88,Vloersoorten[],3,FALSE)*VLOOKUP($Y88,Frequenties[],3,FALSE)*VLOOKUP($A84,Locaties[],3,FALSE),0)</f>
        <v>0</v>
      </c>
      <c r="AB88" s="100">
        <f>Ruimtestaat[[#This Row],[Uitvoeringen weekend]]*Ruimtestaat[[#This Row],[Oppervlak (netto)]]</f>
        <v>0</v>
      </c>
      <c r="AC88" s="103">
        <f>IF(AB88&gt;0,Ruimtestaat[[#This Row],[Prest. (m2 /jaar) weekend]]/Ruimtestaat[[#This Row],[Norm (m2/uur) weekend]],0)</f>
        <v>0</v>
      </c>
      <c r="AD88" s="104">
        <f>Ruimtestaat[[#This Row],[uren / jaar weekend]]*Tariefsopbouw!$D$40</f>
        <v>0</v>
      </c>
      <c r="AE88" s="73">
        <f>Ruimtestaat[[#This Row],[Prest. (m2 /jaar) weekend]]+Ruimtestaat[[#This Row],[Prest. (m2 /jaar) werkdagen]]</f>
        <v>11800</v>
      </c>
      <c r="AF88" s="73">
        <f>Ruimtestaat[[#This Row],[uren / jaar weekend]]+Ruimtestaat[[#This Row],[uren / jaar werkdagen]]</f>
        <v>0</v>
      </c>
      <c r="AG88" s="74">
        <f>Ruimtestaat[[#This Row],[kosten / jaar weekend]]+Ruimtestaat[[#This Row],[kosten / jaar werkdagen]]</f>
        <v>0</v>
      </c>
      <c r="AH88" s="105"/>
      <c r="HL88" s="72"/>
    </row>
    <row r="89" spans="1:220" ht="15" customHeight="1">
      <c r="A89" s="123">
        <v>1</v>
      </c>
      <c r="B89" s="24" t="str">
        <f>VLOOKUP(Ruimtestaat[[#This Row],[Code]],Locaties[#All],2,FALSE)</f>
        <v>Hoornbeeck College Amersfoort</v>
      </c>
      <c r="C89" s="24" t="str">
        <f>VLOOKUP(Ruimtestaat[[#This Row],[Code]],Locaties[#All],4,FALSE)</f>
        <v>Utrechtseweg 230</v>
      </c>
      <c r="D89" s="24" t="str">
        <f>VLOOKUP(Ruimtestaat[[#This Row],[Code]],Locaties[#All],5,FALSE)</f>
        <v>3818 ET</v>
      </c>
      <c r="E89" s="24" t="str">
        <f>VLOOKUP(Ruimtestaat[[#This Row],[Code]],Locaties[#All],6,FALSE)</f>
        <v>Amersfoort</v>
      </c>
      <c r="F89" s="67" t="s">
        <v>487</v>
      </c>
      <c r="G89" s="24" t="s">
        <v>434</v>
      </c>
      <c r="H89" s="28" t="s">
        <v>511</v>
      </c>
      <c r="I89" s="4" t="s">
        <v>419</v>
      </c>
      <c r="J89" s="24">
        <v>16</v>
      </c>
      <c r="K89" s="67" t="str">
        <f>VLOOKUP(J89,Ruimtegroepen[],2,FALSE)</f>
        <v>Leslokalen</v>
      </c>
      <c r="L89" s="24" t="s">
        <v>111</v>
      </c>
      <c r="M89" s="24" t="s">
        <v>540</v>
      </c>
      <c r="N89" s="96">
        <v>109</v>
      </c>
      <c r="O89" s="96"/>
      <c r="P89" s="106" t="str">
        <f>LEFT(VLOOKUP(Ruimtestaat[[#This Row],[Ruimte code]],Ruimtegroepen[#All],4,1),2)</f>
        <v>Le</v>
      </c>
      <c r="Q89" s="106"/>
      <c r="R89" s="97">
        <v>40</v>
      </c>
      <c r="S89" s="97" t="s">
        <v>2</v>
      </c>
      <c r="T89" s="98">
        <f>IF(R89&gt;0,IF(RIGHT(Ruimtestaat[[#This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" s="98">
        <f>IF(T89&gt;0,VLOOKUP($J89,Ruimtegroepen[],3,FALSE)*VLOOKUP($L89,Vloersoorten[],3,FALSE)*VLOOKUP($S89,Frequenties[],3,FALSE)*VLOOKUP($A89,Locaties[],3,FALSE),0)</f>
        <v>0</v>
      </c>
      <c r="V89" s="99">
        <f>Ruimtestaat[[#This Row],[Uitvoeringen werkdagen]]*Ruimtestaat[[#This Row],[Oppervlak (netto)]]</f>
        <v>21800</v>
      </c>
      <c r="W89" s="100">
        <f>IF(U89&gt;0,Ruimtestaat[[#This Row],[Prest. (m2 /jaar) werkdagen]]/Ruimtestaat[[#This Row],[Norm (m2/uur) werkdagen]],0)</f>
        <v>0</v>
      </c>
      <c r="X89" s="101">
        <f>Ruimtestaat[[#This Row],[uren / jaar werkdagen]]*Tariefsopbouw!$E$35</f>
        <v>0</v>
      </c>
      <c r="Y89" s="98"/>
      <c r="Z89" s="102">
        <f>IF(Ruimtestaat[[#This Row],[Frequentie weekend]]&gt;0,VALUE(LEFT(Y89,1))*R89,0)</f>
        <v>0</v>
      </c>
      <c r="AA89" s="98">
        <f>IF($Z89&gt;0,VLOOKUP($J89,Ruimtegroepen[],3,FALSE)*VLOOKUP($L89,Vloersoorten[],3,FALSE)*VLOOKUP($Y89,Frequenties[],3,FALSE)*VLOOKUP(#REF!,Locaties[],3,FALSE),0)</f>
        <v>0</v>
      </c>
      <c r="AB89" s="100">
        <f>Ruimtestaat[[#This Row],[Uitvoeringen weekend]]*Ruimtestaat[[#This Row],[Oppervlak (netto)]]</f>
        <v>0</v>
      </c>
      <c r="AC89" s="103">
        <f>IF(AB89&gt;0,Ruimtestaat[[#This Row],[Prest. (m2 /jaar) weekend]]/Ruimtestaat[[#This Row],[Norm (m2/uur) weekend]],0)</f>
        <v>0</v>
      </c>
      <c r="AD89" s="104">
        <f>Ruimtestaat[[#This Row],[uren / jaar weekend]]*Tariefsopbouw!$D$40</f>
        <v>0</v>
      </c>
      <c r="AE89" s="73">
        <f>Ruimtestaat[[#This Row],[Prest. (m2 /jaar) weekend]]+Ruimtestaat[[#This Row],[Prest. (m2 /jaar) werkdagen]]</f>
        <v>21800</v>
      </c>
      <c r="AF89" s="73">
        <f>Ruimtestaat[[#This Row],[uren / jaar weekend]]+Ruimtestaat[[#This Row],[uren / jaar werkdagen]]</f>
        <v>0</v>
      </c>
      <c r="AG89" s="74">
        <f>Ruimtestaat[[#This Row],[kosten / jaar weekend]]+Ruimtestaat[[#This Row],[kosten / jaar werkdagen]]</f>
        <v>0</v>
      </c>
      <c r="AH89" s="105"/>
      <c r="HL89" s="72"/>
    </row>
    <row r="90" spans="1:220" ht="15" customHeight="1">
      <c r="A90" s="123">
        <v>1</v>
      </c>
      <c r="B90" s="24" t="str">
        <f>VLOOKUP(Ruimtestaat[[#This Row],[Code]],Locaties[#All],2,FALSE)</f>
        <v>Hoornbeeck College Amersfoort</v>
      </c>
      <c r="C90" s="24" t="str">
        <f>VLOOKUP(Ruimtestaat[[#This Row],[Code]],Locaties[#All],4,FALSE)</f>
        <v>Utrechtseweg 230</v>
      </c>
      <c r="D90" s="24" t="str">
        <f>VLOOKUP(Ruimtestaat[[#This Row],[Code]],Locaties[#All],5,FALSE)</f>
        <v>3818 ET</v>
      </c>
      <c r="E90" s="24" t="str">
        <f>VLOOKUP(Ruimtestaat[[#This Row],[Code]],Locaties[#All],6,FALSE)</f>
        <v>Amersfoort</v>
      </c>
      <c r="F90" s="67" t="s">
        <v>487</v>
      </c>
      <c r="G90" s="24" t="s">
        <v>434</v>
      </c>
      <c r="H90" s="28" t="s">
        <v>512</v>
      </c>
      <c r="I90" s="4" t="s">
        <v>512</v>
      </c>
      <c r="J90" s="24">
        <v>10</v>
      </c>
      <c r="K90" s="67" t="str">
        <f>VLOOKUP(J90,Ruimtegroepen[],2,FALSE)</f>
        <v>Trappenhuizen/lift</v>
      </c>
      <c r="L90" s="24" t="s">
        <v>111</v>
      </c>
      <c r="M90" s="24" t="s">
        <v>540</v>
      </c>
      <c r="N90" s="96">
        <v>8</v>
      </c>
      <c r="O90" s="96"/>
      <c r="P90" s="106" t="str">
        <f>LEFT(VLOOKUP(Ruimtestaat[[#This Row],[Ruimte code]],Ruimtegroepen[#All],4,1),2)</f>
        <v>Ve</v>
      </c>
      <c r="Q90" s="106"/>
      <c r="R90" s="97">
        <v>40</v>
      </c>
      <c r="S90" s="97" t="s">
        <v>2</v>
      </c>
      <c r="T90" s="98">
        <f>IF(R90&gt;0,IF(RIGHT(Ruimtestaat[[#This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0" s="98">
        <f>IF(T90&gt;0,VLOOKUP($J90,Ruimtegroepen[],3,FALSE)*VLOOKUP($L90,Vloersoorten[],3,FALSE)*VLOOKUP($S90,Frequenties[],3,FALSE)*VLOOKUP($A90,Locaties[],3,FALSE),0)</f>
        <v>0</v>
      </c>
      <c r="V90" s="99">
        <f>Ruimtestaat[[#This Row],[Uitvoeringen werkdagen]]*Ruimtestaat[[#This Row],[Oppervlak (netto)]]</f>
        <v>1600</v>
      </c>
      <c r="W90" s="100">
        <f>IF(U90&gt;0,Ruimtestaat[[#This Row],[Prest. (m2 /jaar) werkdagen]]/Ruimtestaat[[#This Row],[Norm (m2/uur) werkdagen]],0)</f>
        <v>0</v>
      </c>
      <c r="X90" s="101">
        <f>Ruimtestaat[[#This Row],[uren / jaar werkdagen]]*Tariefsopbouw!$E$35</f>
        <v>0</v>
      </c>
      <c r="Y90" s="98"/>
      <c r="Z90" s="102">
        <f>IF(Ruimtestaat[[#This Row],[Frequentie weekend]]&gt;0,VALUE(LEFT(Y90,1))*R90,0)</f>
        <v>0</v>
      </c>
      <c r="AA90" s="98">
        <f>IF($Z90&gt;0,VLOOKUP($J90,Ruimtegroepen[],3,FALSE)*VLOOKUP($L90,Vloersoorten[],3,FALSE)*VLOOKUP($Y90,Frequenties[],3,FALSE)*VLOOKUP($A85,Locaties[],3,FALSE),0)</f>
        <v>0</v>
      </c>
      <c r="AB90" s="100">
        <f>Ruimtestaat[[#This Row],[Uitvoeringen weekend]]*Ruimtestaat[[#This Row],[Oppervlak (netto)]]</f>
        <v>0</v>
      </c>
      <c r="AC90" s="103">
        <f>IF(AB90&gt;0,Ruimtestaat[[#This Row],[Prest. (m2 /jaar) weekend]]/Ruimtestaat[[#This Row],[Norm (m2/uur) weekend]],0)</f>
        <v>0</v>
      </c>
      <c r="AD90" s="104">
        <f>Ruimtestaat[[#This Row],[uren / jaar weekend]]*Tariefsopbouw!$D$40</f>
        <v>0</v>
      </c>
      <c r="AE90" s="73">
        <f>Ruimtestaat[[#This Row],[Prest. (m2 /jaar) weekend]]+Ruimtestaat[[#This Row],[Prest. (m2 /jaar) werkdagen]]</f>
        <v>1600</v>
      </c>
      <c r="AF90" s="73">
        <f>Ruimtestaat[[#This Row],[uren / jaar weekend]]+Ruimtestaat[[#This Row],[uren / jaar werkdagen]]</f>
        <v>0</v>
      </c>
      <c r="AG90" s="74">
        <f>Ruimtestaat[[#This Row],[kosten / jaar weekend]]+Ruimtestaat[[#This Row],[kosten / jaar werkdagen]]</f>
        <v>0</v>
      </c>
      <c r="AH90" s="105"/>
      <c r="HL90" s="72"/>
    </row>
    <row r="91" spans="1:220" ht="15" customHeight="1">
      <c r="A91" s="123">
        <v>1</v>
      </c>
      <c r="B91" s="24" t="str">
        <f>VLOOKUP(Ruimtestaat[[#This Row],[Code]],Locaties[#All],2,FALSE)</f>
        <v>Hoornbeeck College Amersfoort</v>
      </c>
      <c r="C91" s="24" t="str">
        <f>VLOOKUP(Ruimtestaat[[#This Row],[Code]],Locaties[#All],4,FALSE)</f>
        <v>Utrechtseweg 230</v>
      </c>
      <c r="D91" s="24" t="str">
        <f>VLOOKUP(Ruimtestaat[[#This Row],[Code]],Locaties[#All],5,FALSE)</f>
        <v>3818 ET</v>
      </c>
      <c r="E91" s="24" t="str">
        <f>VLOOKUP(Ruimtestaat[[#This Row],[Code]],Locaties[#All],6,FALSE)</f>
        <v>Amersfoort</v>
      </c>
      <c r="F91" s="67" t="s">
        <v>513</v>
      </c>
      <c r="G91" s="24" t="s">
        <v>417</v>
      </c>
      <c r="H91" s="28" t="s">
        <v>514</v>
      </c>
      <c r="I91" s="4" t="s">
        <v>515</v>
      </c>
      <c r="J91" s="24">
        <v>14</v>
      </c>
      <c r="K91" s="67" t="str">
        <f>VLOOKUP(J91,Ruimtegroepen[],2,FALSE)</f>
        <v>Praktijklokalen</v>
      </c>
      <c r="L91" s="24" t="s">
        <v>110</v>
      </c>
      <c r="M91" s="24" t="s">
        <v>539</v>
      </c>
      <c r="N91" s="96">
        <v>122.76</v>
      </c>
      <c r="O91" s="96"/>
      <c r="P91" s="106" t="str">
        <f>LEFT(VLOOKUP(Ruimtestaat[[#This Row],[Ruimte code]],Ruimtegroepen[#All],4,1),2)</f>
        <v>Le</v>
      </c>
      <c r="Q91" s="106"/>
      <c r="R91" s="97">
        <v>40</v>
      </c>
      <c r="S91" s="97" t="s">
        <v>2</v>
      </c>
      <c r="T91" s="98">
        <f>IF(R91&gt;0,IF(RIGHT(Ruimtestaat[[#This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1" s="98">
        <f>IF(T91&gt;0,VLOOKUP($J91,Ruimtegroepen[],3,FALSE)*VLOOKUP($L91,Vloersoorten[],3,FALSE)*VLOOKUP($S91,Frequenties[],3,FALSE)*VLOOKUP($A91,Locaties[],3,FALSE),0)</f>
        <v>0</v>
      </c>
      <c r="V91" s="99">
        <f>Ruimtestaat[[#This Row],[Uitvoeringen werkdagen]]*Ruimtestaat[[#This Row],[Oppervlak (netto)]]</f>
        <v>24552</v>
      </c>
      <c r="W91" s="100">
        <f>IF(U91&gt;0,Ruimtestaat[[#This Row],[Prest. (m2 /jaar) werkdagen]]/Ruimtestaat[[#This Row],[Norm (m2/uur) werkdagen]],0)</f>
        <v>0</v>
      </c>
      <c r="X91" s="101">
        <f>Ruimtestaat[[#This Row],[uren / jaar werkdagen]]*Tariefsopbouw!$E$35</f>
        <v>0</v>
      </c>
      <c r="Y91" s="98"/>
      <c r="Z91" s="102">
        <f>IF(Ruimtestaat[[#This Row],[Frequentie weekend]]&gt;0,VALUE(LEFT(Y91,1))*R91,0)</f>
        <v>0</v>
      </c>
      <c r="AA91" s="98">
        <f>IF($Z91&gt;0,VLOOKUP($J91,Ruimtegroepen[],3,FALSE)*VLOOKUP($L91,Vloersoorten[],3,FALSE)*VLOOKUP($Y91,Frequenties[],3,FALSE)*VLOOKUP($A86,Locaties[],3,FALSE),0)</f>
        <v>0</v>
      </c>
      <c r="AB91" s="100">
        <f>Ruimtestaat[[#This Row],[Uitvoeringen weekend]]*Ruimtestaat[[#This Row],[Oppervlak (netto)]]</f>
        <v>0</v>
      </c>
      <c r="AC91" s="103">
        <f>IF(AB91&gt;0,Ruimtestaat[[#This Row],[Prest. (m2 /jaar) weekend]]/Ruimtestaat[[#This Row],[Norm (m2/uur) weekend]],0)</f>
        <v>0</v>
      </c>
      <c r="AD91" s="104">
        <f>Ruimtestaat[[#This Row],[uren / jaar weekend]]*Tariefsopbouw!$D$40</f>
        <v>0</v>
      </c>
      <c r="AE91" s="73">
        <f>Ruimtestaat[[#This Row],[Prest. (m2 /jaar) weekend]]+Ruimtestaat[[#This Row],[Prest. (m2 /jaar) werkdagen]]</f>
        <v>24552</v>
      </c>
      <c r="AF91" s="73">
        <f>Ruimtestaat[[#This Row],[uren / jaar weekend]]+Ruimtestaat[[#This Row],[uren / jaar werkdagen]]</f>
        <v>0</v>
      </c>
      <c r="AG91" s="74">
        <f>Ruimtestaat[[#This Row],[kosten / jaar weekend]]+Ruimtestaat[[#This Row],[kosten / jaar werkdagen]]</f>
        <v>0</v>
      </c>
      <c r="AH91" s="105"/>
      <c r="HL91" s="72"/>
    </row>
    <row r="92" spans="1:220" ht="15" customHeight="1">
      <c r="A92" s="123">
        <v>1</v>
      </c>
      <c r="B92" s="24" t="str">
        <f>VLOOKUP(Ruimtestaat[[#This Row],[Code]],Locaties[#All],2,FALSE)</f>
        <v>Hoornbeeck College Amersfoort</v>
      </c>
      <c r="C92" s="24" t="str">
        <f>VLOOKUP(Ruimtestaat[[#This Row],[Code]],Locaties[#All],4,FALSE)</f>
        <v>Utrechtseweg 230</v>
      </c>
      <c r="D92" s="24" t="str">
        <f>VLOOKUP(Ruimtestaat[[#This Row],[Code]],Locaties[#All],5,FALSE)</f>
        <v>3818 ET</v>
      </c>
      <c r="E92" s="24" t="str">
        <f>VLOOKUP(Ruimtestaat[[#This Row],[Code]],Locaties[#All],6,FALSE)</f>
        <v>Amersfoort</v>
      </c>
      <c r="F92" s="67" t="s">
        <v>513</v>
      </c>
      <c r="G92" s="24" t="s">
        <v>417</v>
      </c>
      <c r="H92" s="28" t="s">
        <v>516</v>
      </c>
      <c r="I92" s="4" t="s">
        <v>517</v>
      </c>
      <c r="J92" s="24">
        <v>16</v>
      </c>
      <c r="K92" s="67" t="str">
        <f>VLOOKUP(J92,Ruimtegroepen[],2,FALSE)</f>
        <v>Leslokalen</v>
      </c>
      <c r="L92" s="24" t="s">
        <v>111</v>
      </c>
      <c r="M92" s="24" t="s">
        <v>136</v>
      </c>
      <c r="N92" s="96">
        <v>91.76</v>
      </c>
      <c r="O92" s="96"/>
      <c r="P92" s="106" t="str">
        <f>LEFT(VLOOKUP(Ruimtestaat[[#This Row],[Ruimte code]],Ruimtegroepen[#All],4,1),2)</f>
        <v>Le</v>
      </c>
      <c r="Q92" s="106"/>
      <c r="R92" s="97">
        <v>40</v>
      </c>
      <c r="S92" s="97" t="s">
        <v>2</v>
      </c>
      <c r="T92" s="98">
        <f>IF(R92&gt;0,IF(RIGHT(Ruimtestaat[[#This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" s="98">
        <f>IF(T92&gt;0,VLOOKUP($J92,Ruimtegroepen[],3,FALSE)*VLOOKUP($L92,Vloersoorten[],3,FALSE)*VLOOKUP($S92,Frequenties[],3,FALSE)*VLOOKUP($A92,Locaties[],3,FALSE),0)</f>
        <v>0</v>
      </c>
      <c r="V92" s="99">
        <f>Ruimtestaat[[#This Row],[Uitvoeringen werkdagen]]*Ruimtestaat[[#This Row],[Oppervlak (netto)]]</f>
        <v>18352</v>
      </c>
      <c r="W92" s="100">
        <f>IF(U92&gt;0,Ruimtestaat[[#This Row],[Prest. (m2 /jaar) werkdagen]]/Ruimtestaat[[#This Row],[Norm (m2/uur) werkdagen]],0)</f>
        <v>0</v>
      </c>
      <c r="X92" s="101">
        <f>Ruimtestaat[[#This Row],[uren / jaar werkdagen]]*Tariefsopbouw!$E$35</f>
        <v>0</v>
      </c>
      <c r="Y92" s="98"/>
      <c r="Z92" s="102">
        <f>IF(Ruimtestaat[[#This Row],[Frequentie weekend]]&gt;0,VALUE(LEFT(Y92,1))*R92,0)</f>
        <v>0</v>
      </c>
      <c r="AA92" s="98">
        <f>IF($Z92&gt;0,VLOOKUP($J92,Ruimtegroepen[],3,FALSE)*VLOOKUP($L92,Vloersoorten[],3,FALSE)*VLOOKUP($Y92,Frequenties[],3,FALSE)*VLOOKUP($A87,Locaties[],3,FALSE),0)</f>
        <v>0</v>
      </c>
      <c r="AB92" s="100">
        <f>Ruimtestaat[[#This Row],[Uitvoeringen weekend]]*Ruimtestaat[[#This Row],[Oppervlak (netto)]]</f>
        <v>0</v>
      </c>
      <c r="AC92" s="103">
        <f>IF(AB92&gt;0,Ruimtestaat[[#This Row],[Prest. (m2 /jaar) weekend]]/Ruimtestaat[[#This Row],[Norm (m2/uur) weekend]],0)</f>
        <v>0</v>
      </c>
      <c r="AD92" s="104">
        <f>Ruimtestaat[[#This Row],[uren / jaar weekend]]*Tariefsopbouw!$D$40</f>
        <v>0</v>
      </c>
      <c r="AE92" s="73">
        <f>Ruimtestaat[[#This Row],[Prest. (m2 /jaar) weekend]]+Ruimtestaat[[#This Row],[Prest. (m2 /jaar) werkdagen]]</f>
        <v>18352</v>
      </c>
      <c r="AF92" s="73">
        <f>Ruimtestaat[[#This Row],[uren / jaar weekend]]+Ruimtestaat[[#This Row],[uren / jaar werkdagen]]</f>
        <v>0</v>
      </c>
      <c r="AG92" s="74">
        <f>Ruimtestaat[[#This Row],[kosten / jaar weekend]]+Ruimtestaat[[#This Row],[kosten / jaar werkdagen]]</f>
        <v>0</v>
      </c>
      <c r="AH92" s="105"/>
      <c r="HL92" s="72"/>
    </row>
    <row r="93" spans="1:220" ht="15" customHeight="1">
      <c r="A93" s="123">
        <v>1</v>
      </c>
      <c r="B93" s="24" t="str">
        <f>VLOOKUP(Ruimtestaat[[#This Row],[Code]],Locaties[#All],2,FALSE)</f>
        <v>Hoornbeeck College Amersfoort</v>
      </c>
      <c r="C93" s="24" t="str">
        <f>VLOOKUP(Ruimtestaat[[#This Row],[Code]],Locaties[#All],4,FALSE)</f>
        <v>Utrechtseweg 230</v>
      </c>
      <c r="D93" s="24" t="str">
        <f>VLOOKUP(Ruimtestaat[[#This Row],[Code]],Locaties[#All],5,FALSE)</f>
        <v>3818 ET</v>
      </c>
      <c r="E93" s="24" t="str">
        <f>VLOOKUP(Ruimtestaat[[#This Row],[Code]],Locaties[#All],6,FALSE)</f>
        <v>Amersfoort</v>
      </c>
      <c r="F93" s="67" t="s">
        <v>513</v>
      </c>
      <c r="G93" s="24" t="s">
        <v>417</v>
      </c>
      <c r="H93" s="28" t="s">
        <v>518</v>
      </c>
      <c r="I93" s="67" t="s">
        <v>519</v>
      </c>
      <c r="J93" s="177">
        <v>14</v>
      </c>
      <c r="K93" s="67" t="str">
        <f>VLOOKUP(J93,Ruimtegroepen[],2,FALSE)</f>
        <v>Praktijklokalen</v>
      </c>
      <c r="L93" s="24" t="s">
        <v>111</v>
      </c>
      <c r="M93" s="24" t="s">
        <v>136</v>
      </c>
      <c r="N93" s="96">
        <v>122.265</v>
      </c>
      <c r="O93" s="176"/>
      <c r="P93" s="178" t="str">
        <f>LEFT(VLOOKUP(Ruimtestaat[[#This Row],[Ruimte code]],Ruimtegroepen[#All],4,1),2)</f>
        <v>Le</v>
      </c>
      <c r="Q93" s="179"/>
      <c r="R93" s="97">
        <v>40</v>
      </c>
      <c r="S93" s="97" t="s">
        <v>2</v>
      </c>
      <c r="T93" s="98">
        <f>IF(R93&gt;0,IF(RIGHT(Ruimtestaat[[#This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" s="98">
        <f>IF(T93&gt;0,VLOOKUP($J93,Ruimtegroepen[],3,FALSE)*VLOOKUP($L93,Vloersoorten[],3,FALSE)*VLOOKUP($S93,Frequenties[],3,FALSE)*VLOOKUP($A93,Locaties[],3,FALSE),0)</f>
        <v>0</v>
      </c>
      <c r="V93" s="99">
        <f>Ruimtestaat[[#This Row],[Uitvoeringen werkdagen]]*Ruimtestaat[[#This Row],[Oppervlak (netto)]]</f>
        <v>24453</v>
      </c>
      <c r="W93" s="100">
        <f>IF(U93&gt;0,Ruimtestaat[[#This Row],[Prest. (m2 /jaar) werkdagen]]/Ruimtestaat[[#This Row],[Norm (m2/uur) werkdagen]],0)</f>
        <v>0</v>
      </c>
      <c r="X93" s="101">
        <f>Ruimtestaat[[#This Row],[uren / jaar werkdagen]]*Tariefsopbouw!$E$35</f>
        <v>0</v>
      </c>
      <c r="Y93" s="98"/>
      <c r="Z93" s="102">
        <f>IF(Ruimtestaat[[#This Row],[Frequentie weekend]]&gt;0,VALUE(LEFT(Y93,1))*R93,0)</f>
        <v>0</v>
      </c>
      <c r="AA93" s="98">
        <f>IF($Z93&gt;0,VLOOKUP($J93,Ruimtegroepen[],3,FALSE)*VLOOKUP($L93,Vloersoorten[],3,FALSE)*VLOOKUP($Y93,Frequenties[],3,FALSE)*VLOOKUP($A89,Locaties[],3,FALSE),0)</f>
        <v>0</v>
      </c>
      <c r="AB93" s="100">
        <f>Ruimtestaat[[#This Row],[Uitvoeringen weekend]]*Ruimtestaat[[#This Row],[Oppervlak (netto)]]</f>
        <v>0</v>
      </c>
      <c r="AC93" s="103">
        <f>IF(AB93&gt;0,Ruimtestaat[[#This Row],[Prest. (m2 /jaar) weekend]]/Ruimtestaat[[#This Row],[Norm (m2/uur) weekend]],0)</f>
        <v>0</v>
      </c>
      <c r="AD93" s="104">
        <f>Ruimtestaat[[#This Row],[uren / jaar weekend]]*Tariefsopbouw!$D$40</f>
        <v>0</v>
      </c>
      <c r="AE93" s="73">
        <f>Ruimtestaat[[#This Row],[Prest. (m2 /jaar) weekend]]+Ruimtestaat[[#This Row],[Prest. (m2 /jaar) werkdagen]]</f>
        <v>24453</v>
      </c>
      <c r="AF93" s="73">
        <f>Ruimtestaat[[#This Row],[uren / jaar weekend]]+Ruimtestaat[[#This Row],[uren / jaar werkdagen]]</f>
        <v>0</v>
      </c>
      <c r="AG93" s="74">
        <f>Ruimtestaat[[#This Row],[kosten / jaar weekend]]+Ruimtestaat[[#This Row],[kosten / jaar werkdagen]]</f>
        <v>0</v>
      </c>
      <c r="AH93" s="105"/>
      <c r="HL93" s="72"/>
    </row>
    <row r="94" spans="1:220" ht="15" customHeight="1">
      <c r="A94" s="123">
        <v>1</v>
      </c>
      <c r="B94" s="24" t="str">
        <f>VLOOKUP(Ruimtestaat[[#This Row],[Code]],Locaties[#All],2,FALSE)</f>
        <v>Hoornbeeck College Amersfoort</v>
      </c>
      <c r="C94" s="24" t="str">
        <f>VLOOKUP(Ruimtestaat[[#This Row],[Code]],Locaties[#All],4,FALSE)</f>
        <v>Utrechtseweg 230</v>
      </c>
      <c r="D94" s="24" t="str">
        <f>VLOOKUP(Ruimtestaat[[#This Row],[Code]],Locaties[#All],5,FALSE)</f>
        <v>3818 ET</v>
      </c>
      <c r="E94" s="24" t="str">
        <f>VLOOKUP(Ruimtestaat[[#This Row],[Code]],Locaties[#All],6,FALSE)</f>
        <v>Amersfoort</v>
      </c>
      <c r="F94" s="67" t="s">
        <v>513</v>
      </c>
      <c r="G94" s="24" t="s">
        <v>417</v>
      </c>
      <c r="H94" s="28" t="s">
        <v>520</v>
      </c>
      <c r="I94" s="4" t="s">
        <v>515</v>
      </c>
      <c r="J94" s="24">
        <v>16</v>
      </c>
      <c r="K94" s="67" t="str">
        <f>VLOOKUP(J94,Ruimtegroepen[],2,FALSE)</f>
        <v>Leslokalen</v>
      </c>
      <c r="L94" s="24" t="s">
        <v>110</v>
      </c>
      <c r="M94" s="24" t="s">
        <v>539</v>
      </c>
      <c r="N94" s="96">
        <v>111</v>
      </c>
      <c r="O94" s="96"/>
      <c r="P94" s="106" t="str">
        <f>LEFT(VLOOKUP(Ruimtestaat[[#This Row],[Ruimte code]],Ruimtegroepen[#All],4,1),2)</f>
        <v>Le</v>
      </c>
      <c r="Q94" s="106"/>
      <c r="R94" s="97">
        <v>40</v>
      </c>
      <c r="S94" s="97" t="s">
        <v>2</v>
      </c>
      <c r="T94" s="98">
        <f>IF(R94&gt;0,IF(RIGHT(Ruimtestaat[[#This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4" s="98">
        <f>IF(T94&gt;0,VLOOKUP($J94,Ruimtegroepen[],3,FALSE)*VLOOKUP($L94,Vloersoorten[],3,FALSE)*VLOOKUP($S94,Frequenties[],3,FALSE)*VLOOKUP($A94,Locaties[],3,FALSE),0)</f>
        <v>0</v>
      </c>
      <c r="V94" s="99">
        <f>Ruimtestaat[[#This Row],[Uitvoeringen werkdagen]]*Ruimtestaat[[#This Row],[Oppervlak (netto)]]</f>
        <v>22200</v>
      </c>
      <c r="W94" s="100">
        <f>IF(U94&gt;0,Ruimtestaat[[#This Row],[Prest. (m2 /jaar) werkdagen]]/Ruimtestaat[[#This Row],[Norm (m2/uur) werkdagen]],0)</f>
        <v>0</v>
      </c>
      <c r="X94" s="101">
        <f>Ruimtestaat[[#This Row],[uren / jaar werkdagen]]*Tariefsopbouw!$E$35</f>
        <v>0</v>
      </c>
      <c r="Y94" s="98"/>
      <c r="Z94" s="102">
        <f>IF(Ruimtestaat[[#This Row],[Frequentie weekend]]&gt;0,VALUE(LEFT(Y94,1))*R94,0)</f>
        <v>0</v>
      </c>
      <c r="AA94" s="98">
        <f>IF($Z94&gt;0,VLOOKUP($J94,Ruimtegroepen[],3,FALSE)*VLOOKUP($L94,Vloersoorten[],3,FALSE)*VLOOKUP($Y94,Frequenties[],3,FALSE)*VLOOKUP($A90,Locaties[],3,FALSE),0)</f>
        <v>0</v>
      </c>
      <c r="AB94" s="100">
        <f>Ruimtestaat[[#This Row],[Uitvoeringen weekend]]*Ruimtestaat[[#This Row],[Oppervlak (netto)]]</f>
        <v>0</v>
      </c>
      <c r="AC94" s="103">
        <f>IF(AB94&gt;0,Ruimtestaat[[#This Row],[Prest. (m2 /jaar) weekend]]/Ruimtestaat[[#This Row],[Norm (m2/uur) weekend]],0)</f>
        <v>0</v>
      </c>
      <c r="AD94" s="104">
        <f>Ruimtestaat[[#This Row],[uren / jaar weekend]]*Tariefsopbouw!$D$40</f>
        <v>0</v>
      </c>
      <c r="AE94" s="73">
        <f>Ruimtestaat[[#This Row],[Prest. (m2 /jaar) weekend]]+Ruimtestaat[[#This Row],[Prest. (m2 /jaar) werkdagen]]</f>
        <v>22200</v>
      </c>
      <c r="AF94" s="73">
        <f>Ruimtestaat[[#This Row],[uren / jaar weekend]]+Ruimtestaat[[#This Row],[uren / jaar werkdagen]]</f>
        <v>0</v>
      </c>
      <c r="AG94" s="74">
        <f>Ruimtestaat[[#This Row],[kosten / jaar weekend]]+Ruimtestaat[[#This Row],[kosten / jaar werkdagen]]</f>
        <v>0</v>
      </c>
      <c r="AH94" s="105"/>
      <c r="HL94" s="72"/>
    </row>
    <row r="95" spans="1:220" ht="15" customHeight="1">
      <c r="A95" s="123">
        <v>1</v>
      </c>
      <c r="B95" s="24" t="str">
        <f>VLOOKUP(Ruimtestaat[[#This Row],[Code]],Locaties[#All],2,FALSE)</f>
        <v>Hoornbeeck College Amersfoort</v>
      </c>
      <c r="C95" s="24" t="str">
        <f>VLOOKUP(Ruimtestaat[[#This Row],[Code]],Locaties[#All],4,FALSE)</f>
        <v>Utrechtseweg 230</v>
      </c>
      <c r="D95" s="24" t="str">
        <f>VLOOKUP(Ruimtestaat[[#This Row],[Code]],Locaties[#All],5,FALSE)</f>
        <v>3818 ET</v>
      </c>
      <c r="E95" s="24" t="str">
        <f>VLOOKUP(Ruimtestaat[[#This Row],[Code]],Locaties[#All],6,FALSE)</f>
        <v>Amersfoort</v>
      </c>
      <c r="F95" s="67" t="s">
        <v>513</v>
      </c>
      <c r="G95" s="24" t="s">
        <v>417</v>
      </c>
      <c r="H95" s="28" t="s">
        <v>521</v>
      </c>
      <c r="I95" s="4" t="s">
        <v>515</v>
      </c>
      <c r="J95" s="24">
        <v>16</v>
      </c>
      <c r="K95" s="67" t="str">
        <f>VLOOKUP(J95,Ruimtegroepen[],2,FALSE)</f>
        <v>Leslokalen</v>
      </c>
      <c r="L95" s="24" t="s">
        <v>110</v>
      </c>
      <c r="M95" s="24" t="s">
        <v>539</v>
      </c>
      <c r="N95" s="96">
        <v>111</v>
      </c>
      <c r="O95" s="96"/>
      <c r="P95" s="106" t="str">
        <f>LEFT(VLOOKUP(Ruimtestaat[[#This Row],[Ruimte code]],Ruimtegroepen[#All],4,1),2)</f>
        <v>Le</v>
      </c>
      <c r="Q95" s="106"/>
      <c r="R95" s="97">
        <v>40</v>
      </c>
      <c r="S95" s="97" t="s">
        <v>2</v>
      </c>
      <c r="T95" s="98">
        <f>IF(R95&gt;0,IF(RIGHT(Ruimtestaat[[#This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" s="98">
        <f>IF(T95&gt;0,VLOOKUP($J95,Ruimtegroepen[],3,FALSE)*VLOOKUP($L95,Vloersoorten[],3,FALSE)*VLOOKUP($S95,Frequenties[],3,FALSE)*VLOOKUP($A95,Locaties[],3,FALSE),0)</f>
        <v>0</v>
      </c>
      <c r="V95" s="99">
        <f>Ruimtestaat[[#This Row],[Uitvoeringen werkdagen]]*Ruimtestaat[[#This Row],[Oppervlak (netto)]]</f>
        <v>22200</v>
      </c>
      <c r="W95" s="100">
        <f>IF(U95&gt;0,Ruimtestaat[[#This Row],[Prest. (m2 /jaar) werkdagen]]/Ruimtestaat[[#This Row],[Norm (m2/uur) werkdagen]],0)</f>
        <v>0</v>
      </c>
      <c r="X95" s="101">
        <f>Ruimtestaat[[#This Row],[uren / jaar werkdagen]]*Tariefsopbouw!$E$35</f>
        <v>0</v>
      </c>
      <c r="Y95" s="98"/>
      <c r="Z95" s="102">
        <f>IF(Ruimtestaat[[#This Row],[Frequentie weekend]]&gt;0,VALUE(LEFT(Y95,1))*R95,0)</f>
        <v>0</v>
      </c>
      <c r="AA95" s="98">
        <f>IF($Z95&gt;0,VLOOKUP($J95,Ruimtegroepen[],3,FALSE)*VLOOKUP($L95,Vloersoorten[],3,FALSE)*VLOOKUP($Y95,Frequenties[],3,FALSE)*VLOOKUP($A91,Locaties[],3,FALSE),0)</f>
        <v>0</v>
      </c>
      <c r="AB95" s="100">
        <f>Ruimtestaat[[#This Row],[Uitvoeringen weekend]]*Ruimtestaat[[#This Row],[Oppervlak (netto)]]</f>
        <v>0</v>
      </c>
      <c r="AC95" s="103">
        <f>IF(AB95&gt;0,Ruimtestaat[[#This Row],[Prest. (m2 /jaar) weekend]]/Ruimtestaat[[#This Row],[Norm (m2/uur) weekend]],0)</f>
        <v>0</v>
      </c>
      <c r="AD95" s="104">
        <f>Ruimtestaat[[#This Row],[uren / jaar weekend]]*Tariefsopbouw!$D$40</f>
        <v>0</v>
      </c>
      <c r="AE95" s="73">
        <f>Ruimtestaat[[#This Row],[Prest. (m2 /jaar) weekend]]+Ruimtestaat[[#This Row],[Prest. (m2 /jaar) werkdagen]]</f>
        <v>22200</v>
      </c>
      <c r="AF95" s="73">
        <f>Ruimtestaat[[#This Row],[uren / jaar weekend]]+Ruimtestaat[[#This Row],[uren / jaar werkdagen]]</f>
        <v>0</v>
      </c>
      <c r="AG95" s="74">
        <f>Ruimtestaat[[#This Row],[kosten / jaar weekend]]+Ruimtestaat[[#This Row],[kosten / jaar werkdagen]]</f>
        <v>0</v>
      </c>
      <c r="AH95" s="105"/>
      <c r="HL95" s="72"/>
    </row>
    <row r="96" spans="1:220" ht="15" customHeight="1">
      <c r="A96" s="123">
        <v>1</v>
      </c>
      <c r="B96" s="24" t="str">
        <f>VLOOKUP(Ruimtestaat[[#This Row],[Code]],Locaties[#All],2,FALSE)</f>
        <v>Hoornbeeck College Amersfoort</v>
      </c>
      <c r="C96" s="24" t="str">
        <f>VLOOKUP(Ruimtestaat[[#This Row],[Code]],Locaties[#All],4,FALSE)</f>
        <v>Utrechtseweg 230</v>
      </c>
      <c r="D96" s="24" t="str">
        <f>VLOOKUP(Ruimtestaat[[#This Row],[Code]],Locaties[#All],5,FALSE)</f>
        <v>3818 ET</v>
      </c>
      <c r="E96" s="24" t="str">
        <f>VLOOKUP(Ruimtestaat[[#This Row],[Code]],Locaties[#All],6,FALSE)</f>
        <v>Amersfoort</v>
      </c>
      <c r="F96" s="67" t="s">
        <v>513</v>
      </c>
      <c r="G96" s="24" t="s">
        <v>417</v>
      </c>
      <c r="H96" s="28" t="s">
        <v>522</v>
      </c>
      <c r="I96" s="4" t="s">
        <v>515</v>
      </c>
      <c r="J96" s="24">
        <v>16</v>
      </c>
      <c r="K96" s="67" t="str">
        <f>VLOOKUP(J96,Ruimtegroepen[],2,FALSE)</f>
        <v>Leslokalen</v>
      </c>
      <c r="L96" s="24" t="s">
        <v>110</v>
      </c>
      <c r="M96" s="24" t="s">
        <v>539</v>
      </c>
      <c r="N96" s="96">
        <v>111</v>
      </c>
      <c r="O96" s="96"/>
      <c r="P96" s="106" t="str">
        <f>LEFT(VLOOKUP(Ruimtestaat[[#This Row],[Ruimte code]],Ruimtegroepen[#All],4,1),2)</f>
        <v>Le</v>
      </c>
      <c r="Q96" s="106"/>
      <c r="R96" s="97">
        <v>40</v>
      </c>
      <c r="S96" s="97" t="s">
        <v>2</v>
      </c>
      <c r="T96" s="98">
        <f>IF(R96&gt;0,IF(RIGHT(Ruimtestaat[[#This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6" s="98">
        <f>IF(T96&gt;0,VLOOKUP($J96,Ruimtegroepen[],3,FALSE)*VLOOKUP($L96,Vloersoorten[],3,FALSE)*VLOOKUP($S96,Frequenties[],3,FALSE)*VLOOKUP($A96,Locaties[],3,FALSE),0)</f>
        <v>0</v>
      </c>
      <c r="V96" s="99">
        <f>Ruimtestaat[[#This Row],[Uitvoeringen werkdagen]]*Ruimtestaat[[#This Row],[Oppervlak (netto)]]</f>
        <v>22200</v>
      </c>
      <c r="W96" s="100">
        <f>IF(U96&gt;0,Ruimtestaat[[#This Row],[Prest. (m2 /jaar) werkdagen]]/Ruimtestaat[[#This Row],[Norm (m2/uur) werkdagen]],0)</f>
        <v>0</v>
      </c>
      <c r="X96" s="101">
        <f>Ruimtestaat[[#This Row],[uren / jaar werkdagen]]*Tariefsopbouw!$E$35</f>
        <v>0</v>
      </c>
      <c r="Y96" s="98"/>
      <c r="Z96" s="102">
        <f>IF(Ruimtestaat[[#This Row],[Frequentie weekend]]&gt;0,VALUE(LEFT(Y96,1))*R96,0)</f>
        <v>0</v>
      </c>
      <c r="AA96" s="98">
        <f>IF($Z96&gt;0,VLOOKUP($J96,Ruimtegroepen[],3,FALSE)*VLOOKUP($L96,Vloersoorten[],3,FALSE)*VLOOKUP($Y96,Frequenties[],3,FALSE)*VLOOKUP($A92,Locaties[],3,FALSE),0)</f>
        <v>0</v>
      </c>
      <c r="AB96" s="100">
        <f>Ruimtestaat[[#This Row],[Uitvoeringen weekend]]*Ruimtestaat[[#This Row],[Oppervlak (netto)]]</f>
        <v>0</v>
      </c>
      <c r="AC96" s="103">
        <f>IF(AB96&gt;0,Ruimtestaat[[#This Row],[Prest. (m2 /jaar) weekend]]/Ruimtestaat[[#This Row],[Norm (m2/uur) weekend]],0)</f>
        <v>0</v>
      </c>
      <c r="AD96" s="104">
        <f>Ruimtestaat[[#This Row],[uren / jaar weekend]]*Tariefsopbouw!$D$40</f>
        <v>0</v>
      </c>
      <c r="AE96" s="73">
        <f>Ruimtestaat[[#This Row],[Prest. (m2 /jaar) weekend]]+Ruimtestaat[[#This Row],[Prest. (m2 /jaar) werkdagen]]</f>
        <v>22200</v>
      </c>
      <c r="AF96" s="73">
        <f>Ruimtestaat[[#This Row],[uren / jaar weekend]]+Ruimtestaat[[#This Row],[uren / jaar werkdagen]]</f>
        <v>0</v>
      </c>
      <c r="AG96" s="74">
        <f>Ruimtestaat[[#This Row],[kosten / jaar weekend]]+Ruimtestaat[[#This Row],[kosten / jaar werkdagen]]</f>
        <v>0</v>
      </c>
      <c r="AH96" s="105"/>
      <c r="HL96" s="72"/>
    </row>
    <row r="97" spans="1:220" ht="15" customHeight="1">
      <c r="A97" s="123">
        <v>1</v>
      </c>
      <c r="B97" s="24" t="str">
        <f>VLOOKUP(Ruimtestaat[[#This Row],[Code]],Locaties[#All],2,FALSE)</f>
        <v>Hoornbeeck College Amersfoort</v>
      </c>
      <c r="C97" s="24" t="str">
        <f>VLOOKUP(Ruimtestaat[[#This Row],[Code]],Locaties[#All],4,FALSE)</f>
        <v>Utrechtseweg 230</v>
      </c>
      <c r="D97" s="24" t="str">
        <f>VLOOKUP(Ruimtestaat[[#This Row],[Code]],Locaties[#All],5,FALSE)</f>
        <v>3818 ET</v>
      </c>
      <c r="E97" s="24" t="str">
        <f>VLOOKUP(Ruimtestaat[[#This Row],[Code]],Locaties[#All],6,FALSE)</f>
        <v>Amersfoort</v>
      </c>
      <c r="F97" s="67" t="s">
        <v>513</v>
      </c>
      <c r="G97" s="24" t="s">
        <v>417</v>
      </c>
      <c r="H97" s="28" t="s">
        <v>523</v>
      </c>
      <c r="I97" s="4" t="s">
        <v>524</v>
      </c>
      <c r="J97" s="24">
        <v>2</v>
      </c>
      <c r="K97" s="67" t="str">
        <f>VLOOKUP(J97,Ruimtegroepen[],2,FALSE)</f>
        <v>Kantoren</v>
      </c>
      <c r="L97" s="24" t="s">
        <v>111</v>
      </c>
      <c r="M97" s="24" t="s">
        <v>136</v>
      </c>
      <c r="N97" s="96">
        <v>10.8</v>
      </c>
      <c r="O97" s="96"/>
      <c r="P97" s="106" t="str">
        <f>LEFT(VLOOKUP(Ruimtestaat[[#This Row],[Ruimte code]],Ruimtegroepen[#All],4,1),2)</f>
        <v>Bu</v>
      </c>
      <c r="Q97" s="106"/>
      <c r="R97" s="97">
        <v>40</v>
      </c>
      <c r="S97" s="97" t="s">
        <v>17</v>
      </c>
      <c r="T97" s="98">
        <f>IF(R97&gt;0,IF(RIGHT(Ruimtestaat[[#This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97" s="98">
        <f>IF(T97&gt;0,VLOOKUP($J97,Ruimtegroepen[],3,FALSE)*VLOOKUP($L97,Vloersoorten[],3,FALSE)*VLOOKUP($S97,Frequenties[],3,FALSE)*VLOOKUP($A97,Locaties[],3,FALSE),0)</f>
        <v>0</v>
      </c>
      <c r="V97" s="99">
        <f>Ruimtestaat[[#This Row],[Uitvoeringen werkdagen]]*Ruimtestaat[[#This Row],[Oppervlak (netto)]]</f>
        <v>864</v>
      </c>
      <c r="W97" s="100">
        <f>IF(U97&gt;0,Ruimtestaat[[#This Row],[Prest. (m2 /jaar) werkdagen]]/Ruimtestaat[[#This Row],[Norm (m2/uur) werkdagen]],0)</f>
        <v>0</v>
      </c>
      <c r="X97" s="101">
        <f>Ruimtestaat[[#This Row],[uren / jaar werkdagen]]*Tariefsopbouw!$E$35</f>
        <v>0</v>
      </c>
      <c r="Y97" s="98"/>
      <c r="Z97" s="102">
        <f>IF(Ruimtestaat[[#This Row],[Frequentie weekend]]&gt;0,VALUE(LEFT(Y97,1))*R97,0)</f>
        <v>0</v>
      </c>
      <c r="AA97" s="98">
        <f>IF($Z97&gt;0,VLOOKUP($J97,Ruimtegroepen[],3,FALSE)*VLOOKUP($L97,Vloersoorten[],3,FALSE)*VLOOKUP($Y97,Frequenties[],3,FALSE)*VLOOKUP($A93,Locaties[],3,FALSE),0)</f>
        <v>0</v>
      </c>
      <c r="AB97" s="100">
        <f>Ruimtestaat[[#This Row],[Uitvoeringen weekend]]*Ruimtestaat[[#This Row],[Oppervlak (netto)]]</f>
        <v>0</v>
      </c>
      <c r="AC97" s="103">
        <f>IF(AB97&gt;0,Ruimtestaat[[#This Row],[Prest. (m2 /jaar) weekend]]/Ruimtestaat[[#This Row],[Norm (m2/uur) weekend]],0)</f>
        <v>0</v>
      </c>
      <c r="AD97" s="104">
        <f>Ruimtestaat[[#This Row],[uren / jaar weekend]]*Tariefsopbouw!$D$40</f>
        <v>0</v>
      </c>
      <c r="AE97" s="73">
        <f>Ruimtestaat[[#This Row],[Prest. (m2 /jaar) weekend]]+Ruimtestaat[[#This Row],[Prest. (m2 /jaar) werkdagen]]</f>
        <v>864</v>
      </c>
      <c r="AF97" s="73">
        <f>Ruimtestaat[[#This Row],[uren / jaar weekend]]+Ruimtestaat[[#This Row],[uren / jaar werkdagen]]</f>
        <v>0</v>
      </c>
      <c r="AG97" s="74">
        <f>Ruimtestaat[[#This Row],[kosten / jaar weekend]]+Ruimtestaat[[#This Row],[kosten / jaar werkdagen]]</f>
        <v>0</v>
      </c>
      <c r="AH97" s="105"/>
      <c r="HL97" s="72"/>
    </row>
    <row r="98" spans="1:220" ht="15" customHeight="1">
      <c r="A98" s="123">
        <v>1</v>
      </c>
      <c r="B98" s="24" t="str">
        <f>VLOOKUP(Ruimtestaat[[#This Row],[Code]],Locaties[#All],2,FALSE)</f>
        <v>Hoornbeeck College Amersfoort</v>
      </c>
      <c r="C98" s="24" t="str">
        <f>VLOOKUP(Ruimtestaat[[#This Row],[Code]],Locaties[#All],4,FALSE)</f>
        <v>Utrechtseweg 230</v>
      </c>
      <c r="D98" s="24" t="str">
        <f>VLOOKUP(Ruimtestaat[[#This Row],[Code]],Locaties[#All],5,FALSE)</f>
        <v>3818 ET</v>
      </c>
      <c r="E98" s="24" t="str">
        <f>VLOOKUP(Ruimtestaat[[#This Row],[Code]],Locaties[#All],6,FALSE)</f>
        <v>Amersfoort</v>
      </c>
      <c r="F98" s="67" t="s">
        <v>513</v>
      </c>
      <c r="G98" s="24" t="s">
        <v>417</v>
      </c>
      <c r="H98" s="28" t="s">
        <v>525</v>
      </c>
      <c r="I98" s="4" t="s">
        <v>524</v>
      </c>
      <c r="J98" s="24">
        <v>2</v>
      </c>
      <c r="K98" s="67" t="str">
        <f>VLOOKUP(J98,Ruimtegroepen[],2,FALSE)</f>
        <v>Kantoren</v>
      </c>
      <c r="L98" s="24" t="s">
        <v>111</v>
      </c>
      <c r="M98" s="24" t="s">
        <v>136</v>
      </c>
      <c r="N98" s="96">
        <v>30.96</v>
      </c>
      <c r="O98" s="96"/>
      <c r="P98" s="106" t="str">
        <f>LEFT(VLOOKUP(Ruimtestaat[[#This Row],[Ruimte code]],Ruimtegroepen[#All],4,1),2)</f>
        <v>Bu</v>
      </c>
      <c r="Q98" s="106"/>
      <c r="R98" s="97">
        <v>40</v>
      </c>
      <c r="S98" s="97" t="s">
        <v>17</v>
      </c>
      <c r="T98" s="98">
        <f>IF(R98&gt;0,IF(RIGHT(Ruimtestaat[[#This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98" s="98">
        <f>IF(T98&gt;0,VLOOKUP($J98,Ruimtegroepen[],3,FALSE)*VLOOKUP($L98,Vloersoorten[],3,FALSE)*VLOOKUP($S98,Frequenties[],3,FALSE)*VLOOKUP($A98,Locaties[],3,FALSE),0)</f>
        <v>0</v>
      </c>
      <c r="V98" s="99">
        <f>Ruimtestaat[[#This Row],[Uitvoeringen werkdagen]]*Ruimtestaat[[#This Row],[Oppervlak (netto)]]</f>
        <v>2476.8000000000002</v>
      </c>
      <c r="W98" s="100">
        <f>IF(U98&gt;0,Ruimtestaat[[#This Row],[Prest. (m2 /jaar) werkdagen]]/Ruimtestaat[[#This Row],[Norm (m2/uur) werkdagen]],0)</f>
        <v>0</v>
      </c>
      <c r="X98" s="101">
        <f>Ruimtestaat[[#This Row],[uren / jaar werkdagen]]*Tariefsopbouw!$E$35</f>
        <v>0</v>
      </c>
      <c r="Y98" s="98"/>
      <c r="Z98" s="102">
        <f>IF(Ruimtestaat[[#This Row],[Frequentie weekend]]&gt;0,VALUE(LEFT(Y98,1))*R98,0)</f>
        <v>0</v>
      </c>
      <c r="AA98" s="98">
        <f>IF($Z98&gt;0,VLOOKUP($J98,Ruimtegroepen[],3,FALSE)*VLOOKUP($L98,Vloersoorten[],3,FALSE)*VLOOKUP($Y98,Frequenties[],3,FALSE)*VLOOKUP($A94,Locaties[],3,FALSE),0)</f>
        <v>0</v>
      </c>
      <c r="AB98" s="100">
        <f>Ruimtestaat[[#This Row],[Uitvoeringen weekend]]*Ruimtestaat[[#This Row],[Oppervlak (netto)]]</f>
        <v>0</v>
      </c>
      <c r="AC98" s="103">
        <f>IF(AB98&gt;0,Ruimtestaat[[#This Row],[Prest. (m2 /jaar) weekend]]/Ruimtestaat[[#This Row],[Norm (m2/uur) weekend]],0)</f>
        <v>0</v>
      </c>
      <c r="AD98" s="104">
        <f>Ruimtestaat[[#This Row],[uren / jaar weekend]]*Tariefsopbouw!$D$40</f>
        <v>0</v>
      </c>
      <c r="AE98" s="73">
        <f>Ruimtestaat[[#This Row],[Prest. (m2 /jaar) weekend]]+Ruimtestaat[[#This Row],[Prest. (m2 /jaar) werkdagen]]</f>
        <v>2476.8000000000002</v>
      </c>
      <c r="AF98" s="73">
        <f>Ruimtestaat[[#This Row],[uren / jaar weekend]]+Ruimtestaat[[#This Row],[uren / jaar werkdagen]]</f>
        <v>0</v>
      </c>
      <c r="AG98" s="74">
        <f>Ruimtestaat[[#This Row],[kosten / jaar weekend]]+Ruimtestaat[[#This Row],[kosten / jaar werkdagen]]</f>
        <v>0</v>
      </c>
      <c r="AH98" s="105"/>
      <c r="HL98" s="72"/>
    </row>
    <row r="99" spans="1:220" ht="15" customHeight="1">
      <c r="A99" s="123">
        <v>1</v>
      </c>
      <c r="B99" s="24" t="str">
        <f>VLOOKUP(Ruimtestaat[[#This Row],[Code]],Locaties[#All],2,FALSE)</f>
        <v>Hoornbeeck College Amersfoort</v>
      </c>
      <c r="C99" s="24" t="str">
        <f>VLOOKUP(Ruimtestaat[[#This Row],[Code]],Locaties[#All],4,FALSE)</f>
        <v>Utrechtseweg 230</v>
      </c>
      <c r="D99" s="24" t="str">
        <f>VLOOKUP(Ruimtestaat[[#This Row],[Code]],Locaties[#All],5,FALSE)</f>
        <v>3818 ET</v>
      </c>
      <c r="E99" s="24" t="str">
        <f>VLOOKUP(Ruimtestaat[[#This Row],[Code]],Locaties[#All],6,FALSE)</f>
        <v>Amersfoort</v>
      </c>
      <c r="F99" s="67" t="s">
        <v>513</v>
      </c>
      <c r="G99" s="24" t="s">
        <v>417</v>
      </c>
      <c r="H99" s="28" t="s">
        <v>526</v>
      </c>
      <c r="I99" s="4" t="s">
        <v>515</v>
      </c>
      <c r="J99" s="24">
        <v>16</v>
      </c>
      <c r="K99" s="67" t="str">
        <f>VLOOKUP(J99,Ruimtegroepen[],2,FALSE)</f>
        <v>Leslokalen</v>
      </c>
      <c r="L99" s="24" t="s">
        <v>111</v>
      </c>
      <c r="M99" s="24" t="s">
        <v>136</v>
      </c>
      <c r="N99" s="96">
        <v>128.88500000000002</v>
      </c>
      <c r="O99" s="96"/>
      <c r="P99" s="106" t="str">
        <f>LEFT(VLOOKUP(Ruimtestaat[[#This Row],[Ruimte code]],Ruimtegroepen[#All],4,1),2)</f>
        <v>Le</v>
      </c>
      <c r="Q99" s="106"/>
      <c r="R99" s="97">
        <v>40</v>
      </c>
      <c r="S99" s="97" t="s">
        <v>2</v>
      </c>
      <c r="T99" s="98">
        <f>IF(R99&gt;0,IF(RIGHT(Ruimtestaat[[#This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" s="98">
        <f>IF(T99&gt;0,VLOOKUP($J99,Ruimtegroepen[],3,FALSE)*VLOOKUP($L99,Vloersoorten[],3,FALSE)*VLOOKUP($S99,Frequenties[],3,FALSE)*VLOOKUP($A99,Locaties[],3,FALSE),0)</f>
        <v>0</v>
      </c>
      <c r="V99" s="99">
        <f>Ruimtestaat[[#This Row],[Uitvoeringen werkdagen]]*Ruimtestaat[[#This Row],[Oppervlak (netto)]]</f>
        <v>25777.000000000004</v>
      </c>
      <c r="W99" s="100">
        <f>IF(U99&gt;0,Ruimtestaat[[#This Row],[Prest. (m2 /jaar) werkdagen]]/Ruimtestaat[[#This Row],[Norm (m2/uur) werkdagen]],0)</f>
        <v>0</v>
      </c>
      <c r="X99" s="101">
        <f>Ruimtestaat[[#This Row],[uren / jaar werkdagen]]*Tariefsopbouw!$E$35</f>
        <v>0</v>
      </c>
      <c r="Y99" s="98"/>
      <c r="Z99" s="102">
        <f>IF(Ruimtestaat[[#This Row],[Frequentie weekend]]&gt;0,VALUE(LEFT(Y99,1))*R99,0)</f>
        <v>0</v>
      </c>
      <c r="AA99" s="98">
        <f>IF($Z99&gt;0,VLOOKUP($J99,Ruimtegroepen[],3,FALSE)*VLOOKUP($L99,Vloersoorten[],3,FALSE)*VLOOKUP($Y99,Frequenties[],3,FALSE)*VLOOKUP($A95,Locaties[],3,FALSE),0)</f>
        <v>0</v>
      </c>
      <c r="AB99" s="100">
        <f>Ruimtestaat[[#This Row],[Uitvoeringen weekend]]*Ruimtestaat[[#This Row],[Oppervlak (netto)]]</f>
        <v>0</v>
      </c>
      <c r="AC99" s="103">
        <f>IF(AB99&gt;0,Ruimtestaat[[#This Row],[Prest. (m2 /jaar) weekend]]/Ruimtestaat[[#This Row],[Norm (m2/uur) weekend]],0)</f>
        <v>0</v>
      </c>
      <c r="AD99" s="104">
        <f>Ruimtestaat[[#This Row],[uren / jaar weekend]]*Tariefsopbouw!$D$40</f>
        <v>0</v>
      </c>
      <c r="AE99" s="73">
        <f>Ruimtestaat[[#This Row],[Prest. (m2 /jaar) weekend]]+Ruimtestaat[[#This Row],[Prest. (m2 /jaar) werkdagen]]</f>
        <v>25777.000000000004</v>
      </c>
      <c r="AF99" s="73">
        <f>Ruimtestaat[[#This Row],[uren / jaar weekend]]+Ruimtestaat[[#This Row],[uren / jaar werkdagen]]</f>
        <v>0</v>
      </c>
      <c r="AG99" s="74">
        <f>Ruimtestaat[[#This Row],[kosten / jaar weekend]]+Ruimtestaat[[#This Row],[kosten / jaar werkdagen]]</f>
        <v>0</v>
      </c>
      <c r="AH99" s="105"/>
      <c r="HL99" s="72"/>
    </row>
    <row r="100" spans="1:220" ht="15" customHeight="1">
      <c r="A100" s="123">
        <v>1</v>
      </c>
      <c r="B100" s="24" t="str">
        <f>VLOOKUP(Ruimtestaat[[#This Row],[Code]],Locaties[#All],2,FALSE)</f>
        <v>Hoornbeeck College Amersfoort</v>
      </c>
      <c r="C100" s="24" t="str">
        <f>VLOOKUP(Ruimtestaat[[#This Row],[Code]],Locaties[#All],4,FALSE)</f>
        <v>Utrechtseweg 230</v>
      </c>
      <c r="D100" s="24" t="str">
        <f>VLOOKUP(Ruimtestaat[[#This Row],[Code]],Locaties[#All],5,FALSE)</f>
        <v>3818 ET</v>
      </c>
      <c r="E100" s="24" t="str">
        <f>VLOOKUP(Ruimtestaat[[#This Row],[Code]],Locaties[#All],6,FALSE)</f>
        <v>Amersfoort</v>
      </c>
      <c r="F100" s="67" t="s">
        <v>513</v>
      </c>
      <c r="G100" s="24" t="s">
        <v>417</v>
      </c>
      <c r="H100" s="28" t="s">
        <v>527</v>
      </c>
      <c r="I100" s="4" t="s">
        <v>528</v>
      </c>
      <c r="J100" s="24">
        <v>1</v>
      </c>
      <c r="K100" s="67" t="str">
        <f>VLOOKUP(J100,Ruimtegroepen[],2,FALSE)</f>
        <v>Magazijnen/bergingen</v>
      </c>
      <c r="L100" s="24" t="s">
        <v>110</v>
      </c>
      <c r="M100" s="24" t="s">
        <v>539</v>
      </c>
      <c r="N100" s="96">
        <v>29.6</v>
      </c>
      <c r="O100" s="96"/>
      <c r="P100" s="106" t="str">
        <f>LEFT(VLOOKUP(Ruimtestaat[[#This Row],[Ruimte code]],Ruimtegroepen[#All],4,1),2)</f>
        <v>Ve</v>
      </c>
      <c r="Q100" s="106"/>
      <c r="R100" s="97">
        <v>40</v>
      </c>
      <c r="S100" s="97" t="s">
        <v>16</v>
      </c>
      <c r="T100" s="98">
        <f>IF(R100&gt;0,IF(RIGHT(Ruimtestaat[[#This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100" s="98">
        <f>IF(T100&gt;0,VLOOKUP($J100,Ruimtegroepen[],3,FALSE)*VLOOKUP($L100,Vloersoorten[],3,FALSE)*VLOOKUP($S100,Frequenties[],3,FALSE)*VLOOKUP($A100,Locaties[],3,FALSE),0)</f>
        <v>0</v>
      </c>
      <c r="V100" s="99">
        <f>Ruimtestaat[[#This Row],[Uitvoeringen werkdagen]]*Ruimtestaat[[#This Row],[Oppervlak (netto)]]</f>
        <v>355.20000000000005</v>
      </c>
      <c r="W100" s="100">
        <f>IF(U100&gt;0,Ruimtestaat[[#This Row],[Prest. (m2 /jaar) werkdagen]]/Ruimtestaat[[#This Row],[Norm (m2/uur) werkdagen]],0)</f>
        <v>0</v>
      </c>
      <c r="X100" s="101">
        <f>Ruimtestaat[[#This Row],[uren / jaar werkdagen]]*Tariefsopbouw!$E$35</f>
        <v>0</v>
      </c>
      <c r="Y100" s="98"/>
      <c r="Z100" s="102">
        <f>IF(Ruimtestaat[[#This Row],[Frequentie weekend]]&gt;0,VALUE(LEFT(Y100,1))*R100,0)</f>
        <v>0</v>
      </c>
      <c r="AA100" s="98">
        <f>IF($Z100&gt;0,VLOOKUP($J100,Ruimtegroepen[],3,FALSE)*VLOOKUP($L100,Vloersoorten[],3,FALSE)*VLOOKUP($Y100,Frequenties[],3,FALSE)*VLOOKUP($A96,Locaties[],3,FALSE),0)</f>
        <v>0</v>
      </c>
      <c r="AB100" s="100">
        <f>Ruimtestaat[[#This Row],[Uitvoeringen weekend]]*Ruimtestaat[[#This Row],[Oppervlak (netto)]]</f>
        <v>0</v>
      </c>
      <c r="AC100" s="103">
        <f>IF(AB100&gt;0,Ruimtestaat[[#This Row],[Prest. (m2 /jaar) weekend]]/Ruimtestaat[[#This Row],[Norm (m2/uur) weekend]],0)</f>
        <v>0</v>
      </c>
      <c r="AD100" s="104">
        <f>Ruimtestaat[[#This Row],[uren / jaar weekend]]*Tariefsopbouw!$D$40</f>
        <v>0</v>
      </c>
      <c r="AE100" s="73">
        <f>Ruimtestaat[[#This Row],[Prest. (m2 /jaar) weekend]]+Ruimtestaat[[#This Row],[Prest. (m2 /jaar) werkdagen]]</f>
        <v>355.20000000000005</v>
      </c>
      <c r="AF100" s="73">
        <f>Ruimtestaat[[#This Row],[uren / jaar weekend]]+Ruimtestaat[[#This Row],[uren / jaar werkdagen]]</f>
        <v>0</v>
      </c>
      <c r="AG100" s="74">
        <f>Ruimtestaat[[#This Row],[kosten / jaar weekend]]+Ruimtestaat[[#This Row],[kosten / jaar werkdagen]]</f>
        <v>0</v>
      </c>
      <c r="AH100" s="105"/>
      <c r="HL100" s="72"/>
    </row>
    <row r="101" spans="1:220" ht="15" customHeight="1">
      <c r="A101" s="123">
        <v>1</v>
      </c>
      <c r="B101" s="24" t="str">
        <f>VLOOKUP(Ruimtestaat[[#This Row],[Code]],Locaties[#All],2,FALSE)</f>
        <v>Hoornbeeck College Amersfoort</v>
      </c>
      <c r="C101" s="24" t="str">
        <f>VLOOKUP(Ruimtestaat[[#This Row],[Code]],Locaties[#All],4,FALSE)</f>
        <v>Utrechtseweg 230</v>
      </c>
      <c r="D101" s="24" t="str">
        <f>VLOOKUP(Ruimtestaat[[#This Row],[Code]],Locaties[#All],5,FALSE)</f>
        <v>3818 ET</v>
      </c>
      <c r="E101" s="24" t="str">
        <f>VLOOKUP(Ruimtestaat[[#This Row],[Code]],Locaties[#All],6,FALSE)</f>
        <v>Amersfoort</v>
      </c>
      <c r="F101" s="67" t="s">
        <v>513</v>
      </c>
      <c r="G101" s="24" t="s">
        <v>417</v>
      </c>
      <c r="H101" s="28" t="s">
        <v>529</v>
      </c>
      <c r="I101" s="4" t="s">
        <v>528</v>
      </c>
      <c r="J101" s="24">
        <v>1</v>
      </c>
      <c r="K101" s="67" t="str">
        <f>VLOOKUP(J101,Ruimtegroepen[],2,FALSE)</f>
        <v>Magazijnen/bergingen</v>
      </c>
      <c r="L101" s="24" t="s">
        <v>110</v>
      </c>
      <c r="M101" s="24" t="s">
        <v>539</v>
      </c>
      <c r="N101" s="96">
        <v>19</v>
      </c>
      <c r="O101" s="96"/>
      <c r="P101" s="106" t="str">
        <f>LEFT(VLOOKUP(Ruimtestaat[[#This Row],[Ruimte code]],Ruimtegroepen[#All],4,1),2)</f>
        <v>Ve</v>
      </c>
      <c r="Q101" s="106"/>
      <c r="R101" s="97">
        <v>40</v>
      </c>
      <c r="S101" s="97" t="s">
        <v>16</v>
      </c>
      <c r="T101" s="98">
        <f>IF(R101&gt;0,IF(RIGHT(Ruimtestaat[[#This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101" s="98">
        <f>IF(T101&gt;0,VLOOKUP($J101,Ruimtegroepen[],3,FALSE)*VLOOKUP($L101,Vloersoorten[],3,FALSE)*VLOOKUP($S101,Frequenties[],3,FALSE)*VLOOKUP($A101,Locaties[],3,FALSE),0)</f>
        <v>0</v>
      </c>
      <c r="V101" s="99">
        <f>Ruimtestaat[[#This Row],[Uitvoeringen werkdagen]]*Ruimtestaat[[#This Row],[Oppervlak (netto)]]</f>
        <v>228</v>
      </c>
      <c r="W101" s="100">
        <f>IF(U101&gt;0,Ruimtestaat[[#This Row],[Prest. (m2 /jaar) werkdagen]]/Ruimtestaat[[#This Row],[Norm (m2/uur) werkdagen]],0)</f>
        <v>0</v>
      </c>
      <c r="X101" s="101">
        <f>Ruimtestaat[[#This Row],[uren / jaar werkdagen]]*Tariefsopbouw!$E$35</f>
        <v>0</v>
      </c>
      <c r="Y101" s="98"/>
      <c r="Z101" s="102">
        <f>IF(Ruimtestaat[[#This Row],[Frequentie weekend]]&gt;0,VALUE(LEFT(Y101,1))*R101,0)</f>
        <v>0</v>
      </c>
      <c r="AA101" s="98">
        <f>IF($Z101&gt;0,VLOOKUP($J101,Ruimtegroepen[],3,FALSE)*VLOOKUP($L101,Vloersoorten[],3,FALSE)*VLOOKUP($Y101,Frequenties[],3,FALSE)*VLOOKUP($A95,Locaties[],3,FALSE),0)</f>
        <v>0</v>
      </c>
      <c r="AB101" s="100">
        <f>Ruimtestaat[[#This Row],[Uitvoeringen weekend]]*Ruimtestaat[[#This Row],[Oppervlak (netto)]]</f>
        <v>0</v>
      </c>
      <c r="AC101" s="103">
        <f>IF(AB101&gt;0,Ruimtestaat[[#This Row],[Prest. (m2 /jaar) weekend]]/Ruimtestaat[[#This Row],[Norm (m2/uur) weekend]],0)</f>
        <v>0</v>
      </c>
      <c r="AD101" s="104">
        <f>Ruimtestaat[[#This Row],[uren / jaar weekend]]*Tariefsopbouw!$D$40</f>
        <v>0</v>
      </c>
      <c r="AE101" s="73">
        <f>Ruimtestaat[[#This Row],[Prest. (m2 /jaar) weekend]]+Ruimtestaat[[#This Row],[Prest. (m2 /jaar) werkdagen]]</f>
        <v>228</v>
      </c>
      <c r="AF101" s="73">
        <f>Ruimtestaat[[#This Row],[uren / jaar weekend]]+Ruimtestaat[[#This Row],[uren / jaar werkdagen]]</f>
        <v>0</v>
      </c>
      <c r="AG101" s="74">
        <f>Ruimtestaat[[#This Row],[kosten / jaar weekend]]+Ruimtestaat[[#This Row],[kosten / jaar werkdagen]]</f>
        <v>0</v>
      </c>
      <c r="AH101" s="105"/>
      <c r="HL101" s="72"/>
    </row>
    <row r="102" spans="1:220" ht="15" customHeight="1">
      <c r="A102" s="123">
        <v>1</v>
      </c>
      <c r="B102" s="24" t="str">
        <f>VLOOKUP(Ruimtestaat[[#This Row],[Code]],Locaties[#All],2,FALSE)</f>
        <v>Hoornbeeck College Amersfoort</v>
      </c>
      <c r="C102" s="24" t="str">
        <f>VLOOKUP(Ruimtestaat[[#This Row],[Code]],Locaties[#All],4,FALSE)</f>
        <v>Utrechtseweg 230</v>
      </c>
      <c r="D102" s="24" t="str">
        <f>VLOOKUP(Ruimtestaat[[#This Row],[Code]],Locaties[#All],5,FALSE)</f>
        <v>3818 ET</v>
      </c>
      <c r="E102" s="24" t="str">
        <f>VLOOKUP(Ruimtestaat[[#This Row],[Code]],Locaties[#All],6,FALSE)</f>
        <v>Amersfoort</v>
      </c>
      <c r="F102" s="67" t="s">
        <v>513</v>
      </c>
      <c r="G102" s="24" t="s">
        <v>417</v>
      </c>
      <c r="H102" s="28" t="s">
        <v>530</v>
      </c>
      <c r="I102" s="4" t="s">
        <v>531</v>
      </c>
      <c r="J102" s="24">
        <v>9</v>
      </c>
      <c r="K102" s="67" t="str">
        <f>VLOOKUP(J102,Ruimtegroepen[],2,FALSE)</f>
        <v>Bibliotheek/OLC</v>
      </c>
      <c r="L102" s="24" t="s">
        <v>111</v>
      </c>
      <c r="M102" s="24" t="s">
        <v>136</v>
      </c>
      <c r="N102" s="96">
        <v>232</v>
      </c>
      <c r="O102" s="96"/>
      <c r="P102" s="106" t="str">
        <f>LEFT(VLOOKUP(Ruimtestaat[[#This Row],[Ruimte code]],Ruimtegroepen[#All],4,1),2)</f>
        <v>Le</v>
      </c>
      <c r="Q102" s="106"/>
      <c r="R102" s="97">
        <v>40</v>
      </c>
      <c r="S102" s="97" t="s">
        <v>2</v>
      </c>
      <c r="T102" s="98">
        <f>IF(R102&gt;0,IF(RIGHT(Ruimtestaat[[#This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" s="98">
        <f>IF(T102&gt;0,VLOOKUP($J102,Ruimtegroepen[],3,FALSE)*VLOOKUP($L102,Vloersoorten[],3,FALSE)*VLOOKUP($S102,Frequenties[],3,FALSE)*VLOOKUP($A102,Locaties[],3,FALSE),0)</f>
        <v>0</v>
      </c>
      <c r="V102" s="99">
        <f>Ruimtestaat[[#This Row],[Uitvoeringen werkdagen]]*Ruimtestaat[[#This Row],[Oppervlak (netto)]]</f>
        <v>46400</v>
      </c>
      <c r="W102" s="100">
        <f>IF(U102&gt;0,Ruimtestaat[[#This Row],[Prest. (m2 /jaar) werkdagen]]/Ruimtestaat[[#This Row],[Norm (m2/uur) werkdagen]],0)</f>
        <v>0</v>
      </c>
      <c r="X102" s="101">
        <f>Ruimtestaat[[#This Row],[uren / jaar werkdagen]]*Tariefsopbouw!$E$35</f>
        <v>0</v>
      </c>
      <c r="Y102" s="98"/>
      <c r="Z102" s="102">
        <f>IF(Ruimtestaat[[#This Row],[Frequentie weekend]]&gt;0,VALUE(LEFT(Y102,1))*R102,0)</f>
        <v>0</v>
      </c>
      <c r="AA102" s="98">
        <f>IF($Z102&gt;0,VLOOKUP($J102,Ruimtegroepen[],3,FALSE)*VLOOKUP($L102,Vloersoorten[],3,FALSE)*VLOOKUP($Y102,Frequenties[],3,FALSE)*VLOOKUP($A96,Locaties[],3,FALSE),0)</f>
        <v>0</v>
      </c>
      <c r="AB102" s="100">
        <f>Ruimtestaat[[#This Row],[Uitvoeringen weekend]]*Ruimtestaat[[#This Row],[Oppervlak (netto)]]</f>
        <v>0</v>
      </c>
      <c r="AC102" s="103">
        <f>IF(AB102&gt;0,Ruimtestaat[[#This Row],[Prest. (m2 /jaar) weekend]]/Ruimtestaat[[#This Row],[Norm (m2/uur) weekend]],0)</f>
        <v>0</v>
      </c>
      <c r="AD102" s="104">
        <f>Ruimtestaat[[#This Row],[uren / jaar weekend]]*Tariefsopbouw!$D$40</f>
        <v>0</v>
      </c>
      <c r="AE102" s="73">
        <f>Ruimtestaat[[#This Row],[Prest. (m2 /jaar) weekend]]+Ruimtestaat[[#This Row],[Prest. (m2 /jaar) werkdagen]]</f>
        <v>46400</v>
      </c>
      <c r="AF102" s="73">
        <f>Ruimtestaat[[#This Row],[uren / jaar weekend]]+Ruimtestaat[[#This Row],[uren / jaar werkdagen]]</f>
        <v>0</v>
      </c>
      <c r="AG102" s="74">
        <f>Ruimtestaat[[#This Row],[kosten / jaar weekend]]+Ruimtestaat[[#This Row],[kosten / jaar werkdagen]]</f>
        <v>0</v>
      </c>
      <c r="AH102" s="105"/>
      <c r="HL102" s="72"/>
    </row>
    <row r="103" spans="1:220" ht="15" customHeight="1">
      <c r="A103" s="123">
        <v>1</v>
      </c>
      <c r="B103" s="24" t="str">
        <f>VLOOKUP(Ruimtestaat[[#This Row],[Code]],Locaties[#All],2,FALSE)</f>
        <v>Hoornbeeck College Amersfoort</v>
      </c>
      <c r="C103" s="24" t="str">
        <f>VLOOKUP(Ruimtestaat[[#This Row],[Code]],Locaties[#All],4,FALSE)</f>
        <v>Utrechtseweg 230</v>
      </c>
      <c r="D103" s="24" t="str">
        <f>VLOOKUP(Ruimtestaat[[#This Row],[Code]],Locaties[#All],5,FALSE)</f>
        <v>3818 ET</v>
      </c>
      <c r="E103" s="24" t="str">
        <f>VLOOKUP(Ruimtestaat[[#This Row],[Code]],Locaties[#All],6,FALSE)</f>
        <v>Amersfoort</v>
      </c>
      <c r="F103" s="67" t="s">
        <v>513</v>
      </c>
      <c r="G103" s="24" t="s">
        <v>417</v>
      </c>
      <c r="H103" s="28" t="s">
        <v>532</v>
      </c>
      <c r="I103" s="4" t="s">
        <v>515</v>
      </c>
      <c r="J103" s="24">
        <v>16</v>
      </c>
      <c r="K103" s="67" t="str">
        <f>VLOOKUP(J103,Ruimtegroepen[],2,FALSE)</f>
        <v>Leslokalen</v>
      </c>
      <c r="L103" s="24" t="s">
        <v>111</v>
      </c>
      <c r="M103" s="24" t="s">
        <v>136</v>
      </c>
      <c r="N103" s="96">
        <v>88.05749999999999</v>
      </c>
      <c r="O103" s="96"/>
      <c r="P103" s="106" t="str">
        <f>LEFT(VLOOKUP(Ruimtestaat[[#This Row],[Ruimte code]],Ruimtegroepen[#All],4,1),2)</f>
        <v>Le</v>
      </c>
      <c r="Q103" s="106"/>
      <c r="R103" s="97">
        <v>40</v>
      </c>
      <c r="S103" s="97" t="s">
        <v>2</v>
      </c>
      <c r="T103" s="98">
        <f>IF(R103&gt;0,IF(RIGHT(Ruimtestaat[[#This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3" s="98">
        <f>IF(T103&gt;0,VLOOKUP($J103,Ruimtegroepen[],3,FALSE)*VLOOKUP($L103,Vloersoorten[],3,FALSE)*VLOOKUP($S103,Frequenties[],3,FALSE)*VLOOKUP($A103,Locaties[],3,FALSE),0)</f>
        <v>0</v>
      </c>
      <c r="V103" s="99">
        <f>Ruimtestaat[[#This Row],[Uitvoeringen werkdagen]]*Ruimtestaat[[#This Row],[Oppervlak (netto)]]</f>
        <v>17611.499999999996</v>
      </c>
      <c r="W103" s="100">
        <f>IF(U103&gt;0,Ruimtestaat[[#This Row],[Prest. (m2 /jaar) werkdagen]]/Ruimtestaat[[#This Row],[Norm (m2/uur) werkdagen]],0)</f>
        <v>0</v>
      </c>
      <c r="X103" s="101">
        <f>Ruimtestaat[[#This Row],[uren / jaar werkdagen]]*Tariefsopbouw!$E$35</f>
        <v>0</v>
      </c>
      <c r="Y103" s="98"/>
      <c r="Z103" s="102">
        <f>IF(Ruimtestaat[[#This Row],[Frequentie weekend]]&gt;0,VALUE(LEFT(Y103,1))*R103,0)</f>
        <v>0</v>
      </c>
      <c r="AA103" s="98">
        <f>IF($Z103&gt;0,VLOOKUP($J103,Ruimtegroepen[],3,FALSE)*VLOOKUP($L103,Vloersoorten[],3,FALSE)*VLOOKUP($Y103,Frequenties[],3,FALSE)*VLOOKUP($A97,Locaties[],3,FALSE),0)</f>
        <v>0</v>
      </c>
      <c r="AB103" s="100">
        <f>Ruimtestaat[[#This Row],[Uitvoeringen weekend]]*Ruimtestaat[[#This Row],[Oppervlak (netto)]]</f>
        <v>0</v>
      </c>
      <c r="AC103" s="103">
        <f>IF(AB103&gt;0,Ruimtestaat[[#This Row],[Prest. (m2 /jaar) weekend]]/Ruimtestaat[[#This Row],[Norm (m2/uur) weekend]],0)</f>
        <v>0</v>
      </c>
      <c r="AD103" s="104">
        <f>Ruimtestaat[[#This Row],[uren / jaar weekend]]*Tariefsopbouw!$D$40</f>
        <v>0</v>
      </c>
      <c r="AE103" s="73">
        <f>Ruimtestaat[[#This Row],[Prest. (m2 /jaar) weekend]]+Ruimtestaat[[#This Row],[Prest. (m2 /jaar) werkdagen]]</f>
        <v>17611.499999999996</v>
      </c>
      <c r="AF103" s="73">
        <f>Ruimtestaat[[#This Row],[uren / jaar weekend]]+Ruimtestaat[[#This Row],[uren / jaar werkdagen]]</f>
        <v>0</v>
      </c>
      <c r="AG103" s="74">
        <f>Ruimtestaat[[#This Row],[kosten / jaar weekend]]+Ruimtestaat[[#This Row],[kosten / jaar werkdagen]]</f>
        <v>0</v>
      </c>
      <c r="AH103" s="105"/>
      <c r="HL103" s="72"/>
    </row>
    <row r="104" spans="1:220" ht="15" customHeight="1">
      <c r="A104" s="123">
        <v>1</v>
      </c>
      <c r="B104" s="24" t="str">
        <f>VLOOKUP(Ruimtestaat[[#This Row],[Code]],Locaties[#All],2,FALSE)</f>
        <v>Hoornbeeck College Amersfoort</v>
      </c>
      <c r="C104" s="24" t="str">
        <f>VLOOKUP(Ruimtestaat[[#This Row],[Code]],Locaties[#All],4,FALSE)</f>
        <v>Utrechtseweg 230</v>
      </c>
      <c r="D104" s="24" t="str">
        <f>VLOOKUP(Ruimtestaat[[#This Row],[Code]],Locaties[#All],5,FALSE)</f>
        <v>3818 ET</v>
      </c>
      <c r="E104" s="24" t="str">
        <f>VLOOKUP(Ruimtestaat[[#This Row],[Code]],Locaties[#All],6,FALSE)</f>
        <v>Amersfoort</v>
      </c>
      <c r="F104" s="67" t="s">
        <v>513</v>
      </c>
      <c r="G104" s="24" t="s">
        <v>417</v>
      </c>
      <c r="H104" s="28" t="s">
        <v>533</v>
      </c>
      <c r="I104" s="4" t="s">
        <v>534</v>
      </c>
      <c r="J104" s="24">
        <v>6</v>
      </c>
      <c r="K104" s="67" t="str">
        <f>VLOOKUP(J104,Ruimtegroepen[],2,FALSE)</f>
        <v>Gangen/hallen</v>
      </c>
      <c r="L104" s="24" t="s">
        <v>110</v>
      </c>
      <c r="M104" s="24" t="s">
        <v>539</v>
      </c>
      <c r="N104" s="96">
        <v>125</v>
      </c>
      <c r="O104" s="96"/>
      <c r="P104" s="106" t="str">
        <f>LEFT(VLOOKUP(Ruimtestaat[[#This Row],[Ruimte code]],Ruimtegroepen[#All],4,1),2)</f>
        <v>Ve</v>
      </c>
      <c r="Q104" s="106"/>
      <c r="R104" s="97">
        <v>40</v>
      </c>
      <c r="S104" s="97" t="s">
        <v>2</v>
      </c>
      <c r="T104" s="98">
        <f>IF(R104&gt;0,IF(RIGHT(Ruimtestaat[[#This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4" s="98">
        <f>IF(T104&gt;0,VLOOKUP($J104,Ruimtegroepen[],3,FALSE)*VLOOKUP($L104,Vloersoorten[],3,FALSE)*VLOOKUP($S104,Frequenties[],3,FALSE)*VLOOKUP($A104,Locaties[],3,FALSE),0)</f>
        <v>0</v>
      </c>
      <c r="V104" s="99">
        <f>Ruimtestaat[[#This Row],[Uitvoeringen werkdagen]]*Ruimtestaat[[#This Row],[Oppervlak (netto)]]</f>
        <v>25000</v>
      </c>
      <c r="W104" s="100">
        <f>IF(U104&gt;0,Ruimtestaat[[#This Row],[Prest. (m2 /jaar) werkdagen]]/Ruimtestaat[[#This Row],[Norm (m2/uur) werkdagen]],0)</f>
        <v>0</v>
      </c>
      <c r="X104" s="101">
        <f>Ruimtestaat[[#This Row],[uren / jaar werkdagen]]*Tariefsopbouw!$E$35</f>
        <v>0</v>
      </c>
      <c r="Y104" s="98"/>
      <c r="Z104" s="102">
        <f>IF(Ruimtestaat[[#This Row],[Frequentie weekend]]&gt;0,VALUE(LEFT(Y104,1))*R104,0)</f>
        <v>0</v>
      </c>
      <c r="AA104" s="98">
        <f>IF($Z104&gt;0,VLOOKUP($J104,Ruimtegroepen[],3,FALSE)*VLOOKUP($L104,Vloersoorten[],3,FALSE)*VLOOKUP($Y104,Frequenties[],3,FALSE)*VLOOKUP($A98,Locaties[],3,FALSE),0)</f>
        <v>0</v>
      </c>
      <c r="AB104" s="100">
        <f>Ruimtestaat[[#This Row],[Uitvoeringen weekend]]*Ruimtestaat[[#This Row],[Oppervlak (netto)]]</f>
        <v>0</v>
      </c>
      <c r="AC104" s="103">
        <f>IF(AB104&gt;0,Ruimtestaat[[#This Row],[Prest. (m2 /jaar) weekend]]/Ruimtestaat[[#This Row],[Norm (m2/uur) weekend]],0)</f>
        <v>0</v>
      </c>
      <c r="AD104" s="104">
        <f>Ruimtestaat[[#This Row],[uren / jaar weekend]]*Tariefsopbouw!$D$40</f>
        <v>0</v>
      </c>
      <c r="AE104" s="73">
        <f>Ruimtestaat[[#This Row],[Prest. (m2 /jaar) weekend]]+Ruimtestaat[[#This Row],[Prest. (m2 /jaar) werkdagen]]</f>
        <v>25000</v>
      </c>
      <c r="AF104" s="73">
        <f>Ruimtestaat[[#This Row],[uren / jaar weekend]]+Ruimtestaat[[#This Row],[uren / jaar werkdagen]]</f>
        <v>0</v>
      </c>
      <c r="AG104" s="74">
        <f>Ruimtestaat[[#This Row],[kosten / jaar weekend]]+Ruimtestaat[[#This Row],[kosten / jaar werkdagen]]</f>
        <v>0</v>
      </c>
      <c r="AH104" s="105"/>
      <c r="HL104" s="72"/>
    </row>
    <row r="105" spans="1:220" ht="15" customHeight="1">
      <c r="A105" s="123">
        <v>1</v>
      </c>
      <c r="B105" s="24" t="str">
        <f>VLOOKUP(Ruimtestaat[[#This Row],[Code]],Locaties[#All],2,FALSE)</f>
        <v>Hoornbeeck College Amersfoort</v>
      </c>
      <c r="C105" s="24" t="str">
        <f>VLOOKUP(Ruimtestaat[[#This Row],[Code]],Locaties[#All],4,FALSE)</f>
        <v>Utrechtseweg 230</v>
      </c>
      <c r="D105" s="24" t="str">
        <f>VLOOKUP(Ruimtestaat[[#This Row],[Code]],Locaties[#All],5,FALSE)</f>
        <v>3818 ET</v>
      </c>
      <c r="E105" s="24" t="str">
        <f>VLOOKUP(Ruimtestaat[[#This Row],[Code]],Locaties[#All],6,FALSE)</f>
        <v>Amersfoort</v>
      </c>
      <c r="F105" s="67" t="s">
        <v>513</v>
      </c>
      <c r="G105" s="24" t="s">
        <v>417</v>
      </c>
      <c r="H105" s="28" t="s">
        <v>535</v>
      </c>
      <c r="I105" s="4" t="s">
        <v>536</v>
      </c>
      <c r="J105" s="24">
        <v>7</v>
      </c>
      <c r="K105" s="67" t="str">
        <f>VLOOKUP(J105,Ruimtegroepen[],2,FALSE)</f>
        <v>Entree</v>
      </c>
      <c r="L105" s="24" t="s">
        <v>110</v>
      </c>
      <c r="M105" s="24" t="s">
        <v>541</v>
      </c>
      <c r="N105" s="96">
        <v>12</v>
      </c>
      <c r="O105" s="96"/>
      <c r="P105" s="106" t="str">
        <f>LEFT(VLOOKUP(Ruimtestaat[[#This Row],[Ruimte code]],Ruimtegroepen[#All],4,1),2)</f>
        <v>Ve</v>
      </c>
      <c r="Q105" s="106"/>
      <c r="R105" s="97">
        <v>40</v>
      </c>
      <c r="S105" s="97" t="s">
        <v>2</v>
      </c>
      <c r="T105" s="98">
        <f>IF(R105&gt;0,IF(RIGHT(Ruimtestaat[[#This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5" s="98">
        <f>IF(T105&gt;0,VLOOKUP($J105,Ruimtegroepen[],3,FALSE)*VLOOKUP($L105,Vloersoorten[],3,FALSE)*VLOOKUP($S105,Frequenties[],3,FALSE)*VLOOKUP($A105,Locaties[],3,FALSE),0)</f>
        <v>0</v>
      </c>
      <c r="V105" s="99">
        <f>Ruimtestaat[[#This Row],[Uitvoeringen werkdagen]]*Ruimtestaat[[#This Row],[Oppervlak (netto)]]</f>
        <v>2400</v>
      </c>
      <c r="W105" s="100">
        <f>IF(U105&gt;0,Ruimtestaat[[#This Row],[Prest. (m2 /jaar) werkdagen]]/Ruimtestaat[[#This Row],[Norm (m2/uur) werkdagen]],0)</f>
        <v>0</v>
      </c>
      <c r="X105" s="101">
        <f>Ruimtestaat[[#This Row],[uren / jaar werkdagen]]*Tariefsopbouw!$E$35</f>
        <v>0</v>
      </c>
      <c r="Y105" s="98"/>
      <c r="Z105" s="102">
        <f>IF(Ruimtestaat[[#This Row],[Frequentie weekend]]&gt;0,VALUE(LEFT(Y105,1))*R105,0)</f>
        <v>0</v>
      </c>
      <c r="AA105" s="98">
        <f>IF($Z105&gt;0,VLOOKUP($J105,Ruimtegroepen[],3,FALSE)*VLOOKUP($L105,Vloersoorten[],3,FALSE)*VLOOKUP($Y105,Frequenties[],3,FALSE)*VLOOKUP($A101,Locaties[],3,FALSE),0)</f>
        <v>0</v>
      </c>
      <c r="AB105" s="100">
        <f>Ruimtestaat[[#This Row],[Uitvoeringen weekend]]*Ruimtestaat[[#This Row],[Oppervlak (netto)]]</f>
        <v>0</v>
      </c>
      <c r="AC105" s="103">
        <f>IF(AB105&gt;0,Ruimtestaat[[#This Row],[Prest. (m2 /jaar) weekend]]/Ruimtestaat[[#This Row],[Norm (m2/uur) weekend]],0)</f>
        <v>0</v>
      </c>
      <c r="AD105" s="104">
        <f>Ruimtestaat[[#This Row],[uren / jaar weekend]]*Tariefsopbouw!$D$40</f>
        <v>0</v>
      </c>
      <c r="AE105" s="73">
        <f>Ruimtestaat[[#This Row],[Prest. (m2 /jaar) weekend]]+Ruimtestaat[[#This Row],[Prest. (m2 /jaar) werkdagen]]</f>
        <v>2400</v>
      </c>
      <c r="AF105" s="73">
        <f>Ruimtestaat[[#This Row],[uren / jaar weekend]]+Ruimtestaat[[#This Row],[uren / jaar werkdagen]]</f>
        <v>0</v>
      </c>
      <c r="AG105" s="74">
        <f>Ruimtestaat[[#This Row],[kosten / jaar weekend]]+Ruimtestaat[[#This Row],[kosten / jaar werkdagen]]</f>
        <v>0</v>
      </c>
      <c r="AH105" s="105"/>
      <c r="HL105" s="72"/>
    </row>
    <row r="106" spans="1:220" ht="15" customHeight="1">
      <c r="A106" s="123">
        <v>1</v>
      </c>
      <c r="B106" s="24" t="str">
        <f>VLOOKUP(Ruimtestaat[[#This Row],[Code]],Locaties[#All],2,FALSE)</f>
        <v>Hoornbeeck College Amersfoort</v>
      </c>
      <c r="C106" s="24" t="str">
        <f>VLOOKUP(Ruimtestaat[[#This Row],[Code]],Locaties[#All],4,FALSE)</f>
        <v>Utrechtseweg 230</v>
      </c>
      <c r="D106" s="24" t="str">
        <f>VLOOKUP(Ruimtestaat[[#This Row],[Code]],Locaties[#All],5,FALSE)</f>
        <v>3818 ET</v>
      </c>
      <c r="E106" s="24" t="str">
        <f>VLOOKUP(Ruimtestaat[[#This Row],[Code]],Locaties[#All],6,FALSE)</f>
        <v>Amersfoort</v>
      </c>
      <c r="F106" s="67" t="s">
        <v>513</v>
      </c>
      <c r="G106" s="24" t="s">
        <v>417</v>
      </c>
      <c r="H106" s="28" t="s">
        <v>537</v>
      </c>
      <c r="I106" s="4" t="s">
        <v>538</v>
      </c>
      <c r="J106" s="24">
        <v>7</v>
      </c>
      <c r="K106" s="67" t="str">
        <f>VLOOKUP(J106,Ruimtegroepen[],2,FALSE)</f>
        <v>Entree</v>
      </c>
      <c r="L106" s="24" t="s">
        <v>110</v>
      </c>
      <c r="M106" s="24" t="s">
        <v>541</v>
      </c>
      <c r="N106" s="96">
        <v>8.76</v>
      </c>
      <c r="O106" s="96"/>
      <c r="P106" s="106" t="str">
        <f>LEFT(VLOOKUP(Ruimtestaat[[#This Row],[Ruimte code]],Ruimtegroepen[#All],4,1),2)</f>
        <v>Ve</v>
      </c>
      <c r="Q106" s="106"/>
      <c r="R106" s="97">
        <v>40</v>
      </c>
      <c r="S106" s="97" t="s">
        <v>2</v>
      </c>
      <c r="T106" s="98">
        <f>IF(R106&gt;0,IF(RIGHT(Ruimtestaat[[#This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6" s="98">
        <f>IF(T106&gt;0,VLOOKUP($J106,Ruimtegroepen[],3,FALSE)*VLOOKUP($L106,Vloersoorten[],3,FALSE)*VLOOKUP($S106,Frequenties[],3,FALSE)*VLOOKUP($A106,Locaties[],3,FALSE),0)</f>
        <v>0</v>
      </c>
      <c r="V106" s="99">
        <f>Ruimtestaat[[#This Row],[Uitvoeringen werkdagen]]*Ruimtestaat[[#This Row],[Oppervlak (netto)]]</f>
        <v>1752</v>
      </c>
      <c r="W106" s="100">
        <f>IF(U106&gt;0,Ruimtestaat[[#This Row],[Prest. (m2 /jaar) werkdagen]]/Ruimtestaat[[#This Row],[Norm (m2/uur) werkdagen]],0)</f>
        <v>0</v>
      </c>
      <c r="X106" s="101">
        <f>Ruimtestaat[[#This Row],[uren / jaar werkdagen]]*Tariefsopbouw!$E$35</f>
        <v>0</v>
      </c>
      <c r="Y106" s="98"/>
      <c r="Z106" s="102">
        <f>IF(Ruimtestaat[[#This Row],[Frequentie weekend]]&gt;0,VALUE(LEFT(Y106,1))*R106,0)</f>
        <v>0</v>
      </c>
      <c r="AA106" s="98">
        <f>IF($Z106&gt;0,VLOOKUP($J106,Ruimtegroepen[],3,FALSE)*VLOOKUP($L106,Vloersoorten[],3,FALSE)*VLOOKUP($Y106,Frequenties[],3,FALSE)*VLOOKUP($A102,Locaties[],3,FALSE),0)</f>
        <v>0</v>
      </c>
      <c r="AB106" s="100">
        <f>Ruimtestaat[[#This Row],[Uitvoeringen weekend]]*Ruimtestaat[[#This Row],[Oppervlak (netto)]]</f>
        <v>0</v>
      </c>
      <c r="AC106" s="103">
        <f>IF(AB106&gt;0,Ruimtestaat[[#This Row],[Prest. (m2 /jaar) weekend]]/Ruimtestaat[[#This Row],[Norm (m2/uur) weekend]],0)</f>
        <v>0</v>
      </c>
      <c r="AD106" s="104">
        <f>Ruimtestaat[[#This Row],[uren / jaar weekend]]*Tariefsopbouw!$D$40</f>
        <v>0</v>
      </c>
      <c r="AE106" s="73">
        <f>Ruimtestaat[[#This Row],[Prest. (m2 /jaar) weekend]]+Ruimtestaat[[#This Row],[Prest. (m2 /jaar) werkdagen]]</f>
        <v>1752</v>
      </c>
      <c r="AF106" s="73">
        <f>Ruimtestaat[[#This Row],[uren / jaar weekend]]+Ruimtestaat[[#This Row],[uren / jaar werkdagen]]</f>
        <v>0</v>
      </c>
      <c r="AG106" s="74">
        <f>Ruimtestaat[[#This Row],[kosten / jaar weekend]]+Ruimtestaat[[#This Row],[kosten / jaar werkdagen]]</f>
        <v>0</v>
      </c>
      <c r="AH106" s="105"/>
      <c r="HL106" s="72"/>
    </row>
  </sheetData>
  <sortState xmlns:xlrd2="http://schemas.microsoft.com/office/spreadsheetml/2017/richdata2" ref="B7:T987">
    <sortCondition ref="B7:B987"/>
    <sortCondition ref="F7:F987"/>
  </sortState>
  <mergeCells count="5">
    <mergeCell ref="A1:Q1"/>
    <mergeCell ref="R1:AG1"/>
    <mergeCell ref="S3:X3"/>
    <mergeCell ref="Y3:AD3"/>
    <mergeCell ref="AE3:AG3"/>
  </mergeCells>
  <phoneticPr fontId="7" type="noConversion"/>
  <pageMargins left="0.23622047244094491" right="0.23622047244094491" top="0.74803149606299213" bottom="0.74803149606299213" header="0.31496062992125984" footer="0.31496062992125984"/>
  <pageSetup paperSize="8" scale="34" fitToHeight="0" orientation="landscape" r:id="rId1"/>
  <headerFooter alignWithMargins="0">
    <oddFooter>&amp;L&amp;P&amp;Cparaaf Inschrijver&amp;R&amp;D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  <pageSetUpPr fitToPage="1"/>
  </sheetPr>
  <dimension ref="A1:I26"/>
  <sheetViews>
    <sheetView showGridLines="0" zoomScaleNormal="100" zoomScaleSheetLayoutView="100" workbookViewId="0">
      <selection sqref="A1:H1"/>
    </sheetView>
  </sheetViews>
  <sheetFormatPr defaultColWidth="9.140625" defaultRowHeight="15" customHeight="1"/>
  <cols>
    <col min="1" max="1" width="9.7109375" style="4" customWidth="1"/>
    <col min="2" max="2" width="56.28515625" style="4" customWidth="1"/>
    <col min="3" max="3" width="14.85546875" style="24" customWidth="1"/>
    <col min="4" max="4" width="66.85546875" style="4" customWidth="1"/>
    <col min="5" max="5" width="17.7109375" style="4" bestFit="1" customWidth="1"/>
    <col min="6" max="6" width="17.7109375" style="169" bestFit="1" customWidth="1"/>
    <col min="7" max="7" width="17.7109375" style="4" bestFit="1" customWidth="1"/>
    <col min="8" max="8" width="20.5703125" style="4" customWidth="1"/>
    <col min="9" max="9" width="17.7109375" style="4" bestFit="1" customWidth="1"/>
    <col min="10" max="16384" width="9.140625" style="4"/>
  </cols>
  <sheetData>
    <row r="1" spans="1:9" s="7" customFormat="1" ht="26.25" customHeight="1">
      <c r="A1" s="347" t="s">
        <v>165</v>
      </c>
      <c r="B1" s="347"/>
      <c r="C1" s="347"/>
      <c r="D1" s="347"/>
      <c r="E1" s="347"/>
      <c r="F1" s="347"/>
      <c r="G1" s="347"/>
      <c r="H1" s="347"/>
    </row>
    <row r="2" spans="1:9" s="7" customFormat="1" ht="15" customHeight="1">
      <c r="A2" s="368" t="s">
        <v>217</v>
      </c>
      <c r="B2" s="348"/>
      <c r="C2" s="348"/>
      <c r="D2" s="348"/>
      <c r="E2" s="348"/>
      <c r="F2" s="348"/>
      <c r="G2" s="348"/>
      <c r="H2" s="348"/>
    </row>
    <row r="3" spans="1:9" ht="15" customHeight="1">
      <c r="B3" s="24"/>
      <c r="C3" s="4"/>
    </row>
    <row r="4" spans="1:9" ht="15" customHeight="1">
      <c r="A4" s="4" t="s">
        <v>252</v>
      </c>
      <c r="B4" s="25"/>
      <c r="C4" s="25"/>
      <c r="D4" s="25"/>
      <c r="E4" s="25"/>
      <c r="F4" s="170"/>
      <c r="G4" s="26"/>
    </row>
    <row r="5" spans="1:9" ht="15" customHeight="1">
      <c r="A5" s="4" t="s">
        <v>242</v>
      </c>
      <c r="B5" s="25"/>
      <c r="C5" s="25"/>
      <c r="D5" s="25"/>
      <c r="E5" s="25"/>
      <c r="F5" s="170"/>
      <c r="G5" s="26"/>
    </row>
    <row r="6" spans="1:9" ht="15" customHeight="1">
      <c r="A6" s="4" t="s">
        <v>234</v>
      </c>
      <c r="B6" s="28"/>
      <c r="C6" s="29"/>
      <c r="D6" s="29"/>
      <c r="E6" s="29"/>
      <c r="F6" s="171"/>
    </row>
    <row r="7" spans="1:9" ht="15" customHeight="1">
      <c r="B7" s="28"/>
      <c r="C7" s="28"/>
      <c r="D7" s="23"/>
      <c r="E7" s="23"/>
      <c r="F7" s="172"/>
      <c r="G7" s="29"/>
    </row>
    <row r="8" spans="1:9" s="19" customFormat="1" ht="26.25" customHeight="1">
      <c r="A8" s="47" t="s">
        <v>215</v>
      </c>
      <c r="B8" s="48" t="s">
        <v>153</v>
      </c>
      <c r="C8" s="49" t="s">
        <v>152</v>
      </c>
      <c r="D8" s="47" t="s">
        <v>399</v>
      </c>
      <c r="E8" s="47" t="s">
        <v>248</v>
      </c>
      <c r="F8" s="47" t="s">
        <v>250</v>
      </c>
      <c r="G8" s="47" t="s">
        <v>249</v>
      </c>
      <c r="H8" s="47" t="s">
        <v>247</v>
      </c>
      <c r="I8" s="47" t="s">
        <v>260</v>
      </c>
    </row>
    <row r="9" spans="1:9" ht="15" customHeight="1">
      <c r="A9" s="50">
        <v>1</v>
      </c>
      <c r="B9" s="51" t="s">
        <v>160</v>
      </c>
      <c r="C9" s="52">
        <v>0</v>
      </c>
      <c r="D9" s="55" t="s">
        <v>154</v>
      </c>
      <c r="E9" s="212" t="e">
        <f>InvulVloer[[#This Row],[Prijs]]*Tariefsopbouw!$I$37+InvulVloer[[#This Row],[Prijs]]</f>
        <v>#DIV/0!</v>
      </c>
      <c r="F9" s="213" t="e">
        <f>InvulVloer[[#This Row],[2024]]*Tariefsopbouw!$K$37+InvulVloer[[#This Row],[2024]]</f>
        <v>#DIV/0!</v>
      </c>
      <c r="G9" s="213" t="e">
        <f>InvulVloer[[#This Row],[2025]]*Tariefsopbouw!$M$37+InvulVloer[[#This Row],[2025]]</f>
        <v>#DIV/0!</v>
      </c>
      <c r="H9" s="213" t="e">
        <f>InvulVloer[[#This Row],[2026]]*Tariefsopbouw!$O$37+InvulVloer[[#This Row],[2026]]</f>
        <v>#DIV/0!</v>
      </c>
      <c r="I9" s="213" t="e">
        <f>InvulVloer[[#This Row],[2027]]*Tariefsopbouw!$Q$37+InvulVloer[[#This Row],[2027]]</f>
        <v>#DIV/0!</v>
      </c>
    </row>
    <row r="10" spans="1:9" ht="15" customHeight="1">
      <c r="A10" s="53">
        <v>2</v>
      </c>
      <c r="B10" s="54" t="s">
        <v>544</v>
      </c>
      <c r="C10" s="52">
        <v>0</v>
      </c>
      <c r="D10" s="58" t="s">
        <v>155</v>
      </c>
      <c r="E10" s="212" t="e">
        <f>InvulVloer[[#This Row],[Prijs]]*Tariefsopbouw!$I$37+InvulVloer[[#This Row],[Prijs]]</f>
        <v>#DIV/0!</v>
      </c>
      <c r="F10" s="214" t="e">
        <f>InvulVloer[[#This Row],[2024]]*Tariefsopbouw!$K$37+InvulVloer[[#This Row],[2024]]</f>
        <v>#DIV/0!</v>
      </c>
      <c r="G10" s="214" t="e">
        <f>InvulVloer[[#This Row],[2025]]*Tariefsopbouw!$M$37+InvulVloer[[#This Row],[2025]]</f>
        <v>#DIV/0!</v>
      </c>
      <c r="H10" s="214" t="e">
        <f>InvulVloer[[#This Row],[2026]]*Tariefsopbouw!$O$37+InvulVloer[[#This Row],[2026]]</f>
        <v>#DIV/0!</v>
      </c>
      <c r="I10" s="214" t="e">
        <f>InvulVloer[[#This Row],[2027]]*Tariefsopbouw!$Q$37+InvulVloer[[#This Row],[2027]]</f>
        <v>#DIV/0!</v>
      </c>
    </row>
    <row r="11" spans="1:9" ht="15" customHeight="1">
      <c r="A11" s="50">
        <v>3</v>
      </c>
      <c r="B11" s="51" t="s">
        <v>161</v>
      </c>
      <c r="C11" s="52">
        <v>0</v>
      </c>
      <c r="D11" s="55" t="s">
        <v>155</v>
      </c>
      <c r="E11" s="212" t="e">
        <f>InvulVloer[[#This Row],[Prijs]]*Tariefsopbouw!$I$37+InvulVloer[[#This Row],[Prijs]]</f>
        <v>#DIV/0!</v>
      </c>
      <c r="F11" s="215" t="e">
        <f>InvulVloer[[#This Row],[2024]]*Tariefsopbouw!$K$37+InvulVloer[[#This Row],[2024]]</f>
        <v>#DIV/0!</v>
      </c>
      <c r="G11" s="215" t="e">
        <f>InvulVloer[[#This Row],[2025]]*Tariefsopbouw!$M$37+InvulVloer[[#This Row],[2025]]</f>
        <v>#DIV/0!</v>
      </c>
      <c r="H11" s="215" t="e">
        <f>InvulVloer[[#This Row],[2026]]*Tariefsopbouw!$O$37+InvulVloer[[#This Row],[2026]]</f>
        <v>#DIV/0!</v>
      </c>
      <c r="I11" s="215" t="e">
        <f>InvulVloer[[#This Row],[2027]]*Tariefsopbouw!$Q$37+InvulVloer[[#This Row],[2027]]</f>
        <v>#DIV/0!</v>
      </c>
    </row>
    <row r="12" spans="1:9" ht="15" customHeight="1">
      <c r="A12" s="53">
        <v>4</v>
      </c>
      <c r="B12" s="54" t="s">
        <v>156</v>
      </c>
      <c r="C12" s="52">
        <v>0</v>
      </c>
      <c r="D12" s="58" t="s">
        <v>154</v>
      </c>
      <c r="E12" s="212" t="e">
        <f>InvulVloer[[#This Row],[Prijs]]*Tariefsopbouw!$I$37+InvulVloer[[#This Row],[Prijs]]</f>
        <v>#DIV/0!</v>
      </c>
      <c r="F12" s="214" t="e">
        <f>InvulVloer[[#This Row],[2024]]*Tariefsopbouw!$K$37+InvulVloer[[#This Row],[2024]]</f>
        <v>#DIV/0!</v>
      </c>
      <c r="G12" s="214" t="e">
        <f>InvulVloer[[#This Row],[2025]]*Tariefsopbouw!$M$37+InvulVloer[[#This Row],[2025]]</f>
        <v>#DIV/0!</v>
      </c>
      <c r="H12" s="214" t="e">
        <f>InvulVloer[[#This Row],[2026]]*Tariefsopbouw!$O$37+InvulVloer[[#This Row],[2026]]</f>
        <v>#DIV/0!</v>
      </c>
      <c r="I12" s="214" t="e">
        <f>InvulVloer[[#This Row],[2027]]*Tariefsopbouw!$Q$37+InvulVloer[[#This Row],[2027]]</f>
        <v>#DIV/0!</v>
      </c>
    </row>
    <row r="13" spans="1:9" ht="15" customHeight="1">
      <c r="A13" s="50">
        <v>5</v>
      </c>
      <c r="B13" s="51" t="s">
        <v>157</v>
      </c>
      <c r="C13" s="52">
        <v>0</v>
      </c>
      <c r="D13" s="55" t="s">
        <v>154</v>
      </c>
      <c r="E13" s="212" t="e">
        <f>InvulVloer[[#This Row],[Prijs]]*Tariefsopbouw!$I$37+InvulVloer[[#This Row],[Prijs]]</f>
        <v>#DIV/0!</v>
      </c>
      <c r="F13" s="215" t="e">
        <f>InvulVloer[[#This Row],[2024]]*Tariefsopbouw!$K$37+InvulVloer[[#This Row],[2024]]</f>
        <v>#DIV/0!</v>
      </c>
      <c r="G13" s="215" t="e">
        <f>InvulVloer[[#This Row],[2025]]*Tariefsopbouw!$M$37+InvulVloer[[#This Row],[2025]]</f>
        <v>#DIV/0!</v>
      </c>
      <c r="H13" s="215" t="e">
        <f>InvulVloer[[#This Row],[2026]]*Tariefsopbouw!$O$37+InvulVloer[[#This Row],[2026]]</f>
        <v>#DIV/0!</v>
      </c>
      <c r="I13" s="215" t="e">
        <f>InvulVloer[[#This Row],[2027]]*Tariefsopbouw!$Q$37+InvulVloer[[#This Row],[2027]]</f>
        <v>#DIV/0!</v>
      </c>
    </row>
    <row r="14" spans="1:9" ht="15" customHeight="1">
      <c r="A14" s="53">
        <v>6</v>
      </c>
      <c r="B14" s="54" t="s">
        <v>162</v>
      </c>
      <c r="C14" s="52">
        <v>0</v>
      </c>
      <c r="D14" s="58" t="s">
        <v>154</v>
      </c>
      <c r="E14" s="212" t="e">
        <f>InvulVloer[[#This Row],[Prijs]]*Tariefsopbouw!$I$37+InvulVloer[[#This Row],[Prijs]]</f>
        <v>#DIV/0!</v>
      </c>
      <c r="F14" s="214" t="e">
        <f>InvulVloer[[#This Row],[2024]]*Tariefsopbouw!$K$37+InvulVloer[[#This Row],[2024]]</f>
        <v>#DIV/0!</v>
      </c>
      <c r="G14" s="214" t="e">
        <f>InvulVloer[[#This Row],[2025]]*Tariefsopbouw!$M$37+InvulVloer[[#This Row],[2025]]</f>
        <v>#DIV/0!</v>
      </c>
      <c r="H14" s="214" t="e">
        <f>InvulVloer[[#This Row],[2026]]*Tariefsopbouw!$O$37+InvulVloer[[#This Row],[2026]]</f>
        <v>#DIV/0!</v>
      </c>
      <c r="I14" s="214" t="e">
        <f>InvulVloer[[#This Row],[2027]]*Tariefsopbouw!$Q$37+InvulVloer[[#This Row],[2027]]</f>
        <v>#DIV/0!</v>
      </c>
    </row>
    <row r="15" spans="1:9" ht="15" customHeight="1">
      <c r="A15" s="50">
        <v>7</v>
      </c>
      <c r="B15" s="55" t="s">
        <v>164</v>
      </c>
      <c r="C15" s="52">
        <v>0</v>
      </c>
      <c r="D15" s="55" t="s">
        <v>154</v>
      </c>
      <c r="E15" s="212" t="e">
        <f>InvulVloer[[#This Row],[Prijs]]*Tariefsopbouw!$I$37+InvulVloer[[#This Row],[Prijs]]</f>
        <v>#DIV/0!</v>
      </c>
      <c r="F15" s="215" t="e">
        <f>InvulVloer[[#This Row],[2024]]*Tariefsopbouw!$K$37+InvulVloer[[#This Row],[2024]]</f>
        <v>#DIV/0!</v>
      </c>
      <c r="G15" s="215" t="e">
        <f>InvulVloer[[#This Row],[2025]]*Tariefsopbouw!$M$37+InvulVloer[[#This Row],[2025]]</f>
        <v>#DIV/0!</v>
      </c>
      <c r="H15" s="215" t="e">
        <f>InvulVloer[[#This Row],[2026]]*Tariefsopbouw!$O$37+InvulVloer[[#This Row],[2026]]</f>
        <v>#DIV/0!</v>
      </c>
      <c r="I15" s="215" t="e">
        <f>InvulVloer[[#This Row],[2027]]*Tariefsopbouw!$Q$37+InvulVloer[[#This Row],[2027]]</f>
        <v>#DIV/0!</v>
      </c>
    </row>
    <row r="16" spans="1:9" ht="15" customHeight="1">
      <c r="A16" s="53">
        <v>8</v>
      </c>
      <c r="B16" s="56" t="s">
        <v>200</v>
      </c>
      <c r="C16" s="52">
        <v>0</v>
      </c>
      <c r="D16" s="58" t="s">
        <v>154</v>
      </c>
      <c r="E16" s="212" t="e">
        <f>InvulVloer[[#This Row],[Prijs]]*Tariefsopbouw!$I$37+InvulVloer[[#This Row],[Prijs]]</f>
        <v>#DIV/0!</v>
      </c>
      <c r="F16" s="214" t="e">
        <f>InvulVloer[[#This Row],[2024]]*Tariefsopbouw!$K$37+InvulVloer[[#This Row],[2024]]</f>
        <v>#DIV/0!</v>
      </c>
      <c r="G16" s="214" t="e">
        <f>InvulVloer[[#This Row],[2025]]*Tariefsopbouw!$M$37+InvulVloer[[#This Row],[2025]]</f>
        <v>#DIV/0!</v>
      </c>
      <c r="H16" s="214" t="e">
        <f>InvulVloer[[#This Row],[2026]]*Tariefsopbouw!$O$37+InvulVloer[[#This Row],[2026]]</f>
        <v>#DIV/0!</v>
      </c>
      <c r="I16" s="214" t="e">
        <f>InvulVloer[[#This Row],[2027]]*Tariefsopbouw!$Q$37+InvulVloer[[#This Row],[2027]]</f>
        <v>#DIV/0!</v>
      </c>
    </row>
    <row r="17" spans="1:9" ht="15" customHeight="1">
      <c r="A17" s="50">
        <v>9</v>
      </c>
      <c r="B17" s="57" t="s">
        <v>201</v>
      </c>
      <c r="C17" s="52">
        <v>0</v>
      </c>
      <c r="D17" s="55" t="s">
        <v>154</v>
      </c>
      <c r="E17" s="216" t="e">
        <f>InvulVloer[[#This Row],[Prijs]]*Tariefsopbouw!$I$37+InvulVloer[[#This Row],[Prijs]]</f>
        <v>#DIV/0!</v>
      </c>
      <c r="F17" s="217" t="e">
        <f>InvulVloer[[#This Row],[2024]]*Tariefsopbouw!$K$37+InvulVloer[[#This Row],[2024]]</f>
        <v>#DIV/0!</v>
      </c>
      <c r="G17" s="216" t="e">
        <f>InvulVloer[[#This Row],[2025]]*Tariefsopbouw!$M$37+InvulVloer[[#This Row],[2025]]</f>
        <v>#DIV/0!</v>
      </c>
      <c r="H17" s="216" t="e">
        <f>InvulVloer[[#This Row],[2026]]*Tariefsopbouw!$O$37+InvulVloer[[#This Row],[2026]]</f>
        <v>#DIV/0!</v>
      </c>
      <c r="I17" s="216" t="e">
        <f>InvulVloer[[#This Row],[2027]]*Tariefsopbouw!$Q$37+InvulVloer[[#This Row],[2027]]</f>
        <v>#DIV/0!</v>
      </c>
    </row>
    <row r="18" spans="1:9" ht="15" customHeight="1">
      <c r="B18" s="24"/>
      <c r="E18" s="31"/>
      <c r="F18" s="172"/>
      <c r="G18" s="31"/>
      <c r="H18" s="31"/>
    </row>
    <row r="19" spans="1:9" ht="15" customHeight="1">
      <c r="C19" s="25"/>
      <c r="D19" s="25"/>
    </row>
    <row r="20" spans="1:9" s="22" customFormat="1" ht="26.25" customHeight="1">
      <c r="A20" s="47" t="s">
        <v>214</v>
      </c>
      <c r="B20" s="48" t="s">
        <v>149</v>
      </c>
      <c r="C20" s="47" t="s">
        <v>215</v>
      </c>
      <c r="D20" s="59" t="s">
        <v>153</v>
      </c>
      <c r="E20" s="59" t="s">
        <v>158</v>
      </c>
      <c r="F20" s="173" t="s">
        <v>159</v>
      </c>
      <c r="G20" s="59" t="s">
        <v>163</v>
      </c>
      <c r="H20" s="60" t="s">
        <v>150</v>
      </c>
    </row>
    <row r="21" spans="1:9" ht="15" customHeight="1">
      <c r="A21" s="218">
        <v>1</v>
      </c>
      <c r="B21" s="168" t="str">
        <f>VLOOKUP(OverzichtVloer[[#This Row],[Code Locatie]],Locaties[],2,0)</f>
        <v>Hoornbeeck College Amersfoort</v>
      </c>
      <c r="C21" s="218">
        <v>4</v>
      </c>
      <c r="D21" s="219" t="str">
        <f>IF(Vloeronderhoud!$C21&gt;0,VLOOKUP(Vloeronderhoud!$C21,$A$8:$B$17,2,FALSE),"")</f>
        <v>Tapijtreinigen, sproei-extractiemethode</v>
      </c>
      <c r="E21" s="180" t="s">
        <v>110</v>
      </c>
      <c r="F21" s="174">
        <f>SUMIFS('Ruimtestaat'!$N:$N,'Ruimtestaat'!L:L,Vloeronderhoud!E21,'Ruimtestaat'!A:A,Vloeronderhoud!A21)</f>
        <v>6103.9800000000005</v>
      </c>
      <c r="G21" s="236">
        <v>0.5</v>
      </c>
      <c r="H21" s="220">
        <f>VLOOKUP(OverzichtVloer[[#This Row],[Code Taak]],InvulVloer[],3,3)*F21*G21</f>
        <v>0</v>
      </c>
    </row>
    <row r="22" spans="1:9" ht="15.75" customHeight="1">
      <c r="A22" s="218">
        <v>1</v>
      </c>
      <c r="B22" s="168" t="str">
        <f>VLOOKUP(OverzichtVloer[[#This Row],[Code Locatie]],Locaties[],2,0)</f>
        <v>Hoornbeeck College Amersfoort</v>
      </c>
      <c r="C22" s="218">
        <v>1</v>
      </c>
      <c r="D22" s="219" t="str">
        <f>IF(Vloeronderhoud!$C22&gt;0,VLOOKUP(Vloeronderhoud!$C22,$A$8:$B$17,2,FALSE),"")</f>
        <v>Sprayen/opblokken</v>
      </c>
      <c r="E22" s="180" t="s">
        <v>111</v>
      </c>
      <c r="F22" s="174">
        <f>SUMIFS('Ruimtestaat'!$N:$N,'Ruimtestaat'!L:L,Vloeronderhoud!E22,'Ruimtestaat'!A:A,Vloeronderhoud!A22)</f>
        <v>1503.7274999999997</v>
      </c>
      <c r="G22" s="236">
        <v>1</v>
      </c>
      <c r="H22" s="220">
        <f>VLOOKUP(OverzichtVloer[[#This Row],[Code Taak]],InvulVloer[],3,3)*F22*G22</f>
        <v>0</v>
      </c>
    </row>
    <row r="23" spans="1:9" ht="15" customHeight="1">
      <c r="A23" s="218">
        <v>1</v>
      </c>
      <c r="B23" s="168" t="str">
        <f>VLOOKUP(OverzichtVloer[[#This Row],[Code Locatie]],Locaties[],2,0)</f>
        <v>Hoornbeeck College Amersfoort</v>
      </c>
      <c r="C23" s="218">
        <v>2</v>
      </c>
      <c r="D23" s="219" t="str">
        <f>IF(Vloeronderhoud!$C23&gt;0,VLOOKUP(Vloeronderhoud!$C23,$A$8:$B$17,2,FALSE),"")</f>
        <v>Polymeren</v>
      </c>
      <c r="E23" s="180" t="s">
        <v>111</v>
      </c>
      <c r="F23" s="174">
        <f>SUMIFS('Ruimtestaat'!$N:$N,'Ruimtestaat'!L:L,Vloeronderhoud!E23,'Ruimtestaat'!A:A,Vloeronderhoud!A23)</f>
        <v>1503.7274999999997</v>
      </c>
      <c r="G23" s="236">
        <v>1</v>
      </c>
      <c r="H23" s="220">
        <f>VLOOKUP(OverzichtVloer[[#This Row],[Code Taak]],InvulVloer[],3,3)*F23*G23</f>
        <v>0</v>
      </c>
    </row>
    <row r="24" spans="1:9" ht="15" customHeight="1">
      <c r="A24" s="218">
        <v>1</v>
      </c>
      <c r="B24" s="168" t="str">
        <f>VLOOKUP(OverzichtVloer[[#This Row],[Code Locatie]],Locaties[],2,0)</f>
        <v>Hoornbeeck College Amersfoort</v>
      </c>
      <c r="C24" s="218">
        <v>3</v>
      </c>
      <c r="D24" s="219" t="str">
        <f>IF(Vloeronderhoud!$C24&gt;0,VLOOKUP(Vloeronderhoud!$C24,$A$8:$B$17,2,FALSE),"")</f>
        <v>Diepstrippen, sealen en conserveren</v>
      </c>
      <c r="E24" s="180" t="s">
        <v>111</v>
      </c>
      <c r="F24" s="174">
        <f>SUMIFS('Ruimtestaat'!$N:$N,'Ruimtestaat'!L:L,Vloeronderhoud!E24,'Ruimtestaat'!A:A,Vloeronderhoud!A24)</f>
        <v>1503.7274999999997</v>
      </c>
      <c r="G24" s="180">
        <v>0.25</v>
      </c>
      <c r="H24" s="220">
        <f>VLOOKUP(OverzichtVloer[[#This Row],[Code Taak]],InvulVloer[],3,3)*F24*G24</f>
        <v>0</v>
      </c>
    </row>
    <row r="25" spans="1:9" ht="15" customHeight="1">
      <c r="A25" s="189"/>
      <c r="B25" s="190" t="s">
        <v>33</v>
      </c>
      <c r="C25" s="189"/>
      <c r="D25" s="191"/>
      <c r="E25" s="189"/>
      <c r="F25" s="192"/>
      <c r="G25" s="189"/>
      <c r="H25" s="193">
        <f>SUBTOTAL(109,OverzichtVloer[Kosten/jaar excl. BTW])</f>
        <v>0</v>
      </c>
    </row>
    <row r="26" spans="1:9" ht="15" customHeight="1">
      <c r="A26" s="27"/>
      <c r="C26" s="25"/>
      <c r="D26" s="25"/>
      <c r="E26" s="25"/>
      <c r="F26" s="172"/>
      <c r="G26" s="34"/>
      <c r="H26" s="26"/>
    </row>
  </sheetData>
  <mergeCells count="2">
    <mergeCell ref="A1:H1"/>
    <mergeCell ref="A2:H2"/>
  </mergeCells>
  <pageMargins left="0.70866141732283472" right="0.70866141732283472" top="0.35433070866141736" bottom="0.47244094488188981" header="0.31496062992125984" footer="0.31496062992125984"/>
  <pageSetup paperSize="9" scale="61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9AD0E-EB19-4A39-8C8E-AEF7793986D6}">
  <sheetPr>
    <tabColor theme="0" tint="-0.14999847407452621"/>
  </sheetPr>
  <dimension ref="A1:I90"/>
  <sheetViews>
    <sheetView workbookViewId="0">
      <selection activeCell="E28" sqref="E28:E29"/>
    </sheetView>
  </sheetViews>
  <sheetFormatPr defaultColWidth="9.140625" defaultRowHeight="11.25"/>
  <cols>
    <col min="1" max="1" width="11.5703125" style="24" customWidth="1"/>
    <col min="2" max="2" width="47.42578125" style="4" bestFit="1" customWidth="1"/>
    <col min="3" max="3" width="12.5703125" style="4" customWidth="1"/>
    <col min="4" max="4" width="52.140625" style="24" bestFit="1" customWidth="1"/>
    <col min="5" max="5" width="19" style="4" customWidth="1"/>
    <col min="6" max="6" width="15.28515625" style="4" customWidth="1"/>
    <col min="7" max="7" width="21" style="4" customWidth="1"/>
    <col min="8" max="8" width="17.5703125" style="4" customWidth="1"/>
    <col min="9" max="9" width="17.7109375" style="4" bestFit="1" customWidth="1"/>
    <col min="10" max="16384" width="9.140625" style="4"/>
  </cols>
  <sheetData>
    <row r="1" spans="1:9" s="7" customFormat="1" ht="26.25" customHeight="1">
      <c r="A1" s="347" t="s">
        <v>545</v>
      </c>
      <c r="B1" s="347"/>
      <c r="C1" s="347"/>
      <c r="D1" s="347"/>
      <c r="E1" s="347"/>
      <c r="F1" s="347"/>
      <c r="G1" s="347"/>
      <c r="H1" s="66"/>
    </row>
    <row r="2" spans="1:9" s="7" customFormat="1" ht="15" customHeight="1">
      <c r="A2" s="356" t="s">
        <v>217</v>
      </c>
      <c r="B2" s="357"/>
      <c r="C2" s="357"/>
      <c r="D2" s="357"/>
      <c r="E2" s="357"/>
      <c r="F2" s="357"/>
      <c r="G2" s="369"/>
    </row>
    <row r="3" spans="1:9" ht="15" customHeight="1">
      <c r="B3" s="24"/>
      <c r="D3" s="238"/>
      <c r="E3" s="239"/>
    </row>
    <row r="4" spans="1:9" ht="15" customHeight="1">
      <c r="A4" s="4" t="s">
        <v>178</v>
      </c>
      <c r="B4" s="24"/>
      <c r="D4" s="238"/>
      <c r="E4" s="238"/>
    </row>
    <row r="5" spans="1:9" ht="15" customHeight="1">
      <c r="A5" s="4" t="s">
        <v>242</v>
      </c>
      <c r="B5" s="24"/>
      <c r="D5" s="4"/>
    </row>
    <row r="6" spans="1:9" ht="15" customHeight="1">
      <c r="A6" s="4" t="s">
        <v>199</v>
      </c>
      <c r="B6" s="28"/>
      <c r="C6" s="28"/>
      <c r="D6" s="23"/>
      <c r="E6" s="23"/>
      <c r="F6" s="29"/>
      <c r="G6" s="29"/>
    </row>
    <row r="7" spans="1:9" ht="15" customHeight="1">
      <c r="A7" s="4"/>
      <c r="B7" s="28"/>
      <c r="C7" s="28"/>
      <c r="D7" s="23"/>
      <c r="E7" s="370" t="s">
        <v>253</v>
      </c>
      <c r="F7" s="370"/>
      <c r="G7" s="370"/>
      <c r="H7" s="370"/>
      <c r="I7" s="370"/>
    </row>
    <row r="8" spans="1:9" s="19" customFormat="1" ht="26.25" customHeight="1">
      <c r="A8" s="47" t="s">
        <v>546</v>
      </c>
      <c r="B8" s="48" t="s">
        <v>547</v>
      </c>
      <c r="C8" s="49" t="s">
        <v>176</v>
      </c>
      <c r="D8" s="47" t="s">
        <v>151</v>
      </c>
      <c r="E8" s="47" t="s">
        <v>248</v>
      </c>
      <c r="F8" s="47" t="s">
        <v>250</v>
      </c>
      <c r="G8" s="47" t="s">
        <v>249</v>
      </c>
      <c r="H8" s="47" t="s">
        <v>247</v>
      </c>
      <c r="I8" s="47" t="s">
        <v>260</v>
      </c>
    </row>
    <row r="9" spans="1:9" ht="15" customHeight="1">
      <c r="A9" s="218">
        <v>1</v>
      </c>
      <c r="B9" s="240" t="s">
        <v>548</v>
      </c>
      <c r="C9" s="52">
        <v>0</v>
      </c>
      <c r="D9" s="168" t="s">
        <v>549</v>
      </c>
      <c r="E9" s="212" t="e">
        <f>(InvulGlas[[#This Row],[Prijs excl. BTW]]*Tariefsopbouw!$I$37)+InvulGlas[[#This Row],[Prijs excl. BTW]]</f>
        <v>#DIV/0!</v>
      </c>
      <c r="F9" s="254" t="e">
        <f>E9*Tariefsopbouw!$K$37+Glasbewassing!E9</f>
        <v>#DIV/0!</v>
      </c>
      <c r="G9" s="212" t="e">
        <f>F9*Tariefsopbouw!$M$37+Glasbewassing!F9</f>
        <v>#DIV/0!</v>
      </c>
      <c r="H9" s="254" t="e">
        <f>G9*Tariefsopbouw!$O$37+Glasbewassing!G9</f>
        <v>#DIV/0!</v>
      </c>
      <c r="I9" s="212" t="e">
        <f>H9*Tariefsopbouw!$Q$37+Glasbewassing!H9</f>
        <v>#DIV/0!</v>
      </c>
    </row>
    <row r="10" spans="1:9" ht="15" customHeight="1">
      <c r="A10" s="218">
        <v>2</v>
      </c>
      <c r="B10" s="240" t="s">
        <v>550</v>
      </c>
      <c r="C10" s="52">
        <v>0</v>
      </c>
      <c r="D10" s="168" t="s">
        <v>549</v>
      </c>
      <c r="E10" s="212" t="e">
        <f>(InvulGlas[[#This Row],[Prijs excl. BTW]]*Tariefsopbouw!$I$37)+InvulGlas[[#This Row],[Prijs excl. BTW]]</f>
        <v>#DIV/0!</v>
      </c>
      <c r="F10" s="212" t="e">
        <f>E10*Tariefsopbouw!$K$37+Glasbewassing!E10</f>
        <v>#DIV/0!</v>
      </c>
      <c r="G10" s="212" t="e">
        <f>F10*Tariefsopbouw!$M$37+Glasbewassing!F10</f>
        <v>#DIV/0!</v>
      </c>
      <c r="H10" s="212" t="e">
        <f>G10*Tariefsopbouw!$O$37+Glasbewassing!G10</f>
        <v>#DIV/0!</v>
      </c>
      <c r="I10" s="212" t="e">
        <f>H10*Tariefsopbouw!$Q$37+Glasbewassing!H10</f>
        <v>#DIV/0!</v>
      </c>
    </row>
    <row r="11" spans="1:9" ht="15" customHeight="1">
      <c r="A11" s="218">
        <v>3</v>
      </c>
      <c r="B11" s="240" t="s">
        <v>551</v>
      </c>
      <c r="C11" s="52">
        <v>0</v>
      </c>
      <c r="D11" s="168" t="s">
        <v>549</v>
      </c>
      <c r="E11" s="212" t="e">
        <f>(InvulGlas[[#This Row],[Prijs excl. BTW]]*Tariefsopbouw!$I$37)+InvulGlas[[#This Row],[Prijs excl. BTW]]</f>
        <v>#DIV/0!</v>
      </c>
      <c r="F11" s="212" t="e">
        <f>E11*Tariefsopbouw!$K$37+Glasbewassing!E11</f>
        <v>#DIV/0!</v>
      </c>
      <c r="G11" s="212" t="e">
        <f>F11*Tariefsopbouw!$M$37+Glasbewassing!F11</f>
        <v>#DIV/0!</v>
      </c>
      <c r="H11" s="212" t="e">
        <f>G11*Tariefsopbouw!$O$37+Glasbewassing!G11</f>
        <v>#DIV/0!</v>
      </c>
      <c r="I11" s="212" t="e">
        <f>H11*Tariefsopbouw!$Q$37+Glasbewassing!H11</f>
        <v>#DIV/0!</v>
      </c>
    </row>
    <row r="12" spans="1:9" ht="15" customHeight="1">
      <c r="A12" s="218">
        <v>4</v>
      </c>
      <c r="B12" s="240" t="s">
        <v>552</v>
      </c>
      <c r="C12" s="52">
        <v>0</v>
      </c>
      <c r="D12" s="168" t="s">
        <v>549</v>
      </c>
      <c r="E12" s="212" t="e">
        <f>(InvulGlas[[#This Row],[Prijs excl. BTW]]*Tariefsopbouw!$I$37)+InvulGlas[[#This Row],[Prijs excl. BTW]]</f>
        <v>#DIV/0!</v>
      </c>
      <c r="F12" s="212" t="e">
        <f>E12*Tariefsopbouw!$K$37+Glasbewassing!E12</f>
        <v>#DIV/0!</v>
      </c>
      <c r="G12" s="212" t="e">
        <f>F12*Tariefsopbouw!$M$37+Glasbewassing!F12</f>
        <v>#DIV/0!</v>
      </c>
      <c r="H12" s="212" t="e">
        <f>G12*Tariefsopbouw!$O$37+Glasbewassing!G12</f>
        <v>#DIV/0!</v>
      </c>
      <c r="I12" s="212" t="e">
        <f>H12*Tariefsopbouw!$Q$37+Glasbewassing!H12</f>
        <v>#DIV/0!</v>
      </c>
    </row>
    <row r="13" spans="1:9" ht="15" customHeight="1">
      <c r="A13" s="218">
        <v>5</v>
      </c>
      <c r="B13" s="240" t="s">
        <v>553</v>
      </c>
      <c r="C13" s="52">
        <v>0</v>
      </c>
      <c r="D13" s="168" t="s">
        <v>549</v>
      </c>
      <c r="E13" s="212" t="e">
        <f>(InvulGlas[[#This Row],[Prijs excl. BTW]]*Tariefsopbouw!$I$37)+InvulGlas[[#This Row],[Prijs excl. BTW]]</f>
        <v>#DIV/0!</v>
      </c>
      <c r="F13" s="212" t="e">
        <f>E13*Tariefsopbouw!$K$37+Glasbewassing!E13</f>
        <v>#DIV/0!</v>
      </c>
      <c r="G13" s="212" t="e">
        <f>F13*Tariefsopbouw!$M$37+Glasbewassing!F13</f>
        <v>#DIV/0!</v>
      </c>
      <c r="H13" s="212" t="e">
        <f>G13*Tariefsopbouw!$O$37+Glasbewassing!G13</f>
        <v>#DIV/0!</v>
      </c>
      <c r="I13" s="212" t="e">
        <f>H13*Tariefsopbouw!$Q$37+Glasbewassing!H13</f>
        <v>#DIV/0!</v>
      </c>
    </row>
    <row r="14" spans="1:9" ht="15" customHeight="1">
      <c r="A14" s="218">
        <v>6</v>
      </c>
      <c r="B14" s="240" t="s">
        <v>554</v>
      </c>
      <c r="C14" s="52">
        <v>0</v>
      </c>
      <c r="D14" s="168" t="s">
        <v>549</v>
      </c>
      <c r="E14" s="212" t="e">
        <f>(InvulGlas[[#This Row],[Prijs excl. BTW]]*Tariefsopbouw!$I$37)+InvulGlas[[#This Row],[Prijs excl. BTW]]</f>
        <v>#DIV/0!</v>
      </c>
      <c r="F14" s="212" t="e">
        <f>E14*Tariefsopbouw!$K$37+Glasbewassing!E14</f>
        <v>#DIV/0!</v>
      </c>
      <c r="G14" s="212" t="e">
        <f>F14*Tariefsopbouw!$M$37+Glasbewassing!F14</f>
        <v>#DIV/0!</v>
      </c>
      <c r="H14" s="212" t="e">
        <f>G14*Tariefsopbouw!$O$37+Glasbewassing!G14</f>
        <v>#DIV/0!</v>
      </c>
      <c r="I14" s="212" t="e">
        <f>H14*Tariefsopbouw!$Q$37+Glasbewassing!H14</f>
        <v>#DIV/0!</v>
      </c>
    </row>
    <row r="15" spans="1:9" ht="15" customHeight="1">
      <c r="A15" s="218">
        <v>7</v>
      </c>
      <c r="B15" s="240" t="s">
        <v>555</v>
      </c>
      <c r="C15" s="52">
        <v>0</v>
      </c>
      <c r="D15" s="168" t="s">
        <v>549</v>
      </c>
      <c r="E15" s="212" t="e">
        <f>(InvulGlas[[#This Row],[Prijs excl. BTW]]*Tariefsopbouw!$I$37)+InvulGlas[[#This Row],[Prijs excl. BTW]]</f>
        <v>#DIV/0!</v>
      </c>
      <c r="F15" s="212" t="e">
        <f>E15*Tariefsopbouw!$K$37+Glasbewassing!E15</f>
        <v>#DIV/0!</v>
      </c>
      <c r="G15" s="212" t="e">
        <f>F15*Tariefsopbouw!$M$37+Glasbewassing!F15</f>
        <v>#DIV/0!</v>
      </c>
      <c r="H15" s="212" t="e">
        <f>G15*Tariefsopbouw!$O$37+Glasbewassing!G15</f>
        <v>#DIV/0!</v>
      </c>
      <c r="I15" s="212" t="e">
        <f>H15*Tariefsopbouw!$Q$37+Glasbewassing!H15</f>
        <v>#DIV/0!</v>
      </c>
    </row>
    <row r="16" spans="1:9" ht="15" customHeight="1">
      <c r="A16" s="218">
        <v>8</v>
      </c>
      <c r="B16" s="240" t="s">
        <v>556</v>
      </c>
      <c r="C16" s="52">
        <v>0</v>
      </c>
      <c r="D16" s="168" t="s">
        <v>549</v>
      </c>
      <c r="E16" s="212" t="e">
        <f>(InvulGlas[[#This Row],[Prijs excl. BTW]]*Tariefsopbouw!$I$37)+InvulGlas[[#This Row],[Prijs excl. BTW]]</f>
        <v>#DIV/0!</v>
      </c>
      <c r="F16" s="212" t="e">
        <f>E16*Tariefsopbouw!$K$37+Glasbewassing!E16</f>
        <v>#DIV/0!</v>
      </c>
      <c r="G16" s="212" t="e">
        <f>F16*Tariefsopbouw!$M$37+Glasbewassing!F16</f>
        <v>#DIV/0!</v>
      </c>
      <c r="H16" s="212" t="e">
        <f>G16*Tariefsopbouw!$O$37+Glasbewassing!G16</f>
        <v>#DIV/0!</v>
      </c>
      <c r="I16" s="212" t="e">
        <f>H16*Tariefsopbouw!$Q$37+Glasbewassing!H16</f>
        <v>#DIV/0!</v>
      </c>
    </row>
    <row r="17" spans="1:9" ht="15" customHeight="1">
      <c r="A17" s="218">
        <v>9</v>
      </c>
      <c r="B17" s="240" t="s">
        <v>568</v>
      </c>
      <c r="C17" s="52">
        <v>0</v>
      </c>
      <c r="D17" s="168" t="s">
        <v>589</v>
      </c>
      <c r="E17" s="212" t="e">
        <f>(InvulGlas[[#This Row],[Prijs excl. BTW]]*Tariefsopbouw!$I$37)+InvulGlas[[#This Row],[Prijs excl. BTW]]</f>
        <v>#DIV/0!</v>
      </c>
      <c r="F17" s="212" t="e">
        <f>E17*Tariefsopbouw!$K$37+Glasbewassing!E17</f>
        <v>#DIV/0!</v>
      </c>
      <c r="G17" s="212" t="e">
        <f>F17*Tariefsopbouw!$M$37+Glasbewassing!F17</f>
        <v>#DIV/0!</v>
      </c>
      <c r="H17" s="212" t="e">
        <f>G17*Tariefsopbouw!$O$37+Glasbewassing!G17</f>
        <v>#DIV/0!</v>
      </c>
      <c r="I17" s="212" t="e">
        <f>H17*Tariefsopbouw!$Q$37+Glasbewassing!H17</f>
        <v>#DIV/0!</v>
      </c>
    </row>
    <row r="18" spans="1:9" ht="15" customHeight="1">
      <c r="A18" s="218" t="s">
        <v>557</v>
      </c>
      <c r="B18" s="240" t="s">
        <v>558</v>
      </c>
      <c r="C18" s="52">
        <v>0</v>
      </c>
      <c r="D18" s="168" t="s">
        <v>47</v>
      </c>
      <c r="E18" s="212" t="e">
        <f>(InvulGlas[[#This Row],[Prijs excl. BTW]]*Tariefsopbouw!$I$37)+InvulGlas[[#This Row],[Prijs excl. BTW]]</f>
        <v>#DIV/0!</v>
      </c>
      <c r="F18" s="212" t="e">
        <f>E18*Tariefsopbouw!$K$37+Glasbewassing!E18</f>
        <v>#DIV/0!</v>
      </c>
      <c r="G18" s="212" t="e">
        <f>F18*Tariefsopbouw!$M$37+Glasbewassing!F18</f>
        <v>#DIV/0!</v>
      </c>
      <c r="H18" s="212" t="e">
        <f>G18*Tariefsopbouw!$O$37+Glasbewassing!G18</f>
        <v>#DIV/0!</v>
      </c>
      <c r="I18" s="212" t="e">
        <f>H18*Tariefsopbouw!$Q$37+Glasbewassing!H18</f>
        <v>#DIV/0!</v>
      </c>
    </row>
    <row r="19" spans="1:9" ht="15" customHeight="1">
      <c r="A19" s="218" t="s">
        <v>559</v>
      </c>
      <c r="B19" s="240" t="s">
        <v>560</v>
      </c>
      <c r="C19" s="52">
        <v>0</v>
      </c>
      <c r="D19" s="168" t="s">
        <v>47</v>
      </c>
      <c r="E19" s="212" t="e">
        <f>(InvulGlas[[#This Row],[Prijs excl. BTW]]*Tariefsopbouw!$I$37)+InvulGlas[[#This Row],[Prijs excl. BTW]]</f>
        <v>#DIV/0!</v>
      </c>
      <c r="F19" s="212" t="e">
        <f>E19*Tariefsopbouw!$K$37+Glasbewassing!E19</f>
        <v>#DIV/0!</v>
      </c>
      <c r="G19" s="212" t="e">
        <f>F19*Tariefsopbouw!$M$37+Glasbewassing!F19</f>
        <v>#DIV/0!</v>
      </c>
      <c r="H19" s="212" t="e">
        <f>G19*Tariefsopbouw!$O$37+Glasbewassing!G19</f>
        <v>#DIV/0!</v>
      </c>
      <c r="I19" s="212" t="e">
        <f>H19*Tariefsopbouw!$Q$37+Glasbewassing!H19</f>
        <v>#DIV/0!</v>
      </c>
    </row>
    <row r="20" spans="1:9" ht="15" customHeight="1">
      <c r="A20" s="218" t="s">
        <v>561</v>
      </c>
      <c r="B20" s="240" t="s">
        <v>562</v>
      </c>
      <c r="C20" s="52">
        <v>0</v>
      </c>
      <c r="D20" s="168" t="s">
        <v>47</v>
      </c>
      <c r="E20" s="212" t="e">
        <f>(InvulGlas[[#This Row],[Prijs excl. BTW]]*Tariefsopbouw!$I$37)+InvulGlas[[#This Row],[Prijs excl. BTW]]</f>
        <v>#DIV/0!</v>
      </c>
      <c r="F20" s="212" t="e">
        <f>E20*Tariefsopbouw!$K$37+Glasbewassing!E20</f>
        <v>#DIV/0!</v>
      </c>
      <c r="G20" s="212" t="e">
        <f>F20*Tariefsopbouw!$M$37+Glasbewassing!F20</f>
        <v>#DIV/0!</v>
      </c>
      <c r="H20" s="212" t="e">
        <f>G20*Tariefsopbouw!$O$37+Glasbewassing!G20</f>
        <v>#DIV/0!</v>
      </c>
      <c r="I20" s="212" t="e">
        <f>H20*Tariefsopbouw!$Q$37+Glasbewassing!H20</f>
        <v>#DIV/0!</v>
      </c>
    </row>
    <row r="21" spans="1:9" ht="15" customHeight="1">
      <c r="A21" s="218" t="s">
        <v>563</v>
      </c>
      <c r="B21" s="240" t="s">
        <v>564</v>
      </c>
      <c r="C21" s="52">
        <v>0</v>
      </c>
      <c r="D21" s="168" t="s">
        <v>47</v>
      </c>
      <c r="E21" s="241" t="e">
        <f>(InvulGlas[[#This Row],[Prijs excl. BTW]]*Tariefsopbouw!$I$37)+InvulGlas[[#This Row],[Prijs excl. BTW]]</f>
        <v>#DIV/0!</v>
      </c>
      <c r="F21" s="241" t="e">
        <f>E21*Tariefsopbouw!$K$37+Glasbewassing!E21</f>
        <v>#DIV/0!</v>
      </c>
      <c r="G21" s="241" t="e">
        <f>F21*Tariefsopbouw!$M$37+Glasbewassing!F21</f>
        <v>#DIV/0!</v>
      </c>
      <c r="H21" s="212" t="e">
        <f>G21*Tariefsopbouw!$O$37+Glasbewassing!G21</f>
        <v>#DIV/0!</v>
      </c>
      <c r="I21" s="241" t="e">
        <f>H21*Tariefsopbouw!$Q$37+Glasbewassing!H21</f>
        <v>#DIV/0!</v>
      </c>
    </row>
    <row r="22" spans="1:9" ht="15" customHeight="1">
      <c r="C22" s="25"/>
      <c r="D22" s="25"/>
    </row>
    <row r="23" spans="1:9" s="247" customFormat="1" ht="26.25" customHeight="1">
      <c r="A23" s="242" t="s">
        <v>214</v>
      </c>
      <c r="B23" s="242" t="s">
        <v>149</v>
      </c>
      <c r="C23" s="242" t="s">
        <v>546</v>
      </c>
      <c r="D23" s="243" t="s">
        <v>547</v>
      </c>
      <c r="E23" s="243" t="s">
        <v>565</v>
      </c>
      <c r="F23" s="243" t="s">
        <v>566</v>
      </c>
      <c r="G23" s="244" t="s">
        <v>150</v>
      </c>
      <c r="H23" s="245" t="s">
        <v>567</v>
      </c>
      <c r="I23" s="246" t="s">
        <v>174</v>
      </c>
    </row>
    <row r="24" spans="1:9" ht="15" customHeight="1">
      <c r="A24" s="218">
        <v>1</v>
      </c>
      <c r="B24" s="248" t="str">
        <f>VLOOKUP(OverzichtGlas[[#This Row],[Code Locatie]],Totalisatie!$A$7:$B$11,2,FALSE)</f>
        <v>Hoornbeeck College Amersfoort</v>
      </c>
      <c r="C24" s="218">
        <v>1</v>
      </c>
      <c r="D24" s="219" t="str">
        <f>IF(Glasbewassing!$C24&gt;0,VLOOKUP(Glasbewassing!$C24,$A$8:$B$21,2,FALSE),"Hier vult u de inzet van eventuele hoogwerkers in")</f>
        <v>Gevelglas binnenzijde</v>
      </c>
      <c r="E24" s="265">
        <v>5340</v>
      </c>
      <c r="F24" s="180">
        <v>2</v>
      </c>
      <c r="G24" s="220">
        <f>IF(C24&gt;0,VLOOKUP(OverzichtGlas[[#This Row],[Code taak]],InvulGlas[],3,0)*E24*F24,0)</f>
        <v>0</v>
      </c>
      <c r="H24" s="220">
        <f>OverzichtGlas[[#This Row],[Kosten/jaar excl. BTW]]*1.21</f>
        <v>0</v>
      </c>
      <c r="I24" s="218"/>
    </row>
    <row r="25" spans="1:9" ht="15" customHeight="1">
      <c r="A25" s="218">
        <v>1</v>
      </c>
      <c r="B25" s="248" t="str">
        <f>VLOOKUP(OverzichtGlas[[#This Row],[Code Locatie]],Totalisatie!$A$7:$B$11,2,FALSE)</f>
        <v>Hoornbeeck College Amersfoort</v>
      </c>
      <c r="C25" s="218">
        <v>2</v>
      </c>
      <c r="D25" s="219" t="str">
        <f>IF(Glasbewassing!$C25&gt;0,VLOOKUP(Glasbewassing!$C25,$A$8:$B$21,2,FALSE),"Hier vult u de inzet van eventuele hoogwerkers in")</f>
        <v>Gevelglas buitenzijde</v>
      </c>
      <c r="E25" s="265">
        <v>5340</v>
      </c>
      <c r="F25" s="180">
        <v>2</v>
      </c>
      <c r="G25" s="220">
        <f>IF(C25&gt;0,VLOOKUP(OverzichtGlas[[#This Row],[Code taak]],InvulGlas[],3,0)*E25*F25,0)</f>
        <v>0</v>
      </c>
      <c r="H25" s="220">
        <f>OverzichtGlas[[#This Row],[Kosten/jaar excl. BTW]]*1.21</f>
        <v>0</v>
      </c>
      <c r="I25" s="218"/>
    </row>
    <row r="26" spans="1:9" ht="15" customHeight="1">
      <c r="A26" s="218">
        <v>1</v>
      </c>
      <c r="B26" s="248" t="str">
        <f>VLOOKUP(OverzichtGlas[[#This Row],[Code Locatie]],Totalisatie!$A$7:$B$11,2,FALSE)</f>
        <v>Hoornbeeck College Amersfoort</v>
      </c>
      <c r="C26" s="218">
        <v>3</v>
      </c>
      <c r="D26" s="219" t="str">
        <f>IF(Glasbewassing!$C26&gt;0,VLOOKUP(Glasbewassing!$C26,$A$8:$B$21,2,FALSE),"Hier vult u de inzet van eventuele hoogwerkers in")</f>
        <v>Separatieglas (enkel gemeten, dubbel te wassen)</v>
      </c>
      <c r="E26" s="265">
        <v>3750</v>
      </c>
      <c r="F26" s="180">
        <v>2</v>
      </c>
      <c r="G26" s="220">
        <f>IF(C26&gt;0,VLOOKUP(OverzichtGlas[[#This Row],[Code taak]],InvulGlas[],3,0)*E26*F26,0)</f>
        <v>0</v>
      </c>
      <c r="H26" s="220">
        <f>OverzichtGlas[[#This Row],[Kosten/jaar excl. BTW]]*1.21</f>
        <v>0</v>
      </c>
      <c r="I26" s="218"/>
    </row>
    <row r="27" spans="1:9" ht="15" customHeight="1">
      <c r="A27" s="218">
        <v>1</v>
      </c>
      <c r="B27" s="248" t="str">
        <f>VLOOKUP(OverzichtGlas[[#This Row],[Code Locatie]],Totalisatie!$A$7:$B$11,2,FALSE)</f>
        <v>Hoornbeeck College Amersfoort</v>
      </c>
      <c r="C27" s="218">
        <v>9</v>
      </c>
      <c r="D27" s="23" t="str">
        <f>IF(Glasbewassing!$C27&gt;0,VLOOKUP(Glasbewassing!$C27,$A$8:$B$21,2,FALSE),"Hier vult u de inzet van eventuele hoogwerkers in")</f>
        <v>Zonnepanelen</v>
      </c>
      <c r="E27" s="265">
        <v>869</v>
      </c>
      <c r="F27" s="180">
        <v>1</v>
      </c>
      <c r="G27" s="220">
        <f>IF(C27&gt;0,VLOOKUP(OverzichtGlas[[#This Row],[Code taak]],InvulGlas[],3,0)*E27*F27,0)</f>
        <v>0</v>
      </c>
      <c r="H27" s="220">
        <f>OverzichtGlas[[#This Row],[Kosten/jaar excl. BTW]]*1.21</f>
        <v>0</v>
      </c>
      <c r="I27" s="218"/>
    </row>
    <row r="28" spans="1:9" ht="15" customHeight="1">
      <c r="A28" s="218">
        <v>1</v>
      </c>
      <c r="B28" s="248" t="str">
        <f>VLOOKUP(OverzichtGlas[[#This Row],[Code Locatie]],Totalisatie!$A$7:$B$11,2,FALSE)</f>
        <v>Hoornbeeck College Amersfoort</v>
      </c>
      <c r="C28" s="249"/>
      <c r="D28" s="23" t="str">
        <f>IF(Glasbewassing!$C28&gt;0,VLOOKUP(Glasbewassing!$C28,$A$8:$B$21,2,FALSE),"Hier vult u de inzet van eventuele hoogwerkers in")</f>
        <v>Hier vult u de inzet van eventuele hoogwerkers in</v>
      </c>
      <c r="E28" s="395"/>
      <c r="F28" s="249"/>
      <c r="G28" s="220">
        <f>IF(C28&gt;0,VLOOKUP(OverzichtGlas[[#This Row],[Code taak]],InvulGlas[],3,0)*E28*F28,0)</f>
        <v>0</v>
      </c>
      <c r="H28" s="220">
        <f>OverzichtGlas[[#This Row],[Kosten/jaar excl. BTW]]*1.21</f>
        <v>0</v>
      </c>
      <c r="I28" s="218"/>
    </row>
    <row r="29" spans="1:9" ht="15" customHeight="1">
      <c r="A29" s="218">
        <v>1</v>
      </c>
      <c r="B29" s="248" t="str">
        <f>VLOOKUP(OverzichtGlas[[#This Row],[Code Locatie]],Totalisatie!$A$7:$B$11,2,FALSE)</f>
        <v>Hoornbeeck College Amersfoort</v>
      </c>
      <c r="C29" s="249"/>
      <c r="D29" s="23" t="str">
        <f>IF(Glasbewassing!$C29&gt;0,VLOOKUP(Glasbewassing!$C29,$A$8:$B$21,2,FALSE),"Hier vult u de inzet van eventuele hoogwerkers in")</f>
        <v>Hier vult u de inzet van eventuele hoogwerkers in</v>
      </c>
      <c r="E29" s="395"/>
      <c r="F29" s="249"/>
      <c r="G29" s="220">
        <f>IF(C29&gt;0,VLOOKUP(OverzichtGlas[[#This Row],[Code taak]],InvulGlas[],3,0)*E29*F29,0)</f>
        <v>0</v>
      </c>
      <c r="H29" s="220">
        <f>OverzichtGlas[[#This Row],[Kosten/jaar excl. BTW]]*1.21</f>
        <v>0</v>
      </c>
      <c r="I29" s="218"/>
    </row>
    <row r="30" spans="1:9" ht="15" customHeight="1">
      <c r="A30" s="250" t="s">
        <v>33</v>
      </c>
      <c r="B30" s="251"/>
      <c r="C30" s="250"/>
      <c r="D30" s="252"/>
      <c r="E30" s="250"/>
      <c r="F30" s="250"/>
      <c r="G30" s="253">
        <f>SUBTOTAL(109,OverzichtGlas[Kosten/jaar excl. BTW])</f>
        <v>0</v>
      </c>
      <c r="H30" s="253">
        <f>SUBTOTAL(109,OverzichtGlas[Kosten/jaar incl. BTW])</f>
        <v>0</v>
      </c>
      <c r="I30" s="250"/>
    </row>
    <row r="31" spans="1:9" ht="15" customHeight="1">
      <c r="C31" s="24"/>
      <c r="D31" s="4"/>
    </row>
    <row r="32" spans="1:9" ht="15" customHeight="1">
      <c r="C32" s="24"/>
      <c r="D32" s="4"/>
    </row>
    <row r="33" spans="3:4" ht="15" customHeight="1">
      <c r="C33" s="24"/>
      <c r="D33" s="4"/>
    </row>
    <row r="34" spans="3:4" ht="15" customHeight="1">
      <c r="C34" s="24"/>
      <c r="D34" s="4"/>
    </row>
    <row r="35" spans="3:4" ht="15" customHeight="1">
      <c r="C35" s="24"/>
      <c r="D35" s="4"/>
    </row>
    <row r="36" spans="3:4" ht="15" customHeight="1">
      <c r="C36" s="24"/>
      <c r="D36" s="4"/>
    </row>
    <row r="37" spans="3:4" ht="15" customHeight="1">
      <c r="C37" s="24"/>
      <c r="D37" s="4"/>
    </row>
    <row r="38" spans="3:4" ht="15" customHeight="1">
      <c r="C38" s="24"/>
      <c r="D38" s="4"/>
    </row>
    <row r="39" spans="3:4" ht="15" customHeight="1">
      <c r="C39" s="24"/>
      <c r="D39" s="4"/>
    </row>
    <row r="40" spans="3:4" ht="15" customHeight="1">
      <c r="C40" s="24"/>
      <c r="D40" s="4"/>
    </row>
    <row r="41" spans="3:4" ht="15" customHeight="1">
      <c r="C41" s="24"/>
      <c r="D41" s="4"/>
    </row>
    <row r="42" spans="3:4" ht="15" customHeight="1">
      <c r="C42" s="24"/>
      <c r="D42" s="4"/>
    </row>
    <row r="43" spans="3:4" ht="15" customHeight="1">
      <c r="C43" s="24"/>
      <c r="D43" s="4"/>
    </row>
    <row r="44" spans="3:4" ht="15" customHeight="1">
      <c r="C44" s="24"/>
      <c r="D44" s="4"/>
    </row>
    <row r="45" spans="3:4" ht="15" customHeight="1">
      <c r="C45" s="24"/>
      <c r="D45" s="4"/>
    </row>
    <row r="46" spans="3:4" ht="15" customHeight="1">
      <c r="C46" s="24"/>
      <c r="D46" s="4"/>
    </row>
    <row r="47" spans="3:4" ht="15" customHeight="1">
      <c r="C47" s="24"/>
      <c r="D47" s="4"/>
    </row>
    <row r="48" spans="3:4" ht="15" customHeight="1">
      <c r="C48" s="24"/>
      <c r="D48" s="4"/>
    </row>
    <row r="49" spans="3:4" ht="15" customHeight="1">
      <c r="C49" s="24"/>
      <c r="D49" s="4"/>
    </row>
    <row r="50" spans="3:4" ht="15" customHeight="1">
      <c r="C50" s="24"/>
      <c r="D50" s="4"/>
    </row>
    <row r="51" spans="3:4" ht="15" customHeight="1">
      <c r="C51" s="24"/>
      <c r="D51" s="4"/>
    </row>
    <row r="52" spans="3:4" ht="15" customHeight="1">
      <c r="C52" s="24"/>
      <c r="D52" s="4"/>
    </row>
    <row r="53" spans="3:4" ht="15" customHeight="1">
      <c r="C53" s="24"/>
      <c r="D53" s="4"/>
    </row>
    <row r="54" spans="3:4" ht="15" customHeight="1">
      <c r="C54" s="24"/>
      <c r="D54" s="4"/>
    </row>
    <row r="55" spans="3:4" ht="15" customHeight="1">
      <c r="C55" s="24"/>
      <c r="D55" s="4"/>
    </row>
    <row r="56" spans="3:4" ht="15" customHeight="1">
      <c r="C56" s="24"/>
      <c r="D56" s="4"/>
    </row>
    <row r="57" spans="3:4" ht="15" customHeight="1">
      <c r="C57" s="24"/>
      <c r="D57" s="4"/>
    </row>
    <row r="58" spans="3:4" ht="15" customHeight="1">
      <c r="C58" s="24"/>
      <c r="D58" s="4"/>
    </row>
    <row r="59" spans="3:4" ht="15" customHeight="1">
      <c r="C59" s="24"/>
      <c r="D59" s="4"/>
    </row>
    <row r="60" spans="3:4" ht="15" customHeight="1">
      <c r="C60" s="24"/>
      <c r="D60" s="4"/>
    </row>
    <row r="61" spans="3:4" ht="15" customHeight="1">
      <c r="C61" s="24"/>
      <c r="D61" s="4"/>
    </row>
    <row r="62" spans="3:4" ht="15" customHeight="1">
      <c r="C62" s="24"/>
      <c r="D62" s="4"/>
    </row>
    <row r="63" spans="3:4" ht="15" customHeight="1">
      <c r="C63" s="24"/>
      <c r="D63" s="4"/>
    </row>
    <row r="64" spans="3:4" ht="15" customHeight="1">
      <c r="C64" s="24"/>
      <c r="D64" s="4"/>
    </row>
    <row r="65" spans="3:4" ht="15" customHeight="1">
      <c r="C65" s="24"/>
      <c r="D65" s="4"/>
    </row>
    <row r="66" spans="3:4" ht="15" customHeight="1">
      <c r="C66" s="24"/>
      <c r="D66" s="4"/>
    </row>
    <row r="67" spans="3:4" ht="15" customHeight="1">
      <c r="C67" s="24"/>
      <c r="D67" s="4"/>
    </row>
    <row r="68" spans="3:4" ht="15" customHeight="1">
      <c r="C68" s="24"/>
      <c r="D68" s="4"/>
    </row>
    <row r="69" spans="3:4" ht="15" customHeight="1">
      <c r="C69" s="24"/>
      <c r="D69" s="4"/>
    </row>
    <row r="70" spans="3:4" ht="15" customHeight="1">
      <c r="C70" s="24"/>
      <c r="D70" s="4"/>
    </row>
    <row r="71" spans="3:4" ht="15" customHeight="1">
      <c r="C71" s="24"/>
      <c r="D71" s="4"/>
    </row>
    <row r="72" spans="3:4" ht="15" customHeight="1">
      <c r="C72" s="24"/>
      <c r="D72" s="4"/>
    </row>
    <row r="73" spans="3:4" ht="15" customHeight="1">
      <c r="C73" s="24"/>
      <c r="D73" s="4"/>
    </row>
    <row r="74" spans="3:4" ht="15" customHeight="1">
      <c r="C74" s="24"/>
      <c r="D74" s="4"/>
    </row>
    <row r="75" spans="3:4" ht="15" customHeight="1">
      <c r="C75" s="24"/>
      <c r="D75" s="4"/>
    </row>
    <row r="76" spans="3:4" ht="15" customHeight="1">
      <c r="C76" s="24"/>
      <c r="D76" s="4"/>
    </row>
    <row r="77" spans="3:4" ht="15" customHeight="1">
      <c r="C77" s="24"/>
      <c r="D77" s="4"/>
    </row>
    <row r="78" spans="3:4" ht="15" customHeight="1">
      <c r="C78" s="24"/>
      <c r="D78" s="4"/>
    </row>
    <row r="79" spans="3:4" ht="15" customHeight="1">
      <c r="C79" s="24"/>
      <c r="D79" s="4"/>
    </row>
    <row r="80" spans="3:4" ht="15" customHeight="1">
      <c r="C80" s="24"/>
      <c r="D80" s="4"/>
    </row>
    <row r="81" spans="3:4" ht="15" customHeight="1">
      <c r="C81" s="24"/>
      <c r="D81" s="4"/>
    </row>
    <row r="82" spans="3:4" ht="15" customHeight="1">
      <c r="C82" s="24"/>
      <c r="D82" s="4"/>
    </row>
    <row r="83" spans="3:4" ht="15" customHeight="1">
      <c r="C83" s="24"/>
      <c r="D83" s="4"/>
    </row>
    <row r="84" spans="3:4" ht="15" customHeight="1">
      <c r="C84" s="24"/>
      <c r="D84" s="4"/>
    </row>
    <row r="85" spans="3:4" ht="15" customHeight="1">
      <c r="C85" s="24"/>
      <c r="D85" s="4"/>
    </row>
    <row r="86" spans="3:4" ht="15" customHeight="1">
      <c r="C86" s="24"/>
      <c r="D86" s="4"/>
    </row>
    <row r="87" spans="3:4" ht="15" customHeight="1">
      <c r="C87" s="24"/>
      <c r="D87" s="4"/>
    </row>
    <row r="88" spans="3:4" ht="15" customHeight="1">
      <c r="C88" s="24"/>
      <c r="D88" s="4"/>
    </row>
    <row r="89" spans="3:4" ht="15" customHeight="1">
      <c r="C89" s="24"/>
      <c r="D89" s="4"/>
    </row>
    <row r="90" spans="3:4" ht="15" customHeight="1">
      <c r="C90" s="24"/>
      <c r="D90" s="4"/>
    </row>
  </sheetData>
  <mergeCells count="3">
    <mergeCell ref="A1:G1"/>
    <mergeCell ref="A2:G2"/>
    <mergeCell ref="E7:I7"/>
  </mergeCells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6" ma:contentTypeDescription="Een nieuw document maken." ma:contentTypeScope="" ma:versionID="c6d9403666d96ba40324e184694503c2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62d1ebe47228ed999d61fc3cbe4d7595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35CCAF-B55C-4EA3-9549-24559201B6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F42007-A804-4F44-AC9D-FC8087898404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</ds:schemaRefs>
</ds:datastoreItem>
</file>

<file path=customXml/itemProps3.xml><?xml version="1.0" encoding="utf-8"?>
<ds:datastoreItem xmlns:ds="http://schemas.openxmlformats.org/officeDocument/2006/customXml" ds:itemID="{1233D99E-ECD5-4C42-B5BA-B8D8A9305B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15</vt:i4>
      </vt:variant>
      <vt:variant>
        <vt:lpstr>Benoemde bereiken</vt:lpstr>
      </vt:variant>
      <vt:variant>
        <vt:i4>9</vt:i4>
      </vt:variant>
    </vt:vector>
  </HeadingPairs>
  <TitlesOfParts>
    <vt:vector size="24" baseType="lpstr">
      <vt:lpstr>Overnamegegevens</vt:lpstr>
      <vt:lpstr>Opleverstaat dagelijks</vt:lpstr>
      <vt:lpstr>Werkprogramma periodiek</vt:lpstr>
      <vt:lpstr>Werkprogramma dieptereinigen</vt:lpstr>
      <vt:lpstr>Tariefsopbouw</vt:lpstr>
      <vt:lpstr>Prestatiefactoren</vt:lpstr>
      <vt:lpstr>Ruimtestaat</vt:lpstr>
      <vt:lpstr>Vloeronderhoud</vt:lpstr>
      <vt:lpstr>Glasbewassing</vt:lpstr>
      <vt:lpstr>Extra werkzaamheden</vt:lpstr>
      <vt:lpstr>Reinigingsmiddelen</vt:lpstr>
      <vt:lpstr>korting reinigings</vt:lpstr>
      <vt:lpstr>logistiek</vt:lpstr>
      <vt:lpstr>Regie en afroep</vt:lpstr>
      <vt:lpstr>Totalisatie</vt:lpstr>
      <vt:lpstr>'Extra werkzaamheden'!Afdrukbereik</vt:lpstr>
      <vt:lpstr>Prestatiefactoren!Afdrukbereik</vt:lpstr>
      <vt:lpstr>'Regie en afroep'!Afdrukbereik</vt:lpstr>
      <vt:lpstr>'Ruimtestaat'!Afdrukbereik</vt:lpstr>
      <vt:lpstr>Tariefsopbouw!Afdrukbereik</vt:lpstr>
      <vt:lpstr>Totalisatie!Afdrukbereik</vt:lpstr>
      <vt:lpstr>Vloeronderhoud!Afdrukbereik</vt:lpstr>
      <vt:lpstr>'Werkprogramma dieptereinigen'!Afdrukbereik</vt:lpstr>
      <vt:lpstr>'Ruimtestaat'!Afdruktitels</vt:lpstr>
    </vt:vector>
  </TitlesOfParts>
  <Company>Facet Facilitaire Diensten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calculatiesysteem</dc:title>
  <dc:creator>Mark Reichenfeld</dc:creator>
  <cp:lastModifiedBy>Thijs van Duiven | Inkada Inkoop &amp; Advies</cp:lastModifiedBy>
  <cp:lastPrinted>2018-06-11T07:01:37Z</cp:lastPrinted>
  <dcterms:created xsi:type="dcterms:W3CDTF">1999-03-23T11:24:21Z</dcterms:created>
  <dcterms:modified xsi:type="dcterms:W3CDTF">2022-09-15T11:51:03Z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