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ORG/Schoonmaak 2022/NvI/NVI 1/"/>
    </mc:Choice>
  </mc:AlternateContent>
  <xr:revisionPtr revIDLastSave="1031" documentId="8_{BAD4E4D7-1264-46BE-98C6-6B8A771632EF}" xr6:coauthVersionLast="47" xr6:coauthVersionMax="47" xr10:uidLastSave="{64FAB513-62F6-47A4-B74F-AF7083ACC09C}"/>
  <bookViews>
    <workbookView xWindow="28680" yWindow="-120" windowWidth="29040" windowHeight="15720" tabRatio="786" firstSheet="4" activeTab="13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inigingsmiddelen" sheetId="31" r:id="rId11"/>
    <sheet name="korting reinigings" sheetId="32" r:id="rId12"/>
    <sheet name="Logistiek" sheetId="33" r:id="rId13"/>
    <sheet name="Regie en afroep" sheetId="24" r:id="rId14"/>
    <sheet name="Totalisatie" sheetId="19" r:id="rId15"/>
  </sheets>
  <externalReferences>
    <externalReference r:id="rId16"/>
    <externalReference r:id="rId17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6" hidden="1">'Ruimtestaat'!$B$4:$S$175</definedName>
    <definedName name="_xlnm._FilterDatabase" localSheetId="14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3">'Regie en afroep'!#REF!</definedName>
    <definedName name="_Toc256089721" localSheetId="13">'Regie en afroep'!#REF!</definedName>
    <definedName name="AccessDatabase" hidden="1">"C:\data\excel\BASISWP.mdb"</definedName>
    <definedName name="_xlnm.Print_Area" localSheetId="9">'Extra werkzaamheden'!$A$1:$H$16</definedName>
    <definedName name="_xlnm.Print_Area" localSheetId="1">'Opleverstaat dagelijks'!#REF!</definedName>
    <definedName name="_xlnm.Print_Area" localSheetId="5">Prestatiefactoren!$A$1:$F$50</definedName>
    <definedName name="_xlnm.Print_Area" localSheetId="13">'Regie en afroep'!$A$1:$D$41</definedName>
    <definedName name="_xlnm.Print_Area" localSheetId="6">'Ruimtestaat'!$A$1:$AG$175</definedName>
    <definedName name="_xlnm.Print_Area" localSheetId="4">Tariefsopbouw!$A$1:$Q$42</definedName>
    <definedName name="_xlnm.Print_Area" localSheetId="14">Totalisatie!$A$1:$H$22</definedName>
    <definedName name="_xlnm.Print_Area" localSheetId="7">Vloeronderhoud!$A$1:$H$25</definedName>
    <definedName name="_xlnm.Print_Area" localSheetId="3">'Werkprogramma dieptereinigen'!$A$1:$A$15</definedName>
    <definedName name="_xlnm.Print_Titles" localSheetId="6">'Ruimtestaat'!$A:$H,'Ruimtestaat'!$2:$4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3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9" l="1"/>
  <c r="H13" i="19" s="1"/>
  <c r="H3" i="33"/>
  <c r="H4" i="33" s="1"/>
  <c r="B13" i="32"/>
  <c r="J34" i="31"/>
  <c r="I31" i="31"/>
  <c r="K31" i="31" s="1"/>
  <c r="I30" i="31"/>
  <c r="K30" i="31" s="1"/>
  <c r="I29" i="31"/>
  <c r="K29" i="31" s="1"/>
  <c r="I28" i="31"/>
  <c r="K28" i="31" s="1"/>
  <c r="I27" i="31"/>
  <c r="K27" i="31" s="1"/>
  <c r="I26" i="31"/>
  <c r="K26" i="31" s="1"/>
  <c r="I25" i="31"/>
  <c r="K25" i="31" s="1"/>
  <c r="I24" i="31"/>
  <c r="K24" i="31" s="1"/>
  <c r="G12" i="19" s="1"/>
  <c r="I23" i="31"/>
  <c r="K23" i="31" s="1"/>
  <c r="I22" i="31"/>
  <c r="K22" i="31" s="1"/>
  <c r="I21" i="31"/>
  <c r="K21" i="31" s="1"/>
  <c r="I20" i="31"/>
  <c r="K20" i="31" s="1"/>
  <c r="I19" i="31"/>
  <c r="K19" i="31" s="1"/>
  <c r="I18" i="31"/>
  <c r="K18" i="31" s="1"/>
  <c r="I17" i="31"/>
  <c r="K17" i="31" s="1"/>
  <c r="I16" i="31"/>
  <c r="K16" i="31" s="1"/>
  <c r="I15" i="31"/>
  <c r="K15" i="31" s="1"/>
  <c r="I14" i="31"/>
  <c r="K14" i="31" s="1"/>
  <c r="I13" i="31"/>
  <c r="K13" i="31" s="1"/>
  <c r="I12" i="31"/>
  <c r="K12" i="31" s="1"/>
  <c r="I11" i="31"/>
  <c r="K11" i="31" s="1"/>
  <c r="I10" i="31"/>
  <c r="K10" i="31" s="1"/>
  <c r="I9" i="31"/>
  <c r="K9" i="31" s="1"/>
  <c r="I8" i="31"/>
  <c r="K8" i="31" s="1"/>
  <c r="I7" i="31"/>
  <c r="K7" i="31" s="1"/>
  <c r="I6" i="31"/>
  <c r="K6" i="31" s="1"/>
  <c r="I5" i="31"/>
  <c r="K5" i="31" s="1"/>
  <c r="K33" i="31" l="1"/>
  <c r="G13" i="19" l="1"/>
  <c r="Z155" i="13"/>
  <c r="AA155" i="13" s="1"/>
  <c r="T155" i="13"/>
  <c r="V155" i="13" s="1"/>
  <c r="P155" i="13"/>
  <c r="K155" i="13"/>
  <c r="E155" i="13"/>
  <c r="D155" i="13"/>
  <c r="C155" i="13"/>
  <c r="B155" i="13"/>
  <c r="Z154" i="13"/>
  <c r="AB154" i="13" s="1"/>
  <c r="T154" i="13"/>
  <c r="U154" i="13" s="1"/>
  <c r="W154" i="13" s="1"/>
  <c r="X154" i="13" s="1"/>
  <c r="P154" i="13"/>
  <c r="K154" i="13"/>
  <c r="E154" i="13"/>
  <c r="D154" i="13"/>
  <c r="C154" i="13"/>
  <c r="B154" i="13"/>
  <c r="Z153" i="13"/>
  <c r="AB153" i="13" s="1"/>
  <c r="T153" i="13"/>
  <c r="V153" i="13" s="1"/>
  <c r="P153" i="13"/>
  <c r="K153" i="13"/>
  <c r="E153" i="13"/>
  <c r="D153" i="13"/>
  <c r="C153" i="13"/>
  <c r="B153" i="13"/>
  <c r="Z148" i="13"/>
  <c r="AA148" i="13" s="1"/>
  <c r="T148" i="13"/>
  <c r="V148" i="13" s="1"/>
  <c r="P148" i="13"/>
  <c r="K148" i="13"/>
  <c r="E148" i="13"/>
  <c r="D148" i="13"/>
  <c r="C148" i="13"/>
  <c r="B148" i="13"/>
  <c r="Z105" i="13"/>
  <c r="AB105" i="13" s="1"/>
  <c r="T105" i="13"/>
  <c r="V105" i="13" s="1"/>
  <c r="P105" i="13"/>
  <c r="K105" i="13"/>
  <c r="E105" i="13"/>
  <c r="D105" i="13"/>
  <c r="C105" i="13"/>
  <c r="B105" i="13"/>
  <c r="AC154" i="13" l="1"/>
  <c r="AE153" i="13"/>
  <c r="AC153" i="13"/>
  <c r="AA153" i="13"/>
  <c r="U155" i="13"/>
  <c r="W155" i="13" s="1"/>
  <c r="X155" i="13" s="1"/>
  <c r="V154" i="13"/>
  <c r="AE154" i="13" s="1"/>
  <c r="AB155" i="13"/>
  <c r="U153" i="13"/>
  <c r="W153" i="13" s="1"/>
  <c r="X153" i="13" s="1"/>
  <c r="AA154" i="13"/>
  <c r="AB148" i="13"/>
  <c r="U148" i="13"/>
  <c r="W148" i="13" s="1"/>
  <c r="X148" i="13" s="1"/>
  <c r="AE105" i="13"/>
  <c r="AC105" i="13"/>
  <c r="AA105" i="13"/>
  <c r="U105" i="13"/>
  <c r="W105" i="13" s="1"/>
  <c r="X105" i="13" s="1"/>
  <c r="AE155" i="13" l="1"/>
  <c r="AC155" i="13"/>
  <c r="AD153" i="13"/>
  <c r="AG153" i="13" s="1"/>
  <c r="AF153" i="13"/>
  <c r="AD154" i="13"/>
  <c r="AG154" i="13" s="1"/>
  <c r="AF154" i="13"/>
  <c r="AE148" i="13"/>
  <c r="AC148" i="13"/>
  <c r="AF105" i="13"/>
  <c r="AD105" i="13"/>
  <c r="AG105" i="13" s="1"/>
  <c r="AF155" i="13" l="1"/>
  <c r="AD155" i="13"/>
  <c r="AG155" i="13" s="1"/>
  <c r="AF148" i="13"/>
  <c r="AD148" i="13"/>
  <c r="AG148" i="13" s="1"/>
  <c r="Z73" i="13" l="1"/>
  <c r="AB73" i="13" s="1"/>
  <c r="T73" i="13"/>
  <c r="V73" i="13" s="1"/>
  <c r="P73" i="13"/>
  <c r="K73" i="13"/>
  <c r="E73" i="13"/>
  <c r="D73" i="13"/>
  <c r="C73" i="13"/>
  <c r="B73" i="13"/>
  <c r="Z72" i="13"/>
  <c r="AB72" i="13" s="1"/>
  <c r="T72" i="13"/>
  <c r="V72" i="13" s="1"/>
  <c r="P72" i="13"/>
  <c r="K72" i="13"/>
  <c r="E72" i="13"/>
  <c r="D72" i="13"/>
  <c r="C72" i="13"/>
  <c r="B72" i="13"/>
  <c r="Z56" i="13"/>
  <c r="AB56" i="13" s="1"/>
  <c r="T56" i="13"/>
  <c r="V56" i="13" s="1"/>
  <c r="P56" i="13"/>
  <c r="K56" i="13"/>
  <c r="E56" i="13"/>
  <c r="D56" i="13"/>
  <c r="C56" i="13"/>
  <c r="B56" i="13"/>
  <c r="AE72" i="13" l="1"/>
  <c r="AC72" i="13"/>
  <c r="AE73" i="13"/>
  <c r="AC73" i="13"/>
  <c r="U72" i="13"/>
  <c r="W72" i="13" s="1"/>
  <c r="X72" i="13" s="1"/>
  <c r="AA73" i="13"/>
  <c r="U73" i="13"/>
  <c r="W73" i="13" s="1"/>
  <c r="X73" i="13" s="1"/>
  <c r="AA72" i="13"/>
  <c r="AE56" i="13"/>
  <c r="AC56" i="13"/>
  <c r="AA56" i="13"/>
  <c r="U56" i="13"/>
  <c r="W56" i="13" s="1"/>
  <c r="X56" i="13" s="1"/>
  <c r="E10" i="26"/>
  <c r="Z175" i="13"/>
  <c r="T175" i="13"/>
  <c r="V175" i="13" s="1"/>
  <c r="P175" i="13"/>
  <c r="K175" i="13"/>
  <c r="E175" i="13"/>
  <c r="D175" i="13"/>
  <c r="C175" i="13"/>
  <c r="B175" i="13"/>
  <c r="Z174" i="13"/>
  <c r="AB174" i="13" s="1"/>
  <c r="T174" i="13"/>
  <c r="V174" i="13" s="1"/>
  <c r="P174" i="13"/>
  <c r="K174" i="13"/>
  <c r="E174" i="13"/>
  <c r="D174" i="13"/>
  <c r="C174" i="13"/>
  <c r="B174" i="13"/>
  <c r="Z173" i="13"/>
  <c r="AA173" i="13" s="1"/>
  <c r="T173" i="13"/>
  <c r="P173" i="13"/>
  <c r="K173" i="13"/>
  <c r="E173" i="13"/>
  <c r="D173" i="13"/>
  <c r="C173" i="13"/>
  <c r="B173" i="13"/>
  <c r="Z172" i="13"/>
  <c r="AA172" i="13" s="1"/>
  <c r="T172" i="13"/>
  <c r="V172" i="13" s="1"/>
  <c r="P172" i="13"/>
  <c r="K172" i="13"/>
  <c r="E172" i="13"/>
  <c r="D172" i="13"/>
  <c r="C172" i="13"/>
  <c r="B172" i="13"/>
  <c r="Z171" i="13"/>
  <c r="AB171" i="13" s="1"/>
  <c r="AC171" i="13" s="1"/>
  <c r="T171" i="13"/>
  <c r="P171" i="13"/>
  <c r="K171" i="13"/>
  <c r="E171" i="13"/>
  <c r="D171" i="13"/>
  <c r="C171" i="13"/>
  <c r="B171" i="13"/>
  <c r="Z170" i="13"/>
  <c r="AB170" i="13" s="1"/>
  <c r="T170" i="13"/>
  <c r="P170" i="13"/>
  <c r="K170" i="13"/>
  <c r="E170" i="13"/>
  <c r="D170" i="13"/>
  <c r="C170" i="13"/>
  <c r="B170" i="13"/>
  <c r="Z169" i="13"/>
  <c r="T169" i="13"/>
  <c r="V169" i="13" s="1"/>
  <c r="P169" i="13"/>
  <c r="K169" i="13"/>
  <c r="E169" i="13"/>
  <c r="D169" i="13"/>
  <c r="C169" i="13"/>
  <c r="B169" i="13"/>
  <c r="Z168" i="13"/>
  <c r="T168" i="13"/>
  <c r="V168" i="13" s="1"/>
  <c r="P168" i="13"/>
  <c r="K168" i="13"/>
  <c r="E168" i="13"/>
  <c r="D168" i="13"/>
  <c r="C168" i="13"/>
  <c r="B168" i="13"/>
  <c r="Z167" i="13"/>
  <c r="T167" i="13"/>
  <c r="V167" i="13" s="1"/>
  <c r="P167" i="13"/>
  <c r="K167" i="13"/>
  <c r="E167" i="13"/>
  <c r="D167" i="13"/>
  <c r="C167" i="13"/>
  <c r="B167" i="13"/>
  <c r="Z166" i="13"/>
  <c r="T166" i="13"/>
  <c r="V166" i="13" s="1"/>
  <c r="P166" i="13"/>
  <c r="K166" i="13"/>
  <c r="E166" i="13"/>
  <c r="D166" i="13"/>
  <c r="C166" i="13"/>
  <c r="B166" i="13"/>
  <c r="Z165" i="13"/>
  <c r="T165" i="13"/>
  <c r="P165" i="13"/>
  <c r="K165" i="13"/>
  <c r="E165" i="13"/>
  <c r="D165" i="13"/>
  <c r="C165" i="13"/>
  <c r="B165" i="13"/>
  <c r="Z164" i="13"/>
  <c r="AB164" i="13" s="1"/>
  <c r="T164" i="13"/>
  <c r="P164" i="13"/>
  <c r="K164" i="13"/>
  <c r="E164" i="13"/>
  <c r="D164" i="13"/>
  <c r="C164" i="13"/>
  <c r="B164" i="13"/>
  <c r="Z163" i="13"/>
  <c r="AB163" i="13" s="1"/>
  <c r="T163" i="13"/>
  <c r="P163" i="13"/>
  <c r="K163" i="13"/>
  <c r="E163" i="13"/>
  <c r="D163" i="13"/>
  <c r="C163" i="13"/>
  <c r="B163" i="13"/>
  <c r="Z162" i="13"/>
  <c r="AA162" i="13" s="1"/>
  <c r="T162" i="13"/>
  <c r="V162" i="13" s="1"/>
  <c r="P162" i="13"/>
  <c r="K162" i="13"/>
  <c r="E162" i="13"/>
  <c r="D162" i="13"/>
  <c r="C162" i="13"/>
  <c r="B162" i="13"/>
  <c r="Z161" i="13"/>
  <c r="T161" i="13"/>
  <c r="V161" i="13" s="1"/>
  <c r="P161" i="13"/>
  <c r="K161" i="13"/>
  <c r="E161" i="13"/>
  <c r="D161" i="13"/>
  <c r="C161" i="13"/>
  <c r="B161" i="13"/>
  <c r="Z160" i="13"/>
  <c r="T160" i="13"/>
  <c r="V160" i="13" s="1"/>
  <c r="P160" i="13"/>
  <c r="K160" i="13"/>
  <c r="E160" i="13"/>
  <c r="D160" i="13"/>
  <c r="C160" i="13"/>
  <c r="B160" i="13"/>
  <c r="Z159" i="13"/>
  <c r="AB159" i="13" s="1"/>
  <c r="T159" i="13"/>
  <c r="P159" i="13"/>
  <c r="K159" i="13"/>
  <c r="E159" i="13"/>
  <c r="D159" i="13"/>
  <c r="C159" i="13"/>
  <c r="B159" i="13"/>
  <c r="Z158" i="13"/>
  <c r="AB158" i="13" s="1"/>
  <c r="T158" i="13"/>
  <c r="V158" i="13" s="1"/>
  <c r="P158" i="13"/>
  <c r="K158" i="13"/>
  <c r="E158" i="13"/>
  <c r="D158" i="13"/>
  <c r="C158" i="13"/>
  <c r="B158" i="13"/>
  <c r="Z157" i="13"/>
  <c r="AB157" i="13" s="1"/>
  <c r="AC157" i="13" s="1"/>
  <c r="T157" i="13"/>
  <c r="U157" i="13" s="1"/>
  <c r="W157" i="13" s="1"/>
  <c r="X157" i="13" s="1"/>
  <c r="P157" i="13"/>
  <c r="K157" i="13"/>
  <c r="E157" i="13"/>
  <c r="D157" i="13"/>
  <c r="C157" i="13"/>
  <c r="B157" i="13"/>
  <c r="Z156" i="13"/>
  <c r="AB156" i="13" s="1"/>
  <c r="T156" i="13"/>
  <c r="V156" i="13" s="1"/>
  <c r="P156" i="13"/>
  <c r="K156" i="13"/>
  <c r="E156" i="13"/>
  <c r="D156" i="13"/>
  <c r="C156" i="13"/>
  <c r="B156" i="13"/>
  <c r="Z152" i="13"/>
  <c r="AB152" i="13" s="1"/>
  <c r="AC152" i="13" s="1"/>
  <c r="AD152" i="13" s="1"/>
  <c r="T152" i="13"/>
  <c r="V152" i="13" s="1"/>
  <c r="P152" i="13"/>
  <c r="K152" i="13"/>
  <c r="E152" i="13"/>
  <c r="D152" i="13"/>
  <c r="C152" i="13"/>
  <c r="B152" i="13"/>
  <c r="Z151" i="13"/>
  <c r="T151" i="13"/>
  <c r="V151" i="13" s="1"/>
  <c r="P151" i="13"/>
  <c r="K151" i="13"/>
  <c r="E151" i="13"/>
  <c r="D151" i="13"/>
  <c r="C151" i="13"/>
  <c r="B151" i="13"/>
  <c r="Z150" i="13"/>
  <c r="AB150" i="13" s="1"/>
  <c r="T150" i="13"/>
  <c r="P150" i="13"/>
  <c r="K150" i="13"/>
  <c r="E150" i="13"/>
  <c r="D150" i="13"/>
  <c r="C150" i="13"/>
  <c r="B150" i="13"/>
  <c r="Z149" i="13"/>
  <c r="AB149" i="13" s="1"/>
  <c r="T149" i="13"/>
  <c r="V149" i="13" s="1"/>
  <c r="P149" i="13"/>
  <c r="K149" i="13"/>
  <c r="E149" i="13"/>
  <c r="D149" i="13"/>
  <c r="C149" i="13"/>
  <c r="B149" i="13"/>
  <c r="Z147" i="13"/>
  <c r="AB147" i="13" s="1"/>
  <c r="T147" i="13"/>
  <c r="V147" i="13" s="1"/>
  <c r="P147" i="13"/>
  <c r="K147" i="13"/>
  <c r="E147" i="13"/>
  <c r="D147" i="13"/>
  <c r="C147" i="13"/>
  <c r="B147" i="13"/>
  <c r="Z146" i="13"/>
  <c r="T146" i="13"/>
  <c r="V146" i="13" s="1"/>
  <c r="P146" i="13"/>
  <c r="K146" i="13"/>
  <c r="E146" i="13"/>
  <c r="D146" i="13"/>
  <c r="C146" i="13"/>
  <c r="B146" i="13"/>
  <c r="Z145" i="13"/>
  <c r="AB145" i="13" s="1"/>
  <c r="AC145" i="13" s="1"/>
  <c r="AD145" i="13" s="1"/>
  <c r="T145" i="13"/>
  <c r="P145" i="13"/>
  <c r="K145" i="13"/>
  <c r="E145" i="13"/>
  <c r="D145" i="13"/>
  <c r="C145" i="13"/>
  <c r="B145" i="13"/>
  <c r="Z144" i="13"/>
  <c r="AA144" i="13" s="1"/>
  <c r="T144" i="13"/>
  <c r="V144" i="13" s="1"/>
  <c r="P144" i="13"/>
  <c r="K144" i="13"/>
  <c r="E144" i="13"/>
  <c r="D144" i="13"/>
  <c r="C144" i="13"/>
  <c r="B144" i="13"/>
  <c r="Z143" i="13"/>
  <c r="AB143" i="13" s="1"/>
  <c r="AC143" i="13" s="1"/>
  <c r="AD143" i="13" s="1"/>
  <c r="T143" i="13"/>
  <c r="P143" i="13"/>
  <c r="K143" i="13"/>
  <c r="E143" i="13"/>
  <c r="D143" i="13"/>
  <c r="C143" i="13"/>
  <c r="B143" i="13"/>
  <c r="Z142" i="13"/>
  <c r="AA142" i="13" s="1"/>
  <c r="T142" i="13"/>
  <c r="V142" i="13" s="1"/>
  <c r="P142" i="13"/>
  <c r="K142" i="13"/>
  <c r="E142" i="13"/>
  <c r="D142" i="13"/>
  <c r="C142" i="13"/>
  <c r="B142" i="13"/>
  <c r="Z141" i="13"/>
  <c r="AB141" i="13" s="1"/>
  <c r="AC141" i="13" s="1"/>
  <c r="T141" i="13"/>
  <c r="U141" i="13" s="1"/>
  <c r="W141" i="13" s="1"/>
  <c r="X141" i="13" s="1"/>
  <c r="P141" i="13"/>
  <c r="K141" i="13"/>
  <c r="E141" i="13"/>
  <c r="D141" i="13"/>
  <c r="C141" i="13"/>
  <c r="B141" i="13"/>
  <c r="Z140" i="13"/>
  <c r="T140" i="13"/>
  <c r="V140" i="13" s="1"/>
  <c r="P140" i="13"/>
  <c r="K140" i="13"/>
  <c r="E140" i="13"/>
  <c r="D140" i="13"/>
  <c r="C140" i="13"/>
  <c r="B140" i="13"/>
  <c r="Z139" i="13"/>
  <c r="AB139" i="13" s="1"/>
  <c r="T139" i="13"/>
  <c r="P139" i="13"/>
  <c r="K139" i="13"/>
  <c r="E139" i="13"/>
  <c r="D139" i="13"/>
  <c r="C139" i="13"/>
  <c r="B139" i="13"/>
  <c r="Z138" i="13"/>
  <c r="AA138" i="13" s="1"/>
  <c r="T138" i="13"/>
  <c r="V138" i="13" s="1"/>
  <c r="P138" i="13"/>
  <c r="K138" i="13"/>
  <c r="E138" i="13"/>
  <c r="D138" i="13"/>
  <c r="C138" i="13"/>
  <c r="B138" i="13"/>
  <c r="Z137" i="13"/>
  <c r="AB137" i="13" s="1"/>
  <c r="AC137" i="13" s="1"/>
  <c r="AD137" i="13" s="1"/>
  <c r="T137" i="13"/>
  <c r="U137" i="13" s="1"/>
  <c r="W137" i="13" s="1"/>
  <c r="X137" i="13" s="1"/>
  <c r="P137" i="13"/>
  <c r="K137" i="13"/>
  <c r="E137" i="13"/>
  <c r="D137" i="13"/>
  <c r="C137" i="13"/>
  <c r="B137" i="13"/>
  <c r="Z136" i="13"/>
  <c r="AB136" i="13" s="1"/>
  <c r="T136" i="13"/>
  <c r="V136" i="13" s="1"/>
  <c r="P136" i="13"/>
  <c r="K136" i="13"/>
  <c r="E136" i="13"/>
  <c r="D136" i="13"/>
  <c r="C136" i="13"/>
  <c r="B136" i="13"/>
  <c r="Z135" i="13"/>
  <c r="AB135" i="13" s="1"/>
  <c r="AC135" i="13" s="1"/>
  <c r="T135" i="13"/>
  <c r="V135" i="13" s="1"/>
  <c r="P135" i="13"/>
  <c r="K135" i="13"/>
  <c r="E135" i="13"/>
  <c r="D135" i="13"/>
  <c r="C135" i="13"/>
  <c r="B135" i="13"/>
  <c r="Z134" i="13"/>
  <c r="T134" i="13"/>
  <c r="U134" i="13" s="1"/>
  <c r="W134" i="13" s="1"/>
  <c r="X134" i="13" s="1"/>
  <c r="P134" i="13"/>
  <c r="K134" i="13"/>
  <c r="E134" i="13"/>
  <c r="D134" i="13"/>
  <c r="C134" i="13"/>
  <c r="B134" i="13"/>
  <c r="Z133" i="13"/>
  <c r="AB133" i="13" s="1"/>
  <c r="AC133" i="13" s="1"/>
  <c r="AD133" i="13" s="1"/>
  <c r="T133" i="13"/>
  <c r="P133" i="13"/>
  <c r="K133" i="13"/>
  <c r="E133" i="13"/>
  <c r="D133" i="13"/>
  <c r="C133" i="13"/>
  <c r="B133" i="13"/>
  <c r="Z132" i="13"/>
  <c r="AA132" i="13" s="1"/>
  <c r="T132" i="13"/>
  <c r="V132" i="13" s="1"/>
  <c r="P132" i="13"/>
  <c r="K132" i="13"/>
  <c r="E132" i="13"/>
  <c r="D132" i="13"/>
  <c r="C132" i="13"/>
  <c r="B132" i="13"/>
  <c r="Z131" i="13"/>
  <c r="AB131" i="13" s="1"/>
  <c r="AC131" i="13" s="1"/>
  <c r="T131" i="13"/>
  <c r="U131" i="13" s="1"/>
  <c r="W131" i="13" s="1"/>
  <c r="X131" i="13" s="1"/>
  <c r="P131" i="13"/>
  <c r="K131" i="13"/>
  <c r="E131" i="13"/>
  <c r="D131" i="13"/>
  <c r="C131" i="13"/>
  <c r="B131" i="13"/>
  <c r="Z130" i="13"/>
  <c r="AB130" i="13" s="1"/>
  <c r="T130" i="13"/>
  <c r="V130" i="13" s="1"/>
  <c r="P130" i="13"/>
  <c r="K130" i="13"/>
  <c r="E130" i="13"/>
  <c r="D130" i="13"/>
  <c r="C130" i="13"/>
  <c r="B130" i="13"/>
  <c r="Z129" i="13"/>
  <c r="AA129" i="13" s="1"/>
  <c r="T129" i="13"/>
  <c r="V129" i="13" s="1"/>
  <c r="P129" i="13"/>
  <c r="K129" i="13"/>
  <c r="E129" i="13"/>
  <c r="D129" i="13"/>
  <c r="C129" i="13"/>
  <c r="B129" i="13"/>
  <c r="Z128" i="13"/>
  <c r="AA128" i="13" s="1"/>
  <c r="T128" i="13"/>
  <c r="V128" i="13" s="1"/>
  <c r="P128" i="13"/>
  <c r="K128" i="13"/>
  <c r="E128" i="13"/>
  <c r="D128" i="13"/>
  <c r="C128" i="13"/>
  <c r="B128" i="13"/>
  <c r="Z127" i="13"/>
  <c r="AB127" i="13" s="1"/>
  <c r="T127" i="13"/>
  <c r="U127" i="13" s="1"/>
  <c r="W127" i="13" s="1"/>
  <c r="X127" i="13" s="1"/>
  <c r="P127" i="13"/>
  <c r="K127" i="13"/>
  <c r="E127" i="13"/>
  <c r="D127" i="13"/>
  <c r="C127" i="13"/>
  <c r="B127" i="13"/>
  <c r="Z126" i="13"/>
  <c r="AA126" i="13" s="1"/>
  <c r="T126" i="13"/>
  <c r="V126" i="13" s="1"/>
  <c r="P126" i="13"/>
  <c r="K126" i="13"/>
  <c r="E126" i="13"/>
  <c r="D126" i="13"/>
  <c r="C126" i="13"/>
  <c r="B126" i="13"/>
  <c r="Z125" i="13"/>
  <c r="AB125" i="13" s="1"/>
  <c r="T125" i="13"/>
  <c r="U125" i="13" s="1"/>
  <c r="W125" i="13" s="1"/>
  <c r="X125" i="13" s="1"/>
  <c r="P125" i="13"/>
  <c r="K125" i="13"/>
  <c r="E125" i="13"/>
  <c r="D125" i="13"/>
  <c r="C125" i="13"/>
  <c r="B125" i="13"/>
  <c r="Z124" i="13"/>
  <c r="AA124" i="13" s="1"/>
  <c r="T124" i="13"/>
  <c r="V124" i="13" s="1"/>
  <c r="P124" i="13"/>
  <c r="K124" i="13"/>
  <c r="E124" i="13"/>
  <c r="D124" i="13"/>
  <c r="C124" i="13"/>
  <c r="B124" i="13"/>
  <c r="Z123" i="13"/>
  <c r="AB123" i="13" s="1"/>
  <c r="T123" i="13"/>
  <c r="V123" i="13" s="1"/>
  <c r="P123" i="13"/>
  <c r="K123" i="13"/>
  <c r="E123" i="13"/>
  <c r="D123" i="13"/>
  <c r="C123" i="13"/>
  <c r="B123" i="13"/>
  <c r="Z122" i="13"/>
  <c r="AA122" i="13" s="1"/>
  <c r="T122" i="13"/>
  <c r="V122" i="13" s="1"/>
  <c r="P122" i="13"/>
  <c r="K122" i="13"/>
  <c r="E122" i="13"/>
  <c r="D122" i="13"/>
  <c r="C122" i="13"/>
  <c r="B122" i="13"/>
  <c r="Z121" i="13"/>
  <c r="AA121" i="13" s="1"/>
  <c r="T121" i="13"/>
  <c r="V121" i="13" s="1"/>
  <c r="P121" i="13"/>
  <c r="K121" i="13"/>
  <c r="E121" i="13"/>
  <c r="D121" i="13"/>
  <c r="C121" i="13"/>
  <c r="B121" i="13"/>
  <c r="Z120" i="13"/>
  <c r="T120" i="13"/>
  <c r="U120" i="13" s="1"/>
  <c r="W120" i="13" s="1"/>
  <c r="X120" i="13" s="1"/>
  <c r="P120" i="13"/>
  <c r="K120" i="13"/>
  <c r="E120" i="13"/>
  <c r="D120" i="13"/>
  <c r="C120" i="13"/>
  <c r="B120" i="13"/>
  <c r="Z119" i="13"/>
  <c r="AB119" i="13" s="1"/>
  <c r="T119" i="13"/>
  <c r="P119" i="13"/>
  <c r="K119" i="13"/>
  <c r="E119" i="13"/>
  <c r="D119" i="13"/>
  <c r="C119" i="13"/>
  <c r="B119" i="13"/>
  <c r="Z118" i="13"/>
  <c r="AA118" i="13" s="1"/>
  <c r="T118" i="13"/>
  <c r="V118" i="13" s="1"/>
  <c r="P118" i="13"/>
  <c r="K118" i="13"/>
  <c r="E118" i="13"/>
  <c r="D118" i="13"/>
  <c r="C118" i="13"/>
  <c r="B118" i="13"/>
  <c r="Z117" i="13"/>
  <c r="AA117" i="13" s="1"/>
  <c r="T117" i="13"/>
  <c r="V117" i="13" s="1"/>
  <c r="P117" i="13"/>
  <c r="K117" i="13"/>
  <c r="E117" i="13"/>
  <c r="D117" i="13"/>
  <c r="C117" i="13"/>
  <c r="B117" i="13"/>
  <c r="Z116" i="13"/>
  <c r="AA116" i="13" s="1"/>
  <c r="T116" i="13"/>
  <c r="V116" i="13" s="1"/>
  <c r="P116" i="13"/>
  <c r="K116" i="13"/>
  <c r="E116" i="13"/>
  <c r="D116" i="13"/>
  <c r="C116" i="13"/>
  <c r="B116" i="13"/>
  <c r="Z115" i="13"/>
  <c r="AA115" i="13" s="1"/>
  <c r="T115" i="13"/>
  <c r="V115" i="13" s="1"/>
  <c r="P115" i="13"/>
  <c r="K115" i="13"/>
  <c r="E115" i="13"/>
  <c r="D115" i="13"/>
  <c r="C115" i="13"/>
  <c r="B115" i="13"/>
  <c r="Z114" i="13"/>
  <c r="T114" i="13"/>
  <c r="U114" i="13" s="1"/>
  <c r="W114" i="13" s="1"/>
  <c r="X114" i="13" s="1"/>
  <c r="P114" i="13"/>
  <c r="K114" i="13"/>
  <c r="E114" i="13"/>
  <c r="D114" i="13"/>
  <c r="C114" i="13"/>
  <c r="B114" i="13"/>
  <c r="Z113" i="13"/>
  <c r="AB113" i="13" s="1"/>
  <c r="AC113" i="13" s="1"/>
  <c r="AD113" i="13" s="1"/>
  <c r="T113" i="13"/>
  <c r="P113" i="13"/>
  <c r="K113" i="13"/>
  <c r="E113" i="13"/>
  <c r="D113" i="13"/>
  <c r="C113" i="13"/>
  <c r="B113" i="13"/>
  <c r="Z112" i="13"/>
  <c r="AA112" i="13" s="1"/>
  <c r="T112" i="13"/>
  <c r="V112" i="13" s="1"/>
  <c r="P112" i="13"/>
  <c r="K112" i="13"/>
  <c r="E112" i="13"/>
  <c r="D112" i="13"/>
  <c r="C112" i="13"/>
  <c r="B112" i="13"/>
  <c r="Z111" i="13"/>
  <c r="AB111" i="13" s="1"/>
  <c r="AC111" i="13" s="1"/>
  <c r="T111" i="13"/>
  <c r="V111" i="13" s="1"/>
  <c r="P111" i="13"/>
  <c r="K111" i="13"/>
  <c r="E111" i="13"/>
  <c r="D111" i="13"/>
  <c r="C111" i="13"/>
  <c r="B111" i="13"/>
  <c r="Z110" i="13"/>
  <c r="AA110" i="13" s="1"/>
  <c r="T110" i="13"/>
  <c r="U110" i="13" s="1"/>
  <c r="W110" i="13" s="1"/>
  <c r="X110" i="13" s="1"/>
  <c r="P110" i="13"/>
  <c r="K110" i="13"/>
  <c r="E110" i="13"/>
  <c r="D110" i="13"/>
  <c r="C110" i="13"/>
  <c r="B110" i="13"/>
  <c r="Z109" i="13"/>
  <c r="AA109" i="13" s="1"/>
  <c r="T109" i="13"/>
  <c r="V109" i="13" s="1"/>
  <c r="P109" i="13"/>
  <c r="K109" i="13"/>
  <c r="E109" i="13"/>
  <c r="D109" i="13"/>
  <c r="C109" i="13"/>
  <c r="B109" i="13"/>
  <c r="Z108" i="13"/>
  <c r="T108" i="13"/>
  <c r="U108" i="13" s="1"/>
  <c r="W108" i="13" s="1"/>
  <c r="X108" i="13" s="1"/>
  <c r="P108" i="13"/>
  <c r="K108" i="13"/>
  <c r="E108" i="13"/>
  <c r="D108" i="13"/>
  <c r="C108" i="13"/>
  <c r="B108" i="13"/>
  <c r="Z107" i="13"/>
  <c r="AB107" i="13" s="1"/>
  <c r="AC107" i="13" s="1"/>
  <c r="AD107" i="13" s="1"/>
  <c r="T107" i="13"/>
  <c r="P107" i="13"/>
  <c r="K107" i="13"/>
  <c r="E107" i="13"/>
  <c r="D107" i="13"/>
  <c r="C107" i="13"/>
  <c r="B107" i="13"/>
  <c r="Z106" i="13"/>
  <c r="AB106" i="13" s="1"/>
  <c r="T106" i="13"/>
  <c r="U106" i="13" s="1"/>
  <c r="W106" i="13" s="1"/>
  <c r="X106" i="13" s="1"/>
  <c r="P106" i="13"/>
  <c r="K106" i="13"/>
  <c r="E106" i="13"/>
  <c r="D106" i="13"/>
  <c r="C106" i="13"/>
  <c r="B106" i="13"/>
  <c r="Z104" i="13"/>
  <c r="AA104" i="13" s="1"/>
  <c r="T104" i="13"/>
  <c r="V104" i="13" s="1"/>
  <c r="P104" i="13"/>
  <c r="K104" i="13"/>
  <c r="E104" i="13"/>
  <c r="D104" i="13"/>
  <c r="C104" i="13"/>
  <c r="B104" i="13"/>
  <c r="Z103" i="13"/>
  <c r="AA103" i="13" s="1"/>
  <c r="T103" i="13"/>
  <c r="V103" i="13" s="1"/>
  <c r="P103" i="13"/>
  <c r="K103" i="13"/>
  <c r="E103" i="13"/>
  <c r="D103" i="13"/>
  <c r="C103" i="13"/>
  <c r="B103" i="13"/>
  <c r="Z102" i="13"/>
  <c r="T102" i="13"/>
  <c r="U102" i="13" s="1"/>
  <c r="W102" i="13" s="1"/>
  <c r="X102" i="13" s="1"/>
  <c r="P102" i="13"/>
  <c r="K102" i="13"/>
  <c r="E102" i="13"/>
  <c r="D102" i="13"/>
  <c r="C102" i="13"/>
  <c r="B102" i="13"/>
  <c r="Z101" i="13"/>
  <c r="AB101" i="13" s="1"/>
  <c r="AC101" i="13" s="1"/>
  <c r="AD101" i="13" s="1"/>
  <c r="T101" i="13"/>
  <c r="P101" i="13"/>
  <c r="K101" i="13"/>
  <c r="E101" i="13"/>
  <c r="D101" i="13"/>
  <c r="C101" i="13"/>
  <c r="B101" i="13"/>
  <c r="Z100" i="13"/>
  <c r="AB100" i="13" s="1"/>
  <c r="AC100" i="13" s="1"/>
  <c r="AD100" i="13" s="1"/>
  <c r="T100" i="13"/>
  <c r="V100" i="13" s="1"/>
  <c r="P100" i="13"/>
  <c r="K100" i="13"/>
  <c r="E100" i="13"/>
  <c r="D100" i="13"/>
  <c r="C100" i="13"/>
  <c r="B100" i="13"/>
  <c r="Z99" i="13"/>
  <c r="AB99" i="13" s="1"/>
  <c r="T99" i="13"/>
  <c r="U99" i="13" s="1"/>
  <c r="W99" i="13" s="1"/>
  <c r="X99" i="13" s="1"/>
  <c r="P99" i="13"/>
  <c r="K99" i="13"/>
  <c r="E99" i="13"/>
  <c r="D99" i="13"/>
  <c r="C99" i="13"/>
  <c r="B99" i="13"/>
  <c r="Z98" i="13"/>
  <c r="AB98" i="13" s="1"/>
  <c r="T98" i="13"/>
  <c r="V98" i="13" s="1"/>
  <c r="P98" i="13"/>
  <c r="K98" i="13"/>
  <c r="E98" i="13"/>
  <c r="D98" i="13"/>
  <c r="C98" i="13"/>
  <c r="B98" i="13"/>
  <c r="Z97" i="13"/>
  <c r="AA97" i="13" s="1"/>
  <c r="T97" i="13"/>
  <c r="V97" i="13" s="1"/>
  <c r="P97" i="13"/>
  <c r="K97" i="13"/>
  <c r="E97" i="13"/>
  <c r="D97" i="13"/>
  <c r="C97" i="13"/>
  <c r="B97" i="13"/>
  <c r="Z96" i="13"/>
  <c r="AB96" i="13" s="1"/>
  <c r="T96" i="13"/>
  <c r="U96" i="13" s="1"/>
  <c r="W96" i="13" s="1"/>
  <c r="X96" i="13" s="1"/>
  <c r="P96" i="13"/>
  <c r="K96" i="13"/>
  <c r="E96" i="13"/>
  <c r="D96" i="13"/>
  <c r="C96" i="13"/>
  <c r="B96" i="13"/>
  <c r="Z95" i="13"/>
  <c r="AB95" i="13" s="1"/>
  <c r="AC95" i="13" s="1"/>
  <c r="T95" i="13"/>
  <c r="V95" i="13" s="1"/>
  <c r="P95" i="13"/>
  <c r="K95" i="13"/>
  <c r="E95" i="13"/>
  <c r="D95" i="13"/>
  <c r="C95" i="13"/>
  <c r="B95" i="13"/>
  <c r="Z94" i="13"/>
  <c r="AB94" i="13" s="1"/>
  <c r="T94" i="13"/>
  <c r="U94" i="13" s="1"/>
  <c r="W94" i="13" s="1"/>
  <c r="X94" i="13" s="1"/>
  <c r="P94" i="13"/>
  <c r="K94" i="13"/>
  <c r="E94" i="13"/>
  <c r="D94" i="13"/>
  <c r="C94" i="13"/>
  <c r="B94" i="13"/>
  <c r="Z93" i="13"/>
  <c r="AB93" i="13" s="1"/>
  <c r="T93" i="13"/>
  <c r="V93" i="13" s="1"/>
  <c r="P93" i="13"/>
  <c r="K93" i="13"/>
  <c r="E93" i="13"/>
  <c r="D93" i="13"/>
  <c r="C93" i="13"/>
  <c r="B93" i="13"/>
  <c r="Z92" i="13"/>
  <c r="AA92" i="13" s="1"/>
  <c r="T92" i="13"/>
  <c r="V92" i="13" s="1"/>
  <c r="P92" i="13"/>
  <c r="K92" i="13"/>
  <c r="E92" i="13"/>
  <c r="D92" i="13"/>
  <c r="C92" i="13"/>
  <c r="B92" i="13"/>
  <c r="Z91" i="13"/>
  <c r="AA91" i="13" s="1"/>
  <c r="T91" i="13"/>
  <c r="U91" i="13" s="1"/>
  <c r="W91" i="13" s="1"/>
  <c r="X91" i="13" s="1"/>
  <c r="P91" i="13"/>
  <c r="K91" i="13"/>
  <c r="E91" i="13"/>
  <c r="D91" i="13"/>
  <c r="C91" i="13"/>
  <c r="B91" i="13"/>
  <c r="Z90" i="13"/>
  <c r="AB90" i="13" s="1"/>
  <c r="T90" i="13"/>
  <c r="U90" i="13" s="1"/>
  <c r="W90" i="13" s="1"/>
  <c r="X90" i="13" s="1"/>
  <c r="P90" i="13"/>
  <c r="K90" i="13"/>
  <c r="E90" i="13"/>
  <c r="D90" i="13"/>
  <c r="C90" i="13"/>
  <c r="B90" i="13"/>
  <c r="Z89" i="13"/>
  <c r="AB89" i="13" s="1"/>
  <c r="AC89" i="13" s="1"/>
  <c r="T89" i="13"/>
  <c r="V89" i="13" s="1"/>
  <c r="P89" i="13"/>
  <c r="K89" i="13"/>
  <c r="E89" i="13"/>
  <c r="D89" i="13"/>
  <c r="C89" i="13"/>
  <c r="B89" i="13"/>
  <c r="Z88" i="13"/>
  <c r="AB88" i="13" s="1"/>
  <c r="T88" i="13"/>
  <c r="V88" i="13" s="1"/>
  <c r="P88" i="13"/>
  <c r="K88" i="13"/>
  <c r="E88" i="13"/>
  <c r="D88" i="13"/>
  <c r="C88" i="13"/>
  <c r="B88" i="13"/>
  <c r="Z87" i="13"/>
  <c r="AB87" i="13" s="1"/>
  <c r="T87" i="13"/>
  <c r="V87" i="13" s="1"/>
  <c r="P87" i="13"/>
  <c r="K87" i="13"/>
  <c r="E87" i="13"/>
  <c r="D87" i="13"/>
  <c r="C87" i="13"/>
  <c r="B87" i="13"/>
  <c r="Z86" i="13"/>
  <c r="AB86" i="13" s="1"/>
  <c r="T86" i="13"/>
  <c r="V86" i="13" s="1"/>
  <c r="P86" i="13"/>
  <c r="K86" i="13"/>
  <c r="E86" i="13"/>
  <c r="D86" i="13"/>
  <c r="C86" i="13"/>
  <c r="B86" i="13"/>
  <c r="Z85" i="13"/>
  <c r="AA85" i="13" s="1"/>
  <c r="T85" i="13"/>
  <c r="V85" i="13" s="1"/>
  <c r="P85" i="13"/>
  <c r="K85" i="13"/>
  <c r="E85" i="13"/>
  <c r="D85" i="13"/>
  <c r="C85" i="13"/>
  <c r="B85" i="13"/>
  <c r="Z84" i="13"/>
  <c r="AB84" i="13" s="1"/>
  <c r="T84" i="13"/>
  <c r="U84" i="13" s="1"/>
  <c r="W84" i="13" s="1"/>
  <c r="X84" i="13" s="1"/>
  <c r="P84" i="13"/>
  <c r="K84" i="13"/>
  <c r="E84" i="13"/>
  <c r="D84" i="13"/>
  <c r="C84" i="13"/>
  <c r="B84" i="13"/>
  <c r="Z83" i="13"/>
  <c r="AB83" i="13" s="1"/>
  <c r="AC83" i="13" s="1"/>
  <c r="T83" i="13"/>
  <c r="V83" i="13" s="1"/>
  <c r="P83" i="13"/>
  <c r="K83" i="13"/>
  <c r="E83" i="13"/>
  <c r="D83" i="13"/>
  <c r="C83" i="13"/>
  <c r="B83" i="13"/>
  <c r="Z82" i="13"/>
  <c r="AB82" i="13" s="1"/>
  <c r="T82" i="13"/>
  <c r="U82" i="13" s="1"/>
  <c r="W82" i="13" s="1"/>
  <c r="X82" i="13" s="1"/>
  <c r="P82" i="13"/>
  <c r="K82" i="13"/>
  <c r="E82" i="13"/>
  <c r="D82" i="13"/>
  <c r="C82" i="13"/>
  <c r="B82" i="13"/>
  <c r="Z81" i="13"/>
  <c r="AB81" i="13" s="1"/>
  <c r="T81" i="13"/>
  <c r="V81" i="13" s="1"/>
  <c r="P81" i="13"/>
  <c r="K81" i="13"/>
  <c r="E81" i="13"/>
  <c r="D81" i="13"/>
  <c r="C81" i="13"/>
  <c r="B81" i="13"/>
  <c r="Z80" i="13"/>
  <c r="AA80" i="13" s="1"/>
  <c r="T80" i="13"/>
  <c r="U80" i="13" s="1"/>
  <c r="W80" i="13" s="1"/>
  <c r="X80" i="13" s="1"/>
  <c r="P80" i="13"/>
  <c r="K80" i="13"/>
  <c r="E80" i="13"/>
  <c r="D80" i="13"/>
  <c r="C80" i="13"/>
  <c r="B80" i="13"/>
  <c r="Z79" i="13"/>
  <c r="AA79" i="13" s="1"/>
  <c r="T79" i="13"/>
  <c r="V79" i="13" s="1"/>
  <c r="P79" i="13"/>
  <c r="K79" i="13"/>
  <c r="E79" i="13"/>
  <c r="D79" i="13"/>
  <c r="C79" i="13"/>
  <c r="B79" i="13"/>
  <c r="Z78" i="13"/>
  <c r="AB78" i="13" s="1"/>
  <c r="T78" i="13"/>
  <c r="U78" i="13" s="1"/>
  <c r="W78" i="13" s="1"/>
  <c r="X78" i="13" s="1"/>
  <c r="P78" i="13"/>
  <c r="K78" i="13"/>
  <c r="E78" i="13"/>
  <c r="D78" i="13"/>
  <c r="C78" i="13"/>
  <c r="B78" i="13"/>
  <c r="Z19" i="13"/>
  <c r="AB19" i="13" s="1"/>
  <c r="T19" i="13"/>
  <c r="V19" i="13" s="1"/>
  <c r="P19" i="13"/>
  <c r="K19" i="13"/>
  <c r="E19" i="13"/>
  <c r="D19" i="13"/>
  <c r="C19" i="13"/>
  <c r="B19" i="13"/>
  <c r="AF73" i="13" l="1"/>
  <c r="AD73" i="13"/>
  <c r="AG73" i="13" s="1"/>
  <c r="AD72" i="13"/>
  <c r="AG72" i="13" s="1"/>
  <c r="AF72" i="13"/>
  <c r="AF56" i="13"/>
  <c r="AD56" i="13"/>
  <c r="AG56" i="13" s="1"/>
  <c r="V134" i="13"/>
  <c r="AB92" i="13"/>
  <c r="AE92" i="13" s="1"/>
  <c r="U160" i="13"/>
  <c r="W160" i="13" s="1"/>
  <c r="X160" i="13" s="1"/>
  <c r="AB103" i="13"/>
  <c r="AE103" i="13" s="1"/>
  <c r="AB122" i="13"/>
  <c r="AC122" i="13" s="1"/>
  <c r="V125" i="13"/>
  <c r="AE125" i="13" s="1"/>
  <c r="AB124" i="13"/>
  <c r="AE124" i="13" s="1"/>
  <c r="AA149" i="13"/>
  <c r="AA159" i="13"/>
  <c r="V127" i="13"/>
  <c r="AE127" i="13" s="1"/>
  <c r="AA152" i="13"/>
  <c r="U158" i="13"/>
  <c r="W158" i="13" s="1"/>
  <c r="X158" i="13" s="1"/>
  <c r="AB173" i="13"/>
  <c r="AC173" i="13" s="1"/>
  <c r="AD173" i="13" s="1"/>
  <c r="AB80" i="13"/>
  <c r="AC80" i="13" s="1"/>
  <c r="V106" i="13"/>
  <c r="AE106" i="13" s="1"/>
  <c r="AA158" i="13"/>
  <c r="AA100" i="13"/>
  <c r="U142" i="13"/>
  <c r="W142" i="13" s="1"/>
  <c r="X142" i="13" s="1"/>
  <c r="AA174" i="13"/>
  <c r="AA163" i="13"/>
  <c r="AA170" i="13"/>
  <c r="U172" i="13"/>
  <c r="W172" i="13" s="1"/>
  <c r="X172" i="13" s="1"/>
  <c r="U174" i="13"/>
  <c r="W174" i="13" s="1"/>
  <c r="X174" i="13" s="1"/>
  <c r="V141" i="13"/>
  <c r="AE141" i="13" s="1"/>
  <c r="U147" i="13"/>
  <c r="W147" i="13" s="1"/>
  <c r="X147" i="13" s="1"/>
  <c r="AA141" i="13"/>
  <c r="AB142" i="13"/>
  <c r="AE142" i="13" s="1"/>
  <c r="AA150" i="13"/>
  <c r="AA157" i="13"/>
  <c r="U156" i="13"/>
  <c r="W156" i="13" s="1"/>
  <c r="X156" i="13" s="1"/>
  <c r="AB129" i="13"/>
  <c r="AC129" i="13" s="1"/>
  <c r="AB126" i="13"/>
  <c r="AC126" i="13" s="1"/>
  <c r="AD126" i="13" s="1"/>
  <c r="U128" i="13"/>
  <c r="W128" i="13" s="1"/>
  <c r="X128" i="13" s="1"/>
  <c r="AA137" i="13"/>
  <c r="U136" i="13"/>
  <c r="W136" i="13" s="1"/>
  <c r="X136" i="13" s="1"/>
  <c r="U140" i="13"/>
  <c r="W140" i="13" s="1"/>
  <c r="X140" i="13" s="1"/>
  <c r="AG137" i="13"/>
  <c r="AE135" i="13"/>
  <c r="U111" i="13"/>
  <c r="W111" i="13" s="1"/>
  <c r="X111" i="13" s="1"/>
  <c r="U116" i="13"/>
  <c r="W116" i="13" s="1"/>
  <c r="X116" i="13" s="1"/>
  <c r="AA111" i="13"/>
  <c r="AA106" i="13"/>
  <c r="V94" i="13"/>
  <c r="AE94" i="13" s="1"/>
  <c r="AB104" i="13"/>
  <c r="AC104" i="13" s="1"/>
  <c r="AD104" i="13" s="1"/>
  <c r="V110" i="13"/>
  <c r="AB110" i="13"/>
  <c r="AD122" i="13"/>
  <c r="AE123" i="13"/>
  <c r="AD131" i="13"/>
  <c r="AG131" i="13" s="1"/>
  <c r="AF131" i="13"/>
  <c r="AB97" i="13"/>
  <c r="AE97" i="13" s="1"/>
  <c r="U115" i="13"/>
  <c r="W115" i="13" s="1"/>
  <c r="X115" i="13" s="1"/>
  <c r="V120" i="13"/>
  <c r="U122" i="13"/>
  <c r="W122" i="13" s="1"/>
  <c r="X122" i="13" s="1"/>
  <c r="AA123" i="13"/>
  <c r="U126" i="13"/>
  <c r="W126" i="13" s="1"/>
  <c r="X126" i="13" s="1"/>
  <c r="AG126" i="13" s="1"/>
  <c r="U129" i="13"/>
  <c r="W129" i="13" s="1"/>
  <c r="X129" i="13" s="1"/>
  <c r="V131" i="13"/>
  <c r="AE131" i="13" s="1"/>
  <c r="U132" i="13"/>
  <c r="W132" i="13" s="1"/>
  <c r="X132" i="13" s="1"/>
  <c r="AB138" i="13"/>
  <c r="AC138" i="13" s="1"/>
  <c r="AA143" i="13"/>
  <c r="AB144" i="13"/>
  <c r="U146" i="13"/>
  <c r="W146" i="13" s="1"/>
  <c r="X146" i="13" s="1"/>
  <c r="U149" i="13"/>
  <c r="W149" i="13" s="1"/>
  <c r="X149" i="13" s="1"/>
  <c r="V157" i="13"/>
  <c r="AE157" i="13" s="1"/>
  <c r="AB161" i="13"/>
  <c r="AC161" i="13" s="1"/>
  <c r="AA161" i="13"/>
  <c r="AB169" i="13"/>
  <c r="AE169" i="13" s="1"/>
  <c r="AA169" i="13"/>
  <c r="AA89" i="13"/>
  <c r="V91" i="13"/>
  <c r="AE95" i="13"/>
  <c r="V99" i="13"/>
  <c r="AE99" i="13" s="1"/>
  <c r="U103" i="13"/>
  <c r="W103" i="13" s="1"/>
  <c r="X103" i="13" s="1"/>
  <c r="U104" i="13"/>
  <c r="W104" i="13" s="1"/>
  <c r="X104" i="13" s="1"/>
  <c r="U109" i="13"/>
  <c r="W109" i="13" s="1"/>
  <c r="X109" i="13" s="1"/>
  <c r="AA113" i="13"/>
  <c r="AB116" i="13"/>
  <c r="AE116" i="13" s="1"/>
  <c r="AB117" i="13"/>
  <c r="AC117" i="13" s="1"/>
  <c r="AD117" i="13" s="1"/>
  <c r="AB118" i="13"/>
  <c r="AE118" i="13" s="1"/>
  <c r="AB121" i="13"/>
  <c r="AA133" i="13"/>
  <c r="AA135" i="13"/>
  <c r="AA136" i="13"/>
  <c r="AF137" i="13"/>
  <c r="U151" i="13"/>
  <c r="W151" i="13" s="1"/>
  <c r="X151" i="13" s="1"/>
  <c r="U162" i="13"/>
  <c r="W162" i="13" s="1"/>
  <c r="X162" i="13" s="1"/>
  <c r="V165" i="13"/>
  <c r="U165" i="13"/>
  <c r="W165" i="13" s="1"/>
  <c r="X165" i="13" s="1"/>
  <c r="AA101" i="13"/>
  <c r="AE89" i="13"/>
  <c r="U171" i="13"/>
  <c r="W171" i="13" s="1"/>
  <c r="X171" i="13" s="1"/>
  <c r="V171" i="13"/>
  <c r="AE171" i="13" s="1"/>
  <c r="V173" i="13"/>
  <c r="U173" i="13"/>
  <c r="W173" i="13" s="1"/>
  <c r="X173" i="13" s="1"/>
  <c r="U79" i="13"/>
  <c r="W79" i="13" s="1"/>
  <c r="X79" i="13" s="1"/>
  <c r="AB166" i="13"/>
  <c r="AC166" i="13" s="1"/>
  <c r="AD166" i="13" s="1"/>
  <c r="AA166" i="13"/>
  <c r="AA95" i="13"/>
  <c r="U97" i="13"/>
  <c r="W97" i="13" s="1"/>
  <c r="X97" i="13" s="1"/>
  <c r="AA98" i="13"/>
  <c r="AA99" i="13"/>
  <c r="V102" i="13"/>
  <c r="U112" i="13"/>
  <c r="W112" i="13" s="1"/>
  <c r="X112" i="13" s="1"/>
  <c r="V114" i="13"/>
  <c r="U117" i="13"/>
  <c r="W117" i="13" s="1"/>
  <c r="X117" i="13" s="1"/>
  <c r="U121" i="13"/>
  <c r="W121" i="13" s="1"/>
  <c r="X121" i="13" s="1"/>
  <c r="U123" i="13"/>
  <c r="W123" i="13" s="1"/>
  <c r="X123" i="13" s="1"/>
  <c r="U124" i="13"/>
  <c r="W124" i="13" s="1"/>
  <c r="X124" i="13" s="1"/>
  <c r="AA127" i="13"/>
  <c r="AB128" i="13"/>
  <c r="AA130" i="13"/>
  <c r="U135" i="13"/>
  <c r="W135" i="13" s="1"/>
  <c r="X135" i="13" s="1"/>
  <c r="U138" i="13"/>
  <c r="W138" i="13" s="1"/>
  <c r="X138" i="13" s="1"/>
  <c r="AA139" i="13"/>
  <c r="U144" i="13"/>
  <c r="W144" i="13" s="1"/>
  <c r="X144" i="13" s="1"/>
  <c r="AA147" i="13"/>
  <c r="AB162" i="13"/>
  <c r="V96" i="13"/>
  <c r="AE96" i="13" s="1"/>
  <c r="U100" i="13"/>
  <c r="W100" i="13" s="1"/>
  <c r="X100" i="13" s="1"/>
  <c r="AG100" i="13" s="1"/>
  <c r="AB109" i="13"/>
  <c r="AC109" i="13" s="1"/>
  <c r="AD109" i="13" s="1"/>
  <c r="V82" i="13"/>
  <c r="AE82" i="13" s="1"/>
  <c r="V108" i="13"/>
  <c r="AB115" i="13"/>
  <c r="U118" i="13"/>
  <c r="W118" i="13" s="1"/>
  <c r="X118" i="13" s="1"/>
  <c r="AA119" i="13"/>
  <c r="AB132" i="13"/>
  <c r="AE132" i="13" s="1"/>
  <c r="AA145" i="13"/>
  <c r="AA171" i="13"/>
  <c r="AB172" i="13"/>
  <c r="AC172" i="13" s="1"/>
  <c r="AD172" i="13" s="1"/>
  <c r="U167" i="13"/>
  <c r="W167" i="13" s="1"/>
  <c r="X167" i="13" s="1"/>
  <c r="U169" i="13"/>
  <c r="W169" i="13" s="1"/>
  <c r="X169" i="13" s="1"/>
  <c r="V84" i="13"/>
  <c r="AE84" i="13" s="1"/>
  <c r="AB85" i="13"/>
  <c r="AE85" i="13" s="1"/>
  <c r="AB79" i="13"/>
  <c r="AE79" i="13" s="1"/>
  <c r="U88" i="13"/>
  <c r="W88" i="13" s="1"/>
  <c r="X88" i="13" s="1"/>
  <c r="AA83" i="13"/>
  <c r="U85" i="13"/>
  <c r="W85" i="13" s="1"/>
  <c r="X85" i="13" s="1"/>
  <c r="AA86" i="13"/>
  <c r="V90" i="13"/>
  <c r="AE90" i="13" s="1"/>
  <c r="AB91" i="13"/>
  <c r="V78" i="13"/>
  <c r="AE78" i="13" s="1"/>
  <c r="AE83" i="13"/>
  <c r="AC78" i="13"/>
  <c r="AD83" i="13"/>
  <c r="AE86" i="13"/>
  <c r="AC88" i="13"/>
  <c r="AE88" i="13"/>
  <c r="AE93" i="13"/>
  <c r="AC93" i="13"/>
  <c r="AC90" i="13"/>
  <c r="AC82" i="13"/>
  <c r="AE87" i="13"/>
  <c r="AC87" i="13"/>
  <c r="AD95" i="13"/>
  <c r="AC84" i="13"/>
  <c r="AC94" i="13"/>
  <c r="AC96" i="13"/>
  <c r="AE81" i="13"/>
  <c r="AC81" i="13"/>
  <c r="AD89" i="13"/>
  <c r="AB102" i="13"/>
  <c r="AA102" i="13"/>
  <c r="AD111" i="13"/>
  <c r="AB112" i="13"/>
  <c r="AC139" i="13"/>
  <c r="AA81" i="13"/>
  <c r="U86" i="13"/>
  <c r="W86" i="13" s="1"/>
  <c r="X86" i="13" s="1"/>
  <c r="AA87" i="13"/>
  <c r="U92" i="13"/>
  <c r="W92" i="13" s="1"/>
  <c r="X92" i="13" s="1"/>
  <c r="AA93" i="13"/>
  <c r="U98" i="13"/>
  <c r="W98" i="13" s="1"/>
  <c r="X98" i="13" s="1"/>
  <c r="AE98" i="13"/>
  <c r="AB108" i="13"/>
  <c r="AA108" i="13"/>
  <c r="AC125" i="13"/>
  <c r="AC127" i="13"/>
  <c r="V80" i="13"/>
  <c r="U81" i="13"/>
  <c r="W81" i="13" s="1"/>
  <c r="X81" i="13" s="1"/>
  <c r="AA82" i="13"/>
  <c r="AC86" i="13"/>
  <c r="U87" i="13"/>
  <c r="W87" i="13" s="1"/>
  <c r="X87" i="13" s="1"/>
  <c r="AA88" i="13"/>
  <c r="U93" i="13"/>
  <c r="W93" i="13" s="1"/>
  <c r="X93" i="13" s="1"/>
  <c r="AA94" i="13"/>
  <c r="AC98" i="13"/>
  <c r="AE100" i="13"/>
  <c r="V107" i="13"/>
  <c r="AE107" i="13" s="1"/>
  <c r="U107" i="13"/>
  <c r="W107" i="13" s="1"/>
  <c r="AB114" i="13"/>
  <c r="AA114" i="13"/>
  <c r="V119" i="13"/>
  <c r="AE119" i="13" s="1"/>
  <c r="U119" i="13"/>
  <c r="W119" i="13" s="1"/>
  <c r="X119" i="13" s="1"/>
  <c r="AC123" i="13"/>
  <c r="AA125" i="13"/>
  <c r="AF141" i="13"/>
  <c r="AD141" i="13"/>
  <c r="AG141" i="13" s="1"/>
  <c r="V164" i="13"/>
  <c r="AE164" i="13" s="1"/>
  <c r="U164" i="13"/>
  <c r="W164" i="13" s="1"/>
  <c r="X164" i="13" s="1"/>
  <c r="V113" i="13"/>
  <c r="AE113" i="13" s="1"/>
  <c r="U113" i="13"/>
  <c r="W113" i="13" s="1"/>
  <c r="AC119" i="13"/>
  <c r="U143" i="13"/>
  <c r="W143" i="13" s="1"/>
  <c r="V143" i="13"/>
  <c r="AE143" i="13" s="1"/>
  <c r="AE149" i="13"/>
  <c r="AC149" i="13"/>
  <c r="AE156" i="13"/>
  <c r="AC156" i="13"/>
  <c r="AA78" i="13"/>
  <c r="U83" i="13"/>
  <c r="W83" i="13" s="1"/>
  <c r="X83" i="13" s="1"/>
  <c r="AA84" i="13"/>
  <c r="U89" i="13"/>
  <c r="W89" i="13" s="1"/>
  <c r="X89" i="13" s="1"/>
  <c r="AA90" i="13"/>
  <c r="U95" i="13"/>
  <c r="W95" i="13" s="1"/>
  <c r="X95" i="13" s="1"/>
  <c r="AA96" i="13"/>
  <c r="AB120" i="13"/>
  <c r="AA120" i="13"/>
  <c r="AE130" i="13"/>
  <c r="AC130" i="13"/>
  <c r="AE147" i="13"/>
  <c r="AC147" i="13"/>
  <c r="AB160" i="13"/>
  <c r="AA160" i="13"/>
  <c r="V163" i="13"/>
  <c r="AE163" i="13" s="1"/>
  <c r="U163" i="13"/>
  <c r="W163" i="13" s="1"/>
  <c r="X163" i="13" s="1"/>
  <c r="AC99" i="13"/>
  <c r="V101" i="13"/>
  <c r="AE101" i="13" s="1"/>
  <c r="U101" i="13"/>
  <c r="W101" i="13" s="1"/>
  <c r="AC106" i="13"/>
  <c r="AA107" i="13"/>
  <c r="AE111" i="13"/>
  <c r="AE152" i="13"/>
  <c r="AC164" i="13"/>
  <c r="U130" i="13"/>
  <c r="W130" i="13" s="1"/>
  <c r="X130" i="13" s="1"/>
  <c r="AA131" i="13"/>
  <c r="V137" i="13"/>
  <c r="AE137" i="13" s="1"/>
  <c r="V145" i="13"/>
  <c r="AE145" i="13" s="1"/>
  <c r="U145" i="13"/>
  <c r="W145" i="13" s="1"/>
  <c r="X145" i="13" s="1"/>
  <c r="AG145" i="13" s="1"/>
  <c r="AB146" i="13"/>
  <c r="AA146" i="13"/>
  <c r="V150" i="13"/>
  <c r="AE150" i="13" s="1"/>
  <c r="U150" i="13"/>
  <c r="W150" i="13" s="1"/>
  <c r="X150" i="13" s="1"/>
  <c r="AE158" i="13"/>
  <c r="AC158" i="13"/>
  <c r="AA164" i="13"/>
  <c r="AB165" i="13"/>
  <c r="AA165" i="13"/>
  <c r="AC170" i="13"/>
  <c r="AD171" i="13"/>
  <c r="AD135" i="13"/>
  <c r="V139" i="13"/>
  <c r="AE139" i="13" s="1"/>
  <c r="U139" i="13"/>
  <c r="W139" i="13" s="1"/>
  <c r="X139" i="13" s="1"/>
  <c r="AB140" i="13"/>
  <c r="AA140" i="13"/>
  <c r="AC150" i="13"/>
  <c r="AF157" i="13"/>
  <c r="AD157" i="13"/>
  <c r="AG157" i="13" s="1"/>
  <c r="AB168" i="13"/>
  <c r="AA168" i="13"/>
  <c r="V133" i="13"/>
  <c r="AE133" i="13" s="1"/>
  <c r="U133" i="13"/>
  <c r="W133" i="13" s="1"/>
  <c r="X133" i="13" s="1"/>
  <c r="AG133" i="13" s="1"/>
  <c r="AB134" i="13"/>
  <c r="AA134" i="13"/>
  <c r="AE136" i="13"/>
  <c r="AC136" i="13"/>
  <c r="AB151" i="13"/>
  <c r="AA151" i="13"/>
  <c r="V159" i="13"/>
  <c r="AE159" i="13" s="1"/>
  <c r="U159" i="13"/>
  <c r="W159" i="13" s="1"/>
  <c r="X159" i="13" s="1"/>
  <c r="AC163" i="13"/>
  <c r="AB167" i="13"/>
  <c r="AA167" i="13"/>
  <c r="AC159" i="13"/>
  <c r="V170" i="13"/>
  <c r="AE170" i="13" s="1"/>
  <c r="U170" i="13"/>
  <c r="W170" i="13" s="1"/>
  <c r="X170" i="13" s="1"/>
  <c r="AE174" i="13"/>
  <c r="AC174" i="13"/>
  <c r="AB175" i="13"/>
  <c r="AA175" i="13"/>
  <c r="U152" i="13"/>
  <c r="W152" i="13" s="1"/>
  <c r="X152" i="13" s="1"/>
  <c r="AG152" i="13" s="1"/>
  <c r="AA156" i="13"/>
  <c r="U161" i="13"/>
  <c r="W161" i="13" s="1"/>
  <c r="X161" i="13" s="1"/>
  <c r="U166" i="13"/>
  <c r="W166" i="13" s="1"/>
  <c r="X166" i="13" s="1"/>
  <c r="U168" i="13"/>
  <c r="W168" i="13" s="1"/>
  <c r="X168" i="13" s="1"/>
  <c r="U175" i="13"/>
  <c r="W175" i="13" s="1"/>
  <c r="X175" i="13" s="1"/>
  <c r="AE19" i="13"/>
  <c r="AC19" i="13"/>
  <c r="AA19" i="13"/>
  <c r="U19" i="13"/>
  <c r="W19" i="13" s="1"/>
  <c r="X19" i="13" s="1"/>
  <c r="AC92" i="13" l="1"/>
  <c r="AF92" i="13" s="1"/>
  <c r="AC103" i="13"/>
  <c r="AD103" i="13" s="1"/>
  <c r="AG103" i="13" s="1"/>
  <c r="AC124" i="13"/>
  <c r="AF124" i="13" s="1"/>
  <c r="AE80" i="13"/>
  <c r="AE122" i="13"/>
  <c r="AE91" i="13"/>
  <c r="AC85" i="13"/>
  <c r="AD85" i="13" s="1"/>
  <c r="AG85" i="13" s="1"/>
  <c r="AG104" i="13"/>
  <c r="AF126" i="13"/>
  <c r="AF129" i="13"/>
  <c r="AF104" i="13"/>
  <c r="AE173" i="13"/>
  <c r="AG111" i="13"/>
  <c r="AF111" i="13"/>
  <c r="AD129" i="13"/>
  <c r="AG129" i="13" s="1"/>
  <c r="AC116" i="13"/>
  <c r="AF116" i="13" s="1"/>
  <c r="AG171" i="13"/>
  <c r="AE138" i="13"/>
  <c r="AC79" i="13"/>
  <c r="AF79" i="13" s="1"/>
  <c r="AE129" i="13"/>
  <c r="AC169" i="13"/>
  <c r="AD169" i="13" s="1"/>
  <c r="AG169" i="13" s="1"/>
  <c r="AG172" i="13"/>
  <c r="AG173" i="13"/>
  <c r="AF173" i="13"/>
  <c r="AG166" i="13"/>
  <c r="AE172" i="13"/>
  <c r="AE166" i="13"/>
  <c r="AF172" i="13"/>
  <c r="AF171" i="13"/>
  <c r="AF145" i="13"/>
  <c r="AC142" i="13"/>
  <c r="AD142" i="13" s="1"/>
  <c r="AG142" i="13" s="1"/>
  <c r="AG135" i="13"/>
  <c r="AE126" i="13"/>
  <c r="AC132" i="13"/>
  <c r="AF132" i="13" s="1"/>
  <c r="AC118" i="13"/>
  <c r="AF118" i="13" s="1"/>
  <c r="AG117" i="13"/>
  <c r="AF117" i="13"/>
  <c r="AE104" i="13"/>
  <c r="AE109" i="13"/>
  <c r="AE110" i="13"/>
  <c r="AC110" i="13"/>
  <c r="AF110" i="13" s="1"/>
  <c r="AE115" i="13"/>
  <c r="AC115" i="13"/>
  <c r="AF152" i="13"/>
  <c r="AF135" i="13"/>
  <c r="AC97" i="13"/>
  <c r="AD97" i="13" s="1"/>
  <c r="AG97" i="13" s="1"/>
  <c r="AE121" i="13"/>
  <c r="AC121" i="13"/>
  <c r="AF100" i="13"/>
  <c r="AF109" i="13"/>
  <c r="AE161" i="13"/>
  <c r="AE117" i="13"/>
  <c r="AE162" i="13"/>
  <c r="AC162" i="13"/>
  <c r="AC144" i="13"/>
  <c r="AE144" i="13"/>
  <c r="AG122" i="13"/>
  <c r="AG109" i="13"/>
  <c r="AE128" i="13"/>
  <c r="AC128" i="13"/>
  <c r="AF122" i="13"/>
  <c r="AF103" i="13"/>
  <c r="AF95" i="13"/>
  <c r="AC91" i="13"/>
  <c r="AF91" i="13" s="1"/>
  <c r="AF89" i="13"/>
  <c r="AG89" i="13"/>
  <c r="AF136" i="13"/>
  <c r="AD136" i="13"/>
  <c r="AG136" i="13" s="1"/>
  <c r="AE140" i="13"/>
  <c r="AC140" i="13"/>
  <c r="AF166" i="13"/>
  <c r="AD138" i="13"/>
  <c r="AG138" i="13" s="1"/>
  <c r="AF138" i="13"/>
  <c r="AD125" i="13"/>
  <c r="AG125" i="13" s="1"/>
  <c r="AF125" i="13"/>
  <c r="AD94" i="13"/>
  <c r="AG94" i="13" s="1"/>
  <c r="AF94" i="13"/>
  <c r="AD88" i="13"/>
  <c r="AG88" i="13" s="1"/>
  <c r="AF88" i="13"/>
  <c r="AE175" i="13"/>
  <c r="AC175" i="13"/>
  <c r="AD150" i="13"/>
  <c r="AG150" i="13" s="1"/>
  <c r="AF150" i="13"/>
  <c r="AF170" i="13"/>
  <c r="AD170" i="13"/>
  <c r="AG170" i="13" s="1"/>
  <c r="AD164" i="13"/>
  <c r="AG164" i="13" s="1"/>
  <c r="AF164" i="13"/>
  <c r="X101" i="13"/>
  <c r="AG101" i="13" s="1"/>
  <c r="AF101" i="13"/>
  <c r="AC160" i="13"/>
  <c r="AE160" i="13"/>
  <c r="AF130" i="13"/>
  <c r="AD130" i="13"/>
  <c r="AG130" i="13" s="1"/>
  <c r="AF149" i="13"/>
  <c r="AD149" i="13"/>
  <c r="AG149" i="13" s="1"/>
  <c r="AF80" i="13"/>
  <c r="AD80" i="13"/>
  <c r="AG80" i="13" s="1"/>
  <c r="AF161" i="13"/>
  <c r="AD161" i="13"/>
  <c r="AG161" i="13" s="1"/>
  <c r="AD81" i="13"/>
  <c r="AG81" i="13" s="1"/>
  <c r="AF81" i="13"/>
  <c r="AD87" i="13"/>
  <c r="AG87" i="13" s="1"/>
  <c r="AF87" i="13"/>
  <c r="AF174" i="13"/>
  <c r="AD174" i="13"/>
  <c r="AG174" i="13" s="1"/>
  <c r="AD159" i="13"/>
  <c r="AG159" i="13" s="1"/>
  <c r="AF159" i="13"/>
  <c r="AD124" i="13"/>
  <c r="AG124" i="13" s="1"/>
  <c r="AE168" i="13"/>
  <c r="AC168" i="13"/>
  <c r="AC165" i="13"/>
  <c r="AE165" i="13"/>
  <c r="AE112" i="13"/>
  <c r="AC112" i="13"/>
  <c r="AF90" i="13"/>
  <c r="AD90" i="13"/>
  <c r="AG90" i="13" s="1"/>
  <c r="AG83" i="13"/>
  <c r="AC167" i="13"/>
  <c r="AE167" i="13"/>
  <c r="AE134" i="13"/>
  <c r="AC134" i="13"/>
  <c r="AD99" i="13"/>
  <c r="AG99" i="13" s="1"/>
  <c r="AF99" i="13"/>
  <c r="AF147" i="13"/>
  <c r="AD147" i="13"/>
  <c r="AG147" i="13" s="1"/>
  <c r="AD119" i="13"/>
  <c r="AG119" i="13" s="1"/>
  <c r="AF119" i="13"/>
  <c r="AF139" i="13"/>
  <c r="AD139" i="13"/>
  <c r="AG139" i="13" s="1"/>
  <c r="AC102" i="13"/>
  <c r="AE102" i="13"/>
  <c r="AF96" i="13"/>
  <c r="AD96" i="13"/>
  <c r="AG96" i="13" s="1"/>
  <c r="AD82" i="13"/>
  <c r="AG82" i="13" s="1"/>
  <c r="AF82" i="13"/>
  <c r="AD93" i="13"/>
  <c r="AG93" i="13" s="1"/>
  <c r="AF93" i="13"/>
  <c r="AF83" i="13"/>
  <c r="AF106" i="13"/>
  <c r="AD106" i="13"/>
  <c r="AG106" i="13" s="1"/>
  <c r="AC120" i="13"/>
  <c r="AE120" i="13"/>
  <c r="AF123" i="13"/>
  <c r="AD123" i="13"/>
  <c r="AG123" i="13" s="1"/>
  <c r="AC114" i="13"/>
  <c r="AE114" i="13"/>
  <c r="AF98" i="13"/>
  <c r="AD98" i="13"/>
  <c r="AG98" i="13" s="1"/>
  <c r="AF86" i="13"/>
  <c r="AD86" i="13"/>
  <c r="AG86" i="13" s="1"/>
  <c r="AF127" i="13"/>
  <c r="AD127" i="13"/>
  <c r="AG127" i="13" s="1"/>
  <c r="AF84" i="13"/>
  <c r="AD84" i="13"/>
  <c r="AG84" i="13" s="1"/>
  <c r="AF78" i="13"/>
  <c r="AD78" i="13"/>
  <c r="AG78" i="13" s="1"/>
  <c r="AF163" i="13"/>
  <c r="AD163" i="13"/>
  <c r="AG163" i="13" s="1"/>
  <c r="AC151" i="13"/>
  <c r="AE151" i="13"/>
  <c r="AF158" i="13"/>
  <c r="AD158" i="13"/>
  <c r="AG158" i="13" s="1"/>
  <c r="AE146" i="13"/>
  <c r="AC146" i="13"/>
  <c r="AF133" i="13"/>
  <c r="AF156" i="13"/>
  <c r="AD156" i="13"/>
  <c r="AG156" i="13" s="1"/>
  <c r="X143" i="13"/>
  <c r="AG143" i="13" s="1"/>
  <c r="AF143" i="13"/>
  <c r="X113" i="13"/>
  <c r="AG113" i="13" s="1"/>
  <c r="AF113" i="13"/>
  <c r="X107" i="13"/>
  <c r="AG107" i="13" s="1"/>
  <c r="AF107" i="13"/>
  <c r="AC108" i="13"/>
  <c r="AE108" i="13"/>
  <c r="AG95" i="13"/>
  <c r="AF19" i="13"/>
  <c r="AD19" i="13"/>
  <c r="AG19" i="13" s="1"/>
  <c r="AD92" i="13" l="1"/>
  <c r="AG92" i="13" s="1"/>
  <c r="AF142" i="13"/>
  <c r="AF85" i="13"/>
  <c r="AF97" i="13"/>
  <c r="AD91" i="13"/>
  <c r="AG91" i="13" s="1"/>
  <c r="AD116" i="13"/>
  <c r="AG116" i="13" s="1"/>
  <c r="AF169" i="13"/>
  <c r="AD79" i="13"/>
  <c r="AG79" i="13" s="1"/>
  <c r="AD132" i="13"/>
  <c r="AG132" i="13" s="1"/>
  <c r="AD118" i="13"/>
  <c r="AG118" i="13" s="1"/>
  <c r="AD110" i="13"/>
  <c r="AG110" i="13" s="1"/>
  <c r="AD121" i="13"/>
  <c r="AG121" i="13" s="1"/>
  <c r="AF121" i="13"/>
  <c r="AF128" i="13"/>
  <c r="AD128" i="13"/>
  <c r="AG128" i="13" s="1"/>
  <c r="AF115" i="13"/>
  <c r="AD115" i="13"/>
  <c r="AG115" i="13" s="1"/>
  <c r="AD144" i="13"/>
  <c r="AG144" i="13" s="1"/>
  <c r="AF144" i="13"/>
  <c r="AD162" i="13"/>
  <c r="AG162" i="13" s="1"/>
  <c r="AF162" i="13"/>
  <c r="AD151" i="13"/>
  <c r="AG151" i="13" s="1"/>
  <c r="AF151" i="13"/>
  <c r="AD167" i="13"/>
  <c r="AG167" i="13" s="1"/>
  <c r="AF167" i="13"/>
  <c r="AF102" i="13"/>
  <c r="AD102" i="13"/>
  <c r="AG102" i="13" s="1"/>
  <c r="AD120" i="13"/>
  <c r="AG120" i="13" s="1"/>
  <c r="AF120" i="13"/>
  <c r="AF146" i="13"/>
  <c r="AD146" i="13"/>
  <c r="AG146" i="13" s="1"/>
  <c r="AF134" i="13"/>
  <c r="AD134" i="13"/>
  <c r="AG134" i="13" s="1"/>
  <c r="AD175" i="13"/>
  <c r="AG175" i="13" s="1"/>
  <c r="AF175" i="13"/>
  <c r="AD140" i="13"/>
  <c r="AG140" i="13" s="1"/>
  <c r="AF140" i="13"/>
  <c r="AD160" i="13"/>
  <c r="AG160" i="13" s="1"/>
  <c r="AF160" i="13"/>
  <c r="AF114" i="13"/>
  <c r="AD114" i="13"/>
  <c r="AG114" i="13" s="1"/>
  <c r="AD112" i="13"/>
  <c r="AG112" i="13" s="1"/>
  <c r="AF112" i="13"/>
  <c r="AD168" i="13"/>
  <c r="AG168" i="13" s="1"/>
  <c r="AF168" i="13"/>
  <c r="AF108" i="13"/>
  <c r="AD108" i="13"/>
  <c r="AG108" i="13" s="1"/>
  <c r="AD165" i="13"/>
  <c r="AG165" i="13" s="1"/>
  <c r="AF165" i="13"/>
  <c r="I9" i="29" l="1"/>
  <c r="I10" i="29"/>
  <c r="I11" i="29"/>
  <c r="I12" i="29"/>
  <c r="I13" i="29"/>
  <c r="I14" i="29"/>
  <c r="I15" i="29"/>
  <c r="I16" i="29"/>
  <c r="I17" i="29"/>
  <c r="I18" i="29"/>
  <c r="I19" i="29"/>
  <c r="I20" i="29"/>
  <c r="I21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D24" i="29"/>
  <c r="D25" i="29"/>
  <c r="D26" i="29"/>
  <c r="D27" i="29"/>
  <c r="D28" i="29"/>
  <c r="D29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G29" i="29" l="1"/>
  <c r="H29" i="29" s="1"/>
  <c r="G28" i="29"/>
  <c r="H28" i="29" s="1"/>
  <c r="G27" i="29"/>
  <c r="H27" i="29" s="1"/>
  <c r="G26" i="29"/>
  <c r="H26" i="29" s="1"/>
  <c r="G25" i="29"/>
  <c r="H25" i="29" s="1"/>
  <c r="G24" i="29"/>
  <c r="D23" i="25"/>
  <c r="Z46" i="13"/>
  <c r="AB46" i="13" s="1"/>
  <c r="T46" i="13"/>
  <c r="V46" i="13" s="1"/>
  <c r="P46" i="13"/>
  <c r="K46" i="13"/>
  <c r="E46" i="13"/>
  <c r="D46" i="13"/>
  <c r="C46" i="13"/>
  <c r="B46" i="13"/>
  <c r="G30" i="29" l="1"/>
  <c r="H24" i="29"/>
  <c r="H30" i="29" s="1"/>
  <c r="AE46" i="13"/>
  <c r="AC46" i="13"/>
  <c r="AA46" i="13"/>
  <c r="U46" i="13"/>
  <c r="W46" i="13" s="1"/>
  <c r="X46" i="13" s="1"/>
  <c r="AF46" i="13" l="1"/>
  <c r="AD46" i="13"/>
  <c r="AG46" i="13" s="1"/>
  <c r="F12" i="24" l="1"/>
  <c r="G12" i="24" s="1"/>
  <c r="H12" i="24" s="1"/>
  <c r="I12" i="24" s="1"/>
  <c r="F15" i="24"/>
  <c r="G15" i="24" s="1"/>
  <c r="H15" i="24" s="1"/>
  <c r="I15" i="24" s="1"/>
  <c r="F18" i="24"/>
  <c r="G18" i="24" s="1"/>
  <c r="H18" i="24" s="1"/>
  <c r="I18" i="24" s="1"/>
  <c r="F21" i="24"/>
  <c r="G21" i="24" s="1"/>
  <c r="H21" i="24" s="1"/>
  <c r="I21" i="24" s="1"/>
  <c r="F24" i="24"/>
  <c r="G24" i="24" s="1"/>
  <c r="H24" i="24" s="1"/>
  <c r="I24" i="24" s="1"/>
  <c r="F27" i="24"/>
  <c r="G27" i="24" s="1"/>
  <c r="H27" i="24" s="1"/>
  <c r="I27" i="24" s="1"/>
  <c r="F30" i="24"/>
  <c r="G30" i="24" s="1"/>
  <c r="H30" i="24" s="1"/>
  <c r="I30" i="24" s="1"/>
  <c r="F33" i="24"/>
  <c r="G33" i="24" s="1"/>
  <c r="H33" i="24" s="1"/>
  <c r="I33" i="24" s="1"/>
  <c r="F36" i="24"/>
  <c r="G36" i="24" s="1"/>
  <c r="H36" i="24" s="1"/>
  <c r="I36" i="24" s="1"/>
  <c r="F39" i="24"/>
  <c r="G39" i="24" s="1"/>
  <c r="H39" i="24" s="1"/>
  <c r="I39" i="24" s="1"/>
  <c r="E9" i="24"/>
  <c r="F9" i="24" s="1"/>
  <c r="G9" i="24" s="1"/>
  <c r="H9" i="24" s="1"/>
  <c r="I9" i="24" s="1"/>
  <c r="E10" i="24"/>
  <c r="F10" i="24" s="1"/>
  <c r="G10" i="24" s="1"/>
  <c r="H10" i="24" s="1"/>
  <c r="I10" i="24" s="1"/>
  <c r="E11" i="24"/>
  <c r="F11" i="24" s="1"/>
  <c r="G11" i="24" s="1"/>
  <c r="H11" i="24" s="1"/>
  <c r="I11" i="24" s="1"/>
  <c r="E12" i="24"/>
  <c r="E13" i="24"/>
  <c r="F13" i="24" s="1"/>
  <c r="G13" i="24" s="1"/>
  <c r="H13" i="24" s="1"/>
  <c r="I13" i="24" s="1"/>
  <c r="E14" i="24"/>
  <c r="F14" i="24" s="1"/>
  <c r="G14" i="24" s="1"/>
  <c r="H14" i="24" s="1"/>
  <c r="I14" i="24" s="1"/>
  <c r="E15" i="24"/>
  <c r="E16" i="24"/>
  <c r="F16" i="24" s="1"/>
  <c r="G16" i="24" s="1"/>
  <c r="H16" i="24" s="1"/>
  <c r="I16" i="24" s="1"/>
  <c r="E17" i="24"/>
  <c r="F17" i="24" s="1"/>
  <c r="G17" i="24" s="1"/>
  <c r="H17" i="24" s="1"/>
  <c r="I17" i="24" s="1"/>
  <c r="E18" i="24"/>
  <c r="E19" i="24"/>
  <c r="F19" i="24" s="1"/>
  <c r="G19" i="24" s="1"/>
  <c r="H19" i="24" s="1"/>
  <c r="I19" i="24" s="1"/>
  <c r="E20" i="24"/>
  <c r="F20" i="24" s="1"/>
  <c r="G20" i="24" s="1"/>
  <c r="H20" i="24" s="1"/>
  <c r="I20" i="24" s="1"/>
  <c r="E21" i="24"/>
  <c r="E22" i="24"/>
  <c r="F22" i="24" s="1"/>
  <c r="G22" i="24" s="1"/>
  <c r="H22" i="24" s="1"/>
  <c r="I22" i="24" s="1"/>
  <c r="E23" i="24"/>
  <c r="F23" i="24" s="1"/>
  <c r="G23" i="24" s="1"/>
  <c r="H23" i="24" s="1"/>
  <c r="I23" i="24" s="1"/>
  <c r="E24" i="24"/>
  <c r="E25" i="24"/>
  <c r="F25" i="24" s="1"/>
  <c r="G25" i="24" s="1"/>
  <c r="H25" i="24" s="1"/>
  <c r="I25" i="24" s="1"/>
  <c r="E26" i="24"/>
  <c r="F26" i="24" s="1"/>
  <c r="G26" i="24" s="1"/>
  <c r="H26" i="24" s="1"/>
  <c r="I26" i="24" s="1"/>
  <c r="E27" i="24"/>
  <c r="E28" i="24"/>
  <c r="F28" i="24" s="1"/>
  <c r="G28" i="24" s="1"/>
  <c r="H28" i="24" s="1"/>
  <c r="I28" i="24" s="1"/>
  <c r="E29" i="24"/>
  <c r="F29" i="24" s="1"/>
  <c r="G29" i="24" s="1"/>
  <c r="H29" i="24" s="1"/>
  <c r="I29" i="24" s="1"/>
  <c r="E30" i="24"/>
  <c r="E31" i="24"/>
  <c r="F31" i="24" s="1"/>
  <c r="G31" i="24" s="1"/>
  <c r="H31" i="24" s="1"/>
  <c r="I31" i="24" s="1"/>
  <c r="E32" i="24"/>
  <c r="F32" i="24" s="1"/>
  <c r="G32" i="24" s="1"/>
  <c r="H32" i="24" s="1"/>
  <c r="I32" i="24" s="1"/>
  <c r="E33" i="24"/>
  <c r="E34" i="24"/>
  <c r="F34" i="24" s="1"/>
  <c r="G34" i="24" s="1"/>
  <c r="H34" i="24" s="1"/>
  <c r="I34" i="24" s="1"/>
  <c r="E35" i="24"/>
  <c r="F35" i="24" s="1"/>
  <c r="G35" i="24" s="1"/>
  <c r="H35" i="24" s="1"/>
  <c r="I35" i="24" s="1"/>
  <c r="E36" i="24"/>
  <c r="E37" i="24"/>
  <c r="F37" i="24" s="1"/>
  <c r="G37" i="24" s="1"/>
  <c r="H37" i="24" s="1"/>
  <c r="I37" i="24" s="1"/>
  <c r="E38" i="24"/>
  <c r="F38" i="24" s="1"/>
  <c r="G38" i="24" s="1"/>
  <c r="H38" i="24" s="1"/>
  <c r="I38" i="24" s="1"/>
  <c r="E39" i="24"/>
  <c r="E40" i="24"/>
  <c r="F40" i="24" s="1"/>
  <c r="G40" i="24" s="1"/>
  <c r="H40" i="24" s="1"/>
  <c r="I40" i="24" s="1"/>
  <c r="F9" i="26"/>
  <c r="G9" i="26" s="1"/>
  <c r="H9" i="26" s="1"/>
  <c r="I9" i="26" s="1"/>
  <c r="J9" i="26" s="1"/>
  <c r="F10" i="26"/>
  <c r="G10" i="26" s="1"/>
  <c r="H10" i="26" s="1"/>
  <c r="I10" i="26" s="1"/>
  <c r="J10" i="26" s="1"/>
  <c r="I9" i="25"/>
  <c r="I10" i="25"/>
  <c r="I11" i="25"/>
  <c r="I12" i="25"/>
  <c r="I13" i="25"/>
  <c r="I14" i="25"/>
  <c r="I15" i="25"/>
  <c r="I16" i="25"/>
  <c r="I17" i="25"/>
  <c r="H9" i="25"/>
  <c r="H10" i="25"/>
  <c r="H11" i="25"/>
  <c r="H12" i="25"/>
  <c r="H13" i="25"/>
  <c r="H14" i="25"/>
  <c r="H15" i="25"/>
  <c r="H16" i="25"/>
  <c r="H17" i="25"/>
  <c r="G9" i="25"/>
  <c r="G10" i="25"/>
  <c r="G11" i="25"/>
  <c r="G12" i="25"/>
  <c r="G13" i="25"/>
  <c r="G14" i="25"/>
  <c r="G15" i="25"/>
  <c r="G16" i="25"/>
  <c r="G17" i="25"/>
  <c r="F9" i="25"/>
  <c r="F10" i="25"/>
  <c r="F11" i="25"/>
  <c r="F12" i="25"/>
  <c r="F13" i="25"/>
  <c r="F14" i="25"/>
  <c r="F15" i="25"/>
  <c r="F16" i="25"/>
  <c r="F17" i="25"/>
  <c r="E9" i="25"/>
  <c r="E10" i="25"/>
  <c r="E11" i="25"/>
  <c r="E12" i="25"/>
  <c r="E13" i="25"/>
  <c r="E14" i="25"/>
  <c r="E15" i="25"/>
  <c r="E16" i="25"/>
  <c r="E17" i="25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E41" i="2" l="1"/>
  <c r="D21" i="2"/>
  <c r="D30" i="2"/>
  <c r="D38" i="2"/>
  <c r="D31" i="2"/>
  <c r="D25" i="2"/>
  <c r="D32" i="2"/>
  <c r="D23" i="2"/>
  <c r="D22" i="2"/>
  <c r="Q13" i="2"/>
  <c r="Q18" i="2" s="1"/>
  <c r="O18" i="2"/>
  <c r="I37" i="2"/>
  <c r="I41" i="2" s="1"/>
  <c r="K33" i="2"/>
  <c r="K35" i="2" s="1"/>
  <c r="K37" i="2" s="1"/>
  <c r="M29" i="2"/>
  <c r="I39" i="2"/>
  <c r="K39" i="2" s="1"/>
  <c r="E39" i="2"/>
  <c r="E40" i="2"/>
  <c r="I40" i="2"/>
  <c r="Q24" i="2"/>
  <c r="Q26" i="2" s="1"/>
  <c r="O26" i="2"/>
  <c r="K41" i="2" l="1"/>
  <c r="O29" i="2"/>
  <c r="M33" i="2"/>
  <c r="M35" i="2" s="1"/>
  <c r="M37" i="2" s="1"/>
  <c r="M41" i="2" s="1"/>
  <c r="K40" i="2"/>
  <c r="I38" i="2"/>
  <c r="K38" i="2" s="1"/>
  <c r="E38" i="2"/>
  <c r="Q29" i="2" l="1"/>
  <c r="Q33" i="2" s="1"/>
  <c r="Q35" i="2" s="1"/>
  <c r="O33" i="2"/>
  <c r="O35" i="2" s="1"/>
  <c r="O37" i="2" s="1"/>
  <c r="O41" i="2" s="1"/>
  <c r="M39" i="2"/>
  <c r="O39" i="2" s="1"/>
  <c r="M38" i="2"/>
  <c r="O38" i="2" s="1"/>
  <c r="M40" i="2"/>
  <c r="O40" i="2" l="1"/>
  <c r="Q37" i="2"/>
  <c r="Q41" i="2" s="1"/>
  <c r="Q38" i="2" l="1"/>
  <c r="Q39" i="2"/>
  <c r="Q40" i="2"/>
  <c r="F23" i="25" l="1"/>
  <c r="H23" i="25" s="1"/>
  <c r="B23" i="25"/>
  <c r="Z21" i="13" l="1"/>
  <c r="AB21" i="13" s="1"/>
  <c r="T21" i="13"/>
  <c r="V21" i="13" s="1"/>
  <c r="P21" i="13"/>
  <c r="K21" i="13"/>
  <c r="E21" i="13"/>
  <c r="D21" i="13"/>
  <c r="C21" i="13"/>
  <c r="B21" i="13"/>
  <c r="Z5" i="13"/>
  <c r="AA5" i="13" s="1"/>
  <c r="T5" i="13"/>
  <c r="V5" i="13" s="1"/>
  <c r="P5" i="13"/>
  <c r="K5" i="13"/>
  <c r="E5" i="13"/>
  <c r="D5" i="13"/>
  <c r="C5" i="13"/>
  <c r="B5" i="13"/>
  <c r="AC21" i="13" l="1"/>
  <c r="AD21" i="13" s="1"/>
  <c r="AE21" i="13"/>
  <c r="U21" i="13"/>
  <c r="W21" i="13" s="1"/>
  <c r="X21" i="13" s="1"/>
  <c r="AA21" i="13"/>
  <c r="U5" i="13"/>
  <c r="W5" i="13" s="1"/>
  <c r="X5" i="13" s="1"/>
  <c r="AB5" i="13"/>
  <c r="AF21" i="13" l="1"/>
  <c r="AC5" i="13"/>
  <c r="AD5" i="13" s="1"/>
  <c r="AE5" i="13"/>
  <c r="K9" i="13"/>
  <c r="AF5" i="13" l="1"/>
  <c r="Z62" i="13" l="1"/>
  <c r="AB62" i="13" s="1"/>
  <c r="T62" i="13"/>
  <c r="V62" i="13" s="1"/>
  <c r="P62" i="13"/>
  <c r="K62" i="13"/>
  <c r="E62" i="13"/>
  <c r="D62" i="13"/>
  <c r="C62" i="13"/>
  <c r="B62" i="13"/>
  <c r="Z61" i="13"/>
  <c r="AA61" i="13" s="1"/>
  <c r="T61" i="13"/>
  <c r="V61" i="13" s="1"/>
  <c r="P61" i="13"/>
  <c r="K61" i="13"/>
  <c r="E61" i="13"/>
  <c r="D61" i="13"/>
  <c r="C61" i="13"/>
  <c r="B61" i="13"/>
  <c r="Z60" i="13"/>
  <c r="AA60" i="13" s="1"/>
  <c r="T60" i="13"/>
  <c r="U60" i="13" s="1"/>
  <c r="P60" i="13"/>
  <c r="K60" i="13"/>
  <c r="E60" i="13"/>
  <c r="D60" i="13"/>
  <c r="C60" i="13"/>
  <c r="B60" i="13"/>
  <c r="Z59" i="13"/>
  <c r="AB59" i="13" s="1"/>
  <c r="T59" i="13"/>
  <c r="V59" i="13" s="1"/>
  <c r="P59" i="13"/>
  <c r="K59" i="13"/>
  <c r="E59" i="13"/>
  <c r="D59" i="13"/>
  <c r="C59" i="13"/>
  <c r="B59" i="13"/>
  <c r="Z63" i="13"/>
  <c r="AB63" i="13" s="1"/>
  <c r="T63" i="13"/>
  <c r="V63" i="13" s="1"/>
  <c r="P63" i="13"/>
  <c r="K63" i="13"/>
  <c r="E63" i="13"/>
  <c r="D63" i="13"/>
  <c r="C63" i="13"/>
  <c r="B63" i="13"/>
  <c r="U59" i="13" l="1"/>
  <c r="W59" i="13" s="1"/>
  <c r="X59" i="13" s="1"/>
  <c r="U62" i="13"/>
  <c r="W62" i="13" s="1"/>
  <c r="X62" i="13" s="1"/>
  <c r="AB60" i="13"/>
  <c r="AC60" i="13" s="1"/>
  <c r="AD60" i="13" s="1"/>
  <c r="AA59" i="13"/>
  <c r="V60" i="13"/>
  <c r="W60" i="13" s="1"/>
  <c r="X60" i="13" s="1"/>
  <c r="AB61" i="13"/>
  <c r="AC61" i="13" s="1"/>
  <c r="AD61" i="13" s="1"/>
  <c r="AC59" i="13"/>
  <c r="AD59" i="13" s="1"/>
  <c r="AE59" i="13"/>
  <c r="AC62" i="13"/>
  <c r="AD62" i="13" s="1"/>
  <c r="AE62" i="13"/>
  <c r="U61" i="13"/>
  <c r="W61" i="13" s="1"/>
  <c r="X61" i="13" s="1"/>
  <c r="AA62" i="13"/>
  <c r="U63" i="13"/>
  <c r="W63" i="13" s="1"/>
  <c r="X63" i="13" s="1"/>
  <c r="AC63" i="13"/>
  <c r="AD63" i="13" s="1"/>
  <c r="AE63" i="13"/>
  <c r="AA63" i="13"/>
  <c r="Z49" i="13"/>
  <c r="AA49" i="13" s="1"/>
  <c r="T49" i="13"/>
  <c r="V49" i="13" s="1"/>
  <c r="P49" i="13"/>
  <c r="K49" i="13"/>
  <c r="E49" i="13"/>
  <c r="D49" i="13"/>
  <c r="C49" i="13"/>
  <c r="B49" i="13"/>
  <c r="Z48" i="13"/>
  <c r="AB48" i="13" s="1"/>
  <c r="T48" i="13"/>
  <c r="V48" i="13" s="1"/>
  <c r="P48" i="13"/>
  <c r="K48" i="13"/>
  <c r="E48" i="13"/>
  <c r="D48" i="13"/>
  <c r="C48" i="13"/>
  <c r="B48" i="13"/>
  <c r="E30" i="13"/>
  <c r="D30" i="13"/>
  <c r="C30" i="13"/>
  <c r="B30" i="13"/>
  <c r="K30" i="13"/>
  <c r="P30" i="13"/>
  <c r="T30" i="13"/>
  <c r="U30" i="13" s="1"/>
  <c r="T29" i="13"/>
  <c r="Z30" i="13"/>
  <c r="AB30" i="13" s="1"/>
  <c r="AC30" i="13" s="1"/>
  <c r="AD30" i="13" s="1"/>
  <c r="AE61" i="13" l="1"/>
  <c r="AE60" i="13"/>
  <c r="AF61" i="13"/>
  <c r="AF60" i="13"/>
  <c r="AF62" i="13"/>
  <c r="AF59" i="13"/>
  <c r="AF63" i="13"/>
  <c r="U49" i="13"/>
  <c r="W49" i="13" s="1"/>
  <c r="X49" i="13" s="1"/>
  <c r="AB49" i="13"/>
  <c r="AA30" i="13"/>
  <c r="AE48" i="13"/>
  <c r="AC48" i="13"/>
  <c r="AD48" i="13" s="1"/>
  <c r="U48" i="13"/>
  <c r="W48" i="13" s="1"/>
  <c r="X48" i="13" s="1"/>
  <c r="AA48" i="13"/>
  <c r="V30" i="13"/>
  <c r="AE30" i="13" s="1"/>
  <c r="D14" i="26"/>
  <c r="D15" i="26"/>
  <c r="W30" i="13" l="1"/>
  <c r="X30" i="13" s="1"/>
  <c r="AC49" i="13"/>
  <c r="AD49" i="13" s="1"/>
  <c r="AE49" i="13"/>
  <c r="AF48" i="13"/>
  <c r="T39" i="13"/>
  <c r="U39" i="13" s="1"/>
  <c r="Z39" i="13"/>
  <c r="T40" i="13"/>
  <c r="Z40" i="13"/>
  <c r="T41" i="13"/>
  <c r="Z41" i="13"/>
  <c r="T42" i="13"/>
  <c r="Z42" i="13"/>
  <c r="AB42" i="13" s="1"/>
  <c r="T43" i="13"/>
  <c r="U43" i="13" s="1"/>
  <c r="Z43" i="13"/>
  <c r="T44" i="13"/>
  <c r="V44" i="13" s="1"/>
  <c r="Z44" i="13"/>
  <c r="AB44" i="13" s="1"/>
  <c r="T45" i="13"/>
  <c r="Z45" i="13"/>
  <c r="T47" i="13"/>
  <c r="Z47" i="13"/>
  <c r="T50" i="13"/>
  <c r="V50" i="13" s="1"/>
  <c r="Z50" i="13"/>
  <c r="T51" i="13"/>
  <c r="Z51" i="13"/>
  <c r="T52" i="13"/>
  <c r="Z52" i="13"/>
  <c r="AB52" i="13" s="1"/>
  <c r="T53" i="13"/>
  <c r="V53" i="13" s="1"/>
  <c r="Z53" i="13"/>
  <c r="AB53" i="13" s="1"/>
  <c r="AC53" i="13" s="1"/>
  <c r="AD53" i="13" s="1"/>
  <c r="T54" i="13"/>
  <c r="V54" i="13" s="1"/>
  <c r="Z54" i="13"/>
  <c r="T55" i="13"/>
  <c r="Z55" i="13"/>
  <c r="T57" i="13"/>
  <c r="U57" i="13" s="1"/>
  <c r="Z57" i="13"/>
  <c r="T58" i="13"/>
  <c r="Z58" i="13"/>
  <c r="AB58" i="13" s="1"/>
  <c r="T64" i="13"/>
  <c r="Z64" i="13"/>
  <c r="T65" i="13"/>
  <c r="Z65" i="13"/>
  <c r="T66" i="13"/>
  <c r="U66" i="13" s="1"/>
  <c r="W66" i="13" s="1"/>
  <c r="X66" i="13" s="1"/>
  <c r="Z66" i="13"/>
  <c r="AB66" i="13" s="1"/>
  <c r="T67" i="13"/>
  <c r="U67" i="13" s="1"/>
  <c r="Z67" i="13"/>
  <c r="AB67" i="13" s="1"/>
  <c r="AC67" i="13" s="1"/>
  <c r="AD67" i="13" s="1"/>
  <c r="T68" i="13"/>
  <c r="V68" i="13" s="1"/>
  <c r="Z68" i="13"/>
  <c r="T69" i="13"/>
  <c r="Z69" i="13"/>
  <c r="AB69" i="13" s="1"/>
  <c r="AC69" i="13" s="1"/>
  <c r="AD69" i="13" s="1"/>
  <c r="T70" i="13"/>
  <c r="U70" i="13" s="1"/>
  <c r="Z70" i="13"/>
  <c r="AA70" i="13" s="1"/>
  <c r="T71" i="13"/>
  <c r="U71" i="13" s="1"/>
  <c r="Z71" i="13"/>
  <c r="T74" i="13"/>
  <c r="Z74" i="13"/>
  <c r="AA74" i="13" s="1"/>
  <c r="T75" i="13"/>
  <c r="Z75" i="13"/>
  <c r="AB75" i="13" s="1"/>
  <c r="T76" i="13"/>
  <c r="V76" i="13" s="1"/>
  <c r="Z76" i="13"/>
  <c r="T77" i="13"/>
  <c r="Z77" i="13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U11" i="13" s="1"/>
  <c r="Z11" i="13"/>
  <c r="AA11" i="13" s="1"/>
  <c r="T12" i="13"/>
  <c r="V12" i="13" s="1"/>
  <c r="Z12" i="13"/>
  <c r="AB12" i="13" s="1"/>
  <c r="AC12" i="13" s="1"/>
  <c r="AD12" i="13" s="1"/>
  <c r="T13" i="13"/>
  <c r="V13" i="13" s="1"/>
  <c r="Z13" i="13"/>
  <c r="T14" i="13"/>
  <c r="Z14" i="13"/>
  <c r="AA14" i="13" s="1"/>
  <c r="T15" i="13"/>
  <c r="U15" i="13" s="1"/>
  <c r="Z15" i="13"/>
  <c r="AB15" i="13" s="1"/>
  <c r="AC15" i="13" s="1"/>
  <c r="AD15" i="13" s="1"/>
  <c r="T16" i="13"/>
  <c r="U16" i="13" s="1"/>
  <c r="Z16" i="13"/>
  <c r="T17" i="13"/>
  <c r="Z17" i="13"/>
  <c r="T18" i="13"/>
  <c r="Z18" i="13"/>
  <c r="AA18" i="13" s="1"/>
  <c r="T20" i="13"/>
  <c r="U20" i="13" s="1"/>
  <c r="Z20" i="13"/>
  <c r="AA20" i="13" s="1"/>
  <c r="T22" i="13"/>
  <c r="Z22" i="13"/>
  <c r="T23" i="13"/>
  <c r="V23" i="13" s="1"/>
  <c r="Z23" i="13"/>
  <c r="T24" i="13"/>
  <c r="Z24" i="13"/>
  <c r="AA24" i="13" s="1"/>
  <c r="T25" i="13"/>
  <c r="U25" i="13" s="1"/>
  <c r="Z25" i="13"/>
  <c r="AB25" i="13" s="1"/>
  <c r="AC25" i="13" s="1"/>
  <c r="AD25" i="13" s="1"/>
  <c r="T26" i="13"/>
  <c r="U26" i="13" s="1"/>
  <c r="Z26" i="13"/>
  <c r="AB26" i="13" s="1"/>
  <c r="AC26" i="13" s="1"/>
  <c r="AD26" i="13" s="1"/>
  <c r="T27" i="13"/>
  <c r="V27" i="13" s="1"/>
  <c r="Z27" i="13"/>
  <c r="T28" i="13"/>
  <c r="Z28" i="13"/>
  <c r="AA28" i="13" s="1"/>
  <c r="Z29" i="13"/>
  <c r="AB29" i="13" s="1"/>
  <c r="AC29" i="13" s="1"/>
  <c r="AD29" i="13" s="1"/>
  <c r="T31" i="13"/>
  <c r="U31" i="13" s="1"/>
  <c r="Z31" i="13"/>
  <c r="AB31" i="13" s="1"/>
  <c r="AC31" i="13" s="1"/>
  <c r="AD31" i="13" s="1"/>
  <c r="T32" i="13"/>
  <c r="V32" i="13" s="1"/>
  <c r="Z32" i="13"/>
  <c r="T33" i="13"/>
  <c r="Z33" i="13"/>
  <c r="AA33" i="13" s="1"/>
  <c r="T34" i="13"/>
  <c r="U34" i="13" s="1"/>
  <c r="Z34" i="13"/>
  <c r="AA34" i="13" s="1"/>
  <c r="T35" i="13"/>
  <c r="U35" i="13" s="1"/>
  <c r="Z35" i="13"/>
  <c r="AB35" i="13" s="1"/>
  <c r="AC35" i="13" s="1"/>
  <c r="AD35" i="13" s="1"/>
  <c r="T36" i="13"/>
  <c r="U36" i="13" s="1"/>
  <c r="Z36" i="13"/>
  <c r="AB36" i="13" s="1"/>
  <c r="AC36" i="13" s="1"/>
  <c r="AD36" i="13" s="1"/>
  <c r="T37" i="13"/>
  <c r="V37" i="13" s="1"/>
  <c r="Z37" i="13"/>
  <c r="AA37" i="13" s="1"/>
  <c r="T38" i="13"/>
  <c r="U38" i="13" s="1"/>
  <c r="Z38" i="13"/>
  <c r="AB38" i="13" s="1"/>
  <c r="AC38" i="13" s="1"/>
  <c r="AD38" i="13" s="1"/>
  <c r="AA15" i="13" l="1"/>
  <c r="AF30" i="13"/>
  <c r="AF49" i="13"/>
  <c r="AA66" i="13"/>
  <c r="AB34" i="13"/>
  <c r="AC34" i="13" s="1"/>
  <c r="AD34" i="13" s="1"/>
  <c r="AA36" i="13"/>
  <c r="V35" i="13"/>
  <c r="AE35" i="13" s="1"/>
  <c r="V16" i="13"/>
  <c r="W16" i="13" s="1"/>
  <c r="X16" i="13" s="1"/>
  <c r="AA69" i="13"/>
  <c r="AB24" i="13"/>
  <c r="AC24" i="13" s="1"/>
  <c r="AD24" i="13" s="1"/>
  <c r="V20" i="13"/>
  <c r="W20" i="13" s="1"/>
  <c r="X20" i="13" s="1"/>
  <c r="AB7" i="13"/>
  <c r="AC7" i="13" s="1"/>
  <c r="AD7" i="13" s="1"/>
  <c r="AA25" i="13"/>
  <c r="U76" i="13"/>
  <c r="W76" i="13" s="1"/>
  <c r="X76" i="13" s="1"/>
  <c r="AB74" i="13"/>
  <c r="AC74" i="13" s="1"/>
  <c r="AD74" i="13" s="1"/>
  <c r="AA26" i="13"/>
  <c r="U44" i="13"/>
  <c r="W44" i="13" s="1"/>
  <c r="X44" i="13" s="1"/>
  <c r="AA44" i="13"/>
  <c r="AB33" i="13"/>
  <c r="AC33" i="13" s="1"/>
  <c r="AD33" i="13" s="1"/>
  <c r="U27" i="13"/>
  <c r="W27" i="13" s="1"/>
  <c r="X27" i="13" s="1"/>
  <c r="V26" i="13"/>
  <c r="AE26" i="13" s="1"/>
  <c r="V25" i="13"/>
  <c r="AE25" i="13" s="1"/>
  <c r="AA8" i="13"/>
  <c r="AA75" i="13"/>
  <c r="V70" i="13"/>
  <c r="W70" i="13" s="1"/>
  <c r="X70" i="13" s="1"/>
  <c r="V57" i="13"/>
  <c r="W57" i="13" s="1"/>
  <c r="X57" i="13" s="1"/>
  <c r="U50" i="13"/>
  <c r="W50" i="13" s="1"/>
  <c r="X50" i="13" s="1"/>
  <c r="V43" i="13"/>
  <c r="AE53" i="13"/>
  <c r="AA52" i="13"/>
  <c r="AB11" i="13"/>
  <c r="AC11" i="13" s="1"/>
  <c r="AD11" i="13" s="1"/>
  <c r="V71" i="13"/>
  <c r="W71" i="13" s="1"/>
  <c r="X71" i="13" s="1"/>
  <c r="AB70" i="13"/>
  <c r="V67" i="13"/>
  <c r="AE67" i="13" s="1"/>
  <c r="AA38" i="13"/>
  <c r="AB18" i="13"/>
  <c r="AC18" i="13" s="1"/>
  <c r="AD18" i="13" s="1"/>
  <c r="AB14" i="13"/>
  <c r="AC14" i="13" s="1"/>
  <c r="AD14" i="13" s="1"/>
  <c r="V7" i="13"/>
  <c r="AA42" i="13"/>
  <c r="V17" i="13"/>
  <c r="U17" i="13"/>
  <c r="U29" i="13"/>
  <c r="V29" i="13"/>
  <c r="AE29" i="13" s="1"/>
  <c r="AB50" i="13"/>
  <c r="AA50" i="13"/>
  <c r="V45" i="13"/>
  <c r="U45" i="13"/>
  <c r="AA39" i="13"/>
  <c r="AB39" i="13"/>
  <c r="V36" i="13"/>
  <c r="AE36" i="13" s="1"/>
  <c r="V34" i="13"/>
  <c r="W34" i="13" s="1"/>
  <c r="X34" i="13" s="1"/>
  <c r="V31" i="13"/>
  <c r="AE31" i="13" s="1"/>
  <c r="AA29" i="13"/>
  <c r="AB20" i="13"/>
  <c r="U12" i="13"/>
  <c r="W12" i="13" s="1"/>
  <c r="X12" i="13" s="1"/>
  <c r="V77" i="13"/>
  <c r="U77" i="13"/>
  <c r="AA57" i="13"/>
  <c r="AB57" i="13"/>
  <c r="AC57" i="13" s="1"/>
  <c r="AD57" i="13" s="1"/>
  <c r="AC52" i="13"/>
  <c r="AD52" i="13" s="1"/>
  <c r="AA51" i="13"/>
  <c r="AB51" i="13"/>
  <c r="AC51" i="13" s="1"/>
  <c r="AD51" i="13" s="1"/>
  <c r="V38" i="13"/>
  <c r="W38" i="13" s="1"/>
  <c r="X38" i="13" s="1"/>
  <c r="AA35" i="13"/>
  <c r="U22" i="13"/>
  <c r="AB16" i="13"/>
  <c r="AA16" i="13"/>
  <c r="V11" i="13"/>
  <c r="W11" i="13" s="1"/>
  <c r="X11" i="13" s="1"/>
  <c r="U8" i="13"/>
  <c r="V8" i="13"/>
  <c r="AE8" i="13" s="1"/>
  <c r="AA65" i="13"/>
  <c r="AB65" i="13"/>
  <c r="AC65" i="13" s="1"/>
  <c r="AD65" i="13" s="1"/>
  <c r="AA58" i="13"/>
  <c r="V15" i="13"/>
  <c r="W15" i="13" s="1"/>
  <c r="X15" i="13" s="1"/>
  <c r="AB10" i="13"/>
  <c r="AC10" i="13" s="1"/>
  <c r="AD10" i="13" s="1"/>
  <c r="U9" i="13"/>
  <c r="W9" i="13" s="1"/>
  <c r="X9" i="13" s="1"/>
  <c r="U75" i="13"/>
  <c r="V75" i="13"/>
  <c r="AE75" i="13" s="1"/>
  <c r="V66" i="13"/>
  <c r="AE66" i="13" s="1"/>
  <c r="U58" i="13"/>
  <c r="V58" i="13"/>
  <c r="AE58" i="13" s="1"/>
  <c r="U53" i="13"/>
  <c r="W53" i="13" s="1"/>
  <c r="U52" i="13"/>
  <c r="V52" i="13"/>
  <c r="AE52" i="13" s="1"/>
  <c r="AA47" i="13"/>
  <c r="AB47" i="13"/>
  <c r="AC47" i="13" s="1"/>
  <c r="AD47" i="13" s="1"/>
  <c r="AA43" i="13"/>
  <c r="AB43" i="13"/>
  <c r="AC43" i="13" s="1"/>
  <c r="AD43" i="13" s="1"/>
  <c r="AB76" i="13"/>
  <c r="AA76" i="13"/>
  <c r="AC66" i="13"/>
  <c r="AA55" i="13"/>
  <c r="AB55" i="13"/>
  <c r="AC55" i="13" s="1"/>
  <c r="AD55" i="13" s="1"/>
  <c r="U40" i="13"/>
  <c r="V40" i="13"/>
  <c r="W43" i="13"/>
  <c r="X43" i="13" s="1"/>
  <c r="V39" i="13"/>
  <c r="W39" i="13" s="1"/>
  <c r="X39" i="13" s="1"/>
  <c r="V41" i="13"/>
  <c r="U41" i="13"/>
  <c r="AC75" i="13"/>
  <c r="AD75" i="13" s="1"/>
  <c r="AA54" i="13"/>
  <c r="AB54" i="13"/>
  <c r="U74" i="13"/>
  <c r="V74" i="13"/>
  <c r="AA68" i="13"/>
  <c r="AB68" i="13"/>
  <c r="V64" i="13"/>
  <c r="U64" i="13"/>
  <c r="AA41" i="13"/>
  <c r="AB41" i="13"/>
  <c r="U69" i="13"/>
  <c r="V69" i="13"/>
  <c r="AE69" i="13" s="1"/>
  <c r="U55" i="13"/>
  <c r="V55" i="13"/>
  <c r="AC44" i="13"/>
  <c r="AD44" i="13" s="1"/>
  <c r="AE44" i="13"/>
  <c r="AB40" i="13"/>
  <c r="AA40" i="13"/>
  <c r="AB71" i="13"/>
  <c r="AA71" i="13"/>
  <c r="AC58" i="13"/>
  <c r="AD58" i="13" s="1"/>
  <c r="AC42" i="13"/>
  <c r="AD42" i="13" s="1"/>
  <c r="U42" i="13"/>
  <c r="V42" i="13"/>
  <c r="AE42" i="13" s="1"/>
  <c r="U68" i="13"/>
  <c r="W68" i="13" s="1"/>
  <c r="X68" i="13" s="1"/>
  <c r="AA67" i="13"/>
  <c r="U65" i="13"/>
  <c r="V65" i="13"/>
  <c r="AA64" i="13"/>
  <c r="AB64" i="13"/>
  <c r="U54" i="13"/>
  <c r="W54" i="13" s="1"/>
  <c r="X54" i="13" s="1"/>
  <c r="AA53" i="13"/>
  <c r="U47" i="13"/>
  <c r="V47" i="13"/>
  <c r="AA45" i="13"/>
  <c r="AB45" i="13"/>
  <c r="AA77" i="13"/>
  <c r="AB77" i="13"/>
  <c r="U51" i="13"/>
  <c r="V51" i="13"/>
  <c r="AA9" i="13"/>
  <c r="AB9" i="13"/>
  <c r="U33" i="13"/>
  <c r="W33" i="13" s="1"/>
  <c r="X33" i="13" s="1"/>
  <c r="V33" i="13"/>
  <c r="AA32" i="13"/>
  <c r="AB32" i="13"/>
  <c r="AA23" i="13"/>
  <c r="AB23" i="13"/>
  <c r="AA13" i="13"/>
  <c r="AB13" i="13"/>
  <c r="W31" i="13"/>
  <c r="X31" i="13" s="1"/>
  <c r="U10" i="13"/>
  <c r="V10" i="13"/>
  <c r="U24" i="13"/>
  <c r="V24" i="13"/>
  <c r="U14" i="13"/>
  <c r="V14" i="13"/>
  <c r="AE12" i="13"/>
  <c r="AB37" i="13"/>
  <c r="U37" i="13"/>
  <c r="W37" i="13" s="1"/>
  <c r="X37" i="13" s="1"/>
  <c r="U32" i="13"/>
  <c r="W32" i="13" s="1"/>
  <c r="X32" i="13" s="1"/>
  <c r="AA31" i="13"/>
  <c r="U28" i="13"/>
  <c r="AA27" i="13"/>
  <c r="AB27" i="13"/>
  <c r="U23" i="13"/>
  <c r="W23" i="13" s="1"/>
  <c r="X23" i="13" s="1"/>
  <c r="AA22" i="13"/>
  <c r="U18" i="13"/>
  <c r="V18" i="13"/>
  <c r="AA17" i="13"/>
  <c r="AB17" i="13"/>
  <c r="U13" i="13"/>
  <c r="W13" i="13" s="1"/>
  <c r="X13" i="13" s="1"/>
  <c r="AA12" i="13"/>
  <c r="AF53" i="13" l="1"/>
  <c r="X53" i="13"/>
  <c r="AF66" i="13"/>
  <c r="AD66" i="13"/>
  <c r="W35" i="13"/>
  <c r="W8" i="13"/>
  <c r="W69" i="13"/>
  <c r="X69" i="13" s="1"/>
  <c r="W25" i="13"/>
  <c r="W41" i="13"/>
  <c r="X41" i="13" s="1"/>
  <c r="AE47" i="13"/>
  <c r="AF34" i="13"/>
  <c r="W67" i="13"/>
  <c r="W36" i="13"/>
  <c r="AE7" i="13"/>
  <c r="AE51" i="13"/>
  <c r="AE24" i="13"/>
  <c r="W77" i="13"/>
  <c r="X77" i="13" s="1"/>
  <c r="AE18" i="13"/>
  <c r="W40" i="13"/>
  <c r="X40" i="13" s="1"/>
  <c r="W17" i="13"/>
  <c r="X17" i="13" s="1"/>
  <c r="W26" i="13"/>
  <c r="AE34" i="13"/>
  <c r="W7" i="13"/>
  <c r="AE55" i="13"/>
  <c r="AF33" i="13"/>
  <c r="AE65" i="13"/>
  <c r="AE74" i="13"/>
  <c r="AE10" i="13"/>
  <c r="AE14" i="13"/>
  <c r="AF43" i="13"/>
  <c r="AE38" i="13"/>
  <c r="AE33" i="13"/>
  <c r="AE57" i="13"/>
  <c r="AE11" i="13"/>
  <c r="AC70" i="13"/>
  <c r="AE70" i="13"/>
  <c r="AF15" i="13"/>
  <c r="AF38" i="13"/>
  <c r="AF12" i="13"/>
  <c r="AF11" i="13"/>
  <c r="AC39" i="13"/>
  <c r="AD39" i="13" s="1"/>
  <c r="AE39" i="13"/>
  <c r="AE15" i="13"/>
  <c r="W18" i="13"/>
  <c r="W10" i="13"/>
  <c r="X10" i="13" s="1"/>
  <c r="AE43" i="13"/>
  <c r="W65" i="13"/>
  <c r="W42" i="13"/>
  <c r="X42" i="13" s="1"/>
  <c r="W52" i="13"/>
  <c r="X52" i="13" s="1"/>
  <c r="W75" i="13"/>
  <c r="X75" i="13" s="1"/>
  <c r="AF57" i="13"/>
  <c r="AC20" i="13"/>
  <c r="AD20" i="13" s="1"/>
  <c r="AE20" i="13"/>
  <c r="AC50" i="13"/>
  <c r="AD50" i="13" s="1"/>
  <c r="AE50" i="13"/>
  <c r="W29" i="13"/>
  <c r="X29" i="13" s="1"/>
  <c r="W14" i="13"/>
  <c r="W58" i="13"/>
  <c r="X58" i="13" s="1"/>
  <c r="AC16" i="13"/>
  <c r="AD16" i="13" s="1"/>
  <c r="AE16" i="13"/>
  <c r="W64" i="13"/>
  <c r="X64" i="13" s="1"/>
  <c r="AC76" i="13"/>
  <c r="AD76" i="13" s="1"/>
  <c r="AE76" i="13"/>
  <c r="W45" i="13"/>
  <c r="X45" i="13" s="1"/>
  <c r="AE45" i="13"/>
  <c r="AC45" i="13"/>
  <c r="AD45" i="13" s="1"/>
  <c r="W51" i="13"/>
  <c r="X51" i="13" s="1"/>
  <c r="AC71" i="13"/>
  <c r="AD71" i="13" s="1"/>
  <c r="AE71" i="13"/>
  <c r="AC77" i="13"/>
  <c r="AD77" i="13" s="1"/>
  <c r="AE77" i="13"/>
  <c r="W47" i="13"/>
  <c r="X47" i="13" s="1"/>
  <c r="AC40" i="13"/>
  <c r="AD40" i="13" s="1"/>
  <c r="AE40" i="13"/>
  <c r="W74" i="13"/>
  <c r="X74" i="13" s="1"/>
  <c r="AE41" i="13"/>
  <c r="AC41" i="13"/>
  <c r="AD41" i="13" s="1"/>
  <c r="AE68" i="13"/>
  <c r="AC68" i="13"/>
  <c r="AD68" i="13" s="1"/>
  <c r="AE64" i="13"/>
  <c r="AC64" i="13"/>
  <c r="AD64" i="13" s="1"/>
  <c r="AF44" i="13"/>
  <c r="W55" i="13"/>
  <c r="X55" i="13" s="1"/>
  <c r="AE54" i="13"/>
  <c r="AC54" i="13"/>
  <c r="AD54" i="13" s="1"/>
  <c r="AE37" i="13"/>
  <c r="AC37" i="13"/>
  <c r="AD37" i="13" s="1"/>
  <c r="AE27" i="13"/>
  <c r="AC27" i="13"/>
  <c r="AD27" i="13" s="1"/>
  <c r="W24" i="13"/>
  <c r="X24" i="13" s="1"/>
  <c r="AE13" i="13"/>
  <c r="AC13" i="13"/>
  <c r="AD13" i="13" s="1"/>
  <c r="AE23" i="13"/>
  <c r="AC23" i="13"/>
  <c r="AD23" i="13" s="1"/>
  <c r="AE32" i="13"/>
  <c r="AC32" i="13"/>
  <c r="AD32" i="13" s="1"/>
  <c r="AF31" i="13"/>
  <c r="AE17" i="13"/>
  <c r="AC17" i="13"/>
  <c r="AD17" i="13" s="1"/>
  <c r="AE9" i="13"/>
  <c r="AC9" i="13"/>
  <c r="AD9" i="13" s="1"/>
  <c r="P31" i="13"/>
  <c r="K31" i="13"/>
  <c r="E31" i="13"/>
  <c r="D31" i="13"/>
  <c r="C31" i="13"/>
  <c r="B31" i="13"/>
  <c r="P29" i="13"/>
  <c r="K29" i="13"/>
  <c r="E29" i="13"/>
  <c r="D29" i="13"/>
  <c r="C29" i="13"/>
  <c r="B29" i="13"/>
  <c r="AF69" i="13" l="1"/>
  <c r="AF18" i="13"/>
  <c r="X18" i="13"/>
  <c r="AF8" i="13"/>
  <c r="X8" i="13"/>
  <c r="AF7" i="13"/>
  <c r="X7" i="13"/>
  <c r="AF35" i="13"/>
  <c r="X35" i="13"/>
  <c r="AF70" i="13"/>
  <c r="AD70" i="13"/>
  <c r="AF26" i="13"/>
  <c r="X26" i="13"/>
  <c r="AF25" i="13"/>
  <c r="X25" i="13"/>
  <c r="AF65" i="13"/>
  <c r="X65" i="13"/>
  <c r="AF36" i="13"/>
  <c r="X36" i="13"/>
  <c r="AF67" i="13"/>
  <c r="X67" i="13"/>
  <c r="AF14" i="13"/>
  <c r="X14" i="13"/>
  <c r="AF76" i="13"/>
  <c r="AF20" i="13"/>
  <c r="AF10" i="13"/>
  <c r="AF42" i="13"/>
  <c r="AF52" i="13"/>
  <c r="AF39" i="13"/>
  <c r="AF58" i="13"/>
  <c r="AF75" i="13"/>
  <c r="AF16" i="13"/>
  <c r="AF29" i="13"/>
  <c r="AF50" i="13"/>
  <c r="AF77" i="13"/>
  <c r="AF41" i="13"/>
  <c r="AF45" i="13"/>
  <c r="AF64" i="13"/>
  <c r="AF55" i="13"/>
  <c r="AF68" i="13"/>
  <c r="AF51" i="13"/>
  <c r="AF54" i="13"/>
  <c r="AF74" i="13"/>
  <c r="AF40" i="13"/>
  <c r="AF47" i="13"/>
  <c r="AF71" i="13"/>
  <c r="AF32" i="13"/>
  <c r="AF13" i="13"/>
  <c r="AF27" i="13"/>
  <c r="AF9" i="13"/>
  <c r="AF23" i="13"/>
  <c r="AF17" i="13"/>
  <c r="AF24" i="13"/>
  <c r="AF37" i="13"/>
  <c r="AB28" i="13" l="1"/>
  <c r="V28" i="13"/>
  <c r="W28" i="13" s="1"/>
  <c r="X28" i="13" s="1"/>
  <c r="AB22" i="13"/>
  <c r="V22" i="13"/>
  <c r="W22" i="13" s="1"/>
  <c r="X22" i="13" s="1"/>
  <c r="AC22" i="13" l="1"/>
  <c r="AD22" i="13" s="1"/>
  <c r="AE22" i="13"/>
  <c r="AC28" i="13"/>
  <c r="AD28" i="13" s="1"/>
  <c r="AE28" i="13"/>
  <c r="F21" i="25"/>
  <c r="F22" i="25"/>
  <c r="F24" i="25"/>
  <c r="AF28" i="13" l="1"/>
  <c r="AF22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20" i="13"/>
  <c r="E22" i="13"/>
  <c r="E23" i="13"/>
  <c r="E24" i="13"/>
  <c r="E25" i="13"/>
  <c r="E26" i="13"/>
  <c r="E27" i="13"/>
  <c r="E28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7" i="13"/>
  <c r="E50" i="13"/>
  <c r="E51" i="13"/>
  <c r="E52" i="13"/>
  <c r="E53" i="13"/>
  <c r="E54" i="13"/>
  <c r="E55" i="13"/>
  <c r="E57" i="13"/>
  <c r="E58" i="13"/>
  <c r="E64" i="13"/>
  <c r="E65" i="13"/>
  <c r="E66" i="13"/>
  <c r="E67" i="13"/>
  <c r="E68" i="13"/>
  <c r="E69" i="13"/>
  <c r="E70" i="13"/>
  <c r="E71" i="13"/>
  <c r="E74" i="13"/>
  <c r="E75" i="13"/>
  <c r="E76" i="13"/>
  <c r="E77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20" i="13"/>
  <c r="D22" i="13"/>
  <c r="D23" i="13"/>
  <c r="D24" i="13"/>
  <c r="D25" i="13"/>
  <c r="D26" i="13"/>
  <c r="D27" i="13"/>
  <c r="D28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7" i="13"/>
  <c r="D50" i="13"/>
  <c r="D51" i="13"/>
  <c r="D52" i="13"/>
  <c r="D53" i="13"/>
  <c r="D54" i="13"/>
  <c r="D55" i="13"/>
  <c r="D57" i="13"/>
  <c r="D58" i="13"/>
  <c r="D64" i="13"/>
  <c r="D65" i="13"/>
  <c r="D66" i="13"/>
  <c r="D67" i="13"/>
  <c r="D68" i="13"/>
  <c r="D69" i="13"/>
  <c r="D70" i="13"/>
  <c r="D71" i="13"/>
  <c r="D74" i="13"/>
  <c r="D75" i="13"/>
  <c r="D76" i="13"/>
  <c r="D77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20" i="13"/>
  <c r="C22" i="13"/>
  <c r="C23" i="13"/>
  <c r="C24" i="13"/>
  <c r="C25" i="13"/>
  <c r="C26" i="13"/>
  <c r="C27" i="13"/>
  <c r="C28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7" i="13"/>
  <c r="C50" i="13"/>
  <c r="C51" i="13"/>
  <c r="C52" i="13"/>
  <c r="C53" i="13"/>
  <c r="C54" i="13"/>
  <c r="C55" i="13"/>
  <c r="C57" i="13"/>
  <c r="C58" i="13"/>
  <c r="C64" i="13"/>
  <c r="C65" i="13"/>
  <c r="C66" i="13"/>
  <c r="C67" i="13"/>
  <c r="C68" i="13"/>
  <c r="C69" i="13"/>
  <c r="C70" i="13"/>
  <c r="C71" i="13"/>
  <c r="C74" i="13"/>
  <c r="C75" i="13"/>
  <c r="C76" i="13"/>
  <c r="C77" i="13"/>
  <c r="H14" i="26" l="1"/>
  <c r="H15" i="26"/>
  <c r="B12" i="19" l="1"/>
  <c r="T6" i="13" l="1"/>
  <c r="B24" i="25"/>
  <c r="B22" i="25"/>
  <c r="B21" i="25"/>
  <c r="C7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20" i="13"/>
  <c r="P22" i="13"/>
  <c r="P23" i="13"/>
  <c r="P24" i="13"/>
  <c r="P25" i="13"/>
  <c r="P26" i="13"/>
  <c r="P27" i="13"/>
  <c r="P28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7" i="13"/>
  <c r="P50" i="13"/>
  <c r="P51" i="13"/>
  <c r="P52" i="13"/>
  <c r="P53" i="13"/>
  <c r="P54" i="13"/>
  <c r="P55" i="13"/>
  <c r="P57" i="13"/>
  <c r="P58" i="13"/>
  <c r="P64" i="13"/>
  <c r="P65" i="13"/>
  <c r="P66" i="13"/>
  <c r="P67" i="13"/>
  <c r="P68" i="13"/>
  <c r="P69" i="13"/>
  <c r="P70" i="13"/>
  <c r="P71" i="13"/>
  <c r="P74" i="13"/>
  <c r="P75" i="13"/>
  <c r="P76" i="13"/>
  <c r="P77" i="13"/>
  <c r="K26" i="13"/>
  <c r="K27" i="13"/>
  <c r="K28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7" i="13"/>
  <c r="K50" i="13"/>
  <c r="K51" i="13"/>
  <c r="K52" i="13"/>
  <c r="K53" i="13"/>
  <c r="K54" i="13"/>
  <c r="K55" i="13"/>
  <c r="K57" i="13"/>
  <c r="K58" i="13"/>
  <c r="K64" i="13"/>
  <c r="K65" i="13"/>
  <c r="K66" i="13"/>
  <c r="K67" i="13"/>
  <c r="K68" i="13"/>
  <c r="K69" i="13"/>
  <c r="K70" i="13"/>
  <c r="K71" i="13"/>
  <c r="K74" i="13"/>
  <c r="K75" i="13"/>
  <c r="K76" i="13"/>
  <c r="K77" i="13"/>
  <c r="B7" i="19" l="1"/>
  <c r="H21" i="25"/>
  <c r="H22" i="25"/>
  <c r="H24" i="25"/>
  <c r="E15" i="26"/>
  <c r="E14" i="26"/>
  <c r="B14" i="26"/>
  <c r="B15" i="26"/>
  <c r="B7" i="13"/>
  <c r="B8" i="13"/>
  <c r="B9" i="13"/>
  <c r="B10" i="13"/>
  <c r="B11" i="13"/>
  <c r="B12" i="13"/>
  <c r="B13" i="13"/>
  <c r="B14" i="13"/>
  <c r="B15" i="13"/>
  <c r="B16" i="13"/>
  <c r="B17" i="13"/>
  <c r="B18" i="13"/>
  <c r="B20" i="13"/>
  <c r="B22" i="13"/>
  <c r="B23" i="13"/>
  <c r="B24" i="13"/>
  <c r="B25" i="13"/>
  <c r="B26" i="13"/>
  <c r="B27" i="13"/>
  <c r="B28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7" i="13"/>
  <c r="B50" i="13"/>
  <c r="B51" i="13"/>
  <c r="B52" i="13"/>
  <c r="B53" i="13"/>
  <c r="B54" i="13"/>
  <c r="B55" i="13"/>
  <c r="B57" i="13"/>
  <c r="B58" i="13"/>
  <c r="B64" i="13"/>
  <c r="B65" i="13"/>
  <c r="B66" i="13"/>
  <c r="B67" i="13"/>
  <c r="B68" i="13"/>
  <c r="B69" i="13"/>
  <c r="B70" i="13"/>
  <c r="B71" i="13"/>
  <c r="B74" i="13"/>
  <c r="B75" i="13"/>
  <c r="B76" i="13"/>
  <c r="B77" i="13"/>
  <c r="B6" i="13"/>
  <c r="B24" i="29" l="1"/>
  <c r="F12" i="19" s="1"/>
  <c r="B25" i="29"/>
  <c r="B26" i="29"/>
  <c r="B27" i="29"/>
  <c r="B28" i="29"/>
  <c r="B29" i="29"/>
  <c r="D12" i="19"/>
  <c r="H25" i="25"/>
  <c r="F13" i="19" l="1"/>
  <c r="D13" i="19"/>
  <c r="D24" i="25"/>
  <c r="D22" i="25"/>
  <c r="D21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8" i="13"/>
  <c r="K20" i="13"/>
  <c r="K22" i="13"/>
  <c r="K23" i="13"/>
  <c r="K24" i="13"/>
  <c r="K25" i="13"/>
  <c r="K6" i="13"/>
  <c r="C8" i="19" l="1"/>
  <c r="AB6" i="13"/>
  <c r="AC6" i="13" l="1"/>
  <c r="AD6" i="13" s="1"/>
  <c r="AG58" i="13" l="1"/>
  <c r="AG20" i="13"/>
  <c r="AG50" i="13"/>
  <c r="AG30" i="13"/>
  <c r="AG29" i="13"/>
  <c r="AG28" i="13"/>
  <c r="AG11" i="13"/>
  <c r="AG75" i="13"/>
  <c r="AG74" i="13"/>
  <c r="AG8" i="13"/>
  <c r="AG12" i="13"/>
  <c r="AG70" i="13"/>
  <c r="AG66" i="13"/>
  <c r="AG69" i="13"/>
  <c r="AG65" i="13"/>
  <c r="AG51" i="13"/>
  <c r="AG7" i="13"/>
  <c r="AG42" i="13"/>
  <c r="AG52" i="13"/>
  <c r="AG43" i="13"/>
  <c r="AG64" i="13"/>
  <c r="AG37" i="13"/>
  <c r="AG77" i="13"/>
  <c r="AG16" i="13"/>
  <c r="AG39" i="13"/>
  <c r="AG40" i="13"/>
  <c r="AG34" i="13"/>
  <c r="AG14" i="13"/>
  <c r="AG24" i="13"/>
  <c r="AG53" i="13"/>
  <c r="E12" i="19"/>
  <c r="E13" i="19" s="1"/>
  <c r="H16" i="26"/>
  <c r="AG17" i="13"/>
  <c r="AG22" i="13"/>
  <c r="AG25" i="13"/>
  <c r="V6" i="13"/>
  <c r="AE6" i="13" s="1"/>
  <c r="U6" i="13"/>
  <c r="AG76" i="13" l="1"/>
  <c r="AG15" i="13"/>
  <c r="AG45" i="13"/>
  <c r="AG67" i="13"/>
  <c r="AG32" i="13"/>
  <c r="AG18" i="13"/>
  <c r="AG33" i="13"/>
  <c r="AG68" i="13"/>
  <c r="AG38" i="13"/>
  <c r="AG10" i="13"/>
  <c r="AG54" i="13"/>
  <c r="AG71" i="13"/>
  <c r="AG55" i="13"/>
  <c r="AG23" i="13"/>
  <c r="AG47" i="13"/>
  <c r="AG26" i="13"/>
  <c r="AG31" i="13"/>
  <c r="AG62" i="13"/>
  <c r="AG63" i="13"/>
  <c r="AG59" i="13"/>
  <c r="AG21" i="13"/>
  <c r="AG61" i="13"/>
  <c r="AG49" i="13"/>
  <c r="AG48" i="13"/>
  <c r="AG60" i="13"/>
  <c r="AG5" i="13"/>
  <c r="AG36" i="13"/>
  <c r="AG35" i="13"/>
  <c r="AG13" i="13"/>
  <c r="AG57" i="13"/>
  <c r="AG9" i="13"/>
  <c r="AG41" i="13"/>
  <c r="AG44" i="13"/>
  <c r="AG27" i="13"/>
  <c r="W6" i="13"/>
  <c r="X6" i="13" l="1"/>
  <c r="AG6" i="13" s="1"/>
  <c r="AF6" i="13"/>
  <c r="D7" i="19" l="1"/>
  <c r="D8" i="19" s="1"/>
  <c r="G7" i="19" l="1"/>
  <c r="E7" i="19" l="1"/>
  <c r="E8" i="19" s="1"/>
  <c r="C12" i="19"/>
  <c r="I12" i="19" s="1"/>
  <c r="G8" i="19"/>
  <c r="H7" i="19"/>
  <c r="I13" i="19" l="1"/>
  <c r="F8" i="19"/>
  <c r="H8" i="19"/>
  <c r="C13" i="19"/>
  <c r="F7" i="19"/>
</calcChain>
</file>

<file path=xl/sharedStrings.xml><?xml version="1.0" encoding="utf-8"?>
<sst xmlns="http://schemas.openxmlformats.org/spreadsheetml/2006/main" count="2302" uniqueCount="794">
  <si>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</si>
  <si>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</si>
  <si>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</si>
  <si>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</si>
  <si>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</si>
  <si>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</si>
  <si>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</si>
  <si>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</si>
  <si>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</si>
  <si>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</si>
  <si>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</si>
  <si>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</si>
  <si>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</si>
  <si>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</si>
  <si>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</si>
  <si>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</si>
  <si>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</si>
  <si>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</si>
  <si>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</si>
  <si>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</si>
  <si>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</si>
  <si>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</si>
  <si>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</si>
  <si>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</si>
  <si>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</si>
  <si>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</si>
  <si>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</si>
  <si>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</si>
  <si>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</si>
  <si>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</si>
  <si>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</si>
  <si>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</si>
  <si>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</si>
  <si>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</si>
  <si>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</si>
  <si>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</si>
  <si>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</si>
  <si>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</si>
  <si>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</si>
  <si>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</si>
  <si>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</si>
  <si>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</si>
  <si>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</si>
  <si>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</si>
  <si>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</si>
  <si>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</si>
  <si>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</si>
  <si>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</si>
  <si>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</si>
  <si>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</si>
  <si>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</si>
  <si>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</si>
  <si>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</si>
  <si>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</si>
  <si>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</si>
  <si>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</si>
  <si>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</si>
  <si>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</si>
  <si>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</si>
  <si>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</si>
  <si>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</si>
  <si>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</si>
  <si>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Vergader/spreekkamers</t>
  </si>
  <si>
    <t>Gangen/hallen</t>
  </si>
  <si>
    <t>Trappenhuizen/lift</t>
  </si>
  <si>
    <t>Keuken/pantry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</si>
  <si>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</si>
  <si>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</si>
  <si>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</si>
  <si>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</si>
  <si>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</si>
  <si>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</si>
  <si>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</si>
  <si>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</si>
  <si>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</si>
  <si>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</si>
  <si>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</si>
  <si>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</si>
  <si>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</si>
  <si>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</si>
  <si>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</si>
  <si>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</si>
  <si>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</si>
  <si>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</si>
  <si>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</si>
  <si>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</si>
  <si>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</si>
  <si>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</si>
  <si>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</si>
  <si>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</si>
  <si>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</si>
  <si>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</si>
  <si>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</si>
  <si>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</si>
  <si>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</si>
  <si>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</si>
  <si>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</si>
  <si>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</si>
  <si>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</si>
  <si>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</si>
  <si>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</si>
  <si>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</si>
  <si>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</si>
  <si>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</si>
  <si>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</si>
  <si>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</si>
  <si>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</si>
  <si>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</si>
  <si>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</si>
  <si>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</si>
  <si>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</si>
  <si>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</si>
  <si>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</si>
  <si>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</si>
  <si>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</si>
  <si>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</si>
  <si>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</si>
  <si>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</si>
  <si>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</si>
  <si>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</si>
  <si>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</si>
  <si>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</si>
  <si>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</si>
  <si>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</si>
  <si>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</si>
  <si>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</si>
  <si>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</si>
  <si>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</si>
  <si>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</si>
  <si>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</si>
  <si>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</si>
  <si>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</si>
  <si>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</si>
  <si>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</si>
  <si>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</si>
  <si>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</si>
  <si>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</si>
  <si>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</si>
  <si>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</si>
  <si>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</si>
  <si>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</si>
  <si>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</si>
  <si>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</si>
  <si>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</si>
  <si>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</si>
  <si>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</si>
  <si>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</si>
  <si>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</si>
  <si>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</si>
  <si>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</si>
  <si>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</si>
  <si>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</si>
  <si>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</si>
  <si>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</si>
  <si>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</si>
  <si>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</si>
  <si>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</si>
  <si>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</si>
  <si>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</si>
  <si>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</si>
  <si>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</si>
  <si>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</si>
  <si>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</si>
  <si>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</si>
  <si>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</si>
  <si>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</si>
  <si>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</si>
  <si>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</si>
  <si>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</si>
  <si>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</si>
  <si>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</si>
  <si>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</si>
  <si>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</si>
  <si>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</si>
  <si>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</si>
  <si>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</si>
  <si>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</si>
  <si>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</si>
  <si>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</si>
  <si>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</si>
  <si>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</si>
  <si>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</si>
  <si>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</si>
  <si>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</si>
  <si>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</si>
  <si>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</si>
  <si>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</si>
  <si>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</si>
  <si>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</si>
  <si>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</si>
  <si>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</si>
  <si>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</si>
  <si>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</si>
  <si>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</si>
  <si>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</si>
  <si>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</si>
  <si>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</si>
  <si>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</si>
  <si>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</si>
  <si>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</si>
  <si>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</si>
  <si>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</si>
  <si>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</si>
  <si>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</si>
  <si>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</si>
  <si>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</si>
  <si>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</si>
  <si>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</si>
  <si>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</si>
  <si>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</si>
  <si>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</si>
  <si>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</si>
  <si>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</si>
  <si>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</si>
  <si>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</si>
  <si>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</si>
  <si>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</si>
  <si>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</si>
  <si>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</si>
  <si>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</si>
  <si>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</si>
  <si>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</si>
  <si>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</si>
  <si>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</si>
  <si>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</si>
  <si>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</si>
  <si>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</si>
  <si>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</si>
  <si>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</si>
  <si>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</si>
  <si>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</si>
  <si>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</si>
  <si>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</si>
  <si>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</si>
  <si>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</si>
  <si>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</si>
  <si>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</si>
  <si>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</si>
  <si>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</si>
  <si>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</si>
  <si>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</si>
  <si>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</si>
  <si>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</si>
  <si>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</si>
  <si>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</si>
  <si>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</si>
  <si>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</si>
  <si>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</si>
  <si>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2024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</si>
  <si>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</si>
  <si>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</si>
  <si>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</si>
  <si>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</si>
  <si>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</si>
  <si>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</si>
  <si>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</si>
  <si>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</si>
  <si>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</si>
  <si>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</si>
  <si>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Gemiddelde
indexering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</si>
  <si>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</si>
  <si>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</si>
  <si>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</si>
  <si>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</si>
  <si>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</si>
  <si>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</si>
  <si>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</si>
  <si>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</si>
  <si>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</si>
  <si>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</si>
  <si>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</si>
  <si>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</si>
  <si>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</si>
  <si>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</si>
  <si>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</si>
  <si>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</si>
  <si>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</si>
  <si>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</si>
  <si>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</si>
  <si>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</si>
  <si>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</si>
  <si>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</si>
  <si>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</si>
  <si>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</si>
  <si>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</si>
  <si>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</si>
  <si>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</si>
  <si>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</si>
  <si>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</si>
  <si>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</si>
  <si>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</si>
  <si>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</si>
  <si>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</si>
  <si>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</si>
  <si>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</si>
  <si>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</si>
  <si>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</si>
  <si>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</si>
  <si>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</si>
  <si>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</si>
  <si>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</si>
  <si>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</si>
  <si>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</si>
  <si>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</si>
  <si>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</si>
  <si>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</si>
  <si>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</si>
  <si>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</si>
  <si>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</si>
  <si>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</si>
  <si>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</si>
  <si>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</si>
  <si>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</si>
  <si>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</si>
  <si>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</si>
  <si>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</si>
  <si>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</si>
  <si>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</si>
  <si>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</si>
  <si>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</si>
  <si>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</si>
  <si>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</si>
  <si>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</si>
  <si>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</si>
  <si>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</si>
  <si>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</si>
  <si>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</si>
  <si>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</si>
  <si>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</si>
  <si>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</si>
  <si>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</si>
  <si>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</si>
  <si>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</si>
  <si>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</si>
  <si>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</si>
  <si>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</si>
  <si>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</si>
  <si>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</si>
  <si>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</si>
  <si>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</si>
  <si>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</si>
  <si>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</si>
  <si>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</si>
  <si>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</si>
  <si>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</si>
  <si>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</si>
  <si>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</si>
  <si>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</si>
  <si>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</si>
  <si>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</si>
  <si>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</si>
  <si>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</si>
  <si>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</si>
  <si>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</si>
  <si>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</si>
  <si>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</si>
  <si>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</si>
  <si>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</si>
  <si>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</si>
  <si>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</si>
  <si>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</si>
  <si>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</si>
  <si>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</si>
  <si>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</si>
  <si>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</si>
  <si>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</si>
  <si>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</si>
  <si>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</si>
  <si>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</si>
  <si>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</si>
  <si>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</si>
  <si>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</si>
  <si>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</si>
  <si>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</si>
  <si>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</si>
  <si>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</si>
  <si>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</si>
  <si>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</si>
  <si>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</si>
  <si>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</si>
  <si>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</si>
  <si>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</si>
  <si>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</si>
  <si>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</si>
  <si>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</si>
  <si>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</si>
  <si>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</si>
  <si>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</si>
  <si>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</si>
  <si>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</si>
  <si>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</si>
  <si>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</si>
  <si>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</si>
  <si>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</si>
  <si>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</si>
  <si>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</si>
  <si>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</si>
  <si>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</si>
  <si>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</si>
  <si>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</si>
  <si>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Handelingen dieptereiniging 2 x per jaar</t>
  </si>
  <si>
    <t>Kinderopvang</t>
  </si>
  <si>
    <t>Bibliotheek/OLC</t>
  </si>
  <si>
    <t>Garderobes</t>
  </si>
  <si>
    <t>Kantine/Aula</t>
  </si>
  <si>
    <t>Praktijklokalen</t>
  </si>
  <si>
    <t>kleedruimten</t>
  </si>
  <si>
    <t>Ve</t>
  </si>
  <si>
    <t>Bu</t>
  </si>
  <si>
    <t>Sa</t>
  </si>
  <si>
    <t>Le</t>
  </si>
  <si>
    <t>Sp</t>
  </si>
  <si>
    <t>Polymeren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</si>
  <si>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</si>
  <si>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</si>
  <si>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</si>
  <si>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</si>
  <si>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</si>
  <si>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</si>
  <si>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</si>
  <si>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</si>
  <si>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</si>
  <si>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</si>
  <si>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</si>
  <si>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</si>
  <si>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</si>
  <si>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</si>
  <si>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</si>
  <si>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</si>
  <si>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</si>
  <si>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</si>
  <si>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</si>
  <si>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</si>
  <si>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</si>
  <si>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</si>
  <si>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</si>
  <si>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Zonnepanelen</t>
  </si>
  <si>
    <t>Gietvloer</t>
  </si>
  <si>
    <t>Glasbewassing
Kosten / jaar</t>
  </si>
  <si>
    <t>Hoornbeeck College Gouda</t>
  </si>
  <si>
    <t>Noordelijk Halfrond 10</t>
  </si>
  <si>
    <t>2801 DE</t>
  </si>
  <si>
    <t>Gouda</t>
  </si>
  <si>
    <t>A.0.01</t>
  </si>
  <si>
    <t>A.0.02</t>
  </si>
  <si>
    <t>A.0.06</t>
  </si>
  <si>
    <t>A.0.08</t>
  </si>
  <si>
    <t>A.0.09</t>
  </si>
  <si>
    <t>A.0.10</t>
  </si>
  <si>
    <t>A.0.11</t>
  </si>
  <si>
    <t>A.0.12</t>
  </si>
  <si>
    <t>A.0.13</t>
  </si>
  <si>
    <t>A.0.15</t>
  </si>
  <si>
    <t>A.0.18</t>
  </si>
  <si>
    <t>A.0.20</t>
  </si>
  <si>
    <t>A.0.21</t>
  </si>
  <si>
    <t>A.0.22</t>
  </si>
  <si>
    <t>A.0.23</t>
  </si>
  <si>
    <t>A.F.02</t>
  </si>
  <si>
    <t>A.F.03</t>
  </si>
  <si>
    <t>A.F.04</t>
  </si>
  <si>
    <t>A.F.05</t>
  </si>
  <si>
    <t>A.T.03</t>
  </si>
  <si>
    <t xml:space="preserve">tournequette </t>
  </si>
  <si>
    <t>BG</t>
  </si>
  <si>
    <t>A vleugel</t>
  </si>
  <si>
    <t>noodtraphuizen geheel van beg - 4e verd</t>
  </si>
  <si>
    <t>Marmoleum</t>
  </si>
  <si>
    <t>entree</t>
  </si>
  <si>
    <t>Tegels</t>
  </si>
  <si>
    <t>trappenhuis</t>
  </si>
  <si>
    <t>B.0.01</t>
  </si>
  <si>
    <t>B.0.03</t>
  </si>
  <si>
    <t>B.0.04</t>
  </si>
  <si>
    <t>B.0.05</t>
  </si>
  <si>
    <t>B.0.06</t>
  </si>
  <si>
    <t>B.0.08</t>
  </si>
  <si>
    <t>B.0.11</t>
  </si>
  <si>
    <t>B.0.13</t>
  </si>
  <si>
    <t>B.0.14</t>
  </si>
  <si>
    <t>B.0.15</t>
  </si>
  <si>
    <t>B.F.02</t>
  </si>
  <si>
    <t>B.F.03</t>
  </si>
  <si>
    <t>B.T.01</t>
  </si>
  <si>
    <t>B vleugel</t>
  </si>
  <si>
    <t>A.1.01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</si>
  <si>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</si>
  <si>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</si>
  <si>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</si>
  <si>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</si>
  <si>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</si>
  <si>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</si>
  <si>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</si>
  <si>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</si>
  <si>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</si>
  <si>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</si>
  <si>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</si>
  <si>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</si>
  <si>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</si>
  <si>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A.1.19</t>
  </si>
  <si>
    <t>A.1.21</t>
  </si>
  <si>
    <t>A.1.22</t>
  </si>
  <si>
    <t>A.T.1.2</t>
  </si>
  <si>
    <t>A.F.1.2</t>
  </si>
  <si>
    <t>A.F.1.3</t>
  </si>
  <si>
    <t>1e</t>
  </si>
  <si>
    <t>B.1.01</t>
  </si>
  <si>
    <t>B.1.02</t>
  </si>
  <si>
    <t>B.1.03</t>
  </si>
  <si>
    <t>B.1.04</t>
  </si>
  <si>
    <t>B.1.05</t>
  </si>
  <si>
    <t>B.1.07</t>
  </si>
  <si>
    <t>B.1.09</t>
  </si>
  <si>
    <t>B.1.13</t>
  </si>
  <si>
    <t>B.T.1.1</t>
  </si>
  <si>
    <t>B.F.1.2</t>
  </si>
  <si>
    <t>B.F.1.3</t>
  </si>
  <si>
    <t>B.F.1.4</t>
  </si>
  <si>
    <t>A.2.01</t>
  </si>
  <si>
    <t>A.2.02</t>
  </si>
  <si>
    <t>A.2.03</t>
  </si>
  <si>
    <t>A.2.04</t>
  </si>
  <si>
    <t>A.2.05</t>
  </si>
  <si>
    <t>A.2.06</t>
  </si>
  <si>
    <t>A.2.08</t>
  </si>
  <si>
    <t>A.2.16</t>
  </si>
  <si>
    <t>A.2.17</t>
  </si>
  <si>
    <t>Trap.02</t>
  </si>
  <si>
    <t>A.F.2.2</t>
  </si>
  <si>
    <t>A.F.2.3</t>
  </si>
  <si>
    <t>2e</t>
  </si>
  <si>
    <t>2 keer open trap</t>
  </si>
  <si>
    <t>B.2.01</t>
  </si>
  <si>
    <t>B.2.03</t>
  </si>
  <si>
    <t>B.2.04</t>
  </si>
  <si>
    <t>B.2.05</t>
  </si>
  <si>
    <t>B.2.06</t>
  </si>
  <si>
    <t>B.2.07</t>
  </si>
  <si>
    <t>B.2.08</t>
  </si>
  <si>
    <t>B.2.09</t>
  </si>
  <si>
    <t>B.F.2.2</t>
  </si>
  <si>
    <t>B.F.2.3</t>
  </si>
  <si>
    <t>B.F.2.4</t>
  </si>
  <si>
    <t>3e</t>
  </si>
  <si>
    <t>A.3.01</t>
  </si>
  <si>
    <t>A.3.02</t>
  </si>
  <si>
    <t>A.3.03</t>
  </si>
  <si>
    <t>A.3.04</t>
  </si>
  <si>
    <t>A.3.05</t>
  </si>
  <si>
    <t>A.3.06</t>
  </si>
  <si>
    <t>A.3.07</t>
  </si>
  <si>
    <t>A.3.09</t>
  </si>
  <si>
    <t>A.3.12</t>
  </si>
  <si>
    <t>A.3.16</t>
  </si>
  <si>
    <t>A.F.3.2</t>
  </si>
  <si>
    <t>A.F.3.3</t>
  </si>
  <si>
    <t>A.F.3.4</t>
  </si>
  <si>
    <t>server Ruimte</t>
  </si>
  <si>
    <t>B.3.01</t>
  </si>
  <si>
    <t>B.3.02</t>
  </si>
  <si>
    <t>B.3.03</t>
  </si>
  <si>
    <t>B.3.04</t>
  </si>
  <si>
    <t>B.3.05</t>
  </si>
  <si>
    <t>B.3.06</t>
  </si>
  <si>
    <t>B.3.07</t>
  </si>
  <si>
    <t>B.3.12</t>
  </si>
  <si>
    <t>B.F.3.2</t>
  </si>
  <si>
    <t>B.F.3.3</t>
  </si>
  <si>
    <t>B.F.3.4</t>
  </si>
  <si>
    <t>4e</t>
  </si>
  <si>
    <t>A.4.01</t>
  </si>
  <si>
    <t>A.4.02</t>
  </si>
  <si>
    <t>A.4.03</t>
  </si>
  <si>
    <t>A.4.04</t>
  </si>
  <si>
    <t>A.4.05</t>
  </si>
  <si>
    <t>A.4.06</t>
  </si>
  <si>
    <t>A.4.07</t>
  </si>
  <si>
    <t>A.4.09</t>
  </si>
  <si>
    <t>A.4.10</t>
  </si>
  <si>
    <t>A.4.11</t>
  </si>
  <si>
    <t>A.4.13</t>
  </si>
  <si>
    <t>A.4.16</t>
  </si>
  <si>
    <t>A.4.17</t>
  </si>
  <si>
    <t>A.4.18</t>
  </si>
  <si>
    <t>A.4.19</t>
  </si>
  <si>
    <t>A.F.4.2</t>
  </si>
  <si>
    <t>A.F.4.3</t>
  </si>
  <si>
    <t>B4.01</t>
  </si>
  <si>
    <t>B4.02</t>
  </si>
  <si>
    <t>B4.03</t>
  </si>
  <si>
    <t>B4.04</t>
  </si>
  <si>
    <t>B4.05</t>
  </si>
  <si>
    <t>B4.10</t>
  </si>
  <si>
    <t>B4.15</t>
  </si>
  <si>
    <t>B4.18</t>
  </si>
  <si>
    <t>B4.19</t>
  </si>
  <si>
    <t>B.F.4.2</t>
  </si>
  <si>
    <t>B.F.4.3</t>
  </si>
  <si>
    <t>B.F.4.5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</si>
  <si>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</si>
  <si>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</si>
  <si>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</si>
  <si>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</si>
  <si>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</si>
  <si>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</si>
  <si>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</si>
  <si>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</si>
  <si>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</si>
  <si>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</si>
  <si>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</si>
  <si>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</si>
  <si>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</si>
  <si>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</si>
  <si>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</si>
  <si>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Opleverstaat schoonmaak periodiek (tijdens vakanties uitvoeren) 1 x per jaar</t>
  </si>
  <si>
    <t>Dieptereiniging afzuigkappen</t>
  </si>
  <si>
    <t>Vervanging eigendienst medewerkers*</t>
  </si>
  <si>
    <t>prijs per uur</t>
  </si>
  <si>
    <t>Aantal stuks/ uren</t>
  </si>
  <si>
    <t>*</t>
  </si>
  <si>
    <t>Bij ziekte of verlof van de eigendienst medewerkers wordt opdrachtnemer gevraagd om deze te vervangen. Aan de genoemde uren kunnen geen rechten worden ontleent</t>
  </si>
  <si>
    <t>Archiefruimte</t>
  </si>
  <si>
    <t>Roosteraar</t>
  </si>
  <si>
    <t>Directeur</t>
  </si>
  <si>
    <t>Berging schoonmaak</t>
  </si>
  <si>
    <t>Magazijn praktijklokalen</t>
  </si>
  <si>
    <t>Aula</t>
  </si>
  <si>
    <t>Werkplekken</t>
  </si>
  <si>
    <t>Vergaderruimte</t>
  </si>
  <si>
    <t>Thuishonk personeel</t>
  </si>
  <si>
    <t>Personeelskamer</t>
  </si>
  <si>
    <t>Restaurant</t>
  </si>
  <si>
    <t>Gang</t>
  </si>
  <si>
    <t>Beveiliging</t>
  </si>
  <si>
    <t>Kolfruimte</t>
  </si>
  <si>
    <t>Garderobe studenten</t>
  </si>
  <si>
    <t>A.0.03</t>
  </si>
  <si>
    <t>A.0.04</t>
  </si>
  <si>
    <t>Bibliotheek</t>
  </si>
  <si>
    <t>Toilet</t>
  </si>
  <si>
    <t>Miva</t>
  </si>
  <si>
    <t>Administratie</t>
  </si>
  <si>
    <t>Berging administratie</t>
  </si>
  <si>
    <t>Berging broodjeszaak</t>
  </si>
  <si>
    <t>Broodjeszaak</t>
  </si>
  <si>
    <t>Hal</t>
  </si>
  <si>
    <t>Concierge</t>
  </si>
  <si>
    <t>Bering</t>
  </si>
  <si>
    <t>Berging</t>
  </si>
  <si>
    <t>Werkplek docentencoach</t>
  </si>
  <si>
    <t>Flexplek teamkamer</t>
  </si>
  <si>
    <t>Technieklokaal</t>
  </si>
  <si>
    <t>Berging groot praktijk</t>
  </si>
  <si>
    <t>Klassieke les</t>
  </si>
  <si>
    <t>Muzieklokaal</t>
  </si>
  <si>
    <t>Bering muziek</t>
  </si>
  <si>
    <t>Muziekstudio</t>
  </si>
  <si>
    <t>A.1.20</t>
  </si>
  <si>
    <t>A.1.17</t>
  </si>
  <si>
    <t>A.1.25</t>
  </si>
  <si>
    <t>Bering groot</t>
  </si>
  <si>
    <t>Crealokaal met werkhoeken</t>
  </si>
  <si>
    <t>Crealokaal open atelier</t>
  </si>
  <si>
    <t>Berging werkstukken</t>
  </si>
  <si>
    <t>B.1.10</t>
  </si>
  <si>
    <t>B.1.11</t>
  </si>
  <si>
    <t>Thuishonk studenten</t>
  </si>
  <si>
    <t>Werkplek</t>
  </si>
  <si>
    <t>Instructie en projectmatig</t>
  </si>
  <si>
    <t>A.2.07</t>
  </si>
  <si>
    <t>A.2.09</t>
  </si>
  <si>
    <t>A.2.10</t>
  </si>
  <si>
    <t>A.2.12</t>
  </si>
  <si>
    <t>Opleidingsmanager</t>
  </si>
  <si>
    <t>Instructie en praktijk</t>
  </si>
  <si>
    <t>B.2.10+11+12</t>
  </si>
  <si>
    <t>B.2.14</t>
  </si>
  <si>
    <t>Zelfstandig leren</t>
  </si>
  <si>
    <t>B.2.15</t>
  </si>
  <si>
    <t>B.2.16</t>
  </si>
  <si>
    <t>B.2.17</t>
  </si>
  <si>
    <t>Instructie en verwerking</t>
  </si>
  <si>
    <t>Economie</t>
  </si>
  <si>
    <t>OLC</t>
  </si>
  <si>
    <t>A.3.13</t>
  </si>
  <si>
    <t>Grote berging</t>
  </si>
  <si>
    <t>Onderwijsassisten</t>
  </si>
  <si>
    <t>B.3.08 + 09</t>
  </si>
  <si>
    <t>B.3.13</t>
  </si>
  <si>
    <t>B.3.15</t>
  </si>
  <si>
    <t>Instructie en zelfstandig leren</t>
  </si>
  <si>
    <t>A.4.08</t>
  </si>
  <si>
    <t>Spreekkamer</t>
  </si>
  <si>
    <t>A.4.12</t>
  </si>
  <si>
    <t>A.4.14</t>
  </si>
  <si>
    <t>A.4.15</t>
  </si>
  <si>
    <t>APO lokaal</t>
  </si>
  <si>
    <t>Projectuimte</t>
  </si>
  <si>
    <t>Netwerkopleiding</t>
  </si>
  <si>
    <t>Teamkamer</t>
  </si>
  <si>
    <t>B4.11+12+13</t>
  </si>
  <si>
    <t>Meewerkend voorman/vrouw</t>
  </si>
  <si>
    <t>Interieurverzorgster</t>
  </si>
  <si>
    <t>Reinigingsmiddelen</t>
  </si>
  <si>
    <t>Reinigingsmiddelen Kosten / jaar</t>
  </si>
  <si>
    <t>Artikelnr</t>
  </si>
  <si>
    <t>Categorie</t>
  </si>
  <si>
    <t>Artikelomschrijving</t>
  </si>
  <si>
    <t>verpakking</t>
  </si>
  <si>
    <t>Afname Hoeveelheid</t>
  </si>
  <si>
    <t>eenheid</t>
  </si>
  <si>
    <t>prijs per eenheid bruto</t>
  </si>
  <si>
    <t>Totaal kosten excl korting</t>
  </si>
  <si>
    <t>Kortings percentage</t>
  </si>
  <si>
    <t>Totaal kosten</t>
  </si>
  <si>
    <t>materiaal</t>
  </si>
  <si>
    <t xml:space="preserve"> pk</t>
  </si>
  <si>
    <t>interieur</t>
  </si>
  <si>
    <t xml:space="preserve"> ds</t>
  </si>
  <si>
    <t>sanitair</t>
  </si>
  <si>
    <t>Werkdoek Micro heavy blauw</t>
  </si>
  <si>
    <t xml:space="preserve"> st (10/pk)   </t>
  </si>
  <si>
    <t xml:space="preserve"> st</t>
  </si>
  <si>
    <t xml:space="preserve"> st (20/ds)   </t>
  </si>
  <si>
    <t>keuken</t>
  </si>
  <si>
    <t>pk</t>
  </si>
  <si>
    <t>ds</t>
  </si>
  <si>
    <t>Werkdoek Micro heavy groen</t>
  </si>
  <si>
    <t>Tablefit Kiehl</t>
  </si>
  <si>
    <t xml:space="preserve"> 6x750ml      </t>
  </si>
  <si>
    <t>Afvalzak KOMO</t>
  </si>
  <si>
    <t xml:space="preserve"> rl (20rl/ds) </t>
  </si>
  <si>
    <t>overig</t>
  </si>
  <si>
    <t xml:space="preserve"> st           </t>
  </si>
  <si>
    <t xml:space="preserve"> 4x2 lt       </t>
  </si>
  <si>
    <t xml:space="preserve"> 6x1lt        </t>
  </si>
  <si>
    <t>Handsprayer compleet bl</t>
  </si>
  <si>
    <t>Waspoeder Ariel 9,1kg 140sc3XL</t>
  </si>
  <si>
    <t>gemiddelde korting op assortiment</t>
  </si>
  <si>
    <t>kortingspercentage per productgroep</t>
  </si>
  <si>
    <t>assortiments groep</t>
  </si>
  <si>
    <t>Kortingspercentage op bruto prijslijst per groep</t>
  </si>
  <si>
    <t>sanitaire reinigingsmiddelen</t>
  </si>
  <si>
    <t>sanitaire hulpmaterialen</t>
  </si>
  <si>
    <t>interieur reinigingsmiddelen</t>
  </si>
  <si>
    <t>interieur hulpmaterialen</t>
  </si>
  <si>
    <t>vloer reinigingsmiddelen</t>
  </si>
  <si>
    <t>vloer hulpmaterialen</t>
  </si>
  <si>
    <t>vloeronderhoud machines</t>
  </si>
  <si>
    <t>Totaal kortingspercentage</t>
  </si>
  <si>
    <t>bestellingen moeten herkenbaar aangeleverd worden</t>
  </si>
  <si>
    <t>kosten per drop in te vullen door inschrijver</t>
  </si>
  <si>
    <t xml:space="preserve">Locatie </t>
  </si>
  <si>
    <t>adres</t>
  </si>
  <si>
    <t>postcode</t>
  </si>
  <si>
    <t>plaats</t>
  </si>
  <si>
    <t>Aantal drops per locatie per levering (drop = afleverplek)</t>
  </si>
  <si>
    <t>Aantal afdelingdrops per jaar</t>
  </si>
  <si>
    <t>Kosten per drop</t>
  </si>
  <si>
    <t>Totaal kosten drops</t>
  </si>
  <si>
    <t>Afvalzak HDPE 63x70 bl</t>
  </si>
  <si>
    <t xml:space="preserve"> ds/40x25 st  </t>
  </si>
  <si>
    <t>Afvalzak LDPE 80x110 T60 bl</t>
  </si>
  <si>
    <t xml:space="preserve"> ds (10x20st) </t>
  </si>
  <si>
    <t>Afwasborstel pl. langwerpig</t>
  </si>
  <si>
    <t xml:space="preserve"> st (50/ds)   </t>
  </si>
  <si>
    <t>Clarida Uni Kiehl</t>
  </si>
  <si>
    <t>Grease Superclean C fles Tana</t>
  </si>
  <si>
    <t>Grill Express Tana</t>
  </si>
  <si>
    <t xml:space="preserve"> 10x750 ml    </t>
  </si>
  <si>
    <t>Hygienezakjes kunststof</t>
  </si>
  <si>
    <t xml:space="preserve"> pk           </t>
  </si>
  <si>
    <t>Keradet Conc. Aktiv Kiehl</t>
  </si>
  <si>
    <t>Overschoen Patron CPE 27my bl</t>
  </si>
  <si>
    <t xml:space="preserve"> ds/2000st    </t>
  </si>
  <si>
    <t>Plumeau Vikan 454210 telescoop</t>
  </si>
  <si>
    <t>Poetsdoek Wypall X70 8386</t>
  </si>
  <si>
    <t xml:space="preserve"> ds           </t>
  </si>
  <si>
    <t>Sanet wc reiniger ultra-fris</t>
  </si>
  <si>
    <t>Schuurspons microvezel gs</t>
  </si>
  <si>
    <t xml:space="preserve"> pk/10st      </t>
  </si>
  <si>
    <t>Schuurspons Vileda RVS 60gram</t>
  </si>
  <si>
    <t xml:space="preserve"> st (5st/pk)  </t>
  </si>
  <si>
    <t>Spons blok S Azella 86</t>
  </si>
  <si>
    <t>Spraykop Q&amp;E Tana 714069</t>
  </si>
  <si>
    <t>Werkdoek Micro heavy geel</t>
  </si>
  <si>
    <t>Werkdoek Micro heavy grijs</t>
  </si>
  <si>
    <t>Werkdoek Micro heavy wit</t>
  </si>
  <si>
    <t>Werkdoek Unger Microwipe MN40H</t>
  </si>
  <si>
    <t xml:space="preserve"> st (5/pk)    </t>
  </si>
  <si>
    <t>Xon Forte Kiehl</t>
  </si>
  <si>
    <t>Logistiek Kosten / jaar</t>
  </si>
  <si>
    <t>Fantomatten sanitaire ruimte 10m2</t>
  </si>
  <si>
    <t>Stoomreinigen sanitaire ruimte 10m2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</si>
</sst>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1"/>
      <name val="Calibri"/>
      <family val="2"/>
      <scheme val="minor"/>
    </font>
    <font>
      <sz val="9"/>
      <color rgb="FFFFFFFF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5" fillId="0" borderId="0"/>
  </cellStyleXfs>
  <cellXfs count="434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Border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Fill="1" applyBorder="1" applyAlignment="1">
      <alignment vertical="center"/>
    </xf>
    <xf numFmtId="0" fontId="22" fillId="0" borderId="0" xfId="30" applyFont="1" applyFill="1" applyBorder="1" applyAlignment="1">
      <alignment vertical="center" wrapText="1"/>
    </xf>
    <xf numFmtId="0" fontId="22" fillId="0" borderId="0" xfId="3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wrapText="1"/>
    </xf>
    <xf numFmtId="2" fontId="22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4" fontId="22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left" vertical="center"/>
    </xf>
    <xf numFmtId="164" fontId="22" fillId="6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33" fillId="7" borderId="9" xfId="0" applyFont="1" applyFill="1" applyBorder="1" applyAlignment="1">
      <alignment vertical="center"/>
    </xf>
    <xf numFmtId="0" fontId="29" fillId="0" borderId="0" xfId="29" applyFont="1"/>
    <xf numFmtId="3" fontId="33" fillId="7" borderId="9" xfId="0" applyNumberFormat="1" applyFont="1" applyFill="1" applyBorder="1" applyAlignment="1">
      <alignment vertical="center"/>
    </xf>
    <xf numFmtId="180" fontId="33" fillId="7" borderId="9" xfId="0" applyNumberFormat="1" applyFont="1" applyFill="1" applyBorder="1" applyAlignment="1">
      <alignment vertical="center"/>
    </xf>
    <xf numFmtId="1" fontId="33" fillId="7" borderId="9" xfId="0" applyNumberFormat="1" applyFont="1" applyFill="1" applyBorder="1" applyAlignment="1">
      <alignment vertical="center"/>
    </xf>
    <xf numFmtId="173" fontId="33" fillId="7" borderId="9" xfId="0" applyNumberFormat="1" applyFont="1" applyFill="1" applyBorder="1" applyAlignment="1">
      <alignment vertical="center"/>
    </xf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Border="1" applyAlignment="1">
      <alignment horizontal="center" vertical="center"/>
    </xf>
    <xf numFmtId="0" fontId="33" fillId="8" borderId="0" xfId="30" applyNumberFormat="1" applyFont="1" applyFill="1" applyBorder="1" applyAlignment="1">
      <alignment horizontal="left" vertical="center"/>
    </xf>
    <xf numFmtId="1" fontId="33" fillId="7" borderId="0" xfId="30" applyNumberFormat="1" applyFont="1" applyFill="1" applyBorder="1" applyAlignment="1">
      <alignment horizontal="center" vertical="center"/>
    </xf>
    <xf numFmtId="0" fontId="33" fillId="7" borderId="0" xfId="30" applyNumberFormat="1" applyFont="1" applyFill="1" applyBorder="1" applyAlignment="1">
      <alignment horizontal="left" vertical="center"/>
    </xf>
    <xf numFmtId="0" fontId="32" fillId="9" borderId="0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vertical="center" wrapText="1"/>
    </xf>
    <xf numFmtId="164" fontId="32" fillId="9" borderId="0" xfId="0" applyNumberFormat="1" applyFont="1" applyFill="1" applyBorder="1" applyAlignment="1">
      <alignment horizontal="center" vertical="center" wrapText="1"/>
    </xf>
    <xf numFmtId="0" fontId="33" fillId="8" borderId="0" xfId="0" applyNumberFormat="1" applyFont="1" applyFill="1" applyBorder="1" applyAlignment="1">
      <alignment horizontal="center" vertical="center"/>
    </xf>
    <xf numFmtId="0" fontId="33" fillId="8" borderId="0" xfId="0" applyFont="1" applyFill="1" applyBorder="1" applyAlignment="1">
      <alignment vertical="center"/>
    </xf>
    <xf numFmtId="164" fontId="33" fillId="5" borderId="0" xfId="0" applyNumberFormat="1" applyFont="1" applyFill="1" applyBorder="1" applyAlignment="1">
      <alignment horizontal="center" vertical="center"/>
    </xf>
    <xf numFmtId="0" fontId="33" fillId="7" borderId="0" xfId="0" applyNumberFormat="1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vertical="center"/>
    </xf>
    <xf numFmtId="0" fontId="33" fillId="8" borderId="0" xfId="0" applyFont="1" applyFill="1" applyBorder="1" applyAlignment="1">
      <alignment horizontal="left" vertical="center"/>
    </xf>
    <xf numFmtId="4" fontId="33" fillId="7" borderId="0" xfId="0" applyNumberFormat="1" applyFont="1" applyFill="1" applyBorder="1" applyAlignment="1">
      <alignment horizontal="left" vertical="center"/>
    </xf>
    <xf numFmtId="4" fontId="33" fillId="8" borderId="0" xfId="0" applyNumberFormat="1" applyFont="1" applyFill="1" applyBorder="1" applyAlignment="1">
      <alignment horizontal="left" vertical="center"/>
    </xf>
    <xf numFmtId="0" fontId="33" fillId="7" borderId="0" xfId="0" applyFont="1" applyFill="1" applyBorder="1" applyAlignment="1">
      <alignment horizontal="left" vertical="center"/>
    </xf>
    <xf numFmtId="4" fontId="32" fillId="9" borderId="0" xfId="0" applyNumberFormat="1" applyFont="1" applyFill="1" applyBorder="1" applyAlignment="1">
      <alignment horizontal="center" vertical="center" wrapText="1"/>
    </xf>
    <xf numFmtId="164" fontId="32" fillId="9" borderId="0" xfId="8" applyNumberFormat="1" applyFont="1" applyFill="1" applyBorder="1" applyAlignment="1">
      <alignment horizontal="center" vertical="center" wrapText="1"/>
    </xf>
    <xf numFmtId="0" fontId="22" fillId="6" borderId="0" xfId="0" applyFont="1" applyFill="1" applyBorder="1"/>
    <xf numFmtId="0" fontId="22" fillId="6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173" fontId="22" fillId="5" borderId="0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0" fontId="22" fillId="6" borderId="0" xfId="0" applyFont="1" applyFill="1"/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vertical="center" wrapText="1"/>
    </xf>
    <xf numFmtId="2" fontId="22" fillId="6" borderId="0" xfId="0" applyNumberFormat="1" applyFont="1" applyFill="1" applyBorder="1"/>
    <xf numFmtId="0" fontId="22" fillId="6" borderId="0" xfId="0" applyFont="1" applyFill="1" applyBorder="1" applyAlignment="1">
      <alignment vertical="center"/>
    </xf>
    <xf numFmtId="2" fontId="24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left" vertical="center"/>
    </xf>
    <xf numFmtId="2" fontId="24" fillId="5" borderId="0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6" borderId="0" xfId="0" applyNumberFormat="1" applyFont="1" applyFill="1" applyBorder="1" applyAlignment="1">
      <alignment horizontal="center" vertical="center"/>
    </xf>
    <xf numFmtId="0" fontId="23" fillId="0" borderId="0" xfId="30" applyFont="1" applyBorder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Border="1" applyAlignment="1">
      <alignment vertical="center"/>
    </xf>
    <xf numFmtId="17" fontId="22" fillId="6" borderId="0" xfId="0" applyNumberFormat="1" applyFont="1" applyFill="1" applyBorder="1" applyAlignment="1">
      <alignment horizontal="center" vertical="center"/>
    </xf>
    <xf numFmtId="177" fontId="22" fillId="6" borderId="0" xfId="0" applyNumberFormat="1" applyFont="1" applyFill="1" applyBorder="1" applyAlignment="1">
      <alignment vertical="center"/>
    </xf>
    <xf numFmtId="177" fontId="22" fillId="6" borderId="0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1" fontId="22" fillId="0" borderId="0" xfId="0" applyNumberFormat="1" applyFont="1" applyFill="1" applyBorder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Fill="1" applyBorder="1" applyAlignment="1" applyProtection="1">
      <alignment horizontal="center" vertical="center"/>
      <protection hidden="1"/>
    </xf>
    <xf numFmtId="164" fontId="22" fillId="0" borderId="0" xfId="0" applyNumberFormat="1" applyFont="1" applyFill="1" applyBorder="1" applyAlignment="1" applyProtection="1">
      <alignment horizontal="right" vertical="center"/>
      <protection hidden="1"/>
    </xf>
    <xf numFmtId="169" fontId="22" fillId="0" borderId="0" xfId="0" applyNumberFormat="1" applyFont="1" applyFill="1" applyBorder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Fill="1" applyBorder="1" applyAlignment="1">
      <alignment vertical="center"/>
    </xf>
    <xf numFmtId="2" fontId="22" fillId="6" borderId="0" xfId="0" applyNumberFormat="1" applyFont="1" applyFill="1" applyBorder="1" applyAlignment="1" applyProtection="1">
      <alignment vertical="center"/>
      <protection hidden="1"/>
    </xf>
    <xf numFmtId="178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  <protection hidden="1"/>
    </xf>
    <xf numFmtId="169" fontId="22" fillId="0" borderId="0" xfId="0" applyNumberFormat="1" applyFont="1" applyFill="1" applyBorder="1" applyAlignment="1" applyProtection="1">
      <alignment vertical="center"/>
      <protection hidden="1"/>
    </xf>
    <xf numFmtId="2" fontId="22" fillId="0" borderId="0" xfId="0" applyNumberFormat="1" applyFont="1" applyFill="1" applyBorder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Fill="1" applyBorder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NumberFormat="1" applyFont="1" applyFill="1" applyBorder="1" applyAlignment="1">
      <alignment horizontal="center" vertical="center"/>
    </xf>
    <xf numFmtId="2" fontId="31" fillId="0" borderId="15" xfId="0" applyNumberFormat="1" applyFont="1" applyFill="1" applyBorder="1" applyAlignment="1">
      <alignment vertical="center" wrapText="1"/>
    </xf>
    <xf numFmtId="2" fontId="31" fillId="0" borderId="16" xfId="0" applyNumberFormat="1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169" fontId="22" fillId="0" borderId="0" xfId="0" applyNumberFormat="1" applyFont="1" applyFill="1" applyBorder="1" applyAlignment="1">
      <alignment vertical="center"/>
    </xf>
    <xf numFmtId="0" fontId="33" fillId="0" borderId="19" xfId="30" applyNumberFormat="1" applyFont="1" applyFill="1" applyBorder="1" applyAlignment="1">
      <alignment vertical="center"/>
    </xf>
    <xf numFmtId="0" fontId="33" fillId="0" borderId="18" xfId="3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2" fontId="22" fillId="6" borderId="0" xfId="0" applyNumberFormat="1" applyFont="1" applyFill="1"/>
    <xf numFmtId="0" fontId="22" fillId="0" borderId="0" xfId="30" applyFont="1" applyFill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wrapText="1"/>
    </xf>
    <xf numFmtId="173" fontId="22" fillId="0" borderId="0" xfId="0" applyNumberFormat="1" applyFont="1" applyAlignment="1">
      <alignment vertical="center"/>
    </xf>
    <xf numFmtId="173" fontId="25" fillId="0" borderId="0" xfId="0" applyNumberFormat="1" applyFont="1" applyFill="1" applyBorder="1" applyAlignment="1">
      <alignment horizontal="left" vertical="center"/>
    </xf>
    <xf numFmtId="173" fontId="22" fillId="6" borderId="0" xfId="0" applyNumberFormat="1" applyFont="1" applyFill="1" applyBorder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173" fontId="33" fillId="7" borderId="14" xfId="0" applyNumberFormat="1" applyFont="1" applyFill="1" applyBorder="1" applyAlignment="1">
      <alignment vertical="center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NumberFormat="1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Alignment="1">
      <alignment vertical="center"/>
    </xf>
    <xf numFmtId="2" fontId="22" fillId="0" borderId="0" xfId="0" applyNumberFormat="1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vertical="center"/>
    </xf>
    <xf numFmtId="173" fontId="40" fillId="13" borderId="9" xfId="0" applyNumberFormat="1" applyFont="1" applyFill="1" applyBorder="1" applyAlignment="1">
      <alignment vertical="center"/>
    </xf>
    <xf numFmtId="0" fontId="41" fillId="13" borderId="9" xfId="0" applyFont="1" applyFill="1" applyBorder="1" applyAlignment="1">
      <alignment horizontal="center" vertical="center"/>
    </xf>
    <xf numFmtId="0" fontId="41" fillId="13" borderId="9" xfId="0" applyFont="1" applyFill="1" applyBorder="1" applyAlignment="1">
      <alignment vertical="center"/>
    </xf>
    <xf numFmtId="181" fontId="41" fillId="13" borderId="9" xfId="0" applyNumberFormat="1" applyFont="1" applyFill="1" applyBorder="1" applyAlignment="1">
      <alignment vertical="center"/>
    </xf>
    <xf numFmtId="182" fontId="41" fillId="13" borderId="9" xfId="0" applyNumberFormat="1" applyFont="1" applyFill="1" applyBorder="1" applyAlignment="1">
      <alignment vertical="center"/>
    </xf>
    <xf numFmtId="173" fontId="41" fillId="13" borderId="9" xfId="0" applyNumberFormat="1" applyFont="1" applyFill="1" applyBorder="1" applyAlignment="1">
      <alignment vertical="center"/>
    </xf>
    <xf numFmtId="173" fontId="41" fillId="13" borderId="0" xfId="0" applyNumberFormat="1" applyFont="1" applyFill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4" fontId="32" fillId="9" borderId="0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/>
    </xf>
    <xf numFmtId="0" fontId="42" fillId="0" borderId="0" xfId="0" applyFont="1"/>
    <xf numFmtId="4" fontId="33" fillId="0" borderId="0" xfId="0" applyNumberFormat="1" applyFont="1" applyFill="1" applyBorder="1" applyAlignment="1">
      <alignment horizontal="center" vertical="center"/>
    </xf>
    <xf numFmtId="173" fontId="28" fillId="0" borderId="0" xfId="29" applyNumberFormat="1" applyFont="1"/>
    <xf numFmtId="177" fontId="43" fillId="0" borderId="0" xfId="0" applyNumberFormat="1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22" fillId="0" borderId="0" xfId="30" applyFont="1" applyAlignment="1">
      <alignment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0" fontId="32" fillId="9" borderId="0" xfId="0" applyFont="1" applyFill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vertical="center"/>
    </xf>
    <xf numFmtId="173" fontId="33" fillId="0" borderId="0" xfId="0" applyNumberFormat="1" applyFont="1" applyFill="1" applyBorder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Fill="1" applyBorder="1" applyAlignment="1">
      <alignment horizontal="left" vertical="center"/>
    </xf>
    <xf numFmtId="173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44" fontId="22" fillId="0" borderId="0" xfId="0" applyNumberFormat="1" applyFont="1" applyFill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6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6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6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30" fillId="0" borderId="0" xfId="3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left" vertical="center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44" fontId="33" fillId="0" borderId="23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33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33" fillId="0" borderId="0" xfId="0" applyNumberFormat="1" applyFont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3" fillId="0" borderId="20" xfId="45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 wrapText="1"/>
    </xf>
    <xf numFmtId="2" fontId="49" fillId="0" borderId="0" xfId="0" applyNumberFormat="1" applyFont="1" applyFill="1" applyAlignment="1" applyProtection="1">
      <alignment horizontal="center"/>
      <protection hidden="1"/>
    </xf>
    <xf numFmtId="0" fontId="49" fillId="0" borderId="0" xfId="0" applyFont="1" applyFill="1" applyProtection="1">
      <protection hidden="1"/>
    </xf>
    <xf numFmtId="0" fontId="22" fillId="0" borderId="0" xfId="0" applyFont="1" applyFill="1" applyAlignment="1">
      <alignment horizontal="center" vertical="center"/>
    </xf>
    <xf numFmtId="178" fontId="22" fillId="0" borderId="0" xfId="0" applyNumberFormat="1" applyFont="1" applyFill="1" applyAlignment="1">
      <alignment vertical="center"/>
    </xf>
    <xf numFmtId="178" fontId="33" fillId="0" borderId="0" xfId="0" applyNumberFormat="1" applyFont="1" applyFill="1" applyAlignment="1">
      <alignment vertical="center"/>
    </xf>
    <xf numFmtId="0" fontId="50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168" fontId="33" fillId="0" borderId="9" xfId="20" applyFont="1" applyBorder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4" fontId="3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" fillId="0" borderId="13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9" fillId="0" borderId="0" xfId="0" applyFont="1" applyAlignment="1">
      <alignment vertical="center"/>
    </xf>
    <xf numFmtId="0" fontId="2" fillId="0" borderId="14" xfId="0" applyFont="1" applyBorder="1"/>
    <xf numFmtId="0" fontId="2" fillId="0" borderId="9" xfId="0" applyFont="1" applyBorder="1"/>
    <xf numFmtId="44" fontId="2" fillId="16" borderId="9" xfId="45" applyFont="1" applyFill="1" applyBorder="1"/>
    <xf numFmtId="44" fontId="2" fillId="0" borderId="7" xfId="45" applyFont="1" applyFill="1" applyBorder="1"/>
    <xf numFmtId="9" fontId="2" fillId="16" borderId="7" xfId="44" applyFont="1" applyFill="1" applyBorder="1"/>
    <xf numFmtId="44" fontId="2" fillId="0" borderId="7" xfId="45" applyFont="1" applyBorder="1"/>
    <xf numFmtId="0" fontId="22" fillId="0" borderId="14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44" fontId="22" fillId="0" borderId="7" xfId="0" applyNumberFormat="1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173" fontId="22" fillId="0" borderId="24" xfId="0" applyNumberFormat="1" applyFont="1" applyBorder="1" applyAlignment="1">
      <alignment vertical="center"/>
    </xf>
    <xf numFmtId="44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3" fontId="2" fillId="0" borderId="24" xfId="0" applyNumberFormat="1" applyFont="1" applyBorder="1" applyAlignment="1">
      <alignment vertical="center"/>
    </xf>
    <xf numFmtId="44" fontId="39" fillId="0" borderId="24" xfId="45" applyFont="1" applyFill="1" applyBorder="1" applyAlignment="1">
      <alignment vertical="center"/>
    </xf>
    <xf numFmtId="44" fontId="2" fillId="0" borderId="8" xfId="45" applyFont="1" applyFill="1" applyBorder="1" applyAlignment="1">
      <alignment vertical="center"/>
    </xf>
    <xf numFmtId="9" fontId="2" fillId="0" borderId="24" xfId="44" applyFont="1" applyBorder="1" applyAlignment="1">
      <alignment vertical="center"/>
    </xf>
    <xf numFmtId="44" fontId="39" fillId="0" borderId="8" xfId="45" applyFont="1" applyBorder="1" applyAlignment="1">
      <alignment vertical="center"/>
    </xf>
    <xf numFmtId="0" fontId="53" fillId="0" borderId="0" xfId="0" applyFont="1"/>
    <xf numFmtId="44" fontId="54" fillId="0" borderId="11" xfId="45" applyFont="1" applyFill="1" applyBorder="1" applyAlignment="1">
      <alignment horizontal="center"/>
    </xf>
    <xf numFmtId="44" fontId="54" fillId="0" borderId="0" xfId="45" applyFont="1" applyFill="1" applyBorder="1" applyAlignment="1">
      <alignment horizontal="center"/>
    </xf>
    <xf numFmtId="0" fontId="52" fillId="9" borderId="9" xfId="0" applyFont="1" applyFill="1" applyBorder="1"/>
    <xf numFmtId="0" fontId="52" fillId="9" borderId="9" xfId="0" applyFont="1" applyFill="1" applyBorder="1" applyAlignment="1">
      <alignment wrapText="1"/>
    </xf>
    <xf numFmtId="0" fontId="53" fillId="0" borderId="9" xfId="0" applyFont="1" applyBorder="1"/>
    <xf numFmtId="9" fontId="22" fillId="5" borderId="4" xfId="44" applyFont="1" applyFill="1" applyBorder="1" applyAlignment="1">
      <alignment horizontal="center" vertical="center"/>
    </xf>
    <xf numFmtId="9" fontId="52" fillId="9" borderId="9" xfId="44" applyFont="1" applyFill="1" applyBorder="1" applyAlignment="1">
      <alignment horizontal="center"/>
    </xf>
    <xf numFmtId="0" fontId="55" fillId="17" borderId="0" xfId="0" applyFont="1" applyFill="1" applyAlignment="1">
      <alignment horizontal="left" vertical="center"/>
    </xf>
    <xf numFmtId="0" fontId="55" fillId="17" borderId="0" xfId="0" applyFont="1" applyFill="1" applyAlignment="1">
      <alignment horizontal="center" vertical="center"/>
    </xf>
    <xf numFmtId="0" fontId="56" fillId="0" borderId="0" xfId="0" applyFont="1" applyAlignment="1">
      <alignment wrapText="1"/>
    </xf>
    <xf numFmtId="0" fontId="56" fillId="0" borderId="0" xfId="0" applyFont="1"/>
    <xf numFmtId="0" fontId="57" fillId="18" borderId="9" xfId="0" applyFont="1" applyFill="1" applyBorder="1" applyAlignment="1">
      <alignment horizontal="center" vertical="center"/>
    </xf>
    <xf numFmtId="0" fontId="57" fillId="18" borderId="9" xfId="0" applyFont="1" applyFill="1" applyBorder="1" applyAlignment="1">
      <alignment horizontal="center" vertical="center" wrapText="1"/>
    </xf>
    <xf numFmtId="0" fontId="58" fillId="18" borderId="9" xfId="0" applyFont="1" applyFill="1" applyBorder="1" applyAlignment="1">
      <alignment horizontal="center" vertical="center"/>
    </xf>
    <xf numFmtId="44" fontId="57" fillId="18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6" fillId="6" borderId="9" xfId="0" applyFont="1" applyFill="1" applyBorder="1" applyAlignment="1">
      <alignment horizontal="left" vertical="center"/>
    </xf>
    <xf numFmtId="0" fontId="56" fillId="19" borderId="9" xfId="0" applyFont="1" applyFill="1" applyBorder="1" applyAlignment="1">
      <alignment horizontal="center" vertical="center"/>
    </xf>
    <xf numFmtId="44" fontId="20" fillId="16" borderId="9" xfId="45" applyFont="1" applyFill="1" applyBorder="1"/>
    <xf numFmtId="44" fontId="56" fillId="19" borderId="9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44" fontId="56" fillId="18" borderId="9" xfId="0" applyNumberFormat="1" applyFont="1" applyFill="1" applyBorder="1" applyAlignment="1">
      <alignment horizontal="center" vertical="center"/>
    </xf>
    <xf numFmtId="44" fontId="57" fillId="18" borderId="9" xfId="45" applyFont="1" applyFill="1" applyBorder="1" applyAlignment="1">
      <alignment horizontal="center" vertical="center" wrapText="1"/>
    </xf>
    <xf numFmtId="0" fontId="49" fillId="0" borderId="0" xfId="0" applyFont="1"/>
    <xf numFmtId="0" fontId="0" fillId="0" borderId="0" xfId="0" applyAlignment="1">
      <alignment wrapText="1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Fill="1" applyBorder="1" applyAlignment="1">
      <alignment horizontal="center" vertical="center"/>
    </xf>
    <xf numFmtId="0" fontId="30" fillId="0" borderId="0" xfId="30" applyFont="1" applyFill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52" fillId="9" borderId="7" xfId="0" applyFont="1" applyFill="1" applyBorder="1" applyAlignment="1">
      <alignment horizontal="center"/>
    </xf>
    <xf numFmtId="0" fontId="52" fillId="9" borderId="14" xfId="0" applyFont="1" applyFill="1" applyBorder="1" applyAlignment="1">
      <alignment horizontal="center"/>
    </xf>
    <xf numFmtId="170" fontId="22" fillId="5" borderId="7" xfId="0" applyNumberFormat="1" applyFont="1" applyFill="1" applyBorder="1" applyAlignment="1">
      <alignment horizontal="left" vertical="center"/>
    </xf>
    <xf numFmtId="170" fontId="22" fillId="5" borderId="4" xfId="0" applyNumberFormat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 textRotation="90"/>
    </xf>
    <xf numFmtId="0" fontId="22" fillId="0" borderId="11" xfId="0" applyFont="1" applyFill="1" applyBorder="1" applyAlignment="1">
      <alignment horizontal="center" vertical="center" textRotation="90"/>
    </xf>
    <xf numFmtId="0" fontId="22" fillId="0" borderId="12" xfId="0" applyFont="1" applyFill="1" applyBorder="1" applyAlignment="1">
      <alignment horizontal="center" vertical="center" textRotation="90"/>
    </xf>
    <xf numFmtId="0" fontId="22" fillId="0" borderId="8" xfId="0" applyFont="1" applyFill="1" applyBorder="1" applyAlignment="1">
      <alignment horizontal="center" vertical="center" textRotation="90" wrapText="1"/>
    </xf>
    <xf numFmtId="0" fontId="22" fillId="0" borderId="11" xfId="0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center" vertical="center" textRotation="90" wrapText="1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</cellXfs>
  <cellStyles count="47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0" totalsRowShown="0" headerRowDxfId="235" dataDxfId="234" headerRowCellStyle="Standaard 4">
  <autoFilter ref="A10:D30" xr:uid="{00000000-0009-0000-0100-000006000000}"/>
  <tableColumns count="4">
    <tableColumn id="1" xr3:uid="{00000000-0010-0000-0000-000001000000}" name="Code" dataDxfId="233" dataCellStyle="Standaard 4"/>
    <tableColumn id="2" xr3:uid="{00000000-0010-0000-0000-000002000000}" name="Ruimte omschrijving" dataDxfId="232" dataCellStyle="Standaard 4"/>
    <tableColumn id="3" xr3:uid="{00000000-0010-0000-0000-000003000000}" name="Norm (5w)" dataDxfId="231"/>
    <tableColumn id="4" xr3:uid="{00000000-0010-0000-0000-000004000000}" name="Inspectiecategorie" dataDxfId="2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0" totalsRowShown="0">
  <autoFilter ref="A8:J10" xr:uid="{00000000-0009-0000-0100-000005000000}"/>
  <tableColumns count="10">
    <tableColumn id="1" xr3:uid="{00000000-0010-0000-0900-000001000000}" name="Code Taak" dataDxfId="115"/>
    <tableColumn id="2" xr3:uid="{00000000-0010-0000-0900-000002000000}" name="Werkzaamheid" dataDxfId="114"/>
    <tableColumn id="3" xr3:uid="{00000000-0010-0000-0900-000003000000}" name="Eenheid" dataDxfId="113"/>
    <tableColumn id="4" xr3:uid="{00000000-0010-0000-0900-000004000000}" name="Toelichting" dataDxfId="112"/>
    <tableColumn id="5" xr3:uid="{00000000-0010-0000-0900-000005000000}" name="Prijs_x000a_Excl. BTW" dataDxfId="111"/>
    <tableColumn id="6" xr3:uid="{3FB7F131-71FC-463C-8C00-D6DD0FDF1529}" name="2024" dataDxfId="110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109">
      <calculatedColumnFormula>InvulExtra[[#This Row],[2024]]*Tariefsopbouw!$K$37+InvulExtra[[#This Row],[2024]]</calculatedColumnFormula>
    </tableColumn>
    <tableColumn id="8" xr3:uid="{F66BBAFC-F378-4A72-A8A0-882B5B42BA69}" name="2026" dataDxfId="108">
      <calculatedColumnFormula>InvulExtra[[#This Row],[2025]]*Tariefsopbouw!$M$37+InvulExtra[[#This Row],[2025]]</calculatedColumnFormula>
    </tableColumn>
    <tableColumn id="9" xr3:uid="{D06F598A-5F46-4D18-8F56-D5615B461E3E}" name="2027" dataDxfId="107">
      <calculatedColumnFormula>InvulExtra[[#This Row],[2026]]*Tariefsopbouw!$O$37+InvulExtra[[#This Row],[2026]]</calculatedColumnFormula>
    </tableColumn>
    <tableColumn id="10" xr3:uid="{ADDE6AC4-A9FB-4C2E-BFEA-AB7183EB36E0}" name="2028" dataDxfId="106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3:H16" totalsRowCount="1" headerRowDxfId="105" dataDxfId="104" totalsRowDxfId="103">
  <autoFilter ref="A13:H15" xr:uid="{00000000-0009-0000-0100-00000A000000}"/>
  <tableColumns count="8">
    <tableColumn id="9" xr3:uid="{00000000-0010-0000-0A00-000009000000}" name="Code Locatie" dataDxfId="102" totalsRowDxfId="101"/>
    <tableColumn id="1" xr3:uid="{00000000-0010-0000-0A00-000001000000}" name="Locatie" totalsRowLabel="Totaal" dataDxfId="100" totalsRowDxfId="99">
      <calculatedColumnFormula>VLOOKUP(OverzichtExtra[[#This Row],[Code Locatie]],Locaties[],2,0)</calculatedColumnFormula>
    </tableColumn>
    <tableColumn id="3" xr3:uid="{00000000-0010-0000-0A00-000003000000}" name="Code Taak" dataDxfId="98" totalsRowDxfId="97"/>
    <tableColumn id="4" xr3:uid="{00000000-0010-0000-0A00-000004000000}" name="Werkzaamheid" dataDxfId="96" totalsRowDxfId="95">
      <calculatedColumnFormula>IF('Extra werkzaamheden'!$C14&gt;0,VLOOKUP('Extra werkzaamheden'!$C14,$A$8:$B$10,2,0),"")</calculatedColumnFormula>
    </tableColumn>
    <tableColumn id="5" xr3:uid="{00000000-0010-0000-0A00-000005000000}" name="Eenheid" dataDxfId="94" totalsRowDxfId="93"/>
    <tableColumn id="6" xr3:uid="{00000000-0010-0000-0A00-000006000000}" name="Aantal stuks/ uren" dataDxfId="92" totalsRowDxfId="91"/>
    <tableColumn id="7" xr3:uid="{00000000-0010-0000-0A00-000007000000}" name="Frequentie (uitv. per jaar)" dataDxfId="90" totalsRowDxfId="89"/>
    <tableColumn id="8" xr3:uid="{00000000-0010-0000-0A00-000008000000}" name="Kosten/jaar excl. BTW" totalsRowFunction="sum" dataDxfId="88" totalsRowDxfId="87">
      <calculatedColumnFormula>IF(G14&gt;0,VLOOKUP(OverzichtExtra[[#This Row],[Code Taak]],InvulExtra[],5,2)*F14*G14,0)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78C541-C493-44E1-B297-17DA009CC56D}" name="Tabel12" displayName="Tabel12" ref="A4:K34" totalsRowShown="0" headerRowDxfId="86" dataDxfId="84" headerRowBorderDxfId="85" tableBorderDxfId="83" totalsRowBorderDxfId="82">
  <autoFilter ref="A4:K34" xr:uid="{E178C541-C493-44E1-B297-17DA009CC56D}"/>
  <tableColumns count="11">
    <tableColumn id="1" xr3:uid="{B8CE0333-15AD-487C-A231-E286C9E58F2B}" name="Naam" dataDxfId="81" totalsRowDxfId="80"/>
    <tableColumn id="2" xr3:uid="{3190D5FB-9914-47D3-B729-0E75E3C87C24}" name="Artikelnr" dataDxfId="79" totalsRowDxfId="78"/>
    <tableColumn id="3" xr3:uid="{DCAE258A-7444-4EA1-A154-41B5527A86C3}" name="Categorie" dataDxfId="77" totalsRowDxfId="76"/>
    <tableColumn id="4" xr3:uid="{1AC02712-07B5-4098-BB5A-967AD1ABCA9B}" name="Artikelomschrijving" dataDxfId="75" totalsRowDxfId="74"/>
    <tableColumn id="5" xr3:uid="{315123D6-D578-4600-AE21-D1C360F4FC1B}" name="verpakking" dataDxfId="73" totalsRowDxfId="72"/>
    <tableColumn id="6" xr3:uid="{B3BBAF2F-2942-4993-B5F0-56BDFEC155E3}" name="Afname Hoeveelheid" dataDxfId="71" totalsRowDxfId="70"/>
    <tableColumn id="7" xr3:uid="{6F59F266-8797-4B40-A5C2-37342594D041}" name="eenheid" dataDxfId="69" totalsRowDxfId="68"/>
    <tableColumn id="8" xr3:uid="{ED04C60A-5172-4418-A2AB-1E022B50BEBE}" name="prijs per eenheid bruto" dataDxfId="67" totalsRowDxfId="66"/>
    <tableColumn id="11" xr3:uid="{638C70BB-E815-491C-A784-00B1B1C30C88}" name="Totaal kosten excl korting" dataDxfId="65" totalsRowDxfId="64">
      <calculatedColumnFormula>Tabel12[[#This Row],[Afname Hoeveelheid]]*Tabel12[[#This Row],[prijs per eenheid bruto]]</calculatedColumnFormula>
    </tableColumn>
    <tableColumn id="10" xr3:uid="{E09E3387-51DF-48F3-8FFB-91704927EACB}" name="Kortings percentage" dataDxfId="63" totalsRowDxfId="62"/>
    <tableColumn id="9" xr3:uid="{0DCC7CA6-4C3B-4745-B500-AD6C2B2834B3}" name="Totaal kosten" dataDxfId="61" totalsRowDxfId="6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9" dataDxfId="58" totalsRowDxfId="57">
  <autoFilter ref="B8:I40" xr:uid="{00000000-0009-0000-0100-00000B000000}"/>
  <tableColumns count="8">
    <tableColumn id="1" xr3:uid="{00000000-0010-0000-0B00-000001000000}" name="Werkzaamheid" totalsRowLabel="Totaal" totalsRowDxfId="7"/>
    <tableColumn id="2" xr3:uid="{00000000-0010-0000-0B00-000002000000}" name="Eenheid" totalsRowDxfId="6"/>
    <tableColumn id="3" xr3:uid="{00000000-0010-0000-0B00-000003000000}" name="Prijs excl. BTW" totalsRowDxfId="5"/>
    <tableColumn id="4" xr3:uid="{20339242-D37F-45D0-B3A9-D5D0277AA005}" name="2024" dataDxfId="56" totalsRowDxfId="4">
      <calculatedColumnFormula>InvulRegie[[#This Row],[Prijs excl. BTW]]*Tariefsopbouw!$I$37+InvulRegie[[#This Row],[Prijs excl. BTW]]</calculatedColumnFormula>
    </tableColumn>
    <tableColumn id="5" xr3:uid="{98710F61-FEB9-4108-AD80-85E42E12F88F}" name="2025" dataDxfId="55" totalsRowDxfId="3">
      <calculatedColumnFormula>InvulRegie[[#This Row],[2024]]*Tariefsopbouw!$K$37+InvulRegie[[#This Row],[2024]]</calculatedColumnFormula>
    </tableColumn>
    <tableColumn id="6" xr3:uid="{DA4A687B-70D0-4179-B678-42FA080B354F}" name="2026" dataDxfId="54" totalsRowDxfId="2">
      <calculatedColumnFormula>InvulRegie[[#This Row],[2025]]*Tariefsopbouw!$M$37+InvulRegie[[#This Row],[2025]]</calculatedColumnFormula>
    </tableColumn>
    <tableColumn id="7" xr3:uid="{FA946E46-8412-420B-AA1A-C1F4D582105F}" name="2027" dataDxfId="53" totalsRowDxfId="1">
      <calculatedColumnFormula>InvulRegie[[#This Row],[2026]]*Tariefsopbouw!$O$37+InvulRegie[[#This Row],[2026]]</calculatedColumnFormula>
    </tableColumn>
    <tableColumn id="8" xr3:uid="{00A92510-BD5B-4E71-BCF5-F352086DB0C7}" name="2028" dataDxfId="52" totalsRowDxfId="0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8" totalsRowCount="1" headerRowDxfId="51" dataDxfId="49" totalsRowDxfId="47" headerRowBorderDxfId="50" tableBorderDxfId="48">
  <autoFilter ref="A6:H7" xr:uid="{00000000-0009-0000-0100-00000E000000}"/>
  <tableColumns count="8">
    <tableColumn id="8" xr3:uid="{00000000-0010-0000-0C00-000008000000}" name="Code Locatie" dataDxfId="46" totalsRowDxfId="45"/>
    <tableColumn id="1" xr3:uid="{00000000-0010-0000-0C00-000001000000}" name="Locatie" totalsRowLabel="Totaal" dataDxfId="44" totalsRowDxfId="43"/>
    <tableColumn id="2" xr3:uid="{00000000-0010-0000-0C00-000002000000}" name="Oppervlakte i/o" totalsRowFunction="sum" dataDxfId="42" totalsRowDxfId="41"/>
    <tableColumn id="3" xr3:uid="{00000000-0010-0000-0C00-000003000000}" name="Prest. (m2 /jaar)" totalsRowFunction="sum" dataDxfId="40" totalsRowDxfId="39"/>
    <tableColumn id="4" xr3:uid="{00000000-0010-0000-0C00-000004000000}" name="Uren / jaar" totalsRowFunction="sum" dataDxfId="38" totalsRowDxfId="37"/>
    <tableColumn id="5" xr3:uid="{00000000-0010-0000-0C00-000005000000}" name="Norm (m2/uur)" totalsRowFunction="custom" dataDxfId="36" totalsRowDxfId="35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34" totalsRowDxfId="33"/>
    <tableColumn id="7" xr3:uid="{00000000-0010-0000-0C00-000007000000}" name="Kosten / m2" totalsRowFunction="custom" dataDxfId="32" totalsRowDxfId="31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I13" totalsRowCount="1" headerRowDxfId="30" dataDxfId="28" totalsRowDxfId="26" headerRowBorderDxfId="29" tableBorderDxfId="27">
  <autoFilter ref="A11:I12" xr:uid="{00000000-0009-0000-0100-00000F000000}"/>
  <tableColumns count="9">
    <tableColumn id="8" xr3:uid="{00000000-0010-0000-0D00-000008000000}" name="Code Locatie" dataDxfId="25" totalsRowDxfId="24"/>
    <tableColumn id="1" xr3:uid="{00000000-0010-0000-0D00-000001000000}" name="Locaties" totalsRowLabel="Totaal" dataDxfId="23" totalsRowDxfId="22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21" totalsRowDxfId="20">
      <calculatedColumnFormula>SUMIF('Ruimtestaat'!A:A,Totalisatie[[#This Row],[Code Locatie]],'Ruimtestaat'!AG:AG)</calculatedColumnFormula>
    </tableColumn>
    <tableColumn id="2" xr3:uid="{00000000-0010-0000-0D00-000002000000}" name="Vloeronderhoud_x000a_Kosten / jaar" totalsRowFunction="sum" dataDxfId="19" totalsRowDxfId="18">
      <calculatedColumnFormula>SUMIF(Vloeronderhoud!$A$21:$A$25,Totalisatie[[#This Row],[Code Locatie]],Vloeronderhoud!$H$21:$H$25)</calculatedColumnFormula>
    </tableColumn>
    <tableColumn id="3" xr3:uid="{00000000-0010-0000-0D00-000003000000}" name="Extra Werkzaamheden_x000a_Kosten / jaar" totalsRowFunction="sum" dataDxfId="17" totalsRowDxfId="16">
      <calculatedColumnFormula>SUMIF(OverzichtExtra[Code Locatie],Totalisatie[[#This Row],[Code Locatie]],OverzichtExtra[Kosten/jaar excl. BTW])</calculatedColumnFormula>
    </tableColumn>
    <tableColumn id="5" xr3:uid="{B439BFD2-A2FF-4FEF-BD78-0BFD26F8BCFE}" name="Glasbewassing_x000a_Kosten / jaar" totalsRowFunction="sum" dataDxfId="15" totalsRowDxfId="14">
      <calculatedColumnFormula>SUMIF(OverzichtGlas[[Code Locatie]:[Kosten/jaar excl. BTW]],Totalisatie[[#This Row],[Code Locatie]],OverzichtGlas[Kosten/jaar excl. BTW])</calculatedColumnFormula>
    </tableColumn>
    <tableColumn id="6" xr3:uid="{3A3F34E3-CF57-42C7-A204-04969A6D71A3}" name="Reinigingsmiddelen Kosten / jaar" totalsRowFunction="sum" dataDxfId="13" totalsRowDxfId="12">
      <calculatedColumnFormula>SUMIF(Tabel12[#All],Totalisatie[[#This Row],[Locaties]],Reinigingsmiddelen!K5:K31)</calculatedColumnFormula>
    </tableColumn>
    <tableColumn id="9" xr3:uid="{48056314-8581-4494-9A02-F2E504FB5D33}" name="Logistiek Kosten / jaar" totalsRowFunction="sum" dataDxfId="11" totalsRowDxfId="10">
      <calculatedColumnFormula>SUMIF(Logistiek!A3:H3,Totalisatie[[#This Row],[Locaties]],Logistiek!H3:H3)</calculatedColumnFormula>
    </tableColumn>
    <tableColumn id="7" xr3:uid="{00000000-0010-0000-0D00-000007000000}" name="Totaalprijs_x000a_Kosten / jaar" totalsRowFunction="sum" dataDxfId="9" totalsRowDxfId="8">
      <calculatedColumnFormula>SUM(Totalisatie[[#This Row],[Schoonmaakonderhoud
Kosten / jaar]:[Logistiek 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3:F37" totalsRowShown="0" headerRowDxfId="229" dataDxfId="228">
  <autoFilter ref="A33:F37" xr:uid="{00000000-0009-0000-0100-000007000000}"/>
  <tableColumns count="6">
    <tableColumn id="1" xr3:uid="{00000000-0010-0000-0100-000001000000}" name="Code" dataDxfId="227"/>
    <tableColumn id="4" xr3:uid="{00000000-0010-0000-0100-000004000000}" name="Naam" dataDxfId="226"/>
    <tableColumn id="5" xr3:uid="{00000000-0010-0000-0100-000005000000}" name="Aanpassing norm" dataDxfId="225" dataCellStyle="Procent"/>
    <tableColumn id="2" xr3:uid="{00000000-0010-0000-0100-000002000000}" name="Vloersoort omschrijving" dataDxfId="224" dataCellStyle="Standaard 4"/>
    <tableColumn id="7" xr3:uid="{00000000-0010-0000-0100-000007000000}" name="Kolom2" dataDxfId="223" dataCellStyle="Standaard 4"/>
    <tableColumn id="6" xr3:uid="{00000000-0010-0000-0100-000006000000}" name="Kolom1" dataDxfId="222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0:C50" totalsRowShown="0" headerRowDxfId="221" dataDxfId="220">
  <autoFilter ref="A40:C50" xr:uid="{00000000-0009-0000-0100-000008000000}"/>
  <tableColumns count="3">
    <tableColumn id="1" xr3:uid="{00000000-0010-0000-0200-000001000000}" name="Code" dataDxfId="219" dataCellStyle="Standaard 4"/>
    <tableColumn id="2" xr3:uid="{00000000-0010-0000-0200-000002000000}" name="Frequentie omschrijving" dataDxfId="218" dataCellStyle="Standaard 4"/>
    <tableColumn id="3" xr3:uid="{00000000-0010-0000-0200-000003000000}" name="Aanpassing norm" dataDxfId="217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216">
  <autoFilter ref="A6:F7" xr:uid="{00000000-0009-0000-0100-00000D000000}"/>
  <tableColumns count="6">
    <tableColumn id="1" xr3:uid="{00000000-0010-0000-0300-000001000000}" name="Code" dataDxfId="215"/>
    <tableColumn id="2" xr3:uid="{00000000-0010-0000-0300-000002000000}" name="Locatie" dataDxfId="214"/>
    <tableColumn id="7" xr3:uid="{00000000-0010-0000-0300-000007000000}" name="Aanpassing norm" dataDxfId="213"/>
    <tableColumn id="3" xr3:uid="{00000000-0010-0000-0300-000003000000}" name="Adres" dataDxfId="212"/>
    <tableColumn id="4" xr3:uid="{00000000-0010-0000-0300-000004000000}" name="Postcode" dataDxfId="211"/>
    <tableColumn id="5" xr3:uid="{00000000-0010-0000-0300-000005000000}" name="Plaats" dataDxfId="21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75" totalsRowShown="0" headerRowDxfId="209" dataDxfId="208">
  <autoFilter ref="A4:AG175" xr:uid="{00000000-0009-0000-0100-000009000000}"/>
  <tableColumns count="33">
    <tableColumn id="32" xr3:uid="{00000000-0010-0000-0400-000020000000}" name="Code" dataDxfId="207"/>
    <tableColumn id="1" xr3:uid="{00000000-0010-0000-0400-000001000000}" name="Locatie" dataDxfId="206"/>
    <tableColumn id="3" xr3:uid="{00000000-0010-0000-0400-000003000000}" name="Adres" dataDxfId="205">
      <calculatedColumnFormula>VLOOKUP(Ruimtestaat[[#This Row],[Code]],Locaties[#All],4,FALSE)</calculatedColumnFormula>
    </tableColumn>
    <tableColumn id="4" xr3:uid="{00000000-0010-0000-0400-000004000000}" name="Postcode" dataDxfId="204">
      <calculatedColumnFormula>VLOOKUP(Ruimtestaat[[#This Row],[Code]],Locaties[#All],5,FALSE)</calculatedColumnFormula>
    </tableColumn>
    <tableColumn id="5" xr3:uid="{00000000-0010-0000-0400-000005000000}" name="Plaats" dataDxfId="203">
      <calculatedColumnFormula>VLOOKUP(Ruimtestaat[[#This Row],[Code]],Locaties[#All],6,FALSE)</calculatedColumnFormula>
    </tableColumn>
    <tableColumn id="2" xr3:uid="{00000000-0010-0000-0400-000002000000}" name="Gebouw gedeelte" dataDxfId="202"/>
    <tableColumn id="6" xr3:uid="{00000000-0010-0000-0400-000006000000}" name="Etage" dataDxfId="201"/>
    <tableColumn id="7" xr3:uid="{00000000-0010-0000-0400-000007000000}" name="Ruimte- nummer" dataDxfId="200"/>
    <tableColumn id="8" xr3:uid="{00000000-0010-0000-0400-000008000000}" name="Ruimte omschrijving" dataDxfId="199"/>
    <tableColumn id="9" xr3:uid="{00000000-0010-0000-0400-000009000000}" name="Ruimte code" dataDxfId="198"/>
    <tableColumn id="10" xr3:uid="{00000000-0010-0000-0400-00000A000000}" name="Ruimtesoort" dataDxfId="197"/>
    <tableColumn id="11" xr3:uid="{00000000-0010-0000-0400-00000B000000}" name="Vloer code" dataDxfId="196"/>
    <tableColumn id="12" xr3:uid="{00000000-0010-0000-0400-00000C000000}" name="Vloer afwerking" dataDxfId="195"/>
    <tableColumn id="13" xr3:uid="{00000000-0010-0000-0400-00000D000000}" name="Oppervlak (netto)" dataDxfId="194"/>
    <tableColumn id="14" xr3:uid="{00000000-0010-0000-0400-00000E000000}" name="Oppervlakte n.i.o." dataDxfId="193"/>
    <tableColumn id="15" xr3:uid="{00000000-0010-0000-0400-00000F000000}" name="Inspectie categorie" dataDxfId="192">
      <calculatedColumnFormula>LEFT(VLOOKUP(Ruimtestaat[[#This Row],[Ruimte code]],Ruimtegroepen[#All],4,1),2)</calculatedColumnFormula>
    </tableColumn>
    <tableColumn id="16" xr3:uid="{00000000-0010-0000-0400-000010000000}" name="Opmerking" dataDxfId="191"/>
    <tableColumn id="17" xr3:uid="{00000000-0010-0000-0400-000011000000}" name="Aantal weken/jr" dataDxfId="190"/>
    <tableColumn id="18" xr3:uid="{00000000-0010-0000-0400-000012000000}" name="Frequentie werkdagen" dataDxfId="189"/>
    <tableColumn id="19" xr3:uid="{00000000-0010-0000-0400-000013000000}" name="Uitvoeringen werkdagen" dataDxfId="188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87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86"/>
    <tableColumn id="22" xr3:uid="{00000000-0010-0000-0400-000016000000}" name="uren / jaar werkdagen" dataDxfId="185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84">
      <calculatedColumnFormula>Ruimtestaat[[#This Row],[uren / jaar werkdagen]]*Tariefsopbouw!$E$35</calculatedColumnFormula>
    </tableColumn>
    <tableColumn id="24" xr3:uid="{00000000-0010-0000-0400-000018000000}" name="Frequentie weekend" dataDxfId="183"/>
    <tableColumn id="38" xr3:uid="{00000000-0010-0000-0400-000026000000}" name="Uitvoeringen weekend" dataDxfId="182">
      <calculatedColumnFormula>IF(Ruimtestaat[[#This Row],[Frequentie weekend]]&gt;0,VALUE(LEFT(Y5,1))*R5,0)</calculatedColumnFormula>
    </tableColumn>
    <tableColumn id="25" xr3:uid="{00000000-0010-0000-0400-000019000000}" name="Norm (m2/uur) weekend" dataDxfId="181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80"/>
    <tableColumn id="27" xr3:uid="{00000000-0010-0000-0400-00001B000000}" name="uren / jaar weekend" dataDxfId="179"/>
    <tableColumn id="28" xr3:uid="{00000000-0010-0000-0400-00001C000000}" name="kosten / jaar weekend" dataDxfId="178">
      <calculatedColumnFormula>Ruimtestaat[[#This Row],[uren / jaar weekend]]*Tariefsopbouw!$D$40</calculatedColumnFormula>
    </tableColumn>
    <tableColumn id="29" xr3:uid="{00000000-0010-0000-0400-00001D000000}" name="Prest. (m2 /jaar)" dataDxfId="177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76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75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74">
  <autoFilter ref="A8:I17" xr:uid="{00000000-0009-0000-0100-000001000000}"/>
  <tableColumns count="9">
    <tableColumn id="1" xr3:uid="{00000000-0010-0000-0700-000001000000}" name="Code Taak" dataDxfId="173"/>
    <tableColumn id="2" xr3:uid="{00000000-0010-0000-0700-000002000000}" name="Werkzaamheden"/>
    <tableColumn id="3" xr3:uid="{00000000-0010-0000-0700-000003000000}" name="Prijs" dataDxfId="172"/>
    <tableColumn id="4" xr3:uid="{00000000-0010-0000-0700-000004000000}" name="Omschrijving" dataDxfId="171"/>
    <tableColumn id="5" xr3:uid="{7B224336-2E90-4786-8885-F9B3CAAAC600}" name="2024" dataDxfId="170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69">
      <calculatedColumnFormula>InvulVloer[[#This Row],[2024]]*Tariefsopbouw!$K$37+InvulVloer[[#This Row],[2024]]</calculatedColumnFormula>
    </tableColumn>
    <tableColumn id="7" xr3:uid="{9E193464-F35C-49B3-A477-D7B0835ABCF2}" name="2026" dataDxfId="168">
      <calculatedColumnFormula>InvulVloer[[#This Row],[2025]]*Tariefsopbouw!$M$37+InvulVloer[[#This Row],[2025]]</calculatedColumnFormula>
    </tableColumn>
    <tableColumn id="8" xr3:uid="{8069DF64-F4BB-49BA-8609-74BCEBC0E84C}" name="2027" dataDxfId="167">
      <calculatedColumnFormula>InvulVloer[[#This Row],[2026]]*Tariefsopbouw!$O$37+InvulVloer[[#This Row],[2026]]</calculatedColumnFormula>
    </tableColumn>
    <tableColumn id="9" xr3:uid="{FCBF02FF-403C-4DC9-8F5B-108F47020EEA}" name="2028" dataDxfId="166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25" totalsRowCount="1" headerRowDxfId="165" dataDxfId="164" totalsRowDxfId="163">
  <autoFilter ref="A20:H24" xr:uid="{00000000-0009-0000-0100-000002000000}"/>
  <tableColumns count="8">
    <tableColumn id="11" xr3:uid="{00000000-0010-0000-0800-00000B000000}" name="Code Locatie" dataDxfId="162" totalsRowDxfId="161"/>
    <tableColumn id="1" xr3:uid="{00000000-0010-0000-0800-000001000000}" name="Locatie" totalsRowLabel="Totaal" dataDxfId="160" totalsRowDxfId="159"/>
    <tableColumn id="3" xr3:uid="{00000000-0010-0000-0800-000003000000}" name="Code Taak" dataDxfId="158" totalsRowDxfId="157"/>
    <tableColumn id="4" xr3:uid="{00000000-0010-0000-0800-000004000000}" name="Werkzaamheden" dataDxfId="156" totalsRowDxfId="155">
      <calculatedColumnFormula>IF(Vloeronderhoud!$C21&gt;0,VLOOKUP(Vloeronderhoud!$C21,$A$8:$B$17,2,FALSE),"")</calculatedColumnFormula>
    </tableColumn>
    <tableColumn id="5" xr3:uid="{00000000-0010-0000-0800-000005000000}" name="Vloersoort" dataDxfId="154" totalsRowDxfId="153"/>
    <tableColumn id="6" xr3:uid="{00000000-0010-0000-0800-000006000000}" name="Oppervlakte" dataDxfId="152" totalsRowDxfId="151">
      <calculatedColumnFormula>SUMIFS('Ruimtestaat'!$N:$N,'Ruimtestaat'!L:L,Vloeronderhoud!E21,'Ruimtestaat'!A:A,Vloeronderhoud!A21)</calculatedColumnFormula>
    </tableColumn>
    <tableColumn id="8" xr3:uid="{00000000-0010-0000-0800-000008000000}" name="Frequentie (uitv./jaar)" dataDxfId="150" totalsRowDxfId="149"/>
    <tableColumn id="9" xr3:uid="{00000000-0010-0000-0800-000009000000}" name="Kosten/jaar excl. BTW" totalsRowFunction="sum" dataDxfId="148" totalsRowDxfId="147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FD162E-AAB4-4E0F-9820-DA3D084720A3}" name="InvulGlas" displayName="InvulGlas" ref="A8:I21" totalsRowShown="0" headerRowDxfId="146">
  <autoFilter ref="A8:I21" xr:uid="{04FD162E-AAB4-4E0F-9820-DA3D084720A3}"/>
  <tableColumns count="9">
    <tableColumn id="1" xr3:uid="{A84299A5-2489-4373-A5CF-56B6A0680767}" name="Code taak" dataDxfId="145"/>
    <tableColumn id="2" xr3:uid="{D5E66D0E-A247-4459-88C6-D26F162F04DA}" name="Glassoort/voorziening" dataDxfId="144"/>
    <tableColumn id="3" xr3:uid="{6F917DE0-7F6E-4A2D-8AB5-9878068B82D2}" name="Prijs excl. BTW" dataDxfId="143"/>
    <tableColumn id="4" xr3:uid="{F78CA53C-1329-465A-B112-51E3E8E6B26C}" name="Eenheid" dataDxfId="142"/>
    <tableColumn id="5" xr3:uid="{498072BA-F4E4-490C-A6D7-54F728A207AF}" name="2024" dataDxfId="141">
      <calculatedColumnFormula>(InvulGlas[[#This Row],[Prijs excl. BTW]]*Tariefsopbouw!$I$37)+InvulGlas[[#This Row],[Prijs excl. BTW]]</calculatedColumnFormula>
    </tableColumn>
    <tableColumn id="6" xr3:uid="{D485F8A8-1426-42A2-988B-31B5B9775A69}" name="2025" dataDxfId="140">
      <calculatedColumnFormula>E9*Tariefsopbouw!$K$37+Glasbewassing!E9</calculatedColumnFormula>
    </tableColumn>
    <tableColumn id="7" xr3:uid="{9DE0F90B-CA0B-4DC2-BB61-E07EEE08BBB6}" name="2026" dataDxfId="139">
      <calculatedColumnFormula>F9*Tariefsopbouw!$M$37+Glasbewassing!F9</calculatedColumnFormula>
    </tableColumn>
    <tableColumn id="8" xr3:uid="{E0DF3B92-F897-4A90-BF48-7486B2C8EDC3}" name="2027" dataDxfId="138">
      <calculatedColumnFormula>G9*Tariefsopbouw!$O$37+Glasbewassing!G9</calculatedColumnFormula>
    </tableColumn>
    <tableColumn id="9" xr3:uid="{FF81F91D-819C-4DE7-92BC-1A42A7E9DEE1}" name="2028" dataDxfId="137">
      <calculatedColumnFormula>H9*Tariefsopbouw!$Q$37+Glasbewassing!H9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A5833D-9F30-422D-AB85-02AC1240C8DD}" name="OverzichtGlas" displayName="OverzichtGlas" ref="A23:I30" totalsRowCount="1" headerRowDxfId="136" dataDxfId="135" totalsRowDxfId="134">
  <autoFilter ref="A23:I29" xr:uid="{36A5833D-9F30-422D-AB85-02AC1240C8DD}"/>
  <sortState xmlns:xlrd2="http://schemas.microsoft.com/office/spreadsheetml/2017/richdata2" ref="A24:G29">
    <sortCondition ref="A24:A29"/>
  </sortState>
  <tableColumns count="9">
    <tableColumn id="1" xr3:uid="{8E39B808-53D7-4D97-80F5-5B83F2011E30}" name="Code Locatie" totalsRowLabel="Totaal" dataDxfId="133" totalsRowDxfId="132"/>
    <tableColumn id="2" xr3:uid="{30B5472F-A13F-4AA5-8A32-6F74ED6DD857}" name="Locatie" dataDxfId="131" totalsRowDxfId="130">
      <calculatedColumnFormula>VLOOKUP(OverzichtGlas[[#This Row],[Code Locatie]],Totalisatie!$A$7:$B$11,2,FALSE)</calculatedColumnFormula>
    </tableColumn>
    <tableColumn id="3" xr3:uid="{9B6B6D18-B205-43CF-9453-E72908FE99A6}" name="Code taak" dataDxfId="129" totalsRowDxfId="128"/>
    <tableColumn id="4" xr3:uid="{9A79B114-9682-4F91-8E03-A285793275D7}" name="Glassoort/voorziening" dataDxfId="127" totalsRowDxfId="126">
      <calculatedColumnFormula>IF(Glasbewassing!$C24&gt;0,VLOOKUP(Glasbewassing!$C24,$A$8:$B$21,2,FALSE),"Hier vult u de inzet van eventuele hoogwerkers in")</calculatedColumnFormula>
    </tableColumn>
    <tableColumn id="5" xr3:uid="{2385C876-CAFD-498B-88CB-FAC1920E9AC9}" name="Oppervlakte of dagen" dataDxfId="125" totalsRowDxfId="124"/>
    <tableColumn id="7" xr3:uid="{9B5127A0-C186-40C0-B114-05543DE85038}" name="Frequentie" dataDxfId="123" totalsRowDxfId="122"/>
    <tableColumn id="8" xr3:uid="{A47B75FF-74DA-420F-8AF4-9D8F4890BC03}" name="Kosten/jaar excl. BTW" totalsRowFunction="sum" dataDxfId="121" totalsRowDxfId="120">
      <calculatedColumnFormula>IF(C24&gt;0,VLOOKUP(OverzichtGlas[[#This Row],[Code taak]],InvulGlas[],3,0)*E24*F24,0)</calculatedColumnFormula>
    </tableColumn>
    <tableColumn id="9" xr3:uid="{BDA3176A-4326-4268-86F8-334144D9FA7C}" name="Kosten/jaar incl. BTW" totalsRowFunction="sum" dataDxfId="119" totalsRowDxfId="118">
      <calculatedColumnFormula>OverzichtGlas[[#This Row],[Kosten/jaar excl. BTW]]*1.21</calculatedColumnFormula>
    </tableColumn>
    <tableColumn id="10" xr3:uid="{F9422D18-0501-41CA-8BE2-B40DB06D1811}" name="Kolom1" dataDxfId="117" totalsRowDxfId="1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FE7C-60F3-4BE5-9892-C66C6270CEFE}">
  <dimension ref="A1:R6"/>
  <sheetViews>
    <sheetView workbookViewId="0">
      <selection activeCell="H20" sqref="H20"/>
    </sheetView>
  </sheetViews>
  <sheetFormatPr defaultRowHeight="12.75"/>
  <cols>
    <col min="1" max="1" width="6" style="166" customWidth="1"/>
    <col min="2" max="2" width="11.5703125" style="166" customWidth="1"/>
    <col min="3" max="3" width="13.85546875" style="166" customWidth="1"/>
    <col min="4" max="4" width="14.7109375" style="166" bestFit="1" customWidth="1"/>
    <col min="5" max="5" width="15.42578125" style="166" bestFit="1" customWidth="1"/>
    <col min="6" max="6" width="14" style="166" bestFit="1" customWidth="1"/>
    <col min="7" max="7" width="10.42578125" style="300" bestFit="1" customWidth="1"/>
    <col min="8" max="8" width="27.85546875" style="166" bestFit="1" customWidth="1"/>
    <col min="9" max="9" width="13" style="300" customWidth="1"/>
    <col min="10" max="10" width="13.7109375" style="300" customWidth="1"/>
    <col min="11" max="11" width="9" style="166" bestFit="1" customWidth="1"/>
    <col min="12" max="12" width="12.28515625" style="166" bestFit="1" customWidth="1"/>
    <col min="13" max="13" width="10.7109375" style="166" customWidth="1"/>
    <col min="14" max="14" width="11.7109375" style="166" customWidth="1"/>
    <col min="15" max="15" width="14.140625" style="166" bestFit="1" customWidth="1"/>
    <col min="16" max="16" width="17.7109375" style="166" customWidth="1"/>
    <col min="17" max="17" width="15.85546875" style="300" bestFit="1" customWidth="1"/>
    <col min="18" max="18" width="22.28515625" style="166" bestFit="1" customWidth="1"/>
  </cols>
  <sheetData>
    <row r="1" spans="1:18" ht="45">
      <c r="A1" s="291"/>
      <c r="B1" s="205" t="s">
        <v>599</v>
      </c>
      <c r="C1" s="205" t="s">
        <v>600</v>
      </c>
      <c r="D1" s="205" t="s">
        <v>601</v>
      </c>
      <c r="E1" s="205" t="s">
        <v>602</v>
      </c>
      <c r="F1" s="205" t="s">
        <v>603</v>
      </c>
      <c r="G1" s="205" t="s">
        <v>604</v>
      </c>
      <c r="H1" s="205" t="s">
        <v>223</v>
      </c>
      <c r="I1" s="205" t="s">
        <v>605</v>
      </c>
      <c r="J1" s="205" t="s">
        <v>606</v>
      </c>
      <c r="K1" s="205" t="s">
        <v>607</v>
      </c>
      <c r="L1" s="205" t="s">
        <v>608</v>
      </c>
      <c r="M1" s="205" t="s">
        <v>609</v>
      </c>
      <c r="N1" s="205" t="s">
        <v>610</v>
      </c>
      <c r="O1" s="205" t="s">
        <v>611</v>
      </c>
      <c r="P1" s="205" t="s">
        <v>612</v>
      </c>
      <c r="Q1" s="205" t="s">
        <v>613</v>
      </c>
      <c r="R1" s="205" t="s">
        <v>149</v>
      </c>
    </row>
    <row r="2" spans="1:18">
      <c r="A2" s="292">
        <v>1</v>
      </c>
      <c r="B2" s="293"/>
      <c r="C2" s="293">
        <v>43466</v>
      </c>
      <c r="D2" s="293"/>
      <c r="E2" s="294"/>
      <c r="F2" s="295">
        <v>20</v>
      </c>
      <c r="G2" s="296"/>
      <c r="H2" s="294" t="s">
        <v>701</v>
      </c>
      <c r="I2" s="296"/>
      <c r="J2" s="296"/>
      <c r="K2" s="297"/>
      <c r="L2" s="298"/>
      <c r="M2" s="294"/>
      <c r="N2" s="294"/>
      <c r="O2" s="296"/>
      <c r="P2" s="296"/>
      <c r="Q2" s="296"/>
      <c r="R2" s="294" t="s">
        <v>442</v>
      </c>
    </row>
    <row r="3" spans="1:18">
      <c r="A3" s="292">
        <v>2</v>
      </c>
      <c r="B3" s="293"/>
      <c r="C3" s="293">
        <v>43466</v>
      </c>
      <c r="D3" s="293"/>
      <c r="E3" s="294"/>
      <c r="F3" s="295">
        <v>17.5</v>
      </c>
      <c r="G3" s="296"/>
      <c r="H3" s="294" t="s">
        <v>702</v>
      </c>
      <c r="I3" s="296"/>
      <c r="J3" s="296"/>
      <c r="K3" s="297"/>
      <c r="L3" s="298"/>
      <c r="M3" s="294"/>
      <c r="N3" s="294"/>
      <c r="O3" s="296"/>
      <c r="P3" s="296"/>
      <c r="Q3" s="296"/>
      <c r="R3" s="294" t="s">
        <v>442</v>
      </c>
    </row>
    <row r="4" spans="1:18">
      <c r="A4" s="292">
        <v>3</v>
      </c>
      <c r="B4" s="293"/>
      <c r="C4" s="293">
        <v>43466</v>
      </c>
      <c r="D4" s="293"/>
      <c r="E4" s="294"/>
      <c r="F4" s="295">
        <v>17.5</v>
      </c>
      <c r="G4" s="296"/>
      <c r="H4" s="294" t="s">
        <v>702</v>
      </c>
      <c r="I4" s="296"/>
      <c r="J4" s="296"/>
      <c r="K4" s="297"/>
      <c r="L4" s="299"/>
      <c r="M4" s="294"/>
      <c r="N4" s="294"/>
      <c r="O4" s="296"/>
      <c r="P4" s="296"/>
      <c r="Q4" s="296"/>
      <c r="R4" s="294" t="s">
        <v>442</v>
      </c>
    </row>
    <row r="5" spans="1:18">
      <c r="A5" s="292">
        <v>4</v>
      </c>
      <c r="B5" s="293"/>
      <c r="C5" s="293">
        <v>43466</v>
      </c>
      <c r="D5" s="293"/>
      <c r="E5" s="294"/>
      <c r="F5" s="295">
        <v>17.5</v>
      </c>
      <c r="G5" s="296"/>
      <c r="H5" s="294" t="s">
        <v>702</v>
      </c>
      <c r="I5" s="296"/>
      <c r="J5" s="296"/>
      <c r="K5" s="297"/>
      <c r="L5" s="299"/>
      <c r="M5" s="294"/>
      <c r="N5" s="294"/>
      <c r="O5" s="296"/>
      <c r="P5" s="296"/>
      <c r="Q5" s="296"/>
      <c r="R5" s="294" t="s">
        <v>442</v>
      </c>
    </row>
    <row r="6" spans="1:18">
      <c r="A6" s="292">
        <v>5</v>
      </c>
      <c r="B6" s="293"/>
      <c r="C6" s="293">
        <v>43466</v>
      </c>
      <c r="D6" s="293"/>
      <c r="E6" s="294"/>
      <c r="F6" s="295">
        <v>17.5</v>
      </c>
      <c r="G6" s="296"/>
      <c r="H6" s="294" t="s">
        <v>702</v>
      </c>
      <c r="I6" s="296"/>
      <c r="J6" s="296"/>
      <c r="K6" s="297"/>
      <c r="L6" s="299"/>
      <c r="M6" s="294"/>
      <c r="N6" s="294"/>
      <c r="O6" s="296"/>
      <c r="P6" s="296"/>
      <c r="Q6" s="296"/>
      <c r="R6" s="294" t="s">
        <v>442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7"/>
  <sheetViews>
    <sheetView showGridLines="0" zoomScaleNormal="100" zoomScaleSheetLayoutView="100" workbookViewId="0">
      <selection activeCell="C20" sqref="C20"/>
    </sheetView>
  </sheetViews>
  <sheetFormatPr defaultColWidth="9.140625" defaultRowHeight="15" customHeight="1"/>
  <cols>
    <col min="1" max="1" width="9.42578125" style="4" customWidth="1"/>
    <col min="2" max="2" width="37.140625" style="4" bestFit="1" customWidth="1"/>
    <col min="3" max="3" width="13" style="4" customWidth="1"/>
    <col min="4" max="4" width="38.140625" style="33" bestFit="1" customWidth="1"/>
    <col min="5" max="5" width="16.7109375" style="4" customWidth="1"/>
    <col min="6" max="6" width="17.7109375" style="190" bestFit="1" customWidth="1"/>
    <col min="7" max="7" width="20.28515625" style="4" bestFit="1" customWidth="1"/>
    <col min="8" max="8" width="18" style="146" bestFit="1" customWidth="1"/>
    <col min="9" max="10" width="17.7109375" style="4" bestFit="1" customWidth="1"/>
    <col min="11" max="16384" width="9.140625" style="4"/>
  </cols>
  <sheetData>
    <row r="1" spans="1:11" s="7" customFormat="1" ht="22.5" customHeight="1">
      <c r="A1" s="395" t="s">
        <v>177</v>
      </c>
      <c r="B1" s="395"/>
      <c r="C1" s="395"/>
      <c r="D1" s="395"/>
      <c r="E1" s="395"/>
      <c r="F1" s="395"/>
      <c r="G1" s="395"/>
      <c r="H1" s="395"/>
      <c r="I1" s="73"/>
    </row>
    <row r="2" spans="1:11" s="7" customFormat="1" ht="15" customHeight="1">
      <c r="A2" s="409" t="s">
        <v>217</v>
      </c>
      <c r="B2" s="394"/>
      <c r="C2" s="394"/>
      <c r="D2" s="394"/>
      <c r="E2" s="394"/>
      <c r="F2" s="394"/>
      <c r="G2" s="394"/>
      <c r="H2" s="407"/>
    </row>
    <row r="3" spans="1:11" ht="15" customHeight="1">
      <c r="B3" s="33"/>
      <c r="D3" s="4"/>
    </row>
    <row r="4" spans="1:11" ht="15" customHeight="1">
      <c r="A4" s="4" t="s">
        <v>178</v>
      </c>
      <c r="B4" s="33"/>
      <c r="D4" s="4"/>
    </row>
    <row r="5" spans="1:11" ht="15" customHeight="1">
      <c r="A5" s="4" t="s">
        <v>242</v>
      </c>
      <c r="B5" s="33"/>
      <c r="D5" s="4"/>
    </row>
    <row r="6" spans="1:11" ht="15" customHeight="1">
      <c r="A6" s="4" t="s">
        <v>199</v>
      </c>
      <c r="B6" s="33"/>
      <c r="D6" s="4"/>
    </row>
    <row r="7" spans="1:11" ht="15" customHeight="1">
      <c r="A7" s="24"/>
      <c r="B7" s="35"/>
      <c r="C7" s="35"/>
      <c r="D7" s="26"/>
      <c r="E7" s="26"/>
      <c r="F7" s="188"/>
      <c r="G7" s="36"/>
      <c r="H7" s="147"/>
    </row>
    <row r="8" spans="1:11" s="31" customFormat="1" ht="26.25" customHeight="1">
      <c r="A8" s="54" t="s">
        <v>215</v>
      </c>
      <c r="B8" s="55" t="s">
        <v>182</v>
      </c>
      <c r="C8" s="54" t="s">
        <v>151</v>
      </c>
      <c r="D8" s="54" t="s">
        <v>210</v>
      </c>
      <c r="E8" s="56" t="s">
        <v>179</v>
      </c>
      <c r="F8" s="224" t="s">
        <v>248</v>
      </c>
      <c r="G8" s="224" t="s">
        <v>250</v>
      </c>
      <c r="H8" s="224" t="s">
        <v>249</v>
      </c>
      <c r="I8" s="224" t="s">
        <v>247</v>
      </c>
      <c r="J8" s="224" t="s">
        <v>260</v>
      </c>
    </row>
    <row r="9" spans="1:11" ht="15" customHeight="1">
      <c r="A9" s="283">
        <v>1</v>
      </c>
      <c r="B9" s="282" t="s">
        <v>615</v>
      </c>
      <c r="C9" s="184" t="s">
        <v>44</v>
      </c>
      <c r="D9" s="184"/>
      <c r="E9" s="59">
        <v>0</v>
      </c>
      <c r="F9" s="225" t="e">
        <f>InvulExtra[[#This Row],[Prijs
Excl. BTW]]*Tariefsopbouw!$I$37+InvulExtra[[#This Row],[Prijs
Excl. BTW]]</f>
        <v>#DIV/0!</v>
      </c>
      <c r="G9" s="225" t="e">
        <f>InvulExtra[[#This Row],[2024]]*Tariefsopbouw!$K$37+InvulExtra[[#This Row],[2024]]</f>
        <v>#DIV/0!</v>
      </c>
      <c r="H9" s="225" t="e">
        <f>InvulExtra[[#This Row],[2025]]*Tariefsopbouw!$M$37+InvulExtra[[#This Row],[2025]]</f>
        <v>#DIV/0!</v>
      </c>
      <c r="I9" s="225" t="e">
        <f>InvulExtra[[#This Row],[2026]]*Tariefsopbouw!$O$37+InvulExtra[[#This Row],[2026]]</f>
        <v>#DIV/0!</v>
      </c>
      <c r="J9" s="225" t="e">
        <f>InvulExtra[[#This Row],[2027]]*Tariefsopbouw!$Q$37+InvulExtra[[#This Row],[2027]]</f>
        <v>#DIV/0!</v>
      </c>
    </row>
    <row r="10" spans="1:11" ht="15" customHeight="1">
      <c r="A10" s="283">
        <v>2</v>
      </c>
      <c r="B10" s="184" t="s">
        <v>616</v>
      </c>
      <c r="C10" s="184" t="s">
        <v>617</v>
      </c>
      <c r="D10" s="184"/>
      <c r="E10" s="305">
        <f>Tariefsopbouw!$E$35</f>
        <v>0</v>
      </c>
      <c r="F10" s="225" t="e">
        <f>InvulExtra[[#This Row],[Prijs
Excl. BTW]]*Tariefsopbouw!$I$37+InvulExtra[[#This Row],[Prijs
Excl. BTW]]</f>
        <v>#DIV/0!</v>
      </c>
      <c r="G10" s="225" t="e">
        <f>InvulExtra[[#This Row],[2024]]*Tariefsopbouw!$K$37+InvulExtra[[#This Row],[2024]]</f>
        <v>#DIV/0!</v>
      </c>
      <c r="H10" s="225" t="e">
        <f>InvulExtra[[#This Row],[2025]]*Tariefsopbouw!$M$37+InvulExtra[[#This Row],[2025]]</f>
        <v>#DIV/0!</v>
      </c>
      <c r="I10" s="225" t="e">
        <f>InvulExtra[[#This Row],[2026]]*Tariefsopbouw!$O$37+InvulExtra[[#This Row],[2026]]</f>
        <v>#DIV/0!</v>
      </c>
      <c r="J10" s="225" t="e">
        <f>InvulExtra[[#This Row],[2027]]*Tariefsopbouw!$Q$37+InvulExtra[[#This Row],[2027]]</f>
        <v>#DIV/0!</v>
      </c>
    </row>
    <row r="11" spans="1:11" ht="15" customHeight="1">
      <c r="B11" s="27"/>
      <c r="C11" s="27"/>
      <c r="D11" s="24"/>
      <c r="E11" s="38"/>
      <c r="F11" s="188"/>
      <c r="G11" s="37"/>
      <c r="H11" s="148"/>
      <c r="I11" s="38"/>
    </row>
    <row r="12" spans="1:11" ht="15" customHeight="1">
      <c r="B12" s="25"/>
      <c r="C12" s="30"/>
      <c r="D12" s="30"/>
      <c r="K12" s="39"/>
    </row>
    <row r="13" spans="1:11" s="32" customFormat="1" ht="26.25" customHeight="1">
      <c r="A13" s="150" t="s">
        <v>214</v>
      </c>
      <c r="B13" s="54" t="s">
        <v>149</v>
      </c>
      <c r="C13" s="54" t="s">
        <v>215</v>
      </c>
      <c r="D13" s="66" t="s">
        <v>182</v>
      </c>
      <c r="E13" s="66" t="s">
        <v>151</v>
      </c>
      <c r="F13" s="304" t="s">
        <v>618</v>
      </c>
      <c r="G13" s="304" t="s">
        <v>238</v>
      </c>
      <c r="H13" s="149" t="s">
        <v>150</v>
      </c>
      <c r="K13" s="40"/>
    </row>
    <row r="14" spans="1:11" ht="15" customHeight="1">
      <c r="A14" s="231">
        <v>1</v>
      </c>
      <c r="B14" s="184" t="str">
        <f>VLOOKUP(OverzichtExtra[[#This Row],[Code Locatie]],Locaties[],2,0)</f>
        <v>Hoornbeeck College Gouda</v>
      </c>
      <c r="C14" s="231">
        <v>1</v>
      </c>
      <c r="D14" s="251" t="str">
        <f>IF('Extra werkzaamheden'!$C14&gt;0,VLOOKUP('Extra werkzaamheden'!$C14,$A$8:$B$10,2,0),"")</f>
        <v>Dieptereiniging afzuigkappen</v>
      </c>
      <c r="E14" s="193" t="str">
        <f>VLOOKUP(OverzichtExtra[[#This Row],[Code Taak]],InvulExtra[#All],3,0)</f>
        <v>prijs per stuk</v>
      </c>
      <c r="F14" s="301">
        <v>8</v>
      </c>
      <c r="G14" s="302">
        <v>1</v>
      </c>
      <c r="H14" s="233">
        <f>IF(G14&gt;0,VLOOKUP(OverzichtExtra[[#This Row],[Code Taak]],InvulExtra[],5,2)*F14*G14,0)</f>
        <v>0</v>
      </c>
      <c r="K14" s="39"/>
    </row>
    <row r="15" spans="1:11" ht="15" customHeight="1">
      <c r="A15" s="231">
        <v>1</v>
      </c>
      <c r="B15" s="184" t="str">
        <f>VLOOKUP(OverzichtExtra[[#This Row],[Code Locatie]],Locaties[],2,0)</f>
        <v>Hoornbeeck College Gouda</v>
      </c>
      <c r="C15" s="231">
        <v>2</v>
      </c>
      <c r="D15" s="251" t="str">
        <f>IF('Extra werkzaamheden'!$C15&gt;0,VLOOKUP('Extra werkzaamheden'!$C15,$A$8:$B$10,2,0),"")</f>
        <v>Vervanging eigendienst medewerkers*</v>
      </c>
      <c r="E15" s="193" t="str">
        <f>VLOOKUP(OverzichtExtra[[#This Row],[Code Taak]],InvulExtra[#All],3,0)</f>
        <v>prijs per uur</v>
      </c>
      <c r="F15" s="301">
        <v>2</v>
      </c>
      <c r="G15" s="302">
        <v>40</v>
      </c>
      <c r="H15" s="233">
        <f>IF(G15&gt;0,VLOOKUP(OverzichtExtra[[#This Row],[Code Taak]],InvulExtra[],5,2)*F15*G15,0)</f>
        <v>0</v>
      </c>
      <c r="K15" s="39"/>
    </row>
    <row r="16" spans="1:11" ht="15" customHeight="1">
      <c r="A16" s="278"/>
      <c r="B16" s="279" t="s">
        <v>33</v>
      </c>
      <c r="C16" s="278"/>
      <c r="D16" s="280"/>
      <c r="E16" s="278"/>
      <c r="F16" s="303"/>
      <c r="G16" s="278"/>
      <c r="H16" s="281">
        <f>SUBTOTAL(109,OverzichtExtra[Kosten/jaar excl. BTW])</f>
        <v>0</v>
      </c>
    </row>
    <row r="17" spans="1:4" ht="15" customHeight="1">
      <c r="C17" s="33"/>
      <c r="D17" s="4"/>
    </row>
    <row r="18" spans="1:4" ht="15" customHeight="1">
      <c r="A18" s="4" t="s">
        <v>619</v>
      </c>
      <c r="B18" s="4" t="s">
        <v>620</v>
      </c>
      <c r="C18" s="33"/>
      <c r="D18" s="4"/>
    </row>
    <row r="19" spans="1:4" ht="15" customHeight="1">
      <c r="C19" s="33"/>
      <c r="D19" s="4"/>
    </row>
    <row r="20" spans="1:4" ht="15" customHeight="1">
      <c r="C20" s="33"/>
      <c r="D20" s="4"/>
    </row>
    <row r="21" spans="1:4" ht="15" customHeight="1">
      <c r="C21" s="33"/>
      <c r="D21" s="4"/>
    </row>
    <row r="22" spans="1:4" ht="15" customHeight="1">
      <c r="C22" s="33"/>
      <c r="D22" s="4"/>
    </row>
    <row r="23" spans="1:4" ht="15" customHeight="1">
      <c r="C23" s="33"/>
      <c r="D23" s="4"/>
    </row>
    <row r="24" spans="1:4" ht="15" customHeight="1">
      <c r="C24" s="33"/>
      <c r="D24" s="4"/>
    </row>
    <row r="25" spans="1:4" ht="15" customHeight="1">
      <c r="C25" s="33"/>
      <c r="D25" s="4"/>
    </row>
    <row r="26" spans="1:4" ht="15" customHeight="1">
      <c r="C26" s="33"/>
      <c r="D26" s="4"/>
    </row>
    <row r="27" spans="1:4" ht="15" customHeight="1">
      <c r="C27" s="33"/>
      <c r="D27" s="4"/>
    </row>
    <row r="28" spans="1:4" ht="15" customHeight="1">
      <c r="C28" s="33"/>
      <c r="D28" s="4"/>
    </row>
    <row r="29" spans="1:4" ht="15" customHeight="1">
      <c r="C29" s="33"/>
      <c r="D29" s="4"/>
    </row>
    <row r="30" spans="1:4" ht="15" customHeight="1">
      <c r="C30" s="33"/>
      <c r="D30" s="4"/>
    </row>
    <row r="31" spans="1:4" ht="15" customHeight="1">
      <c r="C31" s="33"/>
      <c r="D31" s="4"/>
    </row>
    <row r="32" spans="1:4" ht="15" customHeight="1">
      <c r="C32" s="33"/>
      <c r="D32" s="4"/>
    </row>
    <row r="33" spans="3:4" ht="15" customHeight="1">
      <c r="C33" s="33"/>
      <c r="D33" s="4"/>
    </row>
    <row r="34" spans="3:4" ht="15" customHeight="1">
      <c r="C34" s="33"/>
      <c r="D34" s="4"/>
    </row>
    <row r="35" spans="3:4" ht="15" customHeight="1">
      <c r="C35" s="33"/>
      <c r="D35" s="4"/>
    </row>
    <row r="36" spans="3:4" ht="15" customHeight="1">
      <c r="C36" s="33"/>
      <c r="D36" s="4"/>
    </row>
    <row r="37" spans="3:4" ht="15" customHeight="1">
      <c r="C37" s="33"/>
      <c r="D37" s="4"/>
    </row>
    <row r="38" spans="3:4" ht="15" customHeight="1">
      <c r="C38" s="33"/>
      <c r="D38" s="4"/>
    </row>
    <row r="39" spans="3:4" ht="15" customHeight="1">
      <c r="C39" s="33"/>
      <c r="D39" s="4"/>
    </row>
    <row r="40" spans="3:4" ht="15" customHeight="1">
      <c r="C40" s="33"/>
      <c r="D40" s="4"/>
    </row>
    <row r="41" spans="3:4" ht="15" customHeight="1">
      <c r="C41" s="33"/>
      <c r="D41" s="4"/>
    </row>
    <row r="42" spans="3:4" ht="15" customHeight="1">
      <c r="C42" s="33"/>
      <c r="D42" s="4"/>
    </row>
    <row r="43" spans="3:4" ht="15" customHeight="1">
      <c r="C43" s="33"/>
      <c r="D43" s="4"/>
    </row>
    <row r="44" spans="3:4" ht="15" customHeight="1">
      <c r="C44" s="33"/>
      <c r="D44" s="4"/>
    </row>
    <row r="45" spans="3:4" ht="15" customHeight="1">
      <c r="C45" s="33"/>
      <c r="D45" s="4"/>
    </row>
    <row r="46" spans="3:4" ht="15" customHeight="1">
      <c r="C46" s="33"/>
      <c r="D46" s="4"/>
    </row>
    <row r="47" spans="3:4" ht="15" customHeight="1">
      <c r="C47" s="33"/>
      <c r="D47" s="4"/>
    </row>
    <row r="48" spans="3:4" ht="15" customHeight="1">
      <c r="C48" s="33"/>
      <c r="D48" s="4"/>
    </row>
    <row r="49" spans="3:4" ht="15" customHeight="1">
      <c r="C49" s="33"/>
      <c r="D49" s="4"/>
    </row>
    <row r="50" spans="3:4" ht="15" customHeight="1">
      <c r="C50" s="33"/>
      <c r="D50" s="4"/>
    </row>
    <row r="51" spans="3:4" ht="15" customHeight="1">
      <c r="C51" s="33"/>
      <c r="D51" s="4"/>
    </row>
    <row r="52" spans="3:4" ht="15" customHeight="1">
      <c r="C52" s="33"/>
      <c r="D52" s="4"/>
    </row>
    <row r="53" spans="3:4" ht="15" customHeight="1">
      <c r="C53" s="33"/>
      <c r="D53" s="4"/>
    </row>
    <row r="54" spans="3:4" ht="15" customHeight="1">
      <c r="C54" s="33"/>
      <c r="D54" s="4"/>
    </row>
    <row r="55" spans="3:4" ht="15" customHeight="1">
      <c r="C55" s="33"/>
      <c r="D55" s="4"/>
    </row>
    <row r="56" spans="3:4" ht="15" customHeight="1">
      <c r="C56" s="33"/>
      <c r="D56" s="4"/>
    </row>
    <row r="57" spans="3:4" ht="15" customHeight="1">
      <c r="C57" s="33"/>
      <c r="D57" s="4"/>
    </row>
    <row r="58" spans="3:4" ht="15" customHeight="1">
      <c r="C58" s="33"/>
      <c r="D58" s="4"/>
    </row>
    <row r="59" spans="3:4" ht="15" customHeight="1">
      <c r="C59" s="33"/>
      <c r="D59" s="4"/>
    </row>
    <row r="60" spans="3:4" ht="15" customHeight="1">
      <c r="C60" s="33"/>
      <c r="D60" s="4"/>
    </row>
    <row r="61" spans="3:4" ht="15" customHeight="1">
      <c r="C61" s="33"/>
      <c r="D61" s="4"/>
    </row>
    <row r="62" spans="3:4" ht="15" customHeight="1">
      <c r="C62" s="33"/>
      <c r="D62" s="4"/>
    </row>
    <row r="63" spans="3:4" ht="15" customHeight="1">
      <c r="C63" s="33"/>
      <c r="D63" s="4"/>
    </row>
    <row r="64" spans="3:4" ht="15" customHeight="1">
      <c r="C64" s="33"/>
      <c r="D64" s="4"/>
    </row>
    <row r="65" spans="3:4" ht="15" customHeight="1">
      <c r="C65" s="33"/>
      <c r="D65" s="4"/>
    </row>
    <row r="66" spans="3:4" ht="15" customHeight="1">
      <c r="C66" s="33"/>
      <c r="D66" s="4"/>
    </row>
    <row r="67" spans="3:4" ht="15" customHeight="1">
      <c r="C67" s="33"/>
      <c r="D67" s="4"/>
    </row>
    <row r="68" spans="3:4" ht="15" customHeight="1">
      <c r="C68" s="33"/>
      <c r="D68" s="4"/>
    </row>
    <row r="69" spans="3:4" ht="15" customHeight="1">
      <c r="C69" s="33"/>
      <c r="D69" s="4"/>
    </row>
    <row r="70" spans="3:4" ht="15" customHeight="1">
      <c r="C70" s="33"/>
      <c r="D70" s="4"/>
    </row>
    <row r="71" spans="3:4" ht="15" customHeight="1">
      <c r="C71" s="33"/>
      <c r="D71" s="4"/>
    </row>
    <row r="72" spans="3:4" ht="15" customHeight="1">
      <c r="C72" s="33"/>
      <c r="D72" s="4"/>
    </row>
    <row r="73" spans="3:4" ht="15" customHeight="1">
      <c r="C73" s="33"/>
      <c r="D73" s="4"/>
    </row>
    <row r="74" spans="3:4" ht="15" customHeight="1">
      <c r="C74" s="33"/>
      <c r="D74" s="4"/>
    </row>
    <row r="75" spans="3:4" ht="15" customHeight="1">
      <c r="C75" s="33"/>
      <c r="D75" s="4"/>
    </row>
    <row r="76" spans="3:4" ht="15" customHeight="1">
      <c r="C76" s="33"/>
      <c r="D76" s="4"/>
    </row>
    <row r="77" spans="3:4" ht="15" customHeight="1">
      <c r="C77" s="33"/>
      <c r="D77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A488-91EF-47FF-9DBA-C68FC1051E69}">
  <sheetPr>
    <tabColor theme="0" tint="-0.14999847407452621"/>
  </sheetPr>
  <dimension ref="A1:L34"/>
  <sheetViews>
    <sheetView workbookViewId="0">
      <selection activeCell="D25" sqref="D25"/>
    </sheetView>
  </sheetViews>
  <sheetFormatPr defaultColWidth="9.140625" defaultRowHeight="11.25"/>
  <cols>
    <col min="1" max="1" width="30.85546875" style="4" bestFit="1" customWidth="1"/>
    <col min="2" max="2" width="10.85546875" style="4" customWidth="1"/>
    <col min="3" max="3" width="12" style="4" customWidth="1"/>
    <col min="4" max="4" width="31.7109375" style="4" bestFit="1" customWidth="1"/>
    <col min="5" max="5" width="13.42578125" style="33" bestFit="1" customWidth="1"/>
    <col min="6" max="6" width="13" style="4" customWidth="1"/>
    <col min="7" max="7" width="10.5703125" style="146" customWidth="1"/>
    <col min="8" max="9" width="14.7109375" style="4" customWidth="1"/>
    <col min="10" max="10" width="13.5703125" style="4" bestFit="1" customWidth="1"/>
    <col min="11" max="11" width="10.28515625" style="4" bestFit="1" customWidth="1"/>
    <col min="12" max="16384" width="9.140625" style="4"/>
  </cols>
  <sheetData>
    <row r="1" spans="1:12" s="204" customFormat="1" ht="22.5" customHeight="1">
      <c r="A1" s="410" t="s">
        <v>703</v>
      </c>
      <c r="B1" s="410"/>
      <c r="C1" s="410"/>
      <c r="D1" s="410"/>
      <c r="E1" s="410"/>
      <c r="F1" s="410"/>
      <c r="G1" s="410"/>
      <c r="H1" s="253"/>
      <c r="I1" s="253"/>
      <c r="J1" s="253"/>
    </row>
    <row r="2" spans="1:12" s="204" customFormat="1" ht="15" customHeight="1">
      <c r="A2" s="409" t="s">
        <v>217</v>
      </c>
      <c r="B2" s="394"/>
      <c r="C2" s="394"/>
      <c r="D2" s="394"/>
      <c r="E2" s="394"/>
      <c r="F2" s="394"/>
      <c r="G2" s="407"/>
    </row>
    <row r="3" spans="1:12" ht="15" customHeight="1">
      <c r="B3" s="33"/>
      <c r="C3" s="33"/>
      <c r="E3" s="4"/>
    </row>
    <row r="4" spans="1:12" ht="27" customHeight="1">
      <c r="A4" s="307" t="s">
        <v>135</v>
      </c>
      <c r="B4" s="308" t="s">
        <v>705</v>
      </c>
      <c r="C4" s="308" t="s">
        <v>706</v>
      </c>
      <c r="D4" s="308" t="s">
        <v>707</v>
      </c>
      <c r="E4" s="308" t="s">
        <v>708</v>
      </c>
      <c r="F4" s="309" t="s">
        <v>709</v>
      </c>
      <c r="G4" s="308" t="s">
        <v>710</v>
      </c>
      <c r="H4" s="309" t="s">
        <v>711</v>
      </c>
      <c r="I4" s="310" t="s">
        <v>712</v>
      </c>
      <c r="J4" s="310" t="s">
        <v>713</v>
      </c>
      <c r="K4" s="310" t="s">
        <v>714</v>
      </c>
      <c r="L4" s="311"/>
    </row>
    <row r="5" spans="1:12" ht="12.75">
      <c r="A5" s="312" t="s">
        <v>439</v>
      </c>
      <c r="B5" s="313">
        <v>1556815</v>
      </c>
      <c r="C5" s="313" t="s">
        <v>717</v>
      </c>
      <c r="D5" s="313" t="s">
        <v>760</v>
      </c>
      <c r="E5" s="313" t="s">
        <v>761</v>
      </c>
      <c r="F5" s="313">
        <v>2</v>
      </c>
      <c r="G5" s="313" t="s">
        <v>718</v>
      </c>
      <c r="H5" s="314">
        <v>0</v>
      </c>
      <c r="I5" s="315">
        <f>Tabel12[[#This Row],[Afname Hoeveelheid]]*Tabel12[[#This Row],[prijs per eenheid bruto]]</f>
        <v>0</v>
      </c>
      <c r="J5" s="316">
        <v>0</v>
      </c>
      <c r="K5" s="317">
        <f>Tabel12[[#This Row],[Totaal kosten excl korting]]*(1-Tabel12[[#This Row],[Kortings percentage]])</f>
        <v>0</v>
      </c>
      <c r="L5" s="311"/>
    </row>
    <row r="6" spans="1:12" ht="12.75">
      <c r="A6" s="312" t="s">
        <v>439</v>
      </c>
      <c r="B6" s="313">
        <v>1512000</v>
      </c>
      <c r="C6" s="313" t="s">
        <v>717</v>
      </c>
      <c r="D6" s="313" t="s">
        <v>730</v>
      </c>
      <c r="E6" s="313" t="s">
        <v>731</v>
      </c>
      <c r="F6" s="313">
        <v>1</v>
      </c>
      <c r="G6" s="313" t="s">
        <v>726</v>
      </c>
      <c r="H6" s="314">
        <v>0</v>
      </c>
      <c r="I6" s="315">
        <f>Tabel12[[#This Row],[Afname Hoeveelheid]]*Tabel12[[#This Row],[prijs per eenheid bruto]]</f>
        <v>0</v>
      </c>
      <c r="J6" s="316">
        <v>0</v>
      </c>
      <c r="K6" s="317">
        <f>Tabel12[[#This Row],[Totaal kosten excl korting]]*(1-Tabel12[[#This Row],[Kortings percentage]])</f>
        <v>0</v>
      </c>
      <c r="L6" s="311"/>
    </row>
    <row r="7" spans="1:12" ht="12.75">
      <c r="A7" s="312" t="s">
        <v>439</v>
      </c>
      <c r="B7" s="313">
        <v>1557200</v>
      </c>
      <c r="C7" s="313" t="s">
        <v>717</v>
      </c>
      <c r="D7" s="313" t="s">
        <v>762</v>
      </c>
      <c r="E7" s="313" t="s">
        <v>763</v>
      </c>
      <c r="F7" s="313">
        <v>3</v>
      </c>
      <c r="G7" s="313" t="s">
        <v>718</v>
      </c>
      <c r="H7" s="314">
        <v>0</v>
      </c>
      <c r="I7" s="315">
        <f>Tabel12[[#This Row],[Afname Hoeveelheid]]*Tabel12[[#This Row],[prijs per eenheid bruto]]</f>
        <v>0</v>
      </c>
      <c r="J7" s="316">
        <v>0</v>
      </c>
      <c r="K7" s="317">
        <f>Tabel12[[#This Row],[Totaal kosten excl korting]]*(1-Tabel12[[#This Row],[Kortings percentage]])</f>
        <v>0</v>
      </c>
      <c r="L7" s="311"/>
    </row>
    <row r="8" spans="1:12" ht="12.75">
      <c r="A8" s="312" t="s">
        <v>439</v>
      </c>
      <c r="B8" s="313">
        <v>1200605</v>
      </c>
      <c r="C8" s="313" t="s">
        <v>724</v>
      </c>
      <c r="D8" s="313" t="s">
        <v>764</v>
      </c>
      <c r="E8" s="313" t="s">
        <v>765</v>
      </c>
      <c r="F8" s="313">
        <v>4</v>
      </c>
      <c r="G8" s="313" t="s">
        <v>722</v>
      </c>
      <c r="H8" s="314">
        <v>0</v>
      </c>
      <c r="I8" s="315">
        <f>Tabel12[[#This Row],[Afname Hoeveelheid]]*Tabel12[[#This Row],[prijs per eenheid bruto]]</f>
        <v>0</v>
      </c>
      <c r="J8" s="316">
        <v>0</v>
      </c>
      <c r="K8" s="317">
        <f>Tabel12[[#This Row],[Totaal kosten excl korting]]*(1-Tabel12[[#This Row],[Kortings percentage]])</f>
        <v>0</v>
      </c>
      <c r="L8" s="311"/>
    </row>
    <row r="9" spans="1:12" ht="12.75">
      <c r="A9" s="312" t="s">
        <v>439</v>
      </c>
      <c r="B9" s="313">
        <v>627927</v>
      </c>
      <c r="C9" s="313" t="s">
        <v>717</v>
      </c>
      <c r="D9" s="313" t="s">
        <v>766</v>
      </c>
      <c r="E9" s="313" t="s">
        <v>735</v>
      </c>
      <c r="F9" s="313">
        <v>1</v>
      </c>
      <c r="G9" s="313" t="s">
        <v>726</v>
      </c>
      <c r="H9" s="314">
        <v>0</v>
      </c>
      <c r="I9" s="315">
        <f>Tabel12[[#This Row],[Afname Hoeveelheid]]*Tabel12[[#This Row],[prijs per eenheid bruto]]</f>
        <v>0</v>
      </c>
      <c r="J9" s="316">
        <v>0</v>
      </c>
      <c r="K9" s="317">
        <f>Tabel12[[#This Row],[Totaal kosten excl korting]]*(1-Tabel12[[#This Row],[Kortings percentage]])</f>
        <v>0</v>
      </c>
      <c r="L9" s="311"/>
    </row>
    <row r="10" spans="1:12" ht="12.75">
      <c r="A10" s="312" t="s">
        <v>439</v>
      </c>
      <c r="B10" s="313">
        <v>653600</v>
      </c>
      <c r="C10" s="313" t="s">
        <v>717</v>
      </c>
      <c r="D10" s="313" t="s">
        <v>767</v>
      </c>
      <c r="E10" s="313" t="s">
        <v>734</v>
      </c>
      <c r="F10" s="313">
        <v>2</v>
      </c>
      <c r="G10" s="313" t="s">
        <v>726</v>
      </c>
      <c r="H10" s="314">
        <v>0</v>
      </c>
      <c r="I10" s="315">
        <f>Tabel12[[#This Row],[Afname Hoeveelheid]]*Tabel12[[#This Row],[prijs per eenheid bruto]]</f>
        <v>0</v>
      </c>
      <c r="J10" s="316">
        <v>0</v>
      </c>
      <c r="K10" s="317">
        <f>Tabel12[[#This Row],[Totaal kosten excl korting]]*(1-Tabel12[[#This Row],[Kortings percentage]])</f>
        <v>0</v>
      </c>
      <c r="L10" s="311"/>
    </row>
    <row r="11" spans="1:12" ht="12.75">
      <c r="A11" s="312" t="s">
        <v>439</v>
      </c>
      <c r="B11" s="313">
        <v>1172601</v>
      </c>
      <c r="C11" s="313" t="s">
        <v>732</v>
      </c>
      <c r="D11" s="313" t="s">
        <v>768</v>
      </c>
      <c r="E11" s="313" t="s">
        <v>769</v>
      </c>
      <c r="F11" s="313">
        <v>4</v>
      </c>
      <c r="G11" s="313" t="s">
        <v>726</v>
      </c>
      <c r="H11" s="314">
        <v>0</v>
      </c>
      <c r="I11" s="315">
        <f>Tabel12[[#This Row],[Afname Hoeveelheid]]*Tabel12[[#This Row],[prijs per eenheid bruto]]</f>
        <v>0</v>
      </c>
      <c r="J11" s="316">
        <v>0</v>
      </c>
      <c r="K11" s="317">
        <f>Tabel12[[#This Row],[Totaal kosten excl korting]]*(1-Tabel12[[#This Row],[Kortings percentage]])</f>
        <v>0</v>
      </c>
      <c r="L11" s="311"/>
    </row>
    <row r="12" spans="1:12" ht="12.75">
      <c r="A12" s="312" t="s">
        <v>439</v>
      </c>
      <c r="B12" s="313">
        <v>404200</v>
      </c>
      <c r="C12" s="313" t="s">
        <v>715</v>
      </c>
      <c r="D12" s="313" t="s">
        <v>736</v>
      </c>
      <c r="E12" s="313" t="s">
        <v>733</v>
      </c>
      <c r="F12" s="313">
        <v>4</v>
      </c>
      <c r="G12" s="313" t="s">
        <v>722</v>
      </c>
      <c r="H12" s="314">
        <v>0</v>
      </c>
      <c r="I12" s="315">
        <f>Tabel12[[#This Row],[Afname Hoeveelheid]]*Tabel12[[#This Row],[prijs per eenheid bruto]]</f>
        <v>0</v>
      </c>
      <c r="J12" s="316">
        <v>0</v>
      </c>
      <c r="K12" s="317">
        <f>Tabel12[[#This Row],[Totaal kosten excl korting]]*(1-Tabel12[[#This Row],[Kortings percentage]])</f>
        <v>0</v>
      </c>
      <c r="L12" s="311"/>
    </row>
    <row r="13" spans="1:12" ht="12.75">
      <c r="A13" s="312" t="s">
        <v>439</v>
      </c>
      <c r="B13" s="313">
        <v>2507010</v>
      </c>
      <c r="C13" s="313" t="s">
        <v>719</v>
      </c>
      <c r="D13" s="313" t="s">
        <v>770</v>
      </c>
      <c r="E13" s="313" t="s">
        <v>771</v>
      </c>
      <c r="F13" s="313">
        <v>34</v>
      </c>
      <c r="G13" s="313" t="s">
        <v>716</v>
      </c>
      <c r="H13" s="314">
        <v>0</v>
      </c>
      <c r="I13" s="315">
        <f>Tabel12[[#This Row],[Afname Hoeveelheid]]*Tabel12[[#This Row],[prijs per eenheid bruto]]</f>
        <v>0</v>
      </c>
      <c r="J13" s="316">
        <v>0</v>
      </c>
      <c r="K13" s="317">
        <f>Tabel12[[#This Row],[Totaal kosten excl korting]]*(1-Tabel12[[#This Row],[Kortings percentage]])</f>
        <v>0</v>
      </c>
      <c r="L13" s="311"/>
    </row>
    <row r="14" spans="1:12" ht="12.75">
      <c r="A14" s="312" t="s">
        <v>439</v>
      </c>
      <c r="B14" s="313">
        <v>627815</v>
      </c>
      <c r="C14" s="313" t="s">
        <v>717</v>
      </c>
      <c r="D14" s="313" t="s">
        <v>772</v>
      </c>
      <c r="E14" s="313" t="s">
        <v>735</v>
      </c>
      <c r="F14" s="313">
        <v>1</v>
      </c>
      <c r="G14" s="313" t="s">
        <v>726</v>
      </c>
      <c r="H14" s="314">
        <v>0</v>
      </c>
      <c r="I14" s="315">
        <f>Tabel12[[#This Row],[Afname Hoeveelheid]]*Tabel12[[#This Row],[prijs per eenheid bruto]]</f>
        <v>0</v>
      </c>
      <c r="J14" s="316">
        <v>0</v>
      </c>
      <c r="K14" s="317">
        <f>Tabel12[[#This Row],[Totaal kosten excl korting]]*(1-Tabel12[[#This Row],[Kortings percentage]])</f>
        <v>0</v>
      </c>
      <c r="L14" s="311"/>
    </row>
    <row r="15" spans="1:12" ht="12.75">
      <c r="A15" s="312" t="s">
        <v>439</v>
      </c>
      <c r="B15" s="313">
        <v>2750060</v>
      </c>
      <c r="C15" s="313" t="s">
        <v>724</v>
      </c>
      <c r="D15" s="313" t="s">
        <v>773</v>
      </c>
      <c r="E15" s="313" t="s">
        <v>774</v>
      </c>
      <c r="F15" s="313">
        <v>1</v>
      </c>
      <c r="G15" s="313" t="s">
        <v>718</v>
      </c>
      <c r="H15" s="314">
        <v>0</v>
      </c>
      <c r="I15" s="315">
        <f>Tabel12[[#This Row],[Afname Hoeveelheid]]*Tabel12[[#This Row],[prijs per eenheid bruto]]</f>
        <v>0</v>
      </c>
      <c r="J15" s="316">
        <v>0</v>
      </c>
      <c r="K15" s="317">
        <f>Tabel12[[#This Row],[Totaal kosten excl korting]]*(1-Tabel12[[#This Row],[Kortings percentage]])</f>
        <v>0</v>
      </c>
      <c r="L15" s="311"/>
    </row>
    <row r="16" spans="1:12" ht="12.75">
      <c r="A16" s="312" t="s">
        <v>439</v>
      </c>
      <c r="B16" s="313">
        <v>1230301</v>
      </c>
      <c r="C16" s="313" t="s">
        <v>715</v>
      </c>
      <c r="D16" s="313" t="s">
        <v>775</v>
      </c>
      <c r="E16" s="313" t="s">
        <v>723</v>
      </c>
      <c r="F16" s="313">
        <v>2</v>
      </c>
      <c r="G16" s="313" t="s">
        <v>726</v>
      </c>
      <c r="H16" s="314">
        <v>0</v>
      </c>
      <c r="I16" s="315">
        <f>Tabel12[[#This Row],[Afname Hoeveelheid]]*Tabel12[[#This Row],[prijs per eenheid bruto]]</f>
        <v>0</v>
      </c>
      <c r="J16" s="316">
        <v>0</v>
      </c>
      <c r="K16" s="317">
        <f>Tabel12[[#This Row],[Totaal kosten excl korting]]*(1-Tabel12[[#This Row],[Kortings percentage]])</f>
        <v>0</v>
      </c>
      <c r="L16" s="311"/>
    </row>
    <row r="17" spans="1:12" ht="12.75">
      <c r="A17" s="312" t="s">
        <v>439</v>
      </c>
      <c r="B17" s="313">
        <v>2657701</v>
      </c>
      <c r="C17" s="313" t="s">
        <v>715</v>
      </c>
      <c r="D17" s="313" t="s">
        <v>776</v>
      </c>
      <c r="E17" s="313" t="s">
        <v>777</v>
      </c>
      <c r="F17" s="313">
        <v>7</v>
      </c>
      <c r="G17" s="313" t="s">
        <v>718</v>
      </c>
      <c r="H17" s="314">
        <v>0</v>
      </c>
      <c r="I17" s="315">
        <f>Tabel12[[#This Row],[Afname Hoeveelheid]]*Tabel12[[#This Row],[prijs per eenheid bruto]]</f>
        <v>0</v>
      </c>
      <c r="J17" s="316">
        <v>0</v>
      </c>
      <c r="K17" s="317">
        <f>Tabel12[[#This Row],[Totaal kosten excl korting]]*(1-Tabel12[[#This Row],[Kortings percentage]])</f>
        <v>0</v>
      </c>
      <c r="L17" s="311"/>
    </row>
    <row r="18" spans="1:12" ht="12.75">
      <c r="A18" s="312" t="s">
        <v>439</v>
      </c>
      <c r="B18" s="313">
        <v>914100</v>
      </c>
      <c r="C18" s="313" t="s">
        <v>719</v>
      </c>
      <c r="D18" s="313" t="s">
        <v>778</v>
      </c>
      <c r="E18" s="313" t="s">
        <v>769</v>
      </c>
      <c r="F18" s="313">
        <v>1</v>
      </c>
      <c r="G18" s="313" t="s">
        <v>726</v>
      </c>
      <c r="H18" s="314">
        <v>0</v>
      </c>
      <c r="I18" s="315">
        <f>Tabel12[[#This Row],[Afname Hoeveelheid]]*Tabel12[[#This Row],[prijs per eenheid bruto]]</f>
        <v>0</v>
      </c>
      <c r="J18" s="316">
        <v>0</v>
      </c>
      <c r="K18" s="317">
        <f>Tabel12[[#This Row],[Totaal kosten excl korting]]*(1-Tabel12[[#This Row],[Kortings percentage]])</f>
        <v>0</v>
      </c>
      <c r="L18" s="311"/>
    </row>
    <row r="19" spans="1:12" ht="12.75">
      <c r="A19" s="312" t="s">
        <v>439</v>
      </c>
      <c r="B19" s="313">
        <v>1368400</v>
      </c>
      <c r="C19" s="313" t="s">
        <v>715</v>
      </c>
      <c r="D19" s="313" t="s">
        <v>779</v>
      </c>
      <c r="E19" s="313" t="s">
        <v>780</v>
      </c>
      <c r="F19" s="313">
        <v>1</v>
      </c>
      <c r="G19" s="313" t="s">
        <v>716</v>
      </c>
      <c r="H19" s="314">
        <v>0</v>
      </c>
      <c r="I19" s="315">
        <f>Tabel12[[#This Row],[Afname Hoeveelheid]]*Tabel12[[#This Row],[prijs per eenheid bruto]]</f>
        <v>0</v>
      </c>
      <c r="J19" s="316">
        <v>0</v>
      </c>
      <c r="K19" s="317">
        <f>Tabel12[[#This Row],[Totaal kosten excl korting]]*(1-Tabel12[[#This Row],[Kortings percentage]])</f>
        <v>0</v>
      </c>
      <c r="L19" s="311"/>
    </row>
    <row r="20" spans="1:12" ht="12.75">
      <c r="A20" s="312" t="s">
        <v>439</v>
      </c>
      <c r="B20" s="313">
        <v>1331500</v>
      </c>
      <c r="C20" s="313" t="s">
        <v>715</v>
      </c>
      <c r="D20" s="313" t="s">
        <v>781</v>
      </c>
      <c r="E20" s="313" t="s">
        <v>782</v>
      </c>
      <c r="F20" s="313">
        <v>1</v>
      </c>
      <c r="G20" s="313" t="s">
        <v>725</v>
      </c>
      <c r="H20" s="314">
        <v>0</v>
      </c>
      <c r="I20" s="315">
        <f>Tabel12[[#This Row],[Afname Hoeveelheid]]*Tabel12[[#This Row],[prijs per eenheid bruto]]</f>
        <v>0</v>
      </c>
      <c r="J20" s="316">
        <v>0</v>
      </c>
      <c r="K20" s="317">
        <f>Tabel12[[#This Row],[Totaal kosten excl korting]]*(1-Tabel12[[#This Row],[Kortings percentage]])</f>
        <v>0</v>
      </c>
      <c r="L20" s="311"/>
    </row>
    <row r="21" spans="1:12" ht="12.75">
      <c r="A21" s="312" t="s">
        <v>439</v>
      </c>
      <c r="B21" s="313">
        <v>1364200</v>
      </c>
      <c r="C21" s="313" t="s">
        <v>715</v>
      </c>
      <c r="D21" s="313" t="s">
        <v>783</v>
      </c>
      <c r="E21" s="313" t="s">
        <v>721</v>
      </c>
      <c r="F21" s="313">
        <v>1</v>
      </c>
      <c r="G21" s="313" t="s">
        <v>725</v>
      </c>
      <c r="H21" s="314">
        <v>0</v>
      </c>
      <c r="I21" s="315">
        <f>Tabel12[[#This Row],[Afname Hoeveelheid]]*Tabel12[[#This Row],[prijs per eenheid bruto]]</f>
        <v>0</v>
      </c>
      <c r="J21" s="316">
        <v>0</v>
      </c>
      <c r="K21" s="317">
        <f>Tabel12[[#This Row],[Totaal kosten excl korting]]*(1-Tabel12[[#This Row],[Kortings percentage]])</f>
        <v>0</v>
      </c>
      <c r="L21" s="311"/>
    </row>
    <row r="22" spans="1:12" ht="12.75">
      <c r="A22" s="312" t="s">
        <v>439</v>
      </c>
      <c r="B22" s="313">
        <v>606004</v>
      </c>
      <c r="C22" s="313" t="s">
        <v>715</v>
      </c>
      <c r="D22" s="313" t="s">
        <v>784</v>
      </c>
      <c r="E22" s="313" t="s">
        <v>733</v>
      </c>
      <c r="F22" s="313">
        <v>1</v>
      </c>
      <c r="G22" s="313" t="s">
        <v>722</v>
      </c>
      <c r="H22" s="314">
        <v>0</v>
      </c>
      <c r="I22" s="315">
        <f>Tabel12[[#This Row],[Afname Hoeveelheid]]*Tabel12[[#This Row],[prijs per eenheid bruto]]</f>
        <v>0</v>
      </c>
      <c r="J22" s="316">
        <v>0</v>
      </c>
      <c r="K22" s="317">
        <f>Tabel12[[#This Row],[Totaal kosten excl korting]]*(1-Tabel12[[#This Row],[Kortings percentage]])</f>
        <v>0</v>
      </c>
      <c r="L22" s="311"/>
    </row>
    <row r="23" spans="1:12" ht="12.75">
      <c r="A23" s="312" t="s">
        <v>439</v>
      </c>
      <c r="B23" s="313">
        <v>627305</v>
      </c>
      <c r="C23" s="313" t="s">
        <v>717</v>
      </c>
      <c r="D23" s="313" t="s">
        <v>728</v>
      </c>
      <c r="E23" s="313" t="s">
        <v>729</v>
      </c>
      <c r="F23" s="313">
        <v>1</v>
      </c>
      <c r="G23" s="313" t="s">
        <v>726</v>
      </c>
      <c r="H23" s="314">
        <v>0</v>
      </c>
      <c r="I23" s="315">
        <f>Tabel12[[#This Row],[Afname Hoeveelheid]]*Tabel12[[#This Row],[prijs per eenheid bruto]]</f>
        <v>0</v>
      </c>
      <c r="J23" s="316">
        <v>0</v>
      </c>
      <c r="K23" s="317">
        <f>Tabel12[[#This Row],[Totaal kosten excl korting]]*(1-Tabel12[[#This Row],[Kortings percentage]])</f>
        <v>0</v>
      </c>
      <c r="L23" s="311"/>
    </row>
    <row r="24" spans="1:12" ht="12.75">
      <c r="A24" s="312" t="s">
        <v>439</v>
      </c>
      <c r="B24" s="313">
        <v>1147201</v>
      </c>
      <c r="C24" s="313" t="s">
        <v>724</v>
      </c>
      <c r="D24" s="313" t="s">
        <v>737</v>
      </c>
      <c r="E24" s="313"/>
      <c r="F24" s="313">
        <v>1</v>
      </c>
      <c r="G24" s="313" t="s">
        <v>716</v>
      </c>
      <c r="H24" s="314">
        <v>0</v>
      </c>
      <c r="I24" s="315">
        <f>Tabel12[[#This Row],[Afname Hoeveelheid]]*Tabel12[[#This Row],[prijs per eenheid bruto]]</f>
        <v>0</v>
      </c>
      <c r="J24" s="316">
        <v>0</v>
      </c>
      <c r="K24" s="317">
        <f>Tabel12[[#This Row],[Totaal kosten excl korting]]*(1-Tabel12[[#This Row],[Kortings percentage]])</f>
        <v>0</v>
      </c>
      <c r="L24" s="311"/>
    </row>
    <row r="25" spans="1:12" ht="12.75">
      <c r="A25" s="312" t="s">
        <v>439</v>
      </c>
      <c r="B25" s="313">
        <v>576700</v>
      </c>
      <c r="C25" s="313" t="s">
        <v>715</v>
      </c>
      <c r="D25" s="313" t="s">
        <v>720</v>
      </c>
      <c r="E25" s="313" t="s">
        <v>721</v>
      </c>
      <c r="F25" s="313">
        <v>39</v>
      </c>
      <c r="G25" s="313" t="s">
        <v>725</v>
      </c>
      <c r="H25" s="314">
        <v>0</v>
      </c>
      <c r="I25" s="315">
        <f>Tabel12[[#This Row],[Afname Hoeveelheid]]*Tabel12[[#This Row],[prijs per eenheid bruto]]</f>
        <v>0</v>
      </c>
      <c r="J25" s="316">
        <v>0</v>
      </c>
      <c r="K25" s="317">
        <f>Tabel12[[#This Row],[Totaal kosten excl korting]]*(1-Tabel12[[#This Row],[Kortings percentage]])</f>
        <v>0</v>
      </c>
      <c r="L25" s="311"/>
    </row>
    <row r="26" spans="1:12" ht="12.75">
      <c r="A26" s="312" t="s">
        <v>439</v>
      </c>
      <c r="B26" s="313">
        <v>576400</v>
      </c>
      <c r="C26" s="313" t="s">
        <v>715</v>
      </c>
      <c r="D26" s="313" t="s">
        <v>785</v>
      </c>
      <c r="E26" s="313" t="s">
        <v>721</v>
      </c>
      <c r="F26" s="313">
        <v>30</v>
      </c>
      <c r="G26" s="313" t="s">
        <v>725</v>
      </c>
      <c r="H26" s="314">
        <v>0</v>
      </c>
      <c r="I26" s="315">
        <f>Tabel12[[#This Row],[Afname Hoeveelheid]]*Tabel12[[#This Row],[prijs per eenheid bruto]]</f>
        <v>0</v>
      </c>
      <c r="J26" s="316">
        <v>0</v>
      </c>
      <c r="K26" s="317">
        <f>Tabel12[[#This Row],[Totaal kosten excl korting]]*(1-Tabel12[[#This Row],[Kortings percentage]])</f>
        <v>0</v>
      </c>
      <c r="L26" s="311"/>
    </row>
    <row r="27" spans="1:12" ht="12.75">
      <c r="A27" s="312" t="s">
        <v>439</v>
      </c>
      <c r="B27" s="313">
        <v>576900</v>
      </c>
      <c r="C27" s="313" t="s">
        <v>715</v>
      </c>
      <c r="D27" s="313" t="s">
        <v>786</v>
      </c>
      <c r="E27" s="313" t="s">
        <v>721</v>
      </c>
      <c r="F27" s="313">
        <v>60</v>
      </c>
      <c r="G27" s="313" t="s">
        <v>725</v>
      </c>
      <c r="H27" s="314">
        <v>0</v>
      </c>
      <c r="I27" s="315">
        <f>Tabel12[[#This Row],[Afname Hoeveelheid]]*Tabel12[[#This Row],[prijs per eenheid bruto]]</f>
        <v>0</v>
      </c>
      <c r="J27" s="316">
        <v>0</v>
      </c>
      <c r="K27" s="317">
        <f>Tabel12[[#This Row],[Totaal kosten excl korting]]*(1-Tabel12[[#This Row],[Kortings percentage]])</f>
        <v>0</v>
      </c>
      <c r="L27" s="311"/>
    </row>
    <row r="28" spans="1:12" ht="12.75">
      <c r="A28" s="312" t="s">
        <v>439</v>
      </c>
      <c r="B28" s="313">
        <v>576800</v>
      </c>
      <c r="C28" s="313" t="s">
        <v>715</v>
      </c>
      <c r="D28" s="313" t="s">
        <v>727</v>
      </c>
      <c r="E28" s="313" t="s">
        <v>721</v>
      </c>
      <c r="F28" s="313">
        <v>10</v>
      </c>
      <c r="G28" s="313" t="s">
        <v>725</v>
      </c>
      <c r="H28" s="314">
        <v>0</v>
      </c>
      <c r="I28" s="315">
        <f>Tabel12[[#This Row],[Afname Hoeveelheid]]*Tabel12[[#This Row],[prijs per eenheid bruto]]</f>
        <v>0</v>
      </c>
      <c r="J28" s="316">
        <v>0</v>
      </c>
      <c r="K28" s="317">
        <f>Tabel12[[#This Row],[Totaal kosten excl korting]]*(1-Tabel12[[#This Row],[Kortings percentage]])</f>
        <v>0</v>
      </c>
      <c r="L28" s="311"/>
    </row>
    <row r="29" spans="1:12" ht="12.75">
      <c r="A29" s="312" t="s">
        <v>439</v>
      </c>
      <c r="B29" s="313">
        <v>576500</v>
      </c>
      <c r="C29" s="313" t="s">
        <v>715</v>
      </c>
      <c r="D29" s="313" t="s">
        <v>787</v>
      </c>
      <c r="E29" s="313" t="s">
        <v>721</v>
      </c>
      <c r="F29" s="313">
        <v>30</v>
      </c>
      <c r="G29" s="313" t="s">
        <v>725</v>
      </c>
      <c r="H29" s="314">
        <v>0</v>
      </c>
      <c r="I29" s="315">
        <f>Tabel12[[#This Row],[Afname Hoeveelheid]]*Tabel12[[#This Row],[prijs per eenheid bruto]]</f>
        <v>0</v>
      </c>
      <c r="J29" s="316">
        <v>0</v>
      </c>
      <c r="K29" s="317">
        <f>Tabel12[[#This Row],[Totaal kosten excl korting]]*(1-Tabel12[[#This Row],[Kortings percentage]])</f>
        <v>0</v>
      </c>
      <c r="L29" s="311"/>
    </row>
    <row r="30" spans="1:12" ht="12.75">
      <c r="A30" s="312" t="s">
        <v>439</v>
      </c>
      <c r="B30" s="313">
        <v>2854450</v>
      </c>
      <c r="C30" s="313" t="s">
        <v>715</v>
      </c>
      <c r="D30" s="313" t="s">
        <v>788</v>
      </c>
      <c r="E30" s="313" t="s">
        <v>789</v>
      </c>
      <c r="F30" s="313">
        <v>4</v>
      </c>
      <c r="G30" s="313" t="s">
        <v>725</v>
      </c>
      <c r="H30" s="314">
        <v>0</v>
      </c>
      <c r="I30" s="315">
        <f>Tabel12[[#This Row],[Afname Hoeveelheid]]*Tabel12[[#This Row],[prijs per eenheid bruto]]</f>
        <v>0</v>
      </c>
      <c r="J30" s="316">
        <v>0</v>
      </c>
      <c r="K30" s="317">
        <f>Tabel12[[#This Row],[Totaal kosten excl korting]]*(1-Tabel12[[#This Row],[Kortings percentage]])</f>
        <v>0</v>
      </c>
      <c r="L30" s="311"/>
    </row>
    <row r="31" spans="1:12" ht="12.75">
      <c r="A31" s="312" t="s">
        <v>439</v>
      </c>
      <c r="B31" s="313">
        <v>627510</v>
      </c>
      <c r="C31" s="313" t="s">
        <v>717</v>
      </c>
      <c r="D31" s="313" t="s">
        <v>790</v>
      </c>
      <c r="E31" s="313" t="s">
        <v>729</v>
      </c>
      <c r="F31" s="313">
        <v>1</v>
      </c>
      <c r="G31" s="313" t="s">
        <v>726</v>
      </c>
      <c r="H31" s="314">
        <v>0</v>
      </c>
      <c r="I31" s="315">
        <f>Tabel12[[#This Row],[Afname Hoeveelheid]]*Tabel12[[#This Row],[prijs per eenheid bruto]]</f>
        <v>0</v>
      </c>
      <c r="J31" s="316">
        <v>0</v>
      </c>
      <c r="K31" s="317">
        <f>Tabel12[[#This Row],[Totaal kosten excl korting]]*(1-Tabel12[[#This Row],[Kortings percentage]])</f>
        <v>0</v>
      </c>
      <c r="L31" s="311"/>
    </row>
    <row r="32" spans="1:12">
      <c r="A32" s="318"/>
      <c r="B32" s="306"/>
      <c r="C32" s="306"/>
      <c r="D32" s="306"/>
      <c r="E32" s="319"/>
      <c r="F32" s="306"/>
      <c r="G32" s="11"/>
      <c r="H32" s="306"/>
      <c r="I32" s="320"/>
      <c r="J32" s="321"/>
      <c r="K32" s="321"/>
    </row>
    <row r="33" spans="1:11">
      <c r="A33" s="322" t="s">
        <v>714</v>
      </c>
      <c r="B33" s="323"/>
      <c r="C33" s="323"/>
      <c r="D33" s="323"/>
      <c r="E33" s="324"/>
      <c r="F33" s="323"/>
      <c r="G33" s="325"/>
      <c r="H33" s="323"/>
      <c r="I33" s="326"/>
      <c r="J33" s="327"/>
      <c r="K33" s="326">
        <f>SUM(K5:K32)</f>
        <v>0</v>
      </c>
    </row>
    <row r="34" spans="1:11" ht="12.75">
      <c r="A34" s="328" t="s">
        <v>738</v>
      </c>
      <c r="B34" s="329"/>
      <c r="C34" s="329"/>
      <c r="D34" s="329"/>
      <c r="E34" s="330"/>
      <c r="F34" s="329"/>
      <c r="G34" s="331"/>
      <c r="H34" s="332"/>
      <c r="I34" s="333"/>
      <c r="J34" s="334">
        <f>AVERAGE(J5:J31)</f>
        <v>0</v>
      </c>
      <c r="K34" s="335"/>
    </row>
  </sheetData>
  <mergeCells count="2">
    <mergeCell ref="A1:G1"/>
    <mergeCell ref="A2:G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BE25-FD40-4393-A0E1-37A8DE44E0D5}">
  <sheetPr>
    <tabColor theme="0" tint="-0.14999847407452621"/>
  </sheetPr>
  <dimension ref="A1:E13"/>
  <sheetViews>
    <sheetView workbookViewId="0">
      <selection sqref="A1:XFD1048576"/>
    </sheetView>
  </sheetViews>
  <sheetFormatPr defaultColWidth="9.140625" defaultRowHeight="15"/>
  <cols>
    <col min="1" max="1" width="96" style="336" customWidth="1"/>
    <col min="2" max="2" width="27.7109375" style="336" customWidth="1"/>
    <col min="3" max="5" width="9.140625" style="336"/>
  </cols>
  <sheetData>
    <row r="1" spans="1:5">
      <c r="A1" s="409" t="s">
        <v>217</v>
      </c>
      <c r="B1" s="394"/>
    </row>
    <row r="2" spans="1:5">
      <c r="A2" s="337"/>
      <c r="B2" s="338"/>
    </row>
    <row r="3" spans="1:5">
      <c r="A3" s="411" t="s">
        <v>739</v>
      </c>
      <c r="B3" s="412"/>
    </row>
    <row r="4" spans="1:5" ht="26.25">
      <c r="A4" s="339" t="s">
        <v>740</v>
      </c>
      <c r="B4" s="340" t="s">
        <v>741</v>
      </c>
      <c r="E4"/>
    </row>
    <row r="5" spans="1:5">
      <c r="A5" s="341" t="s">
        <v>742</v>
      </c>
      <c r="B5" s="342">
        <v>0</v>
      </c>
      <c r="E5"/>
    </row>
    <row r="6" spans="1:5">
      <c r="A6" s="341" t="s">
        <v>743</v>
      </c>
      <c r="B6" s="342">
        <v>0</v>
      </c>
      <c r="E6"/>
    </row>
    <row r="7" spans="1:5">
      <c r="A7" s="341" t="s">
        <v>744</v>
      </c>
      <c r="B7" s="342">
        <v>0</v>
      </c>
      <c r="E7"/>
    </row>
    <row r="8" spans="1:5">
      <c r="A8" s="341" t="s">
        <v>745</v>
      </c>
      <c r="B8" s="342">
        <v>0</v>
      </c>
      <c r="E8"/>
    </row>
    <row r="9" spans="1:5">
      <c r="A9" s="341" t="s">
        <v>746</v>
      </c>
      <c r="B9" s="342">
        <v>0</v>
      </c>
      <c r="E9"/>
    </row>
    <row r="10" spans="1:5">
      <c r="A10" s="341" t="s">
        <v>747</v>
      </c>
      <c r="B10" s="342">
        <v>0</v>
      </c>
      <c r="E10"/>
    </row>
    <row r="11" spans="1:5">
      <c r="A11" s="341" t="s">
        <v>748</v>
      </c>
      <c r="B11" s="342">
        <v>0</v>
      </c>
      <c r="E11"/>
    </row>
    <row r="12" spans="1:5">
      <c r="A12" s="341" t="s">
        <v>724</v>
      </c>
      <c r="B12" s="342">
        <v>0</v>
      </c>
      <c r="E12"/>
    </row>
    <row r="13" spans="1:5">
      <c r="A13" s="339" t="s">
        <v>749</v>
      </c>
      <c r="B13" s="343">
        <f>AVERAGE(B5:B12)</f>
        <v>0</v>
      </c>
      <c r="E13"/>
    </row>
  </sheetData>
  <mergeCells count="2">
    <mergeCell ref="A1:B1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C35A-2EBB-4FEC-B658-2F3F7ED813D7}">
  <sheetPr>
    <tabColor theme="0" tint="-0.14999847407452621"/>
  </sheetPr>
  <dimension ref="A1:H4"/>
  <sheetViews>
    <sheetView workbookViewId="0">
      <selection activeCell="E12" sqref="E12"/>
    </sheetView>
  </sheetViews>
  <sheetFormatPr defaultRowHeight="15"/>
  <cols>
    <col min="1" max="1" width="36.5703125" customWidth="1"/>
    <col min="2" max="2" width="21.5703125" bestFit="1" customWidth="1"/>
    <col min="3" max="3" width="10.42578125" style="352" bestFit="1" customWidth="1"/>
    <col min="4" max="4" width="11.28515625" style="363" bestFit="1" customWidth="1"/>
    <col min="5" max="5" width="30.7109375" style="364" bestFit="1" customWidth="1"/>
    <col min="6" max="6" width="22" customWidth="1"/>
    <col min="7" max="7" width="21.140625" customWidth="1"/>
    <col min="8" max="8" width="15.42578125" style="364" bestFit="1" customWidth="1"/>
  </cols>
  <sheetData>
    <row r="1" spans="1:8" ht="18">
      <c r="A1" s="344" t="s">
        <v>750</v>
      </c>
      <c r="B1" s="345"/>
      <c r="C1" s="345"/>
      <c r="D1" s="345"/>
      <c r="E1" s="346"/>
      <c r="F1" s="347"/>
      <c r="G1" s="413" t="s">
        <v>751</v>
      </c>
      <c r="H1" s="414"/>
    </row>
    <row r="2" spans="1:8" s="352" customFormat="1" ht="45">
      <c r="A2" s="348" t="s">
        <v>752</v>
      </c>
      <c r="B2" s="348" t="s">
        <v>753</v>
      </c>
      <c r="C2" s="349" t="s">
        <v>754</v>
      </c>
      <c r="D2" s="350" t="s">
        <v>755</v>
      </c>
      <c r="E2" s="349" t="s">
        <v>756</v>
      </c>
      <c r="F2" s="349" t="s">
        <v>757</v>
      </c>
      <c r="G2" s="349" t="s">
        <v>758</v>
      </c>
      <c r="H2" s="351" t="s">
        <v>714</v>
      </c>
    </row>
    <row r="3" spans="1:8" ht="14.25">
      <c r="A3" s="353" t="s">
        <v>439</v>
      </c>
      <c r="B3" s="353" t="s">
        <v>440</v>
      </c>
      <c r="C3" s="353" t="s">
        <v>441</v>
      </c>
      <c r="D3" s="353" t="s">
        <v>442</v>
      </c>
      <c r="E3" s="354">
        <v>1</v>
      </c>
      <c r="F3" s="354">
        <v>40</v>
      </c>
      <c r="G3" s="355">
        <v>0</v>
      </c>
      <c r="H3" s="356">
        <f>E3*F3*G3</f>
        <v>0</v>
      </c>
    </row>
    <row r="4" spans="1:8" s="358" customFormat="1">
      <c r="A4" s="357"/>
      <c r="D4" s="359"/>
      <c r="E4" s="360"/>
      <c r="F4" s="348" t="s">
        <v>759</v>
      </c>
      <c r="G4" s="361"/>
      <c r="H4" s="362">
        <f>SUM(H3:H3)</f>
        <v>0</v>
      </c>
    </row>
  </sheetData>
  <mergeCells count="1">
    <mergeCell ref="G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tabSelected="1" zoomScaleNormal="100" zoomScaleSheetLayoutView="100" workbookViewId="0">
      <selection sqref="A1:D1"/>
    </sheetView>
  </sheetViews>
  <sheetFormatPr defaultColWidth="9.140625" defaultRowHeight="18.75" customHeight="1"/>
  <cols>
    <col min="1" max="1" width="9.140625" style="71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7" customFormat="1" ht="26.25" customHeight="1">
      <c r="A1" s="395" t="s">
        <v>180</v>
      </c>
      <c r="B1" s="395"/>
      <c r="C1" s="395"/>
      <c r="D1" s="395"/>
    </row>
    <row r="2" spans="1:9" s="7" customFormat="1" ht="18.75" customHeight="1">
      <c r="A2" s="409" t="s">
        <v>217</v>
      </c>
      <c r="B2" s="394"/>
      <c r="C2" s="394"/>
      <c r="D2" s="394"/>
    </row>
    <row r="3" spans="1:9" s="80" customFormat="1" ht="18.75" customHeight="1">
      <c r="A3" s="79"/>
    </row>
    <row r="4" spans="1:9" s="80" customFormat="1" ht="18.75" customHeight="1">
      <c r="A4" s="80" t="s">
        <v>178</v>
      </c>
    </row>
    <row r="5" spans="1:9" s="80" customFormat="1" ht="18.75" customHeight="1">
      <c r="A5" s="80" t="s">
        <v>181</v>
      </c>
    </row>
    <row r="6" spans="1:9" s="80" customFormat="1" ht="18.75" customHeight="1">
      <c r="A6" s="80" t="s">
        <v>231</v>
      </c>
    </row>
    <row r="7" spans="1:9" s="80" customFormat="1" ht="18.75" customHeight="1">
      <c r="A7" s="79"/>
    </row>
    <row r="8" spans="1:9" s="77" customFormat="1" ht="26.25" customHeight="1">
      <c r="A8" s="76"/>
      <c r="B8" s="75" t="s">
        <v>182</v>
      </c>
      <c r="C8" s="75" t="s">
        <v>151</v>
      </c>
      <c r="D8" s="23" t="s">
        <v>176</v>
      </c>
      <c r="E8" s="238" t="s">
        <v>248</v>
      </c>
      <c r="F8" s="238" t="s">
        <v>250</v>
      </c>
      <c r="G8" s="238" t="s">
        <v>249</v>
      </c>
      <c r="H8" s="238" t="s">
        <v>247</v>
      </c>
      <c r="I8" s="238" t="s">
        <v>260</v>
      </c>
    </row>
    <row r="9" spans="1:9" ht="18.75" customHeight="1">
      <c r="A9" s="415" t="s">
        <v>198</v>
      </c>
      <c r="B9" s="75" t="s">
        <v>184</v>
      </c>
      <c r="C9" s="75" t="s">
        <v>183</v>
      </c>
      <c r="D9" s="78">
        <v>0</v>
      </c>
      <c r="E9" s="235" t="e">
        <f>InvulRegie[[#This Row],[Prijs excl. BTW]]*Tariefsopbouw!$I$37+InvulRegie[[#This Row],[Prijs excl. BTW]]</f>
        <v>#DIV/0!</v>
      </c>
      <c r="F9" s="236" t="e">
        <f>InvulRegie[[#This Row],[2024]]*Tariefsopbouw!$K$37+InvulRegie[[#This Row],[2024]]</f>
        <v>#DIV/0!</v>
      </c>
      <c r="G9" s="236" t="e">
        <f>InvulRegie[[#This Row],[2025]]*Tariefsopbouw!$M$37+InvulRegie[[#This Row],[2025]]</f>
        <v>#DIV/0!</v>
      </c>
      <c r="H9" s="236" t="e">
        <f>InvulRegie[[#This Row],[2026]]*Tariefsopbouw!$O$37+InvulRegie[[#This Row],[2026]]</f>
        <v>#DIV/0!</v>
      </c>
      <c r="I9" s="236" t="e">
        <f>InvulRegie[[#This Row],[2027]]*Tariefsopbouw!$Q$37+InvulRegie[[#This Row],[2027]]</f>
        <v>#DIV/0!</v>
      </c>
    </row>
    <row r="10" spans="1:9" ht="18.75" customHeight="1">
      <c r="A10" s="416"/>
      <c r="B10" s="75" t="s">
        <v>185</v>
      </c>
      <c r="C10" s="75" t="s">
        <v>183</v>
      </c>
      <c r="D10" s="78">
        <v>0</v>
      </c>
      <c r="E10" s="235" t="e">
        <f>InvulRegie[[#This Row],[Prijs excl. BTW]]*Tariefsopbouw!$I$37+InvulRegie[[#This Row],[Prijs excl. BTW]]</f>
        <v>#DIV/0!</v>
      </c>
      <c r="F10" s="235" t="e">
        <f>InvulRegie[[#This Row],[2024]]*Tariefsopbouw!$K$37+InvulRegie[[#This Row],[2024]]</f>
        <v>#DIV/0!</v>
      </c>
      <c r="G10" s="235" t="e">
        <f>InvulRegie[[#This Row],[2025]]*Tariefsopbouw!$M$37+InvulRegie[[#This Row],[2025]]</f>
        <v>#DIV/0!</v>
      </c>
      <c r="H10" s="235" t="e">
        <f>InvulRegie[[#This Row],[2026]]*Tariefsopbouw!$O$37+InvulRegie[[#This Row],[2026]]</f>
        <v>#DIV/0!</v>
      </c>
      <c r="I10" s="235" t="e">
        <f>InvulRegie[[#This Row],[2027]]*Tariefsopbouw!$Q$37+InvulRegie[[#This Row],[2027]]</f>
        <v>#DIV/0!</v>
      </c>
    </row>
    <row r="11" spans="1:9" ht="18.75" customHeight="1">
      <c r="A11" s="416"/>
      <c r="B11" s="75" t="s">
        <v>186</v>
      </c>
      <c r="C11" s="75" t="s">
        <v>183</v>
      </c>
      <c r="D11" s="78">
        <v>0</v>
      </c>
      <c r="E11" s="235" t="e">
        <f>InvulRegie[[#This Row],[Prijs excl. BTW]]*Tariefsopbouw!$I$37+InvulRegie[[#This Row],[Prijs excl. BTW]]</f>
        <v>#DIV/0!</v>
      </c>
      <c r="F11" s="235" t="e">
        <f>InvulRegie[[#This Row],[2024]]*Tariefsopbouw!$K$37+InvulRegie[[#This Row],[2024]]</f>
        <v>#DIV/0!</v>
      </c>
      <c r="G11" s="235" t="e">
        <f>InvulRegie[[#This Row],[2025]]*Tariefsopbouw!$M$37+InvulRegie[[#This Row],[2025]]</f>
        <v>#DIV/0!</v>
      </c>
      <c r="H11" s="235" t="e">
        <f>InvulRegie[[#This Row],[2026]]*Tariefsopbouw!$O$37+InvulRegie[[#This Row],[2026]]</f>
        <v>#DIV/0!</v>
      </c>
      <c r="I11" s="235" t="e">
        <f>InvulRegie[[#This Row],[2027]]*Tariefsopbouw!$Q$37+InvulRegie[[#This Row],[2027]]</f>
        <v>#DIV/0!</v>
      </c>
    </row>
    <row r="12" spans="1:9" ht="18.75" customHeight="1">
      <c r="A12" s="416"/>
      <c r="B12" s="74" t="s">
        <v>187</v>
      </c>
      <c r="C12" s="75" t="s">
        <v>183</v>
      </c>
      <c r="D12" s="78">
        <v>0</v>
      </c>
      <c r="E12" s="235" t="e">
        <f>InvulRegie[[#This Row],[Prijs excl. BTW]]*Tariefsopbouw!$I$37+InvulRegie[[#This Row],[Prijs excl. BTW]]</f>
        <v>#DIV/0!</v>
      </c>
      <c r="F12" s="235" t="e">
        <f>InvulRegie[[#This Row],[2024]]*Tariefsopbouw!$K$37+InvulRegie[[#This Row],[2024]]</f>
        <v>#DIV/0!</v>
      </c>
      <c r="G12" s="235" t="e">
        <f>InvulRegie[[#This Row],[2025]]*Tariefsopbouw!$M$37+InvulRegie[[#This Row],[2025]]</f>
        <v>#DIV/0!</v>
      </c>
      <c r="H12" s="235" t="e">
        <f>InvulRegie[[#This Row],[2026]]*Tariefsopbouw!$O$37+InvulRegie[[#This Row],[2026]]</f>
        <v>#DIV/0!</v>
      </c>
      <c r="I12" s="235" t="e">
        <f>InvulRegie[[#This Row],[2027]]*Tariefsopbouw!$Q$37+InvulRegie[[#This Row],[2027]]</f>
        <v>#DIV/0!</v>
      </c>
    </row>
    <row r="13" spans="1:9" ht="18.75" customHeight="1">
      <c r="A13" s="416"/>
      <c r="B13" s="74" t="s">
        <v>204</v>
      </c>
      <c r="C13" s="75" t="s">
        <v>183</v>
      </c>
      <c r="D13" s="78">
        <v>0</v>
      </c>
      <c r="E13" s="239" t="e">
        <f>InvulRegie[[#This Row],[Prijs excl. BTW]]*Tariefsopbouw!$I$37+InvulRegie[[#This Row],[Prijs excl. BTW]]</f>
        <v>#DIV/0!</v>
      </c>
      <c r="F13" s="239" t="e">
        <f>InvulRegie[[#This Row],[2024]]*Tariefsopbouw!$K$37+InvulRegie[[#This Row],[2024]]</f>
        <v>#DIV/0!</v>
      </c>
      <c r="G13" s="239" t="e">
        <f>InvulRegie[[#This Row],[2025]]*Tariefsopbouw!$M$37+InvulRegie[[#This Row],[2025]]</f>
        <v>#DIV/0!</v>
      </c>
      <c r="H13" s="239" t="e">
        <f>InvulRegie[[#This Row],[2026]]*Tariefsopbouw!$O$37+InvulRegie[[#This Row],[2026]]</f>
        <v>#DIV/0!</v>
      </c>
      <c r="I13" s="239" t="e">
        <f>InvulRegie[[#This Row],[2027]]*Tariefsopbouw!$Q$37+InvulRegie[[#This Row],[2027]]</f>
        <v>#DIV/0!</v>
      </c>
    </row>
    <row r="14" spans="1:9" ht="18.75" customHeight="1">
      <c r="A14" s="417"/>
      <c r="B14" s="75" t="s">
        <v>193</v>
      </c>
      <c r="C14" s="75" t="s">
        <v>183</v>
      </c>
      <c r="D14" s="78">
        <v>0</v>
      </c>
      <c r="E14" s="239" t="e">
        <f>InvulRegie[[#This Row],[Prijs excl. BTW]]*Tariefsopbouw!$I$37+InvulRegie[[#This Row],[Prijs excl. BTW]]</f>
        <v>#DIV/0!</v>
      </c>
      <c r="F14" s="239" t="e">
        <f>InvulRegie[[#This Row],[2024]]*Tariefsopbouw!$K$37+InvulRegie[[#This Row],[2024]]</f>
        <v>#DIV/0!</v>
      </c>
      <c r="G14" s="239" t="e">
        <f>InvulRegie[[#This Row],[2025]]*Tariefsopbouw!$M$37+InvulRegie[[#This Row],[2025]]</f>
        <v>#DIV/0!</v>
      </c>
      <c r="H14" s="239" t="e">
        <f>InvulRegie[[#This Row],[2026]]*Tariefsopbouw!$O$37+InvulRegie[[#This Row],[2026]]</f>
        <v>#DIV/0!</v>
      </c>
      <c r="I14" s="239" t="e">
        <f>InvulRegie[[#This Row],[2027]]*Tariefsopbouw!$Q$37+InvulRegie[[#This Row],[2027]]</f>
        <v>#DIV/0!</v>
      </c>
    </row>
    <row r="15" spans="1:9" ht="18.75" customHeight="1">
      <c r="A15" s="415" t="s">
        <v>134</v>
      </c>
      <c r="B15" s="75" t="s">
        <v>41</v>
      </c>
      <c r="C15" s="75" t="s">
        <v>42</v>
      </c>
      <c r="D15" s="78">
        <v>0</v>
      </c>
      <c r="E15" s="239" t="e">
        <f>InvulRegie[[#This Row],[Prijs excl. BTW]]*Tariefsopbouw!$I$37+InvulRegie[[#This Row],[Prijs excl. BTW]]</f>
        <v>#DIV/0!</v>
      </c>
      <c r="F15" s="239" t="e">
        <f>InvulRegie[[#This Row],[2024]]*Tariefsopbouw!$K$37+InvulRegie[[#This Row],[2024]]</f>
        <v>#DIV/0!</v>
      </c>
      <c r="G15" s="239" t="e">
        <f>InvulRegie[[#This Row],[2025]]*Tariefsopbouw!$M$37+InvulRegie[[#This Row],[2025]]</f>
        <v>#DIV/0!</v>
      </c>
      <c r="H15" s="239" t="e">
        <f>InvulRegie[[#This Row],[2026]]*Tariefsopbouw!$O$37+InvulRegie[[#This Row],[2026]]</f>
        <v>#DIV/0!</v>
      </c>
      <c r="I15" s="239" t="e">
        <f>InvulRegie[[#This Row],[2027]]*Tariefsopbouw!$Q$37+InvulRegie[[#This Row],[2027]]</f>
        <v>#DIV/0!</v>
      </c>
    </row>
    <row r="16" spans="1:9" ht="18.75" customHeight="1">
      <c r="A16" s="416"/>
      <c r="B16" s="75" t="s">
        <v>43</v>
      </c>
      <c r="C16" s="75" t="s">
        <v>188</v>
      </c>
      <c r="D16" s="78">
        <v>0</v>
      </c>
      <c r="E16" s="239" t="e">
        <f>InvulRegie[[#This Row],[Prijs excl. BTW]]*Tariefsopbouw!$I$37+InvulRegie[[#This Row],[Prijs excl. BTW]]</f>
        <v>#DIV/0!</v>
      </c>
      <c r="F16" s="239" t="e">
        <f>InvulRegie[[#This Row],[2024]]*Tariefsopbouw!$K$37+InvulRegie[[#This Row],[2024]]</f>
        <v>#DIV/0!</v>
      </c>
      <c r="G16" s="239" t="e">
        <f>InvulRegie[[#This Row],[2025]]*Tariefsopbouw!$M$37+InvulRegie[[#This Row],[2025]]</f>
        <v>#DIV/0!</v>
      </c>
      <c r="H16" s="239" t="e">
        <f>InvulRegie[[#This Row],[2026]]*Tariefsopbouw!$O$37+InvulRegie[[#This Row],[2026]]</f>
        <v>#DIV/0!</v>
      </c>
      <c r="I16" s="239" t="e">
        <f>InvulRegie[[#This Row],[2027]]*Tariefsopbouw!$Q$37+InvulRegie[[#This Row],[2027]]</f>
        <v>#DIV/0!</v>
      </c>
    </row>
    <row r="17" spans="1:9" ht="18.75" customHeight="1">
      <c r="A17" s="416"/>
      <c r="B17" s="75" t="s">
        <v>189</v>
      </c>
      <c r="C17" s="75" t="s">
        <v>188</v>
      </c>
      <c r="D17" s="78">
        <v>0</v>
      </c>
      <c r="E17" s="239" t="e">
        <f>InvulRegie[[#This Row],[Prijs excl. BTW]]*Tariefsopbouw!$I$37+InvulRegie[[#This Row],[Prijs excl. BTW]]</f>
        <v>#DIV/0!</v>
      </c>
      <c r="F17" s="239" t="e">
        <f>InvulRegie[[#This Row],[2024]]*Tariefsopbouw!$K$37+InvulRegie[[#This Row],[2024]]</f>
        <v>#DIV/0!</v>
      </c>
      <c r="G17" s="239" t="e">
        <f>InvulRegie[[#This Row],[2025]]*Tariefsopbouw!$M$37+InvulRegie[[#This Row],[2025]]</f>
        <v>#DIV/0!</v>
      </c>
      <c r="H17" s="239" t="e">
        <f>InvulRegie[[#This Row],[2026]]*Tariefsopbouw!$O$37+InvulRegie[[#This Row],[2026]]</f>
        <v>#DIV/0!</v>
      </c>
      <c r="I17" s="239" t="e">
        <f>InvulRegie[[#This Row],[2027]]*Tariefsopbouw!$Q$37+InvulRegie[[#This Row],[2027]]</f>
        <v>#DIV/0!</v>
      </c>
    </row>
    <row r="18" spans="1:9" ht="18.75" customHeight="1">
      <c r="A18" s="416"/>
      <c r="B18" s="75" t="s">
        <v>190</v>
      </c>
      <c r="C18" s="75" t="s">
        <v>44</v>
      </c>
      <c r="D18" s="78">
        <v>0</v>
      </c>
      <c r="E18" s="239" t="e">
        <f>InvulRegie[[#This Row],[Prijs excl. BTW]]*Tariefsopbouw!$I$37+InvulRegie[[#This Row],[Prijs excl. BTW]]</f>
        <v>#DIV/0!</v>
      </c>
      <c r="F18" s="239" t="e">
        <f>InvulRegie[[#This Row],[2024]]*Tariefsopbouw!$K$37+InvulRegie[[#This Row],[2024]]</f>
        <v>#DIV/0!</v>
      </c>
      <c r="G18" s="239" t="e">
        <f>InvulRegie[[#This Row],[2025]]*Tariefsopbouw!$M$37+InvulRegie[[#This Row],[2025]]</f>
        <v>#DIV/0!</v>
      </c>
      <c r="H18" s="239" t="e">
        <f>InvulRegie[[#This Row],[2026]]*Tariefsopbouw!$O$37+InvulRegie[[#This Row],[2026]]</f>
        <v>#DIV/0!</v>
      </c>
      <c r="I18" s="239" t="e">
        <f>InvulRegie[[#This Row],[2027]]*Tariefsopbouw!$Q$37+InvulRegie[[#This Row],[2027]]</f>
        <v>#DIV/0!</v>
      </c>
    </row>
    <row r="19" spans="1:9" ht="18.75" customHeight="1">
      <c r="A19" s="416"/>
      <c r="B19" s="75" t="s">
        <v>246</v>
      </c>
      <c r="C19" s="75" t="s">
        <v>44</v>
      </c>
      <c r="D19" s="78">
        <v>0</v>
      </c>
      <c r="E19" s="239" t="e">
        <f>InvulRegie[[#This Row],[Prijs excl. BTW]]*Tariefsopbouw!$I$37+InvulRegie[[#This Row],[Prijs excl. BTW]]</f>
        <v>#DIV/0!</v>
      </c>
      <c r="F19" s="239" t="e">
        <f>InvulRegie[[#This Row],[2024]]*Tariefsopbouw!$K$37+InvulRegie[[#This Row],[2024]]</f>
        <v>#DIV/0!</v>
      </c>
      <c r="G19" s="239" t="e">
        <f>InvulRegie[[#This Row],[2025]]*Tariefsopbouw!$M$37+InvulRegie[[#This Row],[2025]]</f>
        <v>#DIV/0!</v>
      </c>
      <c r="H19" s="239" t="e">
        <f>InvulRegie[[#This Row],[2026]]*Tariefsopbouw!$O$37+InvulRegie[[#This Row],[2026]]</f>
        <v>#DIV/0!</v>
      </c>
      <c r="I19" s="239" t="e">
        <f>InvulRegie[[#This Row],[2027]]*Tariefsopbouw!$Q$37+InvulRegie[[#This Row],[2027]]</f>
        <v>#DIV/0!</v>
      </c>
    </row>
    <row r="20" spans="1:9" ht="18.75" customHeight="1">
      <c r="A20" s="416"/>
      <c r="B20" s="75" t="s">
        <v>191</v>
      </c>
      <c r="C20" s="75" t="s">
        <v>44</v>
      </c>
      <c r="D20" s="78">
        <v>0</v>
      </c>
      <c r="E20" s="239" t="e">
        <f>InvulRegie[[#This Row],[Prijs excl. BTW]]*Tariefsopbouw!$I$37+InvulRegie[[#This Row],[Prijs excl. BTW]]</f>
        <v>#DIV/0!</v>
      </c>
      <c r="F20" s="239" t="e">
        <f>InvulRegie[[#This Row],[2024]]*Tariefsopbouw!$K$37+InvulRegie[[#This Row],[2024]]</f>
        <v>#DIV/0!</v>
      </c>
      <c r="G20" s="239" t="e">
        <f>InvulRegie[[#This Row],[2025]]*Tariefsopbouw!$M$37+InvulRegie[[#This Row],[2025]]</f>
        <v>#DIV/0!</v>
      </c>
      <c r="H20" s="239" t="e">
        <f>InvulRegie[[#This Row],[2026]]*Tariefsopbouw!$O$37+InvulRegie[[#This Row],[2026]]</f>
        <v>#DIV/0!</v>
      </c>
      <c r="I20" s="239" t="e">
        <f>InvulRegie[[#This Row],[2027]]*Tariefsopbouw!$Q$37+InvulRegie[[#This Row],[2027]]</f>
        <v>#DIV/0!</v>
      </c>
    </row>
    <row r="21" spans="1:9" ht="18.75" customHeight="1">
      <c r="A21" s="417"/>
      <c r="B21" s="75" t="s">
        <v>192</v>
      </c>
      <c r="C21" s="75" t="s">
        <v>44</v>
      </c>
      <c r="D21" s="78">
        <v>0</v>
      </c>
      <c r="E21" s="239" t="e">
        <f>InvulRegie[[#This Row],[Prijs excl. BTW]]*Tariefsopbouw!$I$37+InvulRegie[[#This Row],[Prijs excl. BTW]]</f>
        <v>#DIV/0!</v>
      </c>
      <c r="F21" s="239" t="e">
        <f>InvulRegie[[#This Row],[2024]]*Tariefsopbouw!$K$37+InvulRegie[[#This Row],[2024]]</f>
        <v>#DIV/0!</v>
      </c>
      <c r="G21" s="239" t="e">
        <f>InvulRegie[[#This Row],[2025]]*Tariefsopbouw!$M$37+InvulRegie[[#This Row],[2025]]</f>
        <v>#DIV/0!</v>
      </c>
      <c r="H21" s="239" t="e">
        <f>InvulRegie[[#This Row],[2026]]*Tariefsopbouw!$O$37+InvulRegie[[#This Row],[2026]]</f>
        <v>#DIV/0!</v>
      </c>
      <c r="I21" s="239" t="e">
        <f>InvulRegie[[#This Row],[2027]]*Tariefsopbouw!$Q$37+InvulRegie[[#This Row],[2027]]</f>
        <v>#DIV/0!</v>
      </c>
    </row>
    <row r="22" spans="1:9" ht="18.75" customHeight="1">
      <c r="A22" s="415" t="s">
        <v>195</v>
      </c>
      <c r="B22" s="75" t="s">
        <v>57</v>
      </c>
      <c r="C22" s="75" t="s">
        <v>49</v>
      </c>
      <c r="D22" s="78">
        <v>0</v>
      </c>
      <c r="E22" s="239" t="e">
        <f>InvulRegie[[#This Row],[Prijs excl. BTW]]*Tariefsopbouw!$I$37+InvulRegie[[#This Row],[Prijs excl. BTW]]</f>
        <v>#DIV/0!</v>
      </c>
      <c r="F22" s="239" t="e">
        <f>InvulRegie[[#This Row],[2024]]*Tariefsopbouw!$K$37+InvulRegie[[#This Row],[2024]]</f>
        <v>#DIV/0!</v>
      </c>
      <c r="G22" s="239" t="e">
        <f>InvulRegie[[#This Row],[2025]]*Tariefsopbouw!$M$37+InvulRegie[[#This Row],[2025]]</f>
        <v>#DIV/0!</v>
      </c>
      <c r="H22" s="239" t="e">
        <f>InvulRegie[[#This Row],[2026]]*Tariefsopbouw!$O$37+InvulRegie[[#This Row],[2026]]</f>
        <v>#DIV/0!</v>
      </c>
      <c r="I22" s="239" t="e">
        <f>InvulRegie[[#This Row],[2027]]*Tariefsopbouw!$Q$37+InvulRegie[[#This Row],[2027]]</f>
        <v>#DIV/0!</v>
      </c>
    </row>
    <row r="23" spans="1:9" ht="18.75" customHeight="1">
      <c r="A23" s="417"/>
      <c r="B23" s="75" t="s">
        <v>45</v>
      </c>
      <c r="C23" s="75" t="s">
        <v>75</v>
      </c>
      <c r="D23" s="78">
        <v>0</v>
      </c>
      <c r="E23" s="239" t="e">
        <f>InvulRegie[[#This Row],[Prijs excl. BTW]]*Tariefsopbouw!$I$37+InvulRegie[[#This Row],[Prijs excl. BTW]]</f>
        <v>#DIV/0!</v>
      </c>
      <c r="F23" s="239" t="e">
        <f>InvulRegie[[#This Row],[2024]]*Tariefsopbouw!$K$37+InvulRegie[[#This Row],[2024]]</f>
        <v>#DIV/0!</v>
      </c>
      <c r="G23" s="239" t="e">
        <f>InvulRegie[[#This Row],[2025]]*Tariefsopbouw!$M$37+InvulRegie[[#This Row],[2025]]</f>
        <v>#DIV/0!</v>
      </c>
      <c r="H23" s="239" t="e">
        <f>InvulRegie[[#This Row],[2026]]*Tariefsopbouw!$O$37+InvulRegie[[#This Row],[2026]]</f>
        <v>#DIV/0!</v>
      </c>
      <c r="I23" s="239" t="e">
        <f>InvulRegie[[#This Row],[2027]]*Tariefsopbouw!$Q$37+InvulRegie[[#This Row],[2027]]</f>
        <v>#DIV/0!</v>
      </c>
    </row>
    <row r="24" spans="1:9" ht="18.75" customHeight="1">
      <c r="A24" s="415" t="s">
        <v>205</v>
      </c>
      <c r="B24" s="75" t="s">
        <v>196</v>
      </c>
      <c r="C24" s="75" t="s">
        <v>197</v>
      </c>
      <c r="D24" s="78">
        <v>0</v>
      </c>
      <c r="E24" s="239" t="e">
        <f>InvulRegie[[#This Row],[Prijs excl. BTW]]*Tariefsopbouw!$I$37+InvulRegie[[#This Row],[Prijs excl. BTW]]</f>
        <v>#DIV/0!</v>
      </c>
      <c r="F24" s="239" t="e">
        <f>InvulRegie[[#This Row],[2024]]*Tariefsopbouw!$K$37+InvulRegie[[#This Row],[2024]]</f>
        <v>#DIV/0!</v>
      </c>
      <c r="G24" s="239" t="e">
        <f>InvulRegie[[#This Row],[2025]]*Tariefsopbouw!$M$37+InvulRegie[[#This Row],[2025]]</f>
        <v>#DIV/0!</v>
      </c>
      <c r="H24" s="239" t="e">
        <f>InvulRegie[[#This Row],[2026]]*Tariefsopbouw!$O$37+InvulRegie[[#This Row],[2026]]</f>
        <v>#DIV/0!</v>
      </c>
      <c r="I24" s="239" t="e">
        <f>InvulRegie[[#This Row],[2027]]*Tariefsopbouw!$Q$37+InvulRegie[[#This Row],[2027]]</f>
        <v>#DIV/0!</v>
      </c>
    </row>
    <row r="25" spans="1:9" ht="18.75" customHeight="1">
      <c r="A25" s="416"/>
      <c r="B25" s="75" t="s">
        <v>239</v>
      </c>
      <c r="C25" s="75" t="s">
        <v>197</v>
      </c>
      <c r="D25" s="78">
        <v>0</v>
      </c>
      <c r="E25" s="239" t="e">
        <f>InvulRegie[[#This Row],[Prijs excl. BTW]]*Tariefsopbouw!$I$37+InvulRegie[[#This Row],[Prijs excl. BTW]]</f>
        <v>#DIV/0!</v>
      </c>
      <c r="F25" s="239" t="e">
        <f>InvulRegie[[#This Row],[2024]]*Tariefsopbouw!$K$37+InvulRegie[[#This Row],[2024]]</f>
        <v>#DIV/0!</v>
      </c>
      <c r="G25" s="239" t="e">
        <f>InvulRegie[[#This Row],[2025]]*Tariefsopbouw!$M$37+InvulRegie[[#This Row],[2025]]</f>
        <v>#DIV/0!</v>
      </c>
      <c r="H25" s="239" t="e">
        <f>InvulRegie[[#This Row],[2026]]*Tariefsopbouw!$O$37+InvulRegie[[#This Row],[2026]]</f>
        <v>#DIV/0!</v>
      </c>
      <c r="I25" s="239" t="e">
        <f>InvulRegie[[#This Row],[2027]]*Tariefsopbouw!$Q$37+InvulRegie[[#This Row],[2027]]</f>
        <v>#DIV/0!</v>
      </c>
    </row>
    <row r="26" spans="1:9" ht="18.75" customHeight="1">
      <c r="A26" s="416"/>
      <c r="B26" s="75" t="s">
        <v>241</v>
      </c>
      <c r="C26" s="75" t="s">
        <v>197</v>
      </c>
      <c r="D26" s="78">
        <v>0</v>
      </c>
      <c r="E26" s="239" t="e">
        <f>InvulRegie[[#This Row],[Prijs excl. BTW]]*Tariefsopbouw!$I$37+InvulRegie[[#This Row],[Prijs excl. BTW]]</f>
        <v>#DIV/0!</v>
      </c>
      <c r="F26" s="239" t="e">
        <f>InvulRegie[[#This Row],[2024]]*Tariefsopbouw!$K$37+InvulRegie[[#This Row],[2024]]</f>
        <v>#DIV/0!</v>
      </c>
      <c r="G26" s="239" t="e">
        <f>InvulRegie[[#This Row],[2025]]*Tariefsopbouw!$M$37+InvulRegie[[#This Row],[2025]]</f>
        <v>#DIV/0!</v>
      </c>
      <c r="H26" s="239" t="e">
        <f>InvulRegie[[#This Row],[2026]]*Tariefsopbouw!$O$37+InvulRegie[[#This Row],[2026]]</f>
        <v>#DIV/0!</v>
      </c>
      <c r="I26" s="239" t="e">
        <f>InvulRegie[[#This Row],[2027]]*Tariefsopbouw!$Q$37+InvulRegie[[#This Row],[2027]]</f>
        <v>#DIV/0!</v>
      </c>
    </row>
    <row r="27" spans="1:9" ht="18.75" customHeight="1">
      <c r="A27" s="416"/>
      <c r="B27" s="75" t="s">
        <v>240</v>
      </c>
      <c r="C27" s="75" t="s">
        <v>197</v>
      </c>
      <c r="D27" s="78">
        <v>0</v>
      </c>
      <c r="E27" s="239" t="e">
        <f>InvulRegie[[#This Row],[Prijs excl. BTW]]*Tariefsopbouw!$I$37+InvulRegie[[#This Row],[Prijs excl. BTW]]</f>
        <v>#DIV/0!</v>
      </c>
      <c r="F27" s="239" t="e">
        <f>InvulRegie[[#This Row],[2024]]*Tariefsopbouw!$K$37+InvulRegie[[#This Row],[2024]]</f>
        <v>#DIV/0!</v>
      </c>
      <c r="G27" s="239" t="e">
        <f>InvulRegie[[#This Row],[2025]]*Tariefsopbouw!$M$37+InvulRegie[[#This Row],[2025]]</f>
        <v>#DIV/0!</v>
      </c>
      <c r="H27" s="239" t="e">
        <f>InvulRegie[[#This Row],[2026]]*Tariefsopbouw!$O$37+InvulRegie[[#This Row],[2026]]</f>
        <v>#DIV/0!</v>
      </c>
      <c r="I27" s="239" t="e">
        <f>InvulRegie[[#This Row],[2027]]*Tariefsopbouw!$Q$37+InvulRegie[[#This Row],[2027]]</f>
        <v>#DIV/0!</v>
      </c>
    </row>
    <row r="28" spans="1:9" ht="18.75" customHeight="1">
      <c r="A28" s="417"/>
      <c r="B28" s="75" t="s">
        <v>48</v>
      </c>
      <c r="C28" s="75" t="s">
        <v>197</v>
      </c>
      <c r="D28" s="78">
        <v>0</v>
      </c>
      <c r="E28" s="239" t="e">
        <f>InvulRegie[[#This Row],[Prijs excl. BTW]]*Tariefsopbouw!$I$37+InvulRegie[[#This Row],[Prijs excl. BTW]]</f>
        <v>#DIV/0!</v>
      </c>
      <c r="F28" s="239" t="e">
        <f>InvulRegie[[#This Row],[2024]]*Tariefsopbouw!$K$37+InvulRegie[[#This Row],[2024]]</f>
        <v>#DIV/0!</v>
      </c>
      <c r="G28" s="239" t="e">
        <f>InvulRegie[[#This Row],[2025]]*Tariefsopbouw!$M$37+InvulRegie[[#This Row],[2025]]</f>
        <v>#DIV/0!</v>
      </c>
      <c r="H28" s="239" t="e">
        <f>InvulRegie[[#This Row],[2026]]*Tariefsopbouw!$O$37+InvulRegie[[#This Row],[2026]]</f>
        <v>#DIV/0!</v>
      </c>
      <c r="I28" s="239" t="e">
        <f>InvulRegie[[#This Row],[2027]]*Tariefsopbouw!$Q$37+InvulRegie[[#This Row],[2027]]</f>
        <v>#DIV/0!</v>
      </c>
    </row>
    <row r="29" spans="1:9" ht="18.75" customHeight="1">
      <c r="A29" s="415" t="s">
        <v>206</v>
      </c>
      <c r="B29" s="74" t="s">
        <v>207</v>
      </c>
      <c r="C29" s="75" t="s">
        <v>194</v>
      </c>
      <c r="D29" s="78">
        <v>0</v>
      </c>
      <c r="E29" s="239" t="e">
        <f>InvulRegie[[#This Row],[Prijs excl. BTW]]*Tariefsopbouw!$I$37+InvulRegie[[#This Row],[Prijs excl. BTW]]</f>
        <v>#DIV/0!</v>
      </c>
      <c r="F29" s="237" t="e">
        <f>InvulRegie[[#This Row],[2024]]*Tariefsopbouw!$K$37+InvulRegie[[#This Row],[2024]]</f>
        <v>#DIV/0!</v>
      </c>
      <c r="G29" s="239" t="e">
        <f>InvulRegie[[#This Row],[2025]]*Tariefsopbouw!$M$37+InvulRegie[[#This Row],[2025]]</f>
        <v>#DIV/0!</v>
      </c>
      <c r="H29" s="239" t="e">
        <f>InvulRegie[[#This Row],[2026]]*Tariefsopbouw!$O$37+InvulRegie[[#This Row],[2026]]</f>
        <v>#DIV/0!</v>
      </c>
      <c r="I29" s="239" t="e">
        <f>InvulRegie[[#This Row],[2027]]*Tariefsopbouw!$Q$37+InvulRegie[[#This Row],[2027]]</f>
        <v>#DIV/0!</v>
      </c>
    </row>
    <row r="30" spans="1:9" ht="18.75" customHeight="1">
      <c r="A30" s="416"/>
      <c r="B30" s="74" t="s">
        <v>208</v>
      </c>
      <c r="C30" s="75" t="s">
        <v>194</v>
      </c>
      <c r="D30" s="78">
        <v>0</v>
      </c>
      <c r="E30" s="239" t="e">
        <f>InvulRegie[[#This Row],[Prijs excl. BTW]]*Tariefsopbouw!$I$37+InvulRegie[[#This Row],[Prijs excl. BTW]]</f>
        <v>#DIV/0!</v>
      </c>
      <c r="F30" s="237" t="e">
        <f>InvulRegie[[#This Row],[2024]]*Tariefsopbouw!$K$37+InvulRegie[[#This Row],[2024]]</f>
        <v>#DIV/0!</v>
      </c>
      <c r="G30" s="239" t="e">
        <f>InvulRegie[[#This Row],[2025]]*Tariefsopbouw!$M$37+InvulRegie[[#This Row],[2025]]</f>
        <v>#DIV/0!</v>
      </c>
      <c r="H30" s="239" t="e">
        <f>InvulRegie[[#This Row],[2026]]*Tariefsopbouw!$O$37+InvulRegie[[#This Row],[2026]]</f>
        <v>#DIV/0!</v>
      </c>
      <c r="I30" s="239" t="e">
        <f>InvulRegie[[#This Row],[2027]]*Tariefsopbouw!$Q$37+InvulRegie[[#This Row],[2027]]</f>
        <v>#DIV/0!</v>
      </c>
    </row>
    <row r="31" spans="1:9" ht="18.75" customHeight="1">
      <c r="A31" s="417"/>
      <c r="B31" s="74" t="s">
        <v>209</v>
      </c>
      <c r="C31" s="75" t="s">
        <v>194</v>
      </c>
      <c r="D31" s="78">
        <v>0</v>
      </c>
      <c r="E31" s="239" t="e">
        <f>InvulRegie[[#This Row],[Prijs excl. BTW]]*Tariefsopbouw!$I$37+InvulRegie[[#This Row],[Prijs excl. BTW]]</f>
        <v>#DIV/0!</v>
      </c>
      <c r="F31" s="237" t="e">
        <f>InvulRegie[[#This Row],[2024]]*Tariefsopbouw!$K$37+InvulRegie[[#This Row],[2024]]</f>
        <v>#DIV/0!</v>
      </c>
      <c r="G31" s="239" t="e">
        <f>InvulRegie[[#This Row],[2025]]*Tariefsopbouw!$M$37+InvulRegie[[#This Row],[2025]]</f>
        <v>#DIV/0!</v>
      </c>
      <c r="H31" s="239" t="e">
        <f>InvulRegie[[#This Row],[2026]]*Tariefsopbouw!$O$37+InvulRegie[[#This Row],[2026]]</f>
        <v>#DIV/0!</v>
      </c>
      <c r="I31" s="239" t="e">
        <f>InvulRegie[[#This Row],[2027]]*Tariefsopbouw!$Q$37+InvulRegie[[#This Row],[2027]]</f>
        <v>#DIV/0!</v>
      </c>
    </row>
    <row r="32" spans="1:9" ht="18.75" customHeight="1">
      <c r="A32" s="415" t="s">
        <v>202</v>
      </c>
      <c r="B32" s="75" t="s">
        <v>50</v>
      </c>
      <c r="C32" s="75" t="s">
        <v>49</v>
      </c>
      <c r="D32" s="78">
        <v>0</v>
      </c>
      <c r="E32" s="239" t="e">
        <f>InvulRegie[[#This Row],[Prijs excl. BTW]]*Tariefsopbouw!$I$37+InvulRegie[[#This Row],[Prijs excl. BTW]]</f>
        <v>#DIV/0!</v>
      </c>
      <c r="F32" s="239" t="e">
        <f>InvulRegie[[#This Row],[2024]]*Tariefsopbouw!$K$37+InvulRegie[[#This Row],[2024]]</f>
        <v>#DIV/0!</v>
      </c>
      <c r="G32" s="239" t="e">
        <f>InvulRegie[[#This Row],[2025]]*Tariefsopbouw!$M$37+InvulRegie[[#This Row],[2025]]</f>
        <v>#DIV/0!</v>
      </c>
      <c r="H32" s="239" t="e">
        <f>InvulRegie[[#This Row],[2026]]*Tariefsopbouw!$O$37+InvulRegie[[#This Row],[2026]]</f>
        <v>#DIV/0!</v>
      </c>
      <c r="I32" s="239" t="e">
        <f>InvulRegie[[#This Row],[2027]]*Tariefsopbouw!$Q$37+InvulRegie[[#This Row],[2027]]</f>
        <v>#DIV/0!</v>
      </c>
    </row>
    <row r="33" spans="1:9" ht="18.75" customHeight="1">
      <c r="A33" s="416"/>
      <c r="B33" s="75" t="s">
        <v>51</v>
      </c>
      <c r="C33" s="75" t="s">
        <v>49</v>
      </c>
      <c r="D33" s="78">
        <v>0</v>
      </c>
      <c r="E33" s="239" t="e">
        <f>InvulRegie[[#This Row],[Prijs excl. BTW]]*Tariefsopbouw!$I$37+InvulRegie[[#This Row],[Prijs excl. BTW]]</f>
        <v>#DIV/0!</v>
      </c>
      <c r="F33" s="239" t="e">
        <f>InvulRegie[[#This Row],[2024]]*Tariefsopbouw!$K$37+InvulRegie[[#This Row],[2024]]</f>
        <v>#DIV/0!</v>
      </c>
      <c r="G33" s="239" t="e">
        <f>InvulRegie[[#This Row],[2025]]*Tariefsopbouw!$M$37+InvulRegie[[#This Row],[2025]]</f>
        <v>#DIV/0!</v>
      </c>
      <c r="H33" s="239" t="e">
        <f>InvulRegie[[#This Row],[2026]]*Tariefsopbouw!$O$37+InvulRegie[[#This Row],[2026]]</f>
        <v>#DIV/0!</v>
      </c>
      <c r="I33" s="239" t="e">
        <f>InvulRegie[[#This Row],[2027]]*Tariefsopbouw!$Q$37+InvulRegie[[#This Row],[2027]]</f>
        <v>#DIV/0!</v>
      </c>
    </row>
    <row r="34" spans="1:9" ht="18.75" customHeight="1">
      <c r="A34" s="416"/>
      <c r="B34" s="75" t="s">
        <v>52</v>
      </c>
      <c r="C34" s="75" t="s">
        <v>49</v>
      </c>
      <c r="D34" s="78">
        <v>0</v>
      </c>
      <c r="E34" s="239" t="e">
        <f>InvulRegie[[#This Row],[Prijs excl. BTW]]*Tariefsopbouw!$I$37+InvulRegie[[#This Row],[Prijs excl. BTW]]</f>
        <v>#DIV/0!</v>
      </c>
      <c r="F34" s="239" t="e">
        <f>InvulRegie[[#This Row],[2024]]*Tariefsopbouw!$K$37+InvulRegie[[#This Row],[2024]]</f>
        <v>#DIV/0!</v>
      </c>
      <c r="G34" s="239" t="e">
        <f>InvulRegie[[#This Row],[2025]]*Tariefsopbouw!$M$37+InvulRegie[[#This Row],[2025]]</f>
        <v>#DIV/0!</v>
      </c>
      <c r="H34" s="239" t="e">
        <f>InvulRegie[[#This Row],[2026]]*Tariefsopbouw!$O$37+InvulRegie[[#This Row],[2026]]</f>
        <v>#DIV/0!</v>
      </c>
      <c r="I34" s="239" t="e">
        <f>InvulRegie[[#This Row],[2027]]*Tariefsopbouw!$Q$37+InvulRegie[[#This Row],[2027]]</f>
        <v>#DIV/0!</v>
      </c>
    </row>
    <row r="35" spans="1:9" ht="18.75" customHeight="1">
      <c r="A35" s="416"/>
      <c r="B35" s="75" t="s">
        <v>53</v>
      </c>
      <c r="C35" s="75" t="s">
        <v>49</v>
      </c>
      <c r="D35" s="78">
        <v>0</v>
      </c>
      <c r="E35" s="239" t="e">
        <f>InvulRegie[[#This Row],[Prijs excl. BTW]]*Tariefsopbouw!$I$37+InvulRegie[[#This Row],[Prijs excl. BTW]]</f>
        <v>#DIV/0!</v>
      </c>
      <c r="F35" s="239" t="e">
        <f>InvulRegie[[#This Row],[2024]]*Tariefsopbouw!$K$37+InvulRegie[[#This Row],[2024]]</f>
        <v>#DIV/0!</v>
      </c>
      <c r="G35" s="239" t="e">
        <f>InvulRegie[[#This Row],[2025]]*Tariefsopbouw!$M$37+InvulRegie[[#This Row],[2025]]</f>
        <v>#DIV/0!</v>
      </c>
      <c r="H35" s="239" t="e">
        <f>InvulRegie[[#This Row],[2026]]*Tariefsopbouw!$O$37+InvulRegie[[#This Row],[2026]]</f>
        <v>#DIV/0!</v>
      </c>
      <c r="I35" s="239" t="e">
        <f>InvulRegie[[#This Row],[2027]]*Tariefsopbouw!$Q$37+InvulRegie[[#This Row],[2027]]</f>
        <v>#DIV/0!</v>
      </c>
    </row>
    <row r="36" spans="1:9" ht="18.75" customHeight="1">
      <c r="A36" s="417"/>
      <c r="B36" s="75" t="s">
        <v>46</v>
      </c>
      <c r="C36" s="75" t="s">
        <v>47</v>
      </c>
      <c r="D36" s="78">
        <v>0</v>
      </c>
      <c r="E36" s="239" t="e">
        <f>InvulRegie[[#This Row],[Prijs excl. BTW]]*Tariefsopbouw!$I$37+InvulRegie[[#This Row],[Prijs excl. BTW]]</f>
        <v>#DIV/0!</v>
      </c>
      <c r="F36" s="239" t="e">
        <f>InvulRegie[[#This Row],[2024]]*Tariefsopbouw!$K$37+InvulRegie[[#This Row],[2024]]</f>
        <v>#DIV/0!</v>
      </c>
      <c r="G36" s="239" t="e">
        <f>InvulRegie[[#This Row],[2025]]*Tariefsopbouw!$M$37+InvulRegie[[#This Row],[2025]]</f>
        <v>#DIV/0!</v>
      </c>
      <c r="H36" s="239" t="e">
        <f>InvulRegie[[#This Row],[2026]]*Tariefsopbouw!$O$37+InvulRegie[[#This Row],[2026]]</f>
        <v>#DIV/0!</v>
      </c>
      <c r="I36" s="239" t="e">
        <f>InvulRegie[[#This Row],[2027]]*Tariefsopbouw!$Q$37+InvulRegie[[#This Row],[2027]]</f>
        <v>#DIV/0!</v>
      </c>
    </row>
    <row r="37" spans="1:9" ht="18.75" customHeight="1">
      <c r="A37" s="418" t="s">
        <v>203</v>
      </c>
      <c r="B37" s="75" t="s">
        <v>54</v>
      </c>
      <c r="C37" s="75" t="s">
        <v>230</v>
      </c>
      <c r="D37" s="78">
        <v>0</v>
      </c>
      <c r="E37" s="239" t="e">
        <f>InvulRegie[[#This Row],[Prijs excl. BTW]]*Tariefsopbouw!$I$37+InvulRegie[[#This Row],[Prijs excl. BTW]]</f>
        <v>#DIV/0!</v>
      </c>
      <c r="F37" s="239" t="e">
        <f>InvulRegie[[#This Row],[2024]]*Tariefsopbouw!$K$37+InvulRegie[[#This Row],[2024]]</f>
        <v>#DIV/0!</v>
      </c>
      <c r="G37" s="239" t="e">
        <f>InvulRegie[[#This Row],[2025]]*Tariefsopbouw!$M$37+InvulRegie[[#This Row],[2025]]</f>
        <v>#DIV/0!</v>
      </c>
      <c r="H37" s="239" t="e">
        <f>InvulRegie[[#This Row],[2026]]*Tariefsopbouw!$O$37+InvulRegie[[#This Row],[2026]]</f>
        <v>#DIV/0!</v>
      </c>
      <c r="I37" s="239" t="e">
        <f>InvulRegie[[#This Row],[2027]]*Tariefsopbouw!$Q$37+InvulRegie[[#This Row],[2027]]</f>
        <v>#DIV/0!</v>
      </c>
    </row>
    <row r="38" spans="1:9" ht="18.75" customHeight="1">
      <c r="A38" s="419"/>
      <c r="B38" s="75" t="s">
        <v>55</v>
      </c>
      <c r="C38" s="75" t="s">
        <v>56</v>
      </c>
      <c r="D38" s="78">
        <v>0</v>
      </c>
      <c r="E38" s="239" t="e">
        <f>InvulRegie[[#This Row],[Prijs excl. BTW]]*Tariefsopbouw!$I$37+InvulRegie[[#This Row],[Prijs excl. BTW]]</f>
        <v>#DIV/0!</v>
      </c>
      <c r="F38" s="239" t="e">
        <f>InvulRegie[[#This Row],[2024]]*Tariefsopbouw!$K$37+InvulRegie[[#This Row],[2024]]</f>
        <v>#DIV/0!</v>
      </c>
      <c r="G38" s="239" t="e">
        <f>InvulRegie[[#This Row],[2025]]*Tariefsopbouw!$M$37+InvulRegie[[#This Row],[2025]]</f>
        <v>#DIV/0!</v>
      </c>
      <c r="H38" s="239" t="e">
        <f>InvulRegie[[#This Row],[2026]]*Tariefsopbouw!$O$37+InvulRegie[[#This Row],[2026]]</f>
        <v>#DIV/0!</v>
      </c>
      <c r="I38" s="239" t="e">
        <f>InvulRegie[[#This Row],[2027]]*Tariefsopbouw!$Q$37+InvulRegie[[#This Row],[2027]]</f>
        <v>#DIV/0!</v>
      </c>
    </row>
    <row r="39" spans="1:9" ht="18.75" customHeight="1">
      <c r="A39" s="419"/>
      <c r="B39" s="75" t="s">
        <v>792</v>
      </c>
      <c r="C39" s="75" t="s">
        <v>56</v>
      </c>
      <c r="D39" s="78">
        <v>0</v>
      </c>
      <c r="E39" s="239" t="e">
        <f>InvulRegie[[#This Row],[Prijs excl. BTW]]*Tariefsopbouw!$I$37+InvulRegie[[#This Row],[Prijs excl. BTW]]</f>
        <v>#DIV/0!</v>
      </c>
      <c r="F39" s="239" t="e">
        <f>InvulRegie[[#This Row],[2024]]*Tariefsopbouw!$K$37+InvulRegie[[#This Row],[2024]]</f>
        <v>#DIV/0!</v>
      </c>
      <c r="G39" s="239" t="e">
        <f>InvulRegie[[#This Row],[2025]]*Tariefsopbouw!$M$37+InvulRegie[[#This Row],[2025]]</f>
        <v>#DIV/0!</v>
      </c>
      <c r="H39" s="239" t="e">
        <f>InvulRegie[[#This Row],[2026]]*Tariefsopbouw!$O$37+InvulRegie[[#This Row],[2026]]</f>
        <v>#DIV/0!</v>
      </c>
      <c r="I39" s="239" t="e">
        <f>InvulRegie[[#This Row],[2027]]*Tariefsopbouw!$Q$37+InvulRegie[[#This Row],[2027]]</f>
        <v>#DIV/0!</v>
      </c>
    </row>
    <row r="40" spans="1:9" ht="18.75" customHeight="1">
      <c r="A40" s="420"/>
      <c r="B40" s="75" t="s">
        <v>793</v>
      </c>
      <c r="C40" s="75" t="s">
        <v>56</v>
      </c>
      <c r="D40" s="78">
        <v>0</v>
      </c>
      <c r="E40" s="239" t="e">
        <f>InvulRegie[[#This Row],[Prijs excl. BTW]]*Tariefsopbouw!$I$37+InvulRegie[[#This Row],[Prijs excl. BTW]]</f>
        <v>#DIV/0!</v>
      </c>
      <c r="F40" s="239" t="e">
        <f>InvulRegie[[#This Row],[2024]]*Tariefsopbouw!$K$37+InvulRegie[[#This Row],[2024]]</f>
        <v>#DIV/0!</v>
      </c>
      <c r="G40" s="239" t="e">
        <f>InvulRegie[[#This Row],[2025]]*Tariefsopbouw!$M$37+InvulRegie[[#This Row],[2025]]</f>
        <v>#DIV/0!</v>
      </c>
      <c r="H40" s="239" t="e">
        <f>InvulRegie[[#This Row],[2026]]*Tariefsopbouw!$O$37+InvulRegie[[#This Row],[2026]]</f>
        <v>#DIV/0!</v>
      </c>
      <c r="I40" s="239" t="e">
        <f>InvulRegie[[#This Row],[2027]]*Tariefsopbouw!$Q$37+InvulRegie[[#This Row],[2027]]</f>
        <v>#DIV/0!</v>
      </c>
    </row>
    <row r="41" spans="1:9" s="166" customFormat="1" ht="26.25" customHeight="1">
      <c r="A41" s="165"/>
      <c r="B41" s="234" t="s">
        <v>33</v>
      </c>
      <c r="C41" s="234"/>
      <c r="D41" s="234"/>
      <c r="E41" s="234"/>
      <c r="F41" s="234"/>
      <c r="G41" s="234"/>
      <c r="H41" s="234"/>
      <c r="I41" s="234"/>
    </row>
    <row r="76" spans="1:1" ht="18.75" customHeight="1">
      <c r="A76" s="72"/>
    </row>
    <row r="77" spans="1:1" ht="18.75" customHeight="1">
      <c r="A77" s="72"/>
    </row>
    <row r="78" spans="1:1" ht="18.75" customHeight="1">
      <c r="A78" s="72"/>
    </row>
    <row r="79" spans="1:1" ht="18.75" customHeight="1">
      <c r="A79" s="72"/>
    </row>
    <row r="80" spans="1:1" ht="18.75" customHeight="1">
      <c r="A80" s="72"/>
    </row>
    <row r="81" spans="1:1" ht="18.75" customHeight="1">
      <c r="A81" s="72"/>
    </row>
    <row r="82" spans="1:1" ht="18.75" customHeight="1">
      <c r="A82" s="72"/>
    </row>
    <row r="83" spans="1:1" ht="18.75" customHeight="1">
      <c r="A83" s="72"/>
    </row>
    <row r="84" spans="1:1" ht="18.75" customHeight="1">
      <c r="A84" s="72"/>
    </row>
    <row r="85" spans="1:1" ht="18.75" customHeight="1">
      <c r="A85" s="72"/>
    </row>
    <row r="86" spans="1:1" ht="18.75" customHeight="1">
      <c r="A86" s="72"/>
    </row>
    <row r="87" spans="1:1" ht="18.75" customHeight="1">
      <c r="A87" s="72"/>
    </row>
    <row r="88" spans="1:1" ht="18.75" customHeight="1">
      <c r="A88" s="72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K21"/>
  <sheetViews>
    <sheetView showGridLines="0" zoomScaleNormal="100" zoomScaleSheetLayoutView="100" workbookViewId="0">
      <selection activeCell="G12" sqref="G12"/>
    </sheetView>
  </sheetViews>
  <sheetFormatPr defaultColWidth="9.140625" defaultRowHeight="18.75" customHeight="1"/>
  <cols>
    <col min="1" max="1" width="13.7109375" style="3" customWidth="1"/>
    <col min="2" max="2" width="29.28515625" style="157" bestFit="1" customWidth="1"/>
    <col min="3" max="6" width="23.28515625" style="3" customWidth="1"/>
    <col min="7" max="7" width="20.7109375" style="3" customWidth="1"/>
    <col min="8" max="8" width="18.28515625" style="3" bestFit="1" customWidth="1"/>
    <col min="9" max="10" width="15.85546875" style="3" customWidth="1"/>
    <col min="11" max="16384" width="9.140625" style="3"/>
  </cols>
  <sheetData>
    <row r="1" spans="1:11" s="7" customFormat="1" ht="25.5" customHeight="1">
      <c r="A1" s="396" t="s">
        <v>219</v>
      </c>
      <c r="B1" s="396"/>
      <c r="C1" s="396"/>
      <c r="D1" s="396"/>
      <c r="E1" s="396"/>
      <c r="F1" s="396"/>
      <c r="G1" s="396"/>
      <c r="H1" s="396"/>
    </row>
    <row r="2" spans="1:11" s="7" customFormat="1" ht="15" customHeight="1">
      <c r="A2" s="406" t="s">
        <v>232</v>
      </c>
      <c r="B2" s="385"/>
      <c r="C2" s="385"/>
      <c r="D2" s="385"/>
      <c r="E2" s="385"/>
      <c r="F2" s="385"/>
      <c r="G2" s="385"/>
      <c r="H2" s="385"/>
    </row>
    <row r="3" spans="1:11" s="4" customFormat="1" ht="15" customHeight="1">
      <c r="B3" s="33"/>
    </row>
    <row r="4" spans="1:11" ht="18.75" customHeight="1">
      <c r="A4" s="157"/>
      <c r="B4" s="3"/>
    </row>
    <row r="5" spans="1:11" ht="26.25" customHeight="1">
      <c r="A5" s="88" t="s">
        <v>229</v>
      </c>
      <c r="B5" s="3"/>
    </row>
    <row r="6" spans="1:11" s="48" customFormat="1" ht="25.5" customHeight="1">
      <c r="A6" s="152" t="s">
        <v>214</v>
      </c>
      <c r="B6" s="153" t="s">
        <v>149</v>
      </c>
      <c r="C6" s="152" t="s">
        <v>167</v>
      </c>
      <c r="D6" s="154" t="s">
        <v>131</v>
      </c>
      <c r="E6" s="154" t="s">
        <v>168</v>
      </c>
      <c r="F6" s="152" t="s">
        <v>130</v>
      </c>
      <c r="G6" s="155" t="s">
        <v>169</v>
      </c>
      <c r="H6" s="49" t="s">
        <v>170</v>
      </c>
    </row>
    <row r="7" spans="1:11" ht="18.75" customHeight="1">
      <c r="A7" s="156">
        <v>1</v>
      </c>
      <c r="B7" s="42" t="str">
        <f>VLOOKUP(Samenvattingschoonmaak[[#This Row],[Code Locatie]],Locaties[],2,0)</f>
        <v>Hoornbeeck College Gouda</v>
      </c>
      <c r="C7" s="44">
        <f>SUMIF('Ruimtestaat'!$A:$A,Totalisatie!$A7,'Ruimtestaat'!$N:$N)</f>
        <v>5843.0800000000017</v>
      </c>
      <c r="D7" s="44">
        <f>SUMIF('Ruimtestaat'!$A:$A,Totalisatie!$A7,'Ruimtestaat'!$AE:$AE)</f>
        <v>1059251.4799999997</v>
      </c>
      <c r="E7" s="45">
        <f>SUMIF('Ruimtestaat'!$A:$A,Totalisatie!$A7,'Ruimtestaat'!$AF:$AF)</f>
        <v>0</v>
      </c>
      <c r="F7" s="46" t="e">
        <f t="shared" ref="F7" si="0">D7/E7</f>
        <v>#DIV/0!</v>
      </c>
      <c r="G7" s="47">
        <f>SUMIF('Ruimtestaat'!$A:$A,Totalisatie!$A7,'Ruimtestaat'!$AG:$AG)</f>
        <v>0</v>
      </c>
      <c r="H7" s="151">
        <f t="shared" ref="H7" si="1">G7/C7</f>
        <v>0</v>
      </c>
    </row>
    <row r="8" spans="1:11" s="48" customFormat="1" ht="21" customHeight="1">
      <c r="A8" s="178"/>
      <c r="B8" s="179" t="s">
        <v>33</v>
      </c>
      <c r="C8" s="180">
        <f>SUBTOTAL(109,Samenvattingschoonmaak[Oppervlakte i/o])</f>
        <v>5843.0800000000017</v>
      </c>
      <c r="D8" s="180">
        <f>SUBTOTAL(109,Samenvattingschoonmaak[Prest. (m2 /jaar)])</f>
        <v>1059251.4799999997</v>
      </c>
      <c r="E8" s="181">
        <f>SUBTOTAL(109,Samenvattingschoonmaak[Uren / jaar])</f>
        <v>0</v>
      </c>
      <c r="F8" s="180" t="e">
        <f>Samenvattingschoonmaak[[#Totals],[Prest. (m2 /jaar)]]/Samenvattingschoonmaak[[#Totals],[Uren / jaar]]</f>
        <v>#DIV/0!</v>
      </c>
      <c r="G8" s="182">
        <f>SUBTOTAL(109,Samenvattingschoonmaak[Kosten / jaar])</f>
        <v>0</v>
      </c>
      <c r="H8" s="183">
        <f>Samenvattingschoonmaak[[#Totals],[Kosten / jaar]]/Samenvattingschoonmaak[[#Totals],[Oppervlakte i/o]]</f>
        <v>0</v>
      </c>
    </row>
    <row r="9" spans="1:11" ht="18.75" customHeight="1">
      <c r="A9" s="157"/>
      <c r="B9" s="3"/>
    </row>
    <row r="10" spans="1:11" ht="18.75" customHeight="1">
      <c r="A10" s="88" t="s">
        <v>173</v>
      </c>
      <c r="B10" s="43"/>
      <c r="C10" s="43"/>
      <c r="D10" s="43"/>
      <c r="E10" s="43"/>
      <c r="F10" s="43"/>
      <c r="G10" s="43"/>
      <c r="H10" s="43"/>
    </row>
    <row r="11" spans="1:11" ht="25.5" customHeight="1">
      <c r="A11" s="152" t="s">
        <v>214</v>
      </c>
      <c r="B11" s="153" t="s">
        <v>221</v>
      </c>
      <c r="C11" s="152" t="s">
        <v>175</v>
      </c>
      <c r="D11" s="155" t="s">
        <v>171</v>
      </c>
      <c r="E11" s="155" t="s">
        <v>172</v>
      </c>
      <c r="F11" s="155" t="s">
        <v>438</v>
      </c>
      <c r="G11" s="155" t="s">
        <v>704</v>
      </c>
      <c r="H11" s="155" t="s">
        <v>791</v>
      </c>
      <c r="I11" s="155" t="s">
        <v>220</v>
      </c>
    </row>
    <row r="12" spans="1:11" ht="18.75" customHeight="1">
      <c r="A12" s="156">
        <v>1</v>
      </c>
      <c r="B12" s="42" t="str">
        <f>VLOOKUP(Totalisatie[[#This Row],[Code Locatie]],Locaties[],2,0)</f>
        <v>Hoornbeeck College Gouda</v>
      </c>
      <c r="C12" s="47">
        <f>SUMIF('Ruimtestaat'!A:A,Totalisatie[[#This Row],[Code Locatie]],'Ruimtestaat'!AG:AG)</f>
        <v>0</v>
      </c>
      <c r="D12" s="47">
        <f>SUMIF(Vloeronderhoud!$A$21:$A$25,Totalisatie[[#This Row],[Code Locatie]],Vloeronderhoud!$H$21:$H$25)</f>
        <v>0</v>
      </c>
      <c r="E12" s="47">
        <f>SUMIF(OverzichtExtra[Code Locatie],Totalisatie[[#This Row],[Code Locatie]],OverzichtExtra[Kosten/jaar excl. BTW])</f>
        <v>0</v>
      </c>
      <c r="F12" s="47">
        <f ca="1">SUMIF(OverzichtGlas[[Code Locatie]:[Kosten/jaar excl. BTW]],Totalisatie[[#This Row],[Code Locatie]],OverzichtGlas[Kosten/jaar excl. BTW])</f>
        <v>0</v>
      </c>
      <c r="G12" s="47">
        <f ca="1">SUMIF(Tabel12[#All],Totalisatie[[#This Row],[Locaties]],Reinigingsmiddelen!K5:K31)</f>
        <v>0</v>
      </c>
      <c r="H12" s="47">
        <f ca="1">SUMIF(Logistiek!A3:H3,Totalisatie[[#This Row],[Locaties]],Logistiek!H3:H3)</f>
        <v>0</v>
      </c>
      <c r="I12" s="47">
        <f ca="1">SUM(Totalisatie[[#This Row],[Schoonmaakonderhoud
Kosten / jaar]:[Logistiek Kosten / jaar]])</f>
        <v>0</v>
      </c>
      <c r="K12" s="194"/>
    </row>
    <row r="13" spans="1:11" ht="18.75" customHeight="1">
      <c r="A13" s="175"/>
      <c r="B13" s="176" t="s">
        <v>33</v>
      </c>
      <c r="C13" s="177">
        <f>SUBTOTAL(109,Totalisatie[Schoonmaakonderhoud
Kosten / jaar])</f>
        <v>0</v>
      </c>
      <c r="D13" s="177">
        <f>SUBTOTAL(109,Totalisatie[Vloeronderhoud
Kosten / jaar])</f>
        <v>0</v>
      </c>
      <c r="E13" s="177">
        <f>SUBTOTAL(109,Totalisatie[Extra Werkzaamheden
Kosten / jaar])</f>
        <v>0</v>
      </c>
      <c r="F13" s="177">
        <f ca="1">SUBTOTAL(109,Totalisatie[Glasbewassing
Kosten / jaar])</f>
        <v>0</v>
      </c>
      <c r="G13" s="177">
        <f ca="1">SUBTOTAL(109,Totalisatie[Reinigingsmiddelen Kosten / jaar])</f>
        <v>0</v>
      </c>
      <c r="H13" s="177">
        <f ca="1">SUBTOTAL(109,Totalisatie[Logistiek Kosten / jaar])</f>
        <v>0</v>
      </c>
      <c r="I13" s="177">
        <f ca="1">SUBTOTAL(109,Totalisatie[Totaalprijs
Kosten / jaar])</f>
        <v>0</v>
      </c>
    </row>
    <row r="14" spans="1:11" ht="18.75" customHeight="1">
      <c r="A14" s="157"/>
      <c r="B14" s="3"/>
      <c r="H14" s="43"/>
    </row>
    <row r="15" spans="1:11" ht="37.5" customHeight="1">
      <c r="A15" s="88" t="s">
        <v>222</v>
      </c>
      <c r="B15" s="3"/>
      <c r="H15" s="173"/>
    </row>
    <row r="16" spans="1:11" ht="26.25" customHeight="1">
      <c r="A16" s="430" t="s">
        <v>226</v>
      </c>
      <c r="B16" s="431"/>
      <c r="C16" s="432"/>
      <c r="D16" s="432"/>
      <c r="E16" s="432"/>
      <c r="F16" s="432"/>
      <c r="G16" s="433"/>
    </row>
    <row r="17" spans="1:7" ht="18.75" customHeight="1">
      <c r="A17" s="158" t="s">
        <v>135</v>
      </c>
      <c r="B17" s="421"/>
      <c r="C17" s="423"/>
      <c r="D17" s="158" t="s">
        <v>135</v>
      </c>
      <c r="E17" s="421" t="s">
        <v>233</v>
      </c>
      <c r="F17" s="422"/>
      <c r="G17" s="423"/>
    </row>
    <row r="18" spans="1:7" ht="18.75" customHeight="1">
      <c r="A18" s="159" t="s">
        <v>223</v>
      </c>
      <c r="B18" s="424"/>
      <c r="C18" s="426"/>
      <c r="D18" s="159" t="s">
        <v>223</v>
      </c>
      <c r="E18" s="424" t="s">
        <v>233</v>
      </c>
      <c r="F18" s="425"/>
      <c r="G18" s="426"/>
    </row>
    <row r="19" spans="1:7" ht="18.75" customHeight="1">
      <c r="A19" s="158" t="s">
        <v>224</v>
      </c>
      <c r="B19" s="421"/>
      <c r="C19" s="423"/>
      <c r="D19" s="158" t="s">
        <v>224</v>
      </c>
      <c r="E19" s="421" t="s">
        <v>233</v>
      </c>
      <c r="F19" s="422"/>
      <c r="G19" s="423"/>
    </row>
    <row r="20" spans="1:7" ht="84.75" customHeight="1">
      <c r="A20" s="159" t="s">
        <v>225</v>
      </c>
      <c r="B20" s="424" t="s">
        <v>233</v>
      </c>
      <c r="C20" s="426"/>
      <c r="D20" s="159" t="s">
        <v>225</v>
      </c>
      <c r="E20" s="427" t="s">
        <v>233</v>
      </c>
      <c r="F20" s="428"/>
      <c r="G20" s="429"/>
    </row>
    <row r="21" spans="1:7" ht="18.75" customHeight="1">
      <c r="A21" s="158" t="s">
        <v>228</v>
      </c>
      <c r="B21" s="160"/>
      <c r="C21" s="161"/>
      <c r="D21" s="162"/>
      <c r="E21" s="163"/>
      <c r="F21" s="163"/>
      <c r="G21" s="164"/>
    </row>
  </sheetData>
  <mergeCells count="12">
    <mergeCell ref="E20:G20"/>
    <mergeCell ref="A16:B16"/>
    <mergeCell ref="C16:G16"/>
    <mergeCell ref="B17:C17"/>
    <mergeCell ref="B18:C18"/>
    <mergeCell ref="B19:C19"/>
    <mergeCell ref="B20:C20"/>
    <mergeCell ref="A1:H1"/>
    <mergeCell ref="A2:H2"/>
    <mergeCell ref="E17:G17"/>
    <mergeCell ref="E18:G18"/>
    <mergeCell ref="E19:G1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="85" zoomScaleNormal="100" zoomScaleSheetLayoutView="85" workbookViewId="0">
      <selection activeCell="B22" sqref="B22"/>
    </sheetView>
  </sheetViews>
  <sheetFormatPr defaultColWidth="9" defaultRowHeight="15" customHeight="1"/>
  <cols>
    <col min="1" max="1" width="29.5703125" style="246" customWidth="1"/>
    <col min="2" max="2" width="33.28515625" style="246" customWidth="1"/>
    <col min="3" max="3" width="45.42578125" style="246" bestFit="1" customWidth="1"/>
    <col min="4" max="4" width="54" style="246" customWidth="1"/>
    <col min="5" max="16384" width="9" style="240"/>
  </cols>
  <sheetData>
    <row r="1" spans="1:4" ht="12.75">
      <c r="A1" s="205" t="s">
        <v>261</v>
      </c>
      <c r="B1" s="205"/>
      <c r="C1" s="205"/>
      <c r="D1" s="205"/>
    </row>
    <row r="2" spans="1:4" ht="12.75">
      <c r="A2" s="205" t="s">
        <v>262</v>
      </c>
      <c r="B2" s="205" t="s">
        <v>263</v>
      </c>
      <c r="C2" s="205" t="s">
        <v>264</v>
      </c>
      <c r="D2" s="205" t="s">
        <v>265</v>
      </c>
    </row>
    <row r="3" spans="1:4" ht="12.75">
      <c r="A3" s="205"/>
      <c r="B3" s="205"/>
      <c r="C3" s="205"/>
      <c r="D3" s="205" t="s">
        <v>266</v>
      </c>
    </row>
    <row r="4" spans="1:4" ht="12.75">
      <c r="A4" s="205" t="s">
        <v>267</v>
      </c>
      <c r="B4" s="205"/>
      <c r="C4" s="205"/>
      <c r="D4" s="205"/>
    </row>
    <row r="5" spans="1:4" ht="25.5">
      <c r="A5" s="241" t="s">
        <v>268</v>
      </c>
      <c r="B5" s="241"/>
      <c r="C5" s="242" t="s">
        <v>269</v>
      </c>
      <c r="D5" s="242"/>
    </row>
    <row r="6" spans="1:4" ht="25.5">
      <c r="A6" s="241" t="s">
        <v>397</v>
      </c>
      <c r="B6" s="241" t="s">
        <v>280</v>
      </c>
      <c r="C6" s="242" t="s">
        <v>272</v>
      </c>
      <c r="D6" s="242" t="s">
        <v>398</v>
      </c>
    </row>
    <row r="7" spans="1:4" ht="25.5">
      <c r="A7" s="241" t="s">
        <v>270</v>
      </c>
      <c r="B7" s="241" t="s">
        <v>271</v>
      </c>
      <c r="C7" s="242" t="s">
        <v>272</v>
      </c>
      <c r="D7" s="242" t="s">
        <v>273</v>
      </c>
    </row>
    <row r="8" spans="1:4" ht="12.75">
      <c r="A8" s="241" t="s">
        <v>274</v>
      </c>
      <c r="B8" s="241" t="s">
        <v>271</v>
      </c>
      <c r="C8" s="242" t="s">
        <v>272</v>
      </c>
      <c r="D8" s="242" t="s">
        <v>275</v>
      </c>
    </row>
    <row r="9" spans="1:4" ht="25.5">
      <c r="A9" s="241" t="s">
        <v>276</v>
      </c>
      <c r="B9" s="241" t="s">
        <v>277</v>
      </c>
      <c r="C9" s="242" t="s">
        <v>278</v>
      </c>
      <c r="D9" s="242" t="s">
        <v>279</v>
      </c>
    </row>
    <row r="10" spans="1:4" ht="25.5">
      <c r="A10" s="241" t="s">
        <v>276</v>
      </c>
      <c r="B10" s="241" t="s">
        <v>280</v>
      </c>
      <c r="C10" s="242" t="s">
        <v>281</v>
      </c>
      <c r="D10" s="242" t="s">
        <v>279</v>
      </c>
    </row>
    <row r="11" spans="1:4" ht="12.75">
      <c r="A11" s="241" t="s">
        <v>282</v>
      </c>
      <c r="B11" s="241" t="s">
        <v>280</v>
      </c>
      <c r="C11" s="242" t="s">
        <v>283</v>
      </c>
      <c r="D11" s="242"/>
    </row>
    <row r="12" spans="1:4" ht="30" customHeight="1">
      <c r="A12" s="241" t="s">
        <v>284</v>
      </c>
      <c r="B12" s="241" t="s">
        <v>271</v>
      </c>
      <c r="C12" s="242" t="s">
        <v>272</v>
      </c>
      <c r="D12" s="242" t="s">
        <v>285</v>
      </c>
    </row>
    <row r="13" spans="1:4" ht="12.75">
      <c r="A13" s="241" t="s">
        <v>286</v>
      </c>
      <c r="B13" s="241" t="s">
        <v>271</v>
      </c>
      <c r="C13" s="242" t="s">
        <v>272</v>
      </c>
      <c r="D13" s="241" t="s">
        <v>287</v>
      </c>
    </row>
    <row r="14" spans="1:4" ht="25.5">
      <c r="A14" s="243" t="s">
        <v>288</v>
      </c>
      <c r="B14" s="243" t="s">
        <v>271</v>
      </c>
      <c r="C14" s="244" t="s">
        <v>272</v>
      </c>
      <c r="D14" s="244" t="s">
        <v>289</v>
      </c>
    </row>
    <row r="15" spans="1:4" ht="25.5">
      <c r="A15" s="241" t="s">
        <v>290</v>
      </c>
      <c r="B15" s="241" t="s">
        <v>271</v>
      </c>
      <c r="C15" s="242" t="s">
        <v>272</v>
      </c>
      <c r="D15" s="242" t="s">
        <v>291</v>
      </c>
    </row>
    <row r="16" spans="1:4" ht="25.5">
      <c r="A16" s="241" t="s">
        <v>292</v>
      </c>
      <c r="B16" s="241" t="s">
        <v>280</v>
      </c>
      <c r="C16" s="242" t="s">
        <v>272</v>
      </c>
      <c r="D16" s="242" t="s">
        <v>293</v>
      </c>
    </row>
    <row r="17" spans="1:4" ht="25.5">
      <c r="A17" s="241" t="s">
        <v>294</v>
      </c>
      <c r="B17" s="241" t="s">
        <v>271</v>
      </c>
      <c r="C17" s="242" t="s">
        <v>272</v>
      </c>
      <c r="D17" s="245" t="s">
        <v>295</v>
      </c>
    </row>
    <row r="18" spans="1:4" ht="25.5">
      <c r="A18" s="241" t="s">
        <v>296</v>
      </c>
      <c r="B18" s="241" t="s">
        <v>271</v>
      </c>
      <c r="C18" s="242" t="s">
        <v>272</v>
      </c>
      <c r="D18" s="245" t="s">
        <v>297</v>
      </c>
    </row>
    <row r="19" spans="1:4" ht="25.5">
      <c r="A19" s="241" t="s">
        <v>298</v>
      </c>
      <c r="B19" s="241" t="s">
        <v>280</v>
      </c>
      <c r="C19" s="242" t="s">
        <v>272</v>
      </c>
      <c r="D19" s="245" t="s">
        <v>291</v>
      </c>
    </row>
    <row r="20" spans="1:4" ht="25.5">
      <c r="A20" s="241" t="s">
        <v>299</v>
      </c>
      <c r="B20" s="241" t="s">
        <v>271</v>
      </c>
      <c r="C20" s="242" t="s">
        <v>272</v>
      </c>
      <c r="D20" s="245" t="s">
        <v>297</v>
      </c>
    </row>
    <row r="21" spans="1:4" ht="12.75">
      <c r="A21" s="241" t="s">
        <v>300</v>
      </c>
      <c r="B21" s="241" t="s">
        <v>301</v>
      </c>
      <c r="C21" s="242" t="s">
        <v>302</v>
      </c>
      <c r="D21" s="245"/>
    </row>
    <row r="22" spans="1:4" ht="25.5">
      <c r="A22" s="241" t="s">
        <v>300</v>
      </c>
      <c r="B22" s="241" t="s">
        <v>280</v>
      </c>
      <c r="C22" s="242" t="s">
        <v>272</v>
      </c>
      <c r="D22" s="245" t="s">
        <v>295</v>
      </c>
    </row>
    <row r="23" spans="1:4" ht="25.5">
      <c r="A23" s="241" t="s">
        <v>303</v>
      </c>
      <c r="B23" s="241" t="s">
        <v>271</v>
      </c>
      <c r="C23" s="242" t="s">
        <v>272</v>
      </c>
      <c r="D23" s="245" t="s">
        <v>304</v>
      </c>
    </row>
    <row r="24" spans="1:4" ht="25.5">
      <c r="A24" s="241" t="s">
        <v>305</v>
      </c>
      <c r="B24" s="241" t="s">
        <v>271</v>
      </c>
      <c r="C24" s="242" t="s">
        <v>272</v>
      </c>
      <c r="D24" s="245" t="s">
        <v>306</v>
      </c>
    </row>
    <row r="25" spans="1:4" ht="38.25">
      <c r="A25" s="241" t="s">
        <v>307</v>
      </c>
      <c r="B25" s="241" t="s">
        <v>271</v>
      </c>
      <c r="C25" s="242" t="s">
        <v>272</v>
      </c>
      <c r="D25" s="245" t="s">
        <v>308</v>
      </c>
    </row>
    <row r="26" spans="1:4" ht="25.5">
      <c r="A26" s="241" t="s">
        <v>309</v>
      </c>
      <c r="B26" s="241" t="s">
        <v>271</v>
      </c>
      <c r="C26" s="242" t="s">
        <v>272</v>
      </c>
      <c r="D26" s="245" t="s">
        <v>304</v>
      </c>
    </row>
    <row r="27" spans="1:4" ht="25.5">
      <c r="A27" s="241" t="s">
        <v>310</v>
      </c>
      <c r="B27" s="241" t="s">
        <v>280</v>
      </c>
      <c r="C27" s="242" t="s">
        <v>272</v>
      </c>
      <c r="D27" s="245" t="s">
        <v>311</v>
      </c>
    </row>
    <row r="28" spans="1:4" ht="25.5">
      <c r="A28" s="241" t="s">
        <v>312</v>
      </c>
      <c r="B28" s="241" t="s">
        <v>280</v>
      </c>
      <c r="C28" s="242" t="s">
        <v>272</v>
      </c>
      <c r="D28" s="245" t="s">
        <v>295</v>
      </c>
    </row>
    <row r="29" spans="1:4" ht="25.5">
      <c r="A29" s="241" t="s">
        <v>313</v>
      </c>
      <c r="B29" s="241" t="s">
        <v>271</v>
      </c>
      <c r="C29" s="242" t="s">
        <v>272</v>
      </c>
      <c r="D29" s="245" t="s">
        <v>295</v>
      </c>
    </row>
    <row r="30" spans="1:4" ht="25.5">
      <c r="A30" s="241" t="s">
        <v>314</v>
      </c>
      <c r="B30" s="241" t="s">
        <v>280</v>
      </c>
      <c r="C30" s="242" t="s">
        <v>272</v>
      </c>
      <c r="D30" s="245" t="s">
        <v>295</v>
      </c>
    </row>
    <row r="31" spans="1:4" ht="12.75">
      <c r="A31" s="205" t="s">
        <v>262</v>
      </c>
      <c r="B31" s="205" t="s">
        <v>263</v>
      </c>
      <c r="C31" s="205" t="s">
        <v>264</v>
      </c>
      <c r="D31" s="205" t="s">
        <v>265</v>
      </c>
    </row>
    <row r="32" spans="1:4" ht="12.75">
      <c r="A32" s="205"/>
      <c r="B32" s="205"/>
      <c r="C32" s="205"/>
      <c r="D32" s="205" t="s">
        <v>266</v>
      </c>
    </row>
    <row r="33" spans="1:4" ht="12.75">
      <c r="A33" s="205" t="s">
        <v>315</v>
      </c>
      <c r="B33" s="205"/>
      <c r="C33" s="205"/>
      <c r="D33" s="205"/>
    </row>
    <row r="34" spans="1:4" ht="25.5">
      <c r="A34" s="241" t="s">
        <v>268</v>
      </c>
      <c r="B34" s="241"/>
      <c r="C34" s="242" t="s">
        <v>316</v>
      </c>
      <c r="D34" s="245"/>
    </row>
    <row r="35" spans="1:4" ht="25.5">
      <c r="A35" s="241" t="s">
        <v>317</v>
      </c>
      <c r="B35" s="241" t="s">
        <v>280</v>
      </c>
      <c r="C35" s="242" t="s">
        <v>272</v>
      </c>
      <c r="D35" s="245" t="s">
        <v>318</v>
      </c>
    </row>
    <row r="36" spans="1:4" ht="25.5">
      <c r="A36" s="241" t="s">
        <v>319</v>
      </c>
      <c r="B36" s="241" t="s">
        <v>280</v>
      </c>
      <c r="C36" s="242" t="s">
        <v>272</v>
      </c>
      <c r="D36" s="245" t="s">
        <v>320</v>
      </c>
    </row>
    <row r="37" spans="1:4" ht="38.25">
      <c r="A37" s="241" t="s">
        <v>321</v>
      </c>
      <c r="B37" s="241" t="s">
        <v>271</v>
      </c>
      <c r="C37" s="242" t="s">
        <v>272</v>
      </c>
      <c r="D37" s="245" t="s">
        <v>322</v>
      </c>
    </row>
    <row r="38" spans="1:4" ht="25.5">
      <c r="A38" s="241" t="s">
        <v>292</v>
      </c>
      <c r="B38" s="241" t="s">
        <v>280</v>
      </c>
      <c r="C38" s="242" t="s">
        <v>272</v>
      </c>
      <c r="D38" s="242" t="s">
        <v>293</v>
      </c>
    </row>
    <row r="39" spans="1:4" ht="25.5">
      <c r="A39" s="241" t="s">
        <v>251</v>
      </c>
      <c r="B39" s="241" t="s">
        <v>280</v>
      </c>
      <c r="C39" s="242" t="s">
        <v>272</v>
      </c>
      <c r="D39" s="242" t="s">
        <v>318</v>
      </c>
    </row>
    <row r="40" spans="1:4" ht="25.5">
      <c r="A40" s="241" t="s">
        <v>323</v>
      </c>
      <c r="B40" s="241" t="s">
        <v>280</v>
      </c>
      <c r="C40" s="242" t="s">
        <v>272</v>
      </c>
      <c r="D40" s="242" t="s">
        <v>324</v>
      </c>
    </row>
    <row r="41" spans="1:4" ht="25.5">
      <c r="A41" s="241" t="s">
        <v>325</v>
      </c>
      <c r="B41" s="241" t="s">
        <v>280</v>
      </c>
      <c r="C41" s="242" t="s">
        <v>272</v>
      </c>
      <c r="D41" s="242" t="s">
        <v>326</v>
      </c>
    </row>
    <row r="42" spans="1:4" ht="12.75">
      <c r="A42" s="241" t="s">
        <v>327</v>
      </c>
      <c r="B42" s="241" t="s">
        <v>271</v>
      </c>
      <c r="C42" s="242" t="s">
        <v>272</v>
      </c>
      <c r="D42" s="245" t="s">
        <v>287</v>
      </c>
    </row>
    <row r="43" spans="1:4" ht="25.5">
      <c r="A43" s="241" t="s">
        <v>328</v>
      </c>
      <c r="B43" s="241" t="s">
        <v>271</v>
      </c>
      <c r="C43" s="242" t="s">
        <v>272</v>
      </c>
      <c r="D43" s="245" t="s">
        <v>295</v>
      </c>
    </row>
    <row r="44" spans="1:4" ht="25.5">
      <c r="A44" s="241" t="s">
        <v>329</v>
      </c>
      <c r="B44" s="241" t="s">
        <v>280</v>
      </c>
      <c r="C44" s="242" t="s">
        <v>272</v>
      </c>
      <c r="D44" s="245" t="s">
        <v>330</v>
      </c>
    </row>
    <row r="45" spans="1:4" ht="25.5">
      <c r="A45" s="241" t="s">
        <v>331</v>
      </c>
      <c r="B45" s="241" t="s">
        <v>280</v>
      </c>
      <c r="C45" s="242" t="s">
        <v>272</v>
      </c>
      <c r="D45" s="245" t="s">
        <v>332</v>
      </c>
    </row>
    <row r="46" spans="1:4" ht="25.5">
      <c r="A46" s="241" t="s">
        <v>333</v>
      </c>
      <c r="B46" s="241" t="s">
        <v>280</v>
      </c>
      <c r="C46" s="242" t="s">
        <v>272</v>
      </c>
      <c r="D46" s="242" t="s">
        <v>334</v>
      </c>
    </row>
    <row r="47" spans="1:4" ht="25.5">
      <c r="A47" s="241" t="s">
        <v>335</v>
      </c>
      <c r="B47" s="241" t="s">
        <v>280</v>
      </c>
      <c r="C47" s="242" t="s">
        <v>272</v>
      </c>
      <c r="D47" s="245" t="s">
        <v>295</v>
      </c>
    </row>
    <row r="48" spans="1:4" ht="12.75">
      <c r="A48" s="241" t="s">
        <v>336</v>
      </c>
      <c r="B48" s="241" t="s">
        <v>271</v>
      </c>
      <c r="C48" s="242" t="s">
        <v>272</v>
      </c>
      <c r="D48" s="245" t="s">
        <v>287</v>
      </c>
    </row>
    <row r="49" spans="1:4" ht="25.5">
      <c r="A49" s="241" t="s">
        <v>337</v>
      </c>
      <c r="B49" s="241" t="s">
        <v>271</v>
      </c>
      <c r="C49" s="242" t="s">
        <v>272</v>
      </c>
      <c r="D49" s="245" t="s">
        <v>293</v>
      </c>
    </row>
    <row r="50" spans="1:4" ht="25.5">
      <c r="A50" s="241" t="s">
        <v>338</v>
      </c>
      <c r="B50" s="241" t="s">
        <v>280</v>
      </c>
      <c r="C50" s="242" t="s">
        <v>339</v>
      </c>
      <c r="D50" s="245" t="s">
        <v>340</v>
      </c>
    </row>
    <row r="51" spans="1:4" ht="38.25">
      <c r="A51" s="241" t="s">
        <v>341</v>
      </c>
      <c r="B51" s="241" t="s">
        <v>280</v>
      </c>
      <c r="C51" s="242" t="s">
        <v>272</v>
      </c>
      <c r="D51" s="245" t="s">
        <v>342</v>
      </c>
    </row>
    <row r="52" spans="1:4" ht="12.75">
      <c r="A52" s="205" t="s">
        <v>262</v>
      </c>
      <c r="B52" s="205" t="s">
        <v>263</v>
      </c>
      <c r="C52" s="205" t="s">
        <v>264</v>
      </c>
      <c r="D52" s="205" t="s">
        <v>265</v>
      </c>
    </row>
    <row r="53" spans="1:4" ht="12.75">
      <c r="A53" s="205"/>
      <c r="B53" s="205"/>
      <c r="C53" s="205"/>
      <c r="D53" s="205" t="s">
        <v>266</v>
      </c>
    </row>
    <row r="54" spans="1:4" ht="12.75">
      <c r="A54" s="205" t="s">
        <v>343</v>
      </c>
      <c r="B54" s="205"/>
      <c r="C54" s="205"/>
      <c r="D54" s="205"/>
    </row>
    <row r="55" spans="1:4" ht="38.25">
      <c r="A55" s="241" t="s">
        <v>268</v>
      </c>
      <c r="B55" s="241"/>
      <c r="C55" s="242" t="s">
        <v>344</v>
      </c>
      <c r="D55" s="242"/>
    </row>
    <row r="56" spans="1:4" ht="25.5">
      <c r="A56" s="241" t="s">
        <v>345</v>
      </c>
      <c r="B56" s="241" t="s">
        <v>280</v>
      </c>
      <c r="C56" s="242" t="s">
        <v>346</v>
      </c>
      <c r="D56" s="245" t="s">
        <v>347</v>
      </c>
    </row>
    <row r="57" spans="1:4" ht="25.5">
      <c r="A57" s="241" t="s">
        <v>348</v>
      </c>
      <c r="B57" s="241" t="s">
        <v>280</v>
      </c>
      <c r="C57" s="242" t="s">
        <v>272</v>
      </c>
      <c r="D57" s="245" t="s">
        <v>349</v>
      </c>
    </row>
    <row r="58" spans="1:4" ht="12.75">
      <c r="A58" s="241" t="s">
        <v>350</v>
      </c>
      <c r="B58" s="241" t="s">
        <v>280</v>
      </c>
      <c r="C58" s="242" t="s">
        <v>272</v>
      </c>
      <c r="D58" s="245" t="s">
        <v>351</v>
      </c>
    </row>
    <row r="59" spans="1:4" ht="12.75">
      <c r="A59" s="241" t="s">
        <v>350</v>
      </c>
      <c r="B59" s="241" t="s">
        <v>280</v>
      </c>
      <c r="C59" s="242" t="s">
        <v>352</v>
      </c>
      <c r="D59" s="245"/>
    </row>
    <row r="60" spans="1:4" ht="12.75">
      <c r="A60" s="241" t="s">
        <v>353</v>
      </c>
      <c r="B60" s="241" t="s">
        <v>280</v>
      </c>
      <c r="C60" s="242" t="s">
        <v>272</v>
      </c>
      <c r="D60" s="245" t="s">
        <v>351</v>
      </c>
    </row>
    <row r="61" spans="1:4" ht="25.5">
      <c r="A61" s="241" t="s">
        <v>354</v>
      </c>
      <c r="B61" s="241" t="s">
        <v>280</v>
      </c>
      <c r="C61" s="242" t="s">
        <v>272</v>
      </c>
      <c r="D61" s="245" t="s">
        <v>295</v>
      </c>
    </row>
    <row r="62" spans="1:4" ht="12.75">
      <c r="A62" s="241" t="s">
        <v>355</v>
      </c>
      <c r="B62" s="241" t="s">
        <v>280</v>
      </c>
      <c r="C62" s="242" t="s">
        <v>272</v>
      </c>
      <c r="D62" s="245" t="s">
        <v>351</v>
      </c>
    </row>
    <row r="63" spans="1:4" ht="12.75">
      <c r="A63" s="241" t="s">
        <v>355</v>
      </c>
      <c r="B63" s="241" t="s">
        <v>280</v>
      </c>
      <c r="C63" s="242" t="s">
        <v>352</v>
      </c>
      <c r="D63" s="245"/>
    </row>
    <row r="64" spans="1:4" ht="25.5">
      <c r="A64" s="241" t="s">
        <v>356</v>
      </c>
      <c r="B64" s="241" t="s">
        <v>280</v>
      </c>
      <c r="C64" s="242" t="s">
        <v>272</v>
      </c>
      <c r="D64" s="245" t="s">
        <v>357</v>
      </c>
    </row>
    <row r="65" spans="1:4" ht="12.75">
      <c r="A65" s="241" t="s">
        <v>356</v>
      </c>
      <c r="B65" s="241" t="s">
        <v>280</v>
      </c>
      <c r="C65" s="242" t="s">
        <v>352</v>
      </c>
      <c r="D65" s="245"/>
    </row>
    <row r="66" spans="1:4" ht="25.5">
      <c r="A66" s="241" t="s">
        <v>358</v>
      </c>
      <c r="B66" s="241" t="s">
        <v>280</v>
      </c>
      <c r="C66" s="242" t="s">
        <v>272</v>
      </c>
      <c r="D66" s="245" t="s">
        <v>359</v>
      </c>
    </row>
    <row r="67" spans="1:4" ht="25.5">
      <c r="A67" s="241" t="s">
        <v>358</v>
      </c>
      <c r="B67" s="241" t="s">
        <v>280</v>
      </c>
      <c r="C67" s="242" t="s">
        <v>352</v>
      </c>
      <c r="D67" s="245"/>
    </row>
    <row r="68" spans="1:4" ht="25.5">
      <c r="A68" s="241" t="s">
        <v>360</v>
      </c>
      <c r="B68" s="241" t="s">
        <v>280</v>
      </c>
      <c r="C68" s="242" t="s">
        <v>272</v>
      </c>
      <c r="D68" s="245" t="s">
        <v>361</v>
      </c>
    </row>
    <row r="69" spans="1:4" ht="25.5">
      <c r="A69" s="241" t="s">
        <v>362</v>
      </c>
      <c r="B69" s="241" t="s">
        <v>280</v>
      </c>
      <c r="C69" s="242" t="s">
        <v>272</v>
      </c>
      <c r="D69" s="245" t="s">
        <v>306</v>
      </c>
    </row>
    <row r="70" spans="1:4" ht="12.75">
      <c r="A70" s="241" t="s">
        <v>362</v>
      </c>
      <c r="B70" s="241" t="s">
        <v>280</v>
      </c>
      <c r="C70" s="242" t="s">
        <v>352</v>
      </c>
      <c r="D70" s="245"/>
    </row>
    <row r="71" spans="1:4" ht="25.5">
      <c r="A71" s="241" t="s">
        <v>58</v>
      </c>
      <c r="B71" s="241" t="s">
        <v>280</v>
      </c>
      <c r="C71" s="242" t="s">
        <v>363</v>
      </c>
      <c r="D71" s="245" t="s">
        <v>320</v>
      </c>
    </row>
    <row r="72" spans="1:4" ht="12.75">
      <c r="A72" s="241" t="s">
        <v>58</v>
      </c>
      <c r="B72" s="241" t="s">
        <v>280</v>
      </c>
      <c r="C72" s="242" t="s">
        <v>352</v>
      </c>
      <c r="D72" s="245"/>
    </row>
    <row r="73" spans="1:4" ht="12.75">
      <c r="A73" s="205" t="s">
        <v>262</v>
      </c>
      <c r="B73" s="205" t="s">
        <v>263</v>
      </c>
      <c r="C73" s="205" t="s">
        <v>264</v>
      </c>
      <c r="D73" s="205" t="s">
        <v>265</v>
      </c>
    </row>
    <row r="74" spans="1:4" ht="12.75">
      <c r="A74" s="205"/>
      <c r="B74" s="205"/>
      <c r="C74" s="205"/>
      <c r="D74" s="205" t="s">
        <v>266</v>
      </c>
    </row>
    <row r="75" spans="1:4" ht="12.75">
      <c r="A75" s="205" t="s">
        <v>364</v>
      </c>
      <c r="B75" s="205"/>
      <c r="C75" s="205"/>
      <c r="D75" s="205"/>
    </row>
    <row r="76" spans="1:4" ht="25.5">
      <c r="A76" s="241" t="s">
        <v>268</v>
      </c>
      <c r="B76" s="241"/>
      <c r="C76" s="242" t="s">
        <v>365</v>
      </c>
      <c r="D76" s="242"/>
    </row>
    <row r="77" spans="1:4" ht="12.75">
      <c r="A77" s="205" t="s">
        <v>366</v>
      </c>
      <c r="B77" s="205"/>
      <c r="C77" s="205"/>
      <c r="D77" s="205"/>
    </row>
    <row r="78" spans="1:4" ht="25.5">
      <c r="A78" s="241" t="s">
        <v>367</v>
      </c>
      <c r="B78" s="241" t="s">
        <v>280</v>
      </c>
      <c r="C78" s="242" t="s">
        <v>368</v>
      </c>
      <c r="D78" s="245" t="s">
        <v>340</v>
      </c>
    </row>
    <row r="79" spans="1:4" ht="25.5">
      <c r="A79" s="241" t="s">
        <v>369</v>
      </c>
      <c r="B79" s="241" t="s">
        <v>280</v>
      </c>
      <c r="C79" s="242" t="s">
        <v>368</v>
      </c>
      <c r="D79" s="245" t="s">
        <v>340</v>
      </c>
    </row>
    <row r="80" spans="1:4" ht="25.5">
      <c r="A80" s="241" t="s">
        <v>370</v>
      </c>
      <c r="B80" s="241" t="s">
        <v>280</v>
      </c>
      <c r="C80" s="242" t="s">
        <v>368</v>
      </c>
      <c r="D80" s="245" t="s">
        <v>371</v>
      </c>
    </row>
    <row r="81" spans="1:4" ht="25.5">
      <c r="A81" s="241" t="s">
        <v>372</v>
      </c>
      <c r="B81" s="241" t="s">
        <v>280</v>
      </c>
      <c r="C81" s="242" t="s">
        <v>368</v>
      </c>
      <c r="D81" s="245" t="s">
        <v>373</v>
      </c>
    </row>
    <row r="82" spans="1:4" ht="25.5">
      <c r="A82" s="241" t="s">
        <v>374</v>
      </c>
      <c r="B82" s="241" t="s">
        <v>280</v>
      </c>
      <c r="C82" s="242" t="s">
        <v>368</v>
      </c>
      <c r="D82" s="245" t="s">
        <v>373</v>
      </c>
    </row>
    <row r="83" spans="1:4" ht="12.75">
      <c r="A83" s="205" t="s">
        <v>375</v>
      </c>
      <c r="B83" s="205"/>
      <c r="C83" s="205"/>
      <c r="D83" s="205"/>
    </row>
    <row r="84" spans="1:4" ht="25.5">
      <c r="A84" s="241" t="s">
        <v>367</v>
      </c>
      <c r="B84" s="241" t="s">
        <v>280</v>
      </c>
      <c r="C84" s="242" t="s">
        <v>368</v>
      </c>
      <c r="D84" s="245" t="s">
        <v>340</v>
      </c>
    </row>
    <row r="85" spans="1:4" ht="25.5">
      <c r="A85" s="241" t="s">
        <v>369</v>
      </c>
      <c r="B85" s="241" t="s">
        <v>280</v>
      </c>
      <c r="C85" s="242" t="s">
        <v>368</v>
      </c>
      <c r="D85" s="245" t="s">
        <v>340</v>
      </c>
    </row>
    <row r="86" spans="1:4" ht="25.5">
      <c r="A86" s="241" t="s">
        <v>370</v>
      </c>
      <c r="B86" s="241" t="s">
        <v>280</v>
      </c>
      <c r="C86" s="242" t="s">
        <v>368</v>
      </c>
      <c r="D86" s="245" t="s">
        <v>371</v>
      </c>
    </row>
    <row r="87" spans="1:4" ht="25.5">
      <c r="A87" s="241" t="s">
        <v>372</v>
      </c>
      <c r="B87" s="241" t="s">
        <v>280</v>
      </c>
      <c r="C87" s="242" t="s">
        <v>368</v>
      </c>
      <c r="D87" s="245" t="s">
        <v>373</v>
      </c>
    </row>
    <row r="88" spans="1:4" ht="25.5">
      <c r="A88" s="241" t="s">
        <v>374</v>
      </c>
      <c r="B88" s="241" t="s">
        <v>280</v>
      </c>
      <c r="C88" s="242" t="s">
        <v>368</v>
      </c>
      <c r="D88" s="245" t="s">
        <v>373</v>
      </c>
    </row>
    <row r="89" spans="1:4" ht="12.75">
      <c r="A89" s="205" t="s">
        <v>38</v>
      </c>
      <c r="B89" s="205"/>
      <c r="C89" s="205"/>
      <c r="D89" s="205"/>
    </row>
    <row r="90" spans="1:4" ht="25.5">
      <c r="A90" s="241" t="s">
        <v>367</v>
      </c>
      <c r="B90" s="241" t="s">
        <v>280</v>
      </c>
      <c r="C90" s="242" t="s">
        <v>376</v>
      </c>
      <c r="D90" s="245" t="s">
        <v>340</v>
      </c>
    </row>
    <row r="91" spans="1:4" ht="25.5">
      <c r="A91" s="241" t="s">
        <v>369</v>
      </c>
      <c r="B91" s="241" t="s">
        <v>280</v>
      </c>
      <c r="C91" s="242" t="s">
        <v>376</v>
      </c>
      <c r="D91" s="245" t="s">
        <v>340</v>
      </c>
    </row>
    <row r="92" spans="1:4" ht="25.5">
      <c r="A92" s="241" t="s">
        <v>370</v>
      </c>
      <c r="B92" s="241" t="s">
        <v>280</v>
      </c>
      <c r="C92" s="242" t="s">
        <v>376</v>
      </c>
      <c r="D92" s="245" t="s">
        <v>371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2" sqref="A2"/>
    </sheetView>
  </sheetViews>
  <sheetFormatPr defaultColWidth="9" defaultRowHeight="12.75"/>
  <cols>
    <col min="1" max="1" width="52" style="246" customWidth="1"/>
    <col min="2" max="2" width="16.42578125" style="246" bestFit="1" customWidth="1"/>
    <col min="3" max="3" width="37.42578125" style="246" bestFit="1" customWidth="1"/>
    <col min="4" max="16384" width="9" style="240"/>
  </cols>
  <sheetData>
    <row r="1" spans="1:3" ht="22.5">
      <c r="A1" s="205" t="s">
        <v>614</v>
      </c>
      <c r="B1" s="205"/>
      <c r="C1" s="205"/>
    </row>
    <row r="2" spans="1:3">
      <c r="A2" s="205" t="s">
        <v>262</v>
      </c>
      <c r="B2" s="205" t="s">
        <v>263</v>
      </c>
      <c r="C2" s="205" t="s">
        <v>377</v>
      </c>
    </row>
    <row r="3" spans="1:3">
      <c r="A3" s="205" t="s">
        <v>267</v>
      </c>
      <c r="B3" s="205"/>
      <c r="C3" s="205"/>
    </row>
    <row r="4" spans="1:3">
      <c r="A4" s="241" t="s">
        <v>270</v>
      </c>
      <c r="B4" s="241" t="s">
        <v>271</v>
      </c>
      <c r="C4" s="242" t="s">
        <v>378</v>
      </c>
    </row>
    <row r="5" spans="1:3">
      <c r="A5" s="241" t="s">
        <v>276</v>
      </c>
      <c r="B5" s="241" t="s">
        <v>271</v>
      </c>
      <c r="C5" s="242" t="s">
        <v>378</v>
      </c>
    </row>
    <row r="6" spans="1:3">
      <c r="A6" s="241" t="s">
        <v>284</v>
      </c>
      <c r="B6" s="241" t="s">
        <v>271</v>
      </c>
      <c r="C6" s="242" t="s">
        <v>378</v>
      </c>
    </row>
    <row r="7" spans="1:3">
      <c r="A7" s="241" t="s">
        <v>286</v>
      </c>
      <c r="B7" s="241" t="s">
        <v>271</v>
      </c>
      <c r="C7" s="242" t="s">
        <v>378</v>
      </c>
    </row>
    <row r="8" spans="1:3">
      <c r="A8" s="243" t="s">
        <v>288</v>
      </c>
      <c r="B8" s="243" t="s">
        <v>271</v>
      </c>
      <c r="C8" s="244" t="s">
        <v>378</v>
      </c>
    </row>
    <row r="9" spans="1:3">
      <c r="A9" s="241" t="s">
        <v>290</v>
      </c>
      <c r="B9" s="241" t="s">
        <v>271</v>
      </c>
      <c r="C9" s="242" t="s">
        <v>378</v>
      </c>
    </row>
    <row r="10" spans="1:3">
      <c r="A10" s="241" t="s">
        <v>292</v>
      </c>
      <c r="B10" s="241" t="s">
        <v>280</v>
      </c>
      <c r="C10" s="242" t="s">
        <v>378</v>
      </c>
    </row>
    <row r="11" spans="1:3">
      <c r="A11" s="241" t="s">
        <v>294</v>
      </c>
      <c r="B11" s="241" t="s">
        <v>271</v>
      </c>
      <c r="C11" s="242" t="s">
        <v>378</v>
      </c>
    </row>
    <row r="12" spans="1:3">
      <c r="A12" s="241" t="s">
        <v>296</v>
      </c>
      <c r="B12" s="241" t="s">
        <v>271</v>
      </c>
      <c r="C12" s="242" t="s">
        <v>378</v>
      </c>
    </row>
    <row r="13" spans="1:3">
      <c r="A13" s="241" t="s">
        <v>298</v>
      </c>
      <c r="B13" s="241" t="s">
        <v>280</v>
      </c>
      <c r="C13" s="242" t="s">
        <v>378</v>
      </c>
    </row>
    <row r="14" spans="1:3">
      <c r="A14" s="241" t="s">
        <v>299</v>
      </c>
      <c r="B14" s="241" t="s">
        <v>271</v>
      </c>
      <c r="C14" s="242" t="s">
        <v>378</v>
      </c>
    </row>
    <row r="15" spans="1:3">
      <c r="A15" s="241" t="s">
        <v>300</v>
      </c>
      <c r="B15" s="241" t="s">
        <v>271</v>
      </c>
      <c r="C15" s="242" t="s">
        <v>378</v>
      </c>
    </row>
    <row r="16" spans="1:3">
      <c r="A16" s="241" t="s">
        <v>305</v>
      </c>
      <c r="B16" s="241" t="s">
        <v>271</v>
      </c>
      <c r="C16" s="242" t="s">
        <v>378</v>
      </c>
    </row>
    <row r="17" spans="1:3">
      <c r="A17" s="241" t="s">
        <v>307</v>
      </c>
      <c r="B17" s="241" t="s">
        <v>280</v>
      </c>
      <c r="C17" s="242" t="s">
        <v>378</v>
      </c>
    </row>
    <row r="18" spans="1:3">
      <c r="A18" s="241" t="s">
        <v>379</v>
      </c>
      <c r="B18" s="241" t="s">
        <v>280</v>
      </c>
      <c r="C18" s="242" t="s">
        <v>378</v>
      </c>
    </row>
    <row r="19" spans="1:3">
      <c r="A19" s="241" t="s">
        <v>310</v>
      </c>
      <c r="B19" s="241" t="s">
        <v>280</v>
      </c>
      <c r="C19" s="242" t="s">
        <v>378</v>
      </c>
    </row>
    <row r="20" spans="1:3">
      <c r="A20" s="241" t="s">
        <v>312</v>
      </c>
      <c r="B20" s="241" t="s">
        <v>280</v>
      </c>
      <c r="C20" s="242" t="s">
        <v>378</v>
      </c>
    </row>
    <row r="21" spans="1:3">
      <c r="A21" s="241" t="s">
        <v>313</v>
      </c>
      <c r="B21" s="241" t="s">
        <v>271</v>
      </c>
      <c r="C21" s="242" t="s">
        <v>378</v>
      </c>
    </row>
    <row r="22" spans="1:3">
      <c r="A22" s="241" t="s">
        <v>314</v>
      </c>
      <c r="B22" s="241" t="s">
        <v>280</v>
      </c>
      <c r="C22" s="242" t="s">
        <v>378</v>
      </c>
    </row>
    <row r="23" spans="1:3">
      <c r="A23" s="241" t="s">
        <v>323</v>
      </c>
      <c r="B23" s="241" t="s">
        <v>280</v>
      </c>
      <c r="C23" s="242" t="s">
        <v>378</v>
      </c>
    </row>
    <row r="24" spans="1:3">
      <c r="A24" s="241" t="s">
        <v>327</v>
      </c>
      <c r="B24" s="241" t="s">
        <v>271</v>
      </c>
      <c r="C24" s="242" t="s">
        <v>378</v>
      </c>
    </row>
    <row r="25" spans="1:3">
      <c r="A25" s="241" t="s">
        <v>329</v>
      </c>
      <c r="B25" s="241" t="s">
        <v>280</v>
      </c>
      <c r="C25" s="242" t="s">
        <v>378</v>
      </c>
    </row>
    <row r="26" spans="1:3">
      <c r="A26" s="241" t="s">
        <v>341</v>
      </c>
      <c r="B26" s="241" t="s">
        <v>280</v>
      </c>
      <c r="C26" s="242" t="s">
        <v>378</v>
      </c>
    </row>
    <row r="27" spans="1:3">
      <c r="A27" s="241" t="s">
        <v>331</v>
      </c>
      <c r="B27" s="241" t="s">
        <v>280</v>
      </c>
      <c r="C27" s="242" t="s">
        <v>378</v>
      </c>
    </row>
    <row r="28" spans="1:3">
      <c r="A28" s="241" t="s">
        <v>380</v>
      </c>
      <c r="B28" s="241" t="s">
        <v>271</v>
      </c>
      <c r="C28" s="242" t="s">
        <v>378</v>
      </c>
    </row>
    <row r="29" spans="1:3">
      <c r="A29" s="205" t="s">
        <v>343</v>
      </c>
      <c r="B29" s="205"/>
      <c r="C29" s="205"/>
    </row>
    <row r="30" spans="1:3">
      <c r="A30" s="241" t="s">
        <v>350</v>
      </c>
      <c r="B30" s="241" t="s">
        <v>280</v>
      </c>
      <c r="C30" s="242" t="s">
        <v>378</v>
      </c>
    </row>
    <row r="31" spans="1:3">
      <c r="A31" s="241" t="s">
        <v>353</v>
      </c>
      <c r="B31" s="241" t="s">
        <v>280</v>
      </c>
      <c r="C31" s="242" t="s">
        <v>378</v>
      </c>
    </row>
    <row r="32" spans="1:3">
      <c r="A32" s="241" t="s">
        <v>355</v>
      </c>
      <c r="B32" s="241" t="s">
        <v>280</v>
      </c>
      <c r="C32" s="242" t="s">
        <v>378</v>
      </c>
    </row>
    <row r="33" spans="1:3">
      <c r="A33" s="241" t="s">
        <v>356</v>
      </c>
      <c r="B33" s="241" t="s">
        <v>280</v>
      </c>
      <c r="C33" s="242" t="s">
        <v>378</v>
      </c>
    </row>
    <row r="34" spans="1:3">
      <c r="A34" s="241" t="s">
        <v>358</v>
      </c>
      <c r="B34" s="241" t="s">
        <v>280</v>
      </c>
      <c r="C34" s="242" t="s">
        <v>378</v>
      </c>
    </row>
    <row r="35" spans="1:3">
      <c r="A35" s="241" t="s">
        <v>360</v>
      </c>
      <c r="B35" s="241" t="s">
        <v>280</v>
      </c>
      <c r="C35" s="242" t="s">
        <v>378</v>
      </c>
    </row>
    <row r="36" spans="1:3">
      <c r="A36" s="241" t="s">
        <v>381</v>
      </c>
      <c r="B36" s="241" t="s">
        <v>280</v>
      </c>
      <c r="C36" s="242" t="s">
        <v>378</v>
      </c>
    </row>
    <row r="37" spans="1:3">
      <c r="A37" s="241" t="s">
        <v>362</v>
      </c>
      <c r="B37" s="241" t="s">
        <v>280</v>
      </c>
      <c r="C37" s="242" t="s">
        <v>378</v>
      </c>
    </row>
    <row r="38" spans="1:3">
      <c r="A38" s="241" t="s">
        <v>58</v>
      </c>
      <c r="B38" s="241" t="s">
        <v>280</v>
      </c>
      <c r="C38" s="242" t="s">
        <v>378</v>
      </c>
    </row>
    <row r="39" spans="1:3">
      <c r="A39" s="241" t="s">
        <v>382</v>
      </c>
      <c r="B39" s="241" t="s">
        <v>280</v>
      </c>
      <c r="C39" s="242" t="s">
        <v>383</v>
      </c>
    </row>
    <row r="40" spans="1:3">
      <c r="A40" s="205" t="s">
        <v>364</v>
      </c>
      <c r="B40" s="205"/>
      <c r="C40" s="205"/>
    </row>
    <row r="41" spans="1:3">
      <c r="A41" s="241" t="s">
        <v>366</v>
      </c>
      <c r="B41" s="241" t="s">
        <v>280</v>
      </c>
      <c r="C41" s="242" t="s">
        <v>384</v>
      </c>
    </row>
    <row r="42" spans="1:3">
      <c r="A42" s="241" t="s">
        <v>375</v>
      </c>
      <c r="B42" s="241" t="s">
        <v>280</v>
      </c>
      <c r="C42" s="242" t="s">
        <v>384</v>
      </c>
    </row>
    <row r="43" spans="1:3">
      <c r="A43" s="241" t="s">
        <v>38</v>
      </c>
      <c r="B43" s="241" t="s">
        <v>280</v>
      </c>
      <c r="C43" s="242" t="s">
        <v>384</v>
      </c>
    </row>
    <row r="44" spans="1:3">
      <c r="A44" s="241"/>
      <c r="B44" s="241"/>
      <c r="C44" s="242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>
      <selection activeCell="A4" sqref="A4"/>
    </sheetView>
  </sheetViews>
  <sheetFormatPr defaultColWidth="9.140625" defaultRowHeight="15" customHeight="1"/>
  <cols>
    <col min="1" max="1" width="126.7109375" style="204" bestFit="1" customWidth="1"/>
    <col min="2" max="2" width="17.85546875" style="204" bestFit="1" customWidth="1"/>
    <col min="3" max="5" width="9.140625" style="204"/>
    <col min="6" max="6" width="19.7109375" style="204" customWidth="1"/>
    <col min="7" max="16384" width="9.140625" style="204"/>
  </cols>
  <sheetData>
    <row r="1" spans="1:1" ht="15" customHeight="1">
      <c r="A1" s="91"/>
    </row>
    <row r="2" spans="1:1" ht="11.25">
      <c r="A2" s="365" t="s">
        <v>400</v>
      </c>
    </row>
    <row r="3" spans="1:1" ht="11.25">
      <c r="A3" s="366"/>
    </row>
    <row r="4" spans="1:1" ht="11.25">
      <c r="A4" s="247" t="s">
        <v>385</v>
      </c>
    </row>
    <row r="5" spans="1:1" ht="11.25">
      <c r="A5" s="247" t="s">
        <v>386</v>
      </c>
    </row>
    <row r="6" spans="1:1" ht="11.25">
      <c r="A6" s="247" t="s">
        <v>387</v>
      </c>
    </row>
    <row r="7" spans="1:1" ht="11.25">
      <c r="A7" s="247" t="s">
        <v>388</v>
      </c>
    </row>
    <row r="8" spans="1:1" ht="11.25">
      <c r="A8" s="247" t="s">
        <v>389</v>
      </c>
    </row>
    <row r="9" spans="1:1" ht="11.25">
      <c r="A9" s="248" t="s">
        <v>390</v>
      </c>
    </row>
    <row r="10" spans="1:1" ht="11.25">
      <c r="A10" s="248" t="s">
        <v>391</v>
      </c>
    </row>
    <row r="11" spans="1:1" ht="11.25">
      <c r="A11" s="248" t="s">
        <v>392</v>
      </c>
    </row>
    <row r="12" spans="1:1" ht="11.25">
      <c r="A12" s="248" t="s">
        <v>393</v>
      </c>
    </row>
    <row r="13" spans="1:1" ht="11.25">
      <c r="A13" s="247" t="s">
        <v>394</v>
      </c>
    </row>
    <row r="14" spans="1:1" ht="11.25">
      <c r="A14" s="204" t="s">
        <v>395</v>
      </c>
    </row>
    <row r="15" spans="1:1" ht="11.25">
      <c r="A15" s="249" t="s">
        <v>396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6.7109375" style="209" customWidth="1"/>
    <col min="6" max="6" width="1.570312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204" customFormat="1" ht="26.25" customHeight="1">
      <c r="A1" s="384" t="s">
        <v>35</v>
      </c>
      <c r="B1" s="384"/>
      <c r="C1" s="384"/>
      <c r="D1" s="384"/>
      <c r="E1" s="384"/>
    </row>
    <row r="2" spans="1:17" s="204" customFormat="1" ht="15" customHeight="1">
      <c r="A2" s="385" t="s">
        <v>216</v>
      </c>
      <c r="B2" s="385"/>
      <c r="C2" s="385"/>
      <c r="D2" s="385"/>
      <c r="E2" s="385"/>
      <c r="G2" s="389" t="s">
        <v>253</v>
      </c>
      <c r="H2" s="389"/>
      <c r="I2" s="389"/>
      <c r="J2" s="389"/>
      <c r="K2" s="389"/>
      <c r="L2" s="389"/>
      <c r="M2" s="389"/>
      <c r="N2" s="389"/>
      <c r="O2" s="389"/>
      <c r="P2" s="389"/>
      <c r="Q2" s="389"/>
    </row>
    <row r="3" spans="1:17" ht="15" customHeight="1">
      <c r="E3" s="4"/>
      <c r="G3" s="205"/>
      <c r="H3" s="390">
        <v>2024</v>
      </c>
      <c r="I3" s="390"/>
      <c r="J3" s="391">
        <v>2025</v>
      </c>
      <c r="K3" s="392"/>
      <c r="L3" s="391">
        <v>2026</v>
      </c>
      <c r="M3" s="392"/>
      <c r="N3" s="391">
        <v>2027</v>
      </c>
      <c r="O3" s="392"/>
      <c r="P3" s="391">
        <v>2028</v>
      </c>
      <c r="Q3" s="392"/>
    </row>
    <row r="4" spans="1:17" s="31" customFormat="1" ht="26.25" customHeight="1">
      <c r="A4" s="375" t="s">
        <v>81</v>
      </c>
      <c r="B4" s="377"/>
      <c r="C4" s="92" t="s">
        <v>213</v>
      </c>
      <c r="D4" s="92" t="s">
        <v>227</v>
      </c>
      <c r="E4" s="92" t="s">
        <v>88</v>
      </c>
      <c r="G4" s="205" t="s">
        <v>254</v>
      </c>
      <c r="H4" s="205" t="s">
        <v>255</v>
      </c>
      <c r="I4" s="205" t="s">
        <v>256</v>
      </c>
      <c r="J4" s="205" t="s">
        <v>255</v>
      </c>
      <c r="K4" s="205" t="s">
        <v>256</v>
      </c>
      <c r="L4" s="205" t="s">
        <v>255</v>
      </c>
      <c r="M4" s="205" t="s">
        <v>256</v>
      </c>
      <c r="N4" s="205" t="s">
        <v>255</v>
      </c>
      <c r="O4" s="205" t="s">
        <v>256</v>
      </c>
      <c r="P4" s="205" t="s">
        <v>255</v>
      </c>
      <c r="Q4" s="205" t="s">
        <v>256</v>
      </c>
    </row>
    <row r="5" spans="1:17" ht="15" customHeight="1">
      <c r="A5" s="382" t="s">
        <v>104</v>
      </c>
      <c r="B5" s="383"/>
      <c r="C5" s="8">
        <v>0</v>
      </c>
      <c r="D5" s="9">
        <v>0</v>
      </c>
      <c r="E5" s="11">
        <f>C5*D5</f>
        <v>0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</row>
    <row r="6" spans="1:17" ht="15" customHeight="1">
      <c r="A6" s="382" t="s">
        <v>72</v>
      </c>
      <c r="B6" s="383"/>
      <c r="C6" s="8">
        <v>0</v>
      </c>
      <c r="D6" s="9">
        <v>0</v>
      </c>
      <c r="E6" s="11">
        <f>C6*D6</f>
        <v>0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ht="15" customHeight="1">
      <c r="A7" s="378"/>
      <c r="B7" s="380"/>
      <c r="C7" s="8">
        <v>0</v>
      </c>
      <c r="D7" s="9">
        <v>0</v>
      </c>
      <c r="E7" s="11">
        <f>C7*D7</f>
        <v>0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8" spans="1:17" ht="15" customHeight="1">
      <c r="A8" s="367" t="s">
        <v>73</v>
      </c>
      <c r="B8" s="369"/>
      <c r="C8" s="8">
        <v>0</v>
      </c>
      <c r="D8" s="9">
        <v>0</v>
      </c>
      <c r="E8" s="11">
        <f>C8*D8</f>
        <v>0</v>
      </c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</row>
    <row r="9" spans="1:17" ht="15" customHeight="1">
      <c r="A9" s="386" t="s">
        <v>105</v>
      </c>
      <c r="B9" s="387"/>
      <c r="C9" s="388"/>
      <c r="D9" s="10">
        <f>SUM(D5:D8)</f>
        <v>0</v>
      </c>
      <c r="E9" s="11" t="str">
        <f>IF(SUM($D$5:$D$8)=100%,SUM(E5:E8),"    GEEN 100%")</f>
        <v xml:space="preserve">    GEEN 100%</v>
      </c>
      <c r="G9" s="197"/>
      <c r="H9" s="206"/>
      <c r="I9" s="197"/>
      <c r="J9" s="197"/>
      <c r="K9" s="197"/>
      <c r="L9" s="197"/>
      <c r="M9" s="197"/>
      <c r="N9" s="197"/>
      <c r="O9" s="197"/>
      <c r="P9" s="197"/>
      <c r="Q9" s="197"/>
    </row>
    <row r="10" spans="1:17" ht="15" customHeight="1">
      <c r="A10" s="381" t="s">
        <v>74</v>
      </c>
      <c r="B10" s="381"/>
      <c r="C10" s="381"/>
      <c r="D10" s="168" t="s">
        <v>3</v>
      </c>
      <c r="E10" s="170">
        <f>SUM(E9:E9)</f>
        <v>0</v>
      </c>
      <c r="G10" s="197" t="s">
        <v>257</v>
      </c>
      <c r="H10" s="206"/>
      <c r="I10" s="170">
        <f>(E10*H10)+E10</f>
        <v>0</v>
      </c>
      <c r="J10" s="206">
        <v>0</v>
      </c>
      <c r="K10" s="170">
        <f>(I10*J10)+I10</f>
        <v>0</v>
      </c>
      <c r="L10" s="206">
        <v>0</v>
      </c>
      <c r="M10" s="170">
        <f>(K10*L10)+K10</f>
        <v>0</v>
      </c>
      <c r="N10" s="206">
        <v>0</v>
      </c>
      <c r="O10" s="170">
        <f>(M10*N10)+M10</f>
        <v>0</v>
      </c>
      <c r="P10" s="206">
        <v>0</v>
      </c>
      <c r="Q10" s="170">
        <f>(O10*P10)+O10</f>
        <v>0</v>
      </c>
    </row>
    <row r="11" spans="1:17" ht="15" customHeight="1">
      <c r="A11" s="207"/>
      <c r="B11" s="208"/>
      <c r="C11" s="208"/>
      <c r="D11" s="208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</row>
    <row r="12" spans="1:17" s="31" customFormat="1" ht="26.25" customHeight="1">
      <c r="A12" s="375" t="s">
        <v>76</v>
      </c>
      <c r="B12" s="376"/>
      <c r="C12" s="377"/>
      <c r="D12" s="93" t="s">
        <v>85</v>
      </c>
      <c r="E12" s="92" t="s">
        <v>88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</row>
    <row r="13" spans="1:17" ht="15" customHeight="1">
      <c r="A13" s="370" t="s">
        <v>4</v>
      </c>
      <c r="B13" s="371"/>
      <c r="C13" s="371"/>
      <c r="D13" s="198">
        <v>0</v>
      </c>
      <c r="E13" s="210">
        <f>SUM($E$10*D13)</f>
        <v>0</v>
      </c>
      <c r="G13" s="197" t="s">
        <v>257</v>
      </c>
      <c r="H13" s="206"/>
      <c r="I13" s="211">
        <f>(E13*H13)+E13</f>
        <v>0</v>
      </c>
      <c r="J13" s="212"/>
      <c r="K13" s="211">
        <f>(I13*J13)+I13</f>
        <v>0</v>
      </c>
      <c r="L13" s="212"/>
      <c r="M13" s="211">
        <f>(K13*L13)+K13</f>
        <v>0</v>
      </c>
      <c r="N13" s="212"/>
      <c r="O13" s="211">
        <f>(M13*N13)+M13</f>
        <v>0</v>
      </c>
      <c r="P13" s="212"/>
      <c r="Q13" s="211">
        <f>(O13*P13)+O13</f>
        <v>0</v>
      </c>
    </row>
    <row r="14" spans="1:17" ht="15" customHeight="1">
      <c r="A14" s="371" t="s">
        <v>90</v>
      </c>
      <c r="B14" s="371"/>
      <c r="C14" s="371"/>
      <c r="D14" s="198">
        <v>0</v>
      </c>
      <c r="E14" s="210">
        <f>SUM($E$10*D14)</f>
        <v>0</v>
      </c>
      <c r="G14" s="197" t="s">
        <v>257</v>
      </c>
      <c r="H14" s="206"/>
      <c r="I14" s="211">
        <f>(E14*H14)+E14</f>
        <v>0</v>
      </c>
      <c r="J14" s="212"/>
      <c r="K14" s="211">
        <f>(I14*J14)+I14</f>
        <v>0</v>
      </c>
      <c r="L14" s="212"/>
      <c r="M14" s="211">
        <f>(K14*L14)+K14</f>
        <v>0</v>
      </c>
      <c r="N14" s="212"/>
      <c r="O14" s="211">
        <f>(M14*N14)+M14</f>
        <v>0</v>
      </c>
      <c r="P14" s="212"/>
      <c r="Q14" s="211">
        <f>(O14*P14)+O14</f>
        <v>0</v>
      </c>
    </row>
    <row r="15" spans="1:17" ht="15" customHeight="1">
      <c r="A15" s="371" t="s">
        <v>5</v>
      </c>
      <c r="B15" s="371"/>
      <c r="C15" s="371"/>
      <c r="D15" s="198">
        <v>0</v>
      </c>
      <c r="E15" s="210">
        <f>SUM($E$10*D15)</f>
        <v>0</v>
      </c>
      <c r="G15" s="197" t="s">
        <v>257</v>
      </c>
      <c r="H15" s="206"/>
      <c r="I15" s="211">
        <f>(E15*H15)+E15</f>
        <v>0</v>
      </c>
      <c r="J15" s="212"/>
      <c r="K15" s="211">
        <f>(I15*J15)+I15</f>
        <v>0</v>
      </c>
      <c r="L15" s="212"/>
      <c r="M15" s="211">
        <f>(K15*L15)+K15</f>
        <v>0</v>
      </c>
      <c r="N15" s="212"/>
      <c r="O15" s="211">
        <f>(M15*N15)+M15</f>
        <v>0</v>
      </c>
      <c r="P15" s="212"/>
      <c r="Q15" s="211">
        <f>(O15*P15)+O15</f>
        <v>0</v>
      </c>
    </row>
    <row r="16" spans="1:17" ht="15" customHeight="1">
      <c r="A16" s="371" t="s">
        <v>6</v>
      </c>
      <c r="B16" s="371"/>
      <c r="C16" s="371"/>
      <c r="D16" s="198">
        <v>0</v>
      </c>
      <c r="E16" s="210">
        <f>SUM($E$10*D16)</f>
        <v>0</v>
      </c>
      <c r="G16" s="197" t="s">
        <v>257</v>
      </c>
      <c r="H16" s="206"/>
      <c r="I16" s="211">
        <f>(E16*H16)+E16</f>
        <v>0</v>
      </c>
      <c r="J16" s="212"/>
      <c r="K16" s="211">
        <f>(I16*J16)+I16</f>
        <v>0</v>
      </c>
      <c r="L16" s="212"/>
      <c r="M16" s="211">
        <f>(K16*L16)+K16</f>
        <v>0</v>
      </c>
      <c r="N16" s="212"/>
      <c r="O16" s="211">
        <f>(M16*N16)+M16</f>
        <v>0</v>
      </c>
      <c r="P16" s="212"/>
      <c r="Q16" s="211">
        <f>(O16*P16)+O16</f>
        <v>0</v>
      </c>
    </row>
    <row r="17" spans="1:17" ht="15" customHeight="1">
      <c r="A17" s="378" t="s">
        <v>93</v>
      </c>
      <c r="B17" s="379"/>
      <c r="C17" s="380"/>
      <c r="D17" s="198">
        <v>0</v>
      </c>
      <c r="E17" s="210">
        <f>SUM($E$10*D17)</f>
        <v>0</v>
      </c>
      <c r="G17" s="197" t="s">
        <v>257</v>
      </c>
      <c r="H17" s="206"/>
      <c r="I17" s="211">
        <f>(E17*H17)+E17</f>
        <v>0</v>
      </c>
      <c r="J17" s="212"/>
      <c r="K17" s="211">
        <f>(I17*J17)+I17</f>
        <v>0</v>
      </c>
      <c r="L17" s="212"/>
      <c r="M17" s="211">
        <f>(K17*L17)+K17</f>
        <v>0</v>
      </c>
      <c r="N17" s="212"/>
      <c r="O17" s="211">
        <f>(M17*N17)+M17</f>
        <v>0</v>
      </c>
      <c r="P17" s="212"/>
      <c r="Q17" s="211">
        <f>(O17*P17)+O17</f>
        <v>0</v>
      </c>
    </row>
    <row r="18" spans="1:17" ht="15" customHeight="1">
      <c r="A18" s="381" t="s">
        <v>82</v>
      </c>
      <c r="B18" s="381"/>
      <c r="C18" s="381"/>
      <c r="D18" s="171"/>
      <c r="E18" s="172">
        <f>SUM(E13:E17)</f>
        <v>0</v>
      </c>
      <c r="G18" s="197"/>
      <c r="H18" s="197"/>
      <c r="I18" s="172">
        <f>SUM(I13:I17)</f>
        <v>0</v>
      </c>
      <c r="J18" s="197"/>
      <c r="K18" s="172">
        <f>SUM(K13:K17)</f>
        <v>0</v>
      </c>
      <c r="L18" s="197"/>
      <c r="M18" s="172">
        <f>SUM(M13:M17)</f>
        <v>0</v>
      </c>
      <c r="N18" s="197"/>
      <c r="O18" s="172">
        <f>SUM(O13:O17)</f>
        <v>0</v>
      </c>
      <c r="P18" s="197"/>
      <c r="Q18" s="172">
        <f>SUM(Q13:Q17)</f>
        <v>0</v>
      </c>
    </row>
    <row r="19" spans="1:17" ht="15" customHeight="1">
      <c r="D19" s="213"/>
      <c r="E19" s="214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  <row r="20" spans="1:17" s="31" customFormat="1" ht="26.25" customHeight="1">
      <c r="A20" s="375" t="s">
        <v>77</v>
      </c>
      <c r="B20" s="376"/>
      <c r="C20" s="377"/>
      <c r="D20" s="93" t="s">
        <v>86</v>
      </c>
      <c r="E20" s="92" t="s">
        <v>88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</row>
    <row r="21" spans="1:17" ht="15" customHeight="1">
      <c r="A21" s="371" t="s">
        <v>7</v>
      </c>
      <c r="B21" s="371"/>
      <c r="C21" s="371"/>
      <c r="D21" s="215" t="e">
        <f>E21/$E$35</f>
        <v>#DIV/0!</v>
      </c>
      <c r="E21" s="216">
        <v>0</v>
      </c>
      <c r="G21" s="197" t="s">
        <v>258</v>
      </c>
      <c r="H21" s="206"/>
      <c r="I21" s="211">
        <f>(E21*H21)+E21</f>
        <v>0</v>
      </c>
      <c r="J21" s="212"/>
      <c r="K21" s="211">
        <f>(I21*J21)+I21</f>
        <v>0</v>
      </c>
      <c r="L21" s="212"/>
      <c r="M21" s="211">
        <f>(K21*L21)+K21</f>
        <v>0</v>
      </c>
      <c r="N21" s="212"/>
      <c r="O21" s="211">
        <f>(M21*N21)+M21</f>
        <v>0</v>
      </c>
      <c r="P21" s="212"/>
      <c r="Q21" s="211">
        <f>(O21*P21)+O21</f>
        <v>0</v>
      </c>
    </row>
    <row r="22" spans="1:17" ht="15" customHeight="1">
      <c r="A22" s="370" t="s">
        <v>8</v>
      </c>
      <c r="B22" s="371"/>
      <c r="C22" s="371"/>
      <c r="D22" s="215" t="e">
        <f>E22/$E$35</f>
        <v>#DIV/0!</v>
      </c>
      <c r="E22" s="216">
        <v>0</v>
      </c>
      <c r="G22" s="197" t="s">
        <v>258</v>
      </c>
      <c r="H22" s="206"/>
      <c r="I22" s="211">
        <f>(E22*H22)+E22</f>
        <v>0</v>
      </c>
      <c r="J22" s="212"/>
      <c r="K22" s="211">
        <f>(I22*J22)+I22</f>
        <v>0</v>
      </c>
      <c r="L22" s="212"/>
      <c r="M22" s="211">
        <f>(K22*L22)+K22</f>
        <v>0</v>
      </c>
      <c r="N22" s="212"/>
      <c r="O22" s="211">
        <f>(M22*N22)+M22</f>
        <v>0</v>
      </c>
      <c r="P22" s="212"/>
      <c r="Q22" s="211">
        <f>(O22*P22)+O22</f>
        <v>0</v>
      </c>
    </row>
    <row r="23" spans="1:17" ht="15" customHeight="1">
      <c r="A23" s="371" t="s">
        <v>9</v>
      </c>
      <c r="B23" s="371"/>
      <c r="C23" s="371"/>
      <c r="D23" s="215" t="e">
        <f>E23/$E$35</f>
        <v>#DIV/0!</v>
      </c>
      <c r="E23" s="216">
        <v>0</v>
      </c>
      <c r="G23" s="197" t="s">
        <v>258</v>
      </c>
      <c r="H23" s="206"/>
      <c r="I23" s="217">
        <f>(E23*H23)+E23</f>
        <v>0</v>
      </c>
      <c r="J23" s="212"/>
      <c r="K23" s="211">
        <f>(I23*J23)+I23</f>
        <v>0</v>
      </c>
      <c r="L23" s="212"/>
      <c r="M23" s="211">
        <f>(K23*L23)+K23</f>
        <v>0</v>
      </c>
      <c r="N23" s="212"/>
      <c r="O23" s="211">
        <f>(M23*N23)+M23</f>
        <v>0</v>
      </c>
      <c r="P23" s="212"/>
      <c r="Q23" s="211">
        <f>(O23*P23)+O23</f>
        <v>0</v>
      </c>
    </row>
    <row r="24" spans="1:17" ht="15" customHeight="1">
      <c r="A24" s="367" t="s">
        <v>10</v>
      </c>
      <c r="B24" s="368"/>
      <c r="C24" s="369"/>
      <c r="D24" s="198">
        <v>0</v>
      </c>
      <c r="E24" s="218">
        <f>D24*$E$10</f>
        <v>0</v>
      </c>
      <c r="G24" s="197" t="s">
        <v>257</v>
      </c>
      <c r="H24" s="206"/>
      <c r="I24" s="211">
        <f>(E24*H24)+E24</f>
        <v>0</v>
      </c>
      <c r="J24" s="212"/>
      <c r="K24" s="211">
        <f>(I24*J24)+I24</f>
        <v>0</v>
      </c>
      <c r="L24" s="212"/>
      <c r="M24" s="211">
        <f>(K24*L24)+K24</f>
        <v>0</v>
      </c>
      <c r="N24" s="212"/>
      <c r="O24" s="211">
        <f>(M24*N24)+M24</f>
        <v>0</v>
      </c>
      <c r="P24" s="212"/>
      <c r="Q24" s="211">
        <f>(O24*P24)+O24</f>
        <v>0</v>
      </c>
    </row>
    <row r="25" spans="1:17" ht="15" customHeight="1">
      <c r="A25" s="378" t="s">
        <v>91</v>
      </c>
      <c r="B25" s="379"/>
      <c r="C25" s="380"/>
      <c r="D25" s="215" t="e">
        <f>E25/$E$35</f>
        <v>#DIV/0!</v>
      </c>
      <c r="E25" s="216">
        <v>0</v>
      </c>
      <c r="G25" s="197" t="s">
        <v>258</v>
      </c>
      <c r="H25" s="206"/>
      <c r="I25" s="217">
        <f>(E25*H25)+E25</f>
        <v>0</v>
      </c>
      <c r="J25" s="212"/>
      <c r="K25" s="211">
        <f>(I25*J25)+I25</f>
        <v>0</v>
      </c>
      <c r="L25" s="212"/>
      <c r="M25" s="211">
        <f>(K25*L25)+K25</f>
        <v>0</v>
      </c>
      <c r="N25" s="212"/>
      <c r="O25" s="211">
        <f>(M25*N25)+M25</f>
        <v>0</v>
      </c>
      <c r="P25" s="212"/>
      <c r="Q25" s="211">
        <f>(O25*P25)+O25</f>
        <v>0</v>
      </c>
    </row>
    <row r="26" spans="1:17" ht="15" customHeight="1">
      <c r="A26" s="381" t="s">
        <v>83</v>
      </c>
      <c r="B26" s="381"/>
      <c r="C26" s="381"/>
      <c r="D26" s="168" t="s">
        <v>3</v>
      </c>
      <c r="E26" s="170">
        <f>SUM(E21:E25)</f>
        <v>0</v>
      </c>
      <c r="G26" s="197"/>
      <c r="H26" s="197"/>
      <c r="I26" s="170">
        <f>SUM(I21:I25)</f>
        <v>0</v>
      </c>
      <c r="J26" s="197"/>
      <c r="K26" s="170">
        <f>SUM(K21:K25)</f>
        <v>0</v>
      </c>
      <c r="L26" s="197"/>
      <c r="M26" s="170">
        <f>SUM(M21:M25)</f>
        <v>0</v>
      </c>
      <c r="N26" s="197"/>
      <c r="O26" s="170">
        <f>SUM(O21:O25)</f>
        <v>0</v>
      </c>
      <c r="P26" s="197"/>
      <c r="Q26" s="170">
        <f>SUM(Q21:Q25)</f>
        <v>0</v>
      </c>
    </row>
    <row r="27" spans="1:17" ht="15" customHeight="1">
      <c r="A27" s="33"/>
      <c r="B27" s="33"/>
      <c r="C27" s="33"/>
      <c r="D27" s="219"/>
      <c r="E27" s="220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</row>
    <row r="28" spans="1:17" s="31" customFormat="1" ht="26.25" customHeight="1">
      <c r="A28" s="375" t="s">
        <v>78</v>
      </c>
      <c r="B28" s="376"/>
      <c r="C28" s="377"/>
      <c r="D28" s="93" t="s">
        <v>86</v>
      </c>
      <c r="E28" s="92" t="s">
        <v>88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5" customHeight="1">
      <c r="A29" s="370" t="s">
        <v>11</v>
      </c>
      <c r="B29" s="371"/>
      <c r="C29" s="371"/>
      <c r="D29" s="198">
        <v>0</v>
      </c>
      <c r="E29" s="218">
        <f>D29*($E$18+$E$10)</f>
        <v>0</v>
      </c>
      <c r="G29" s="197" t="s">
        <v>258</v>
      </c>
      <c r="H29" s="206"/>
      <c r="I29" s="211">
        <f>(E29*H29)+E29</f>
        <v>0</v>
      </c>
      <c r="J29" s="212"/>
      <c r="K29" s="211">
        <f>(I29*J29)+I29</f>
        <v>0</v>
      </c>
      <c r="L29" s="212"/>
      <c r="M29" s="211">
        <f>(K29*L29)+K29</f>
        <v>0</v>
      </c>
      <c r="N29" s="212"/>
      <c r="O29" s="211">
        <f>(M29*N29)+M29</f>
        <v>0</v>
      </c>
      <c r="P29" s="212"/>
      <c r="Q29" s="211">
        <f>(O29*P29)+O29</f>
        <v>0</v>
      </c>
    </row>
    <row r="30" spans="1:17" ht="15" customHeight="1">
      <c r="A30" s="370" t="s">
        <v>79</v>
      </c>
      <c r="B30" s="371"/>
      <c r="C30" s="371"/>
      <c r="D30" s="221" t="e">
        <f>E30/$E$35</f>
        <v>#DIV/0!</v>
      </c>
      <c r="E30" s="216">
        <v>0</v>
      </c>
      <c r="G30" s="197" t="s">
        <v>258</v>
      </c>
      <c r="H30" s="206"/>
      <c r="I30" s="217">
        <f>(E30*H30)+E30</f>
        <v>0</v>
      </c>
      <c r="J30" s="212"/>
      <c r="K30" s="211">
        <f>(I30*J30)+I30</f>
        <v>0</v>
      </c>
      <c r="L30" s="212"/>
      <c r="M30" s="211">
        <f>(K30*L30)+K30</f>
        <v>0</v>
      </c>
      <c r="N30" s="212"/>
      <c r="O30" s="211">
        <f>(M30*N30)+M30</f>
        <v>0</v>
      </c>
      <c r="P30" s="212"/>
      <c r="Q30" s="211">
        <f>(O30*P30)+O30</f>
        <v>0</v>
      </c>
    </row>
    <row r="31" spans="1:17" ht="15" customHeight="1">
      <c r="A31" s="378" t="s">
        <v>92</v>
      </c>
      <c r="B31" s="379"/>
      <c r="C31" s="380"/>
      <c r="D31" s="215" t="e">
        <f>E31/$E$35</f>
        <v>#DIV/0!</v>
      </c>
      <c r="E31" s="216">
        <v>0</v>
      </c>
      <c r="G31" s="197" t="s">
        <v>258</v>
      </c>
      <c r="H31" s="206"/>
      <c r="I31" s="217">
        <f>(E31*H31)+E31</f>
        <v>0</v>
      </c>
      <c r="J31" s="212"/>
      <c r="K31" s="211">
        <f>(I31*J31)+I31</f>
        <v>0</v>
      </c>
      <c r="L31" s="212"/>
      <c r="M31" s="211">
        <f>(K31*L31)+K31</f>
        <v>0</v>
      </c>
      <c r="N31" s="212"/>
      <c r="O31" s="211">
        <f>(M31*N31)+M31</f>
        <v>0</v>
      </c>
      <c r="P31" s="212"/>
      <c r="Q31" s="211">
        <f>(O31*P31)+O31</f>
        <v>0</v>
      </c>
    </row>
    <row r="32" spans="1:17" ht="15" customHeight="1">
      <c r="A32" s="371" t="s">
        <v>80</v>
      </c>
      <c r="B32" s="371"/>
      <c r="C32" s="371"/>
      <c r="D32" s="221" t="e">
        <f>E32/$E$35</f>
        <v>#DIV/0!</v>
      </c>
      <c r="E32" s="216">
        <v>0</v>
      </c>
      <c r="G32" s="252" t="s">
        <v>258</v>
      </c>
      <c r="H32" s="197"/>
      <c r="I32" s="217">
        <f>(E32*H32)+E32</f>
        <v>0</v>
      </c>
      <c r="J32" s="212"/>
      <c r="K32" s="211">
        <f>(I32*J32)+I32</f>
        <v>0</v>
      </c>
      <c r="L32" s="212"/>
      <c r="M32" s="211">
        <f>(K32*L32)+K32</f>
        <v>0</v>
      </c>
      <c r="N32" s="212"/>
      <c r="O32" s="211">
        <f>(M32*N32)+M32</f>
        <v>0</v>
      </c>
      <c r="P32" s="212"/>
      <c r="Q32" s="211">
        <f>(O32*P32)+O32</f>
        <v>0</v>
      </c>
    </row>
    <row r="33" spans="1:17" ht="15" customHeight="1">
      <c r="A33" s="381" t="s">
        <v>84</v>
      </c>
      <c r="B33" s="381"/>
      <c r="C33" s="381"/>
      <c r="D33" s="168"/>
      <c r="E33" s="169">
        <f>SUM(E29:E32)</f>
        <v>0</v>
      </c>
      <c r="G33" s="197"/>
      <c r="H33" s="197"/>
      <c r="I33" s="169">
        <f>SUM(I29:I32)</f>
        <v>0</v>
      </c>
      <c r="J33" s="197"/>
      <c r="K33" s="169">
        <f>SUM(K29:K32)</f>
        <v>0</v>
      </c>
      <c r="L33" s="197"/>
      <c r="M33" s="169">
        <f>SUM(M29:M32)</f>
        <v>0</v>
      </c>
      <c r="N33" s="197"/>
      <c r="O33" s="169">
        <f>SUM(O29:O32)</f>
        <v>0</v>
      </c>
      <c r="P33" s="197"/>
      <c r="Q33" s="169">
        <f>SUM(Q29:Q32)</f>
        <v>0</v>
      </c>
    </row>
    <row r="34" spans="1:17" ht="15" customHeight="1">
      <c r="A34" s="33"/>
      <c r="B34" s="33"/>
      <c r="C34" s="33"/>
      <c r="D34" s="219"/>
      <c r="E34" s="222"/>
      <c r="H34" s="197"/>
      <c r="I34" s="197"/>
      <c r="J34" s="197"/>
      <c r="K34" s="197"/>
      <c r="L34" s="197"/>
      <c r="M34" s="197"/>
      <c r="N34" s="197"/>
      <c r="O34" s="197"/>
      <c r="P34" s="197"/>
      <c r="Q34" s="197"/>
    </row>
    <row r="35" spans="1:17" ht="26.25" customHeight="1">
      <c r="A35" s="372" t="s">
        <v>103</v>
      </c>
      <c r="B35" s="373"/>
      <c r="C35" s="373"/>
      <c r="D35" s="374"/>
      <c r="E35" s="167">
        <f>E33+E26+E18+E10</f>
        <v>0</v>
      </c>
      <c r="G35" s="146"/>
      <c r="H35" s="197"/>
      <c r="I35" s="167">
        <f>I33+I26+I18+I10</f>
        <v>0</v>
      </c>
      <c r="J35" s="197"/>
      <c r="K35" s="167">
        <f>K33+K26+K18+K10</f>
        <v>0</v>
      </c>
      <c r="L35" s="197"/>
      <c r="M35" s="167">
        <f>M33+M26+M18+M10</f>
        <v>0</v>
      </c>
      <c r="N35" s="197"/>
      <c r="O35" s="167">
        <f>O33+O26+O18+O10</f>
        <v>0</v>
      </c>
      <c r="P35" s="197"/>
      <c r="Q35" s="167">
        <f>Q33+Q26+Q18+Q10</f>
        <v>0</v>
      </c>
    </row>
    <row r="36" spans="1:17" ht="15" customHeight="1">
      <c r="D36" s="213"/>
      <c r="E36" s="214"/>
    </row>
    <row r="37" spans="1:17" ht="26.25" customHeight="1">
      <c r="A37" s="94" t="s">
        <v>87</v>
      </c>
      <c r="B37" s="95"/>
      <c r="C37" s="93" t="s">
        <v>102</v>
      </c>
      <c r="D37" s="93" t="s">
        <v>100</v>
      </c>
      <c r="E37" s="93" t="s">
        <v>101</v>
      </c>
      <c r="H37" s="93" t="s">
        <v>259</v>
      </c>
      <c r="I37" s="223" t="e">
        <f>(I35/E35)-100%</f>
        <v>#DIV/0!</v>
      </c>
      <c r="J37" s="93"/>
      <c r="K37" s="223" t="e">
        <f>(K35/I35)-100%</f>
        <v>#DIV/0!</v>
      </c>
      <c r="L37" s="93"/>
      <c r="M37" s="223" t="e">
        <f>(M35/K35)-100%</f>
        <v>#DIV/0!</v>
      </c>
      <c r="N37" s="93"/>
      <c r="O37" s="223" t="e">
        <f>(O35/M35)-100%</f>
        <v>#DIV/0!</v>
      </c>
      <c r="P37" s="93"/>
      <c r="Q37" s="223" t="e">
        <f>(Q35/O35)-100%</f>
        <v>#DIV/0!</v>
      </c>
    </row>
    <row r="38" spans="1:17" ht="15" customHeight="1">
      <c r="A38" s="197" t="s">
        <v>89</v>
      </c>
      <c r="B38" s="197" t="s">
        <v>95</v>
      </c>
      <c r="C38" s="13">
        <v>0</v>
      </c>
      <c r="D38" s="14">
        <f>+E35</f>
        <v>0</v>
      </c>
      <c r="E38" s="15">
        <f>D38*121%</f>
        <v>0</v>
      </c>
      <c r="F38" s="146"/>
      <c r="H38" s="197"/>
      <c r="I38" s="11" t="e">
        <f>(D38*$I$37)+D38</f>
        <v>#DIV/0!</v>
      </c>
      <c r="J38" s="197"/>
      <c r="K38" s="11" t="e">
        <f>(I38*$K$37)+I38</f>
        <v>#DIV/0!</v>
      </c>
      <c r="L38" s="197"/>
      <c r="M38" s="11" t="e">
        <f>(K38*$M$37)+K38</f>
        <v>#DIV/0!</v>
      </c>
      <c r="N38" s="197"/>
      <c r="O38" s="11" t="e">
        <f>(M38*$O$37)+M38</f>
        <v>#DIV/0!</v>
      </c>
      <c r="P38" s="197"/>
      <c r="Q38" s="11" t="e">
        <f>(O38*$Q$37)+O38</f>
        <v>#DIV/0!</v>
      </c>
    </row>
    <row r="39" spans="1:17" ht="15" customHeight="1">
      <c r="A39" s="197" t="s">
        <v>94</v>
      </c>
      <c r="B39" s="197" t="s">
        <v>96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46"/>
      <c r="H39" s="11"/>
      <c r="I39" s="11" t="e">
        <f>(D39*$I$37)+D39</f>
        <v>#DIV/0!</v>
      </c>
      <c r="J39" s="197"/>
      <c r="K39" s="11" t="e">
        <f>(I39*$K$37)+I39</f>
        <v>#DIV/0!</v>
      </c>
      <c r="L39" s="197"/>
      <c r="M39" s="11" t="e">
        <f>(K39*$M$37)+K39</f>
        <v>#DIV/0!</v>
      </c>
      <c r="N39" s="197"/>
      <c r="O39" s="11" t="e">
        <f>(M39*$O$37)+M39</f>
        <v>#DIV/0!</v>
      </c>
      <c r="P39" s="197"/>
      <c r="Q39" s="11" t="e">
        <f>(O39*$Q$37)+O39</f>
        <v>#DIV/0!</v>
      </c>
    </row>
    <row r="40" spans="1:17" ht="15" customHeight="1">
      <c r="A40" s="197" t="s">
        <v>24</v>
      </c>
      <c r="B40" s="197" t="s">
        <v>97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46"/>
      <c r="H40" s="197"/>
      <c r="I40" s="11" t="e">
        <f>(D40*$I$37)+D40</f>
        <v>#DIV/0!</v>
      </c>
      <c r="J40" s="197"/>
      <c r="K40" s="11" t="e">
        <f>(I40*$K$37)+I40</f>
        <v>#DIV/0!</v>
      </c>
      <c r="L40" s="197"/>
      <c r="M40" s="11" t="e">
        <f>(K40*$M$37)+K40</f>
        <v>#DIV/0!</v>
      </c>
      <c r="N40" s="197"/>
      <c r="O40" s="11" t="e">
        <f>(M40*$O$37)+M40</f>
        <v>#DIV/0!</v>
      </c>
      <c r="P40" s="197"/>
      <c r="Q40" s="11" t="e">
        <f>(O40*$Q$37)+O40</f>
        <v>#DIV/0!</v>
      </c>
    </row>
    <row r="41" spans="1:17" ht="15" customHeight="1">
      <c r="A41" s="197" t="s">
        <v>98</v>
      </c>
      <c r="B41" s="16" t="s">
        <v>99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46"/>
      <c r="H41" s="197"/>
      <c r="I41" s="11" t="e">
        <f>(D41*$I$37)+D41</f>
        <v>#DIV/0!</v>
      </c>
      <c r="J41" s="197"/>
      <c r="K41" s="11" t="e">
        <f>(I41*$K$37)+I41</f>
        <v>#DIV/0!</v>
      </c>
      <c r="L41" s="197"/>
      <c r="M41" s="11" t="e">
        <f>(K41*$M$37)+K41</f>
        <v>#DIV/0!</v>
      </c>
      <c r="N41" s="197"/>
      <c r="O41" s="11" t="e">
        <f>(M41*$O$37)+M41</f>
        <v>#DIV/0!</v>
      </c>
      <c r="P41" s="197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G2:Q2"/>
    <mergeCell ref="H3:I3"/>
    <mergeCell ref="J3:K3"/>
    <mergeCell ref="L3:M3"/>
    <mergeCell ref="N3:O3"/>
    <mergeCell ref="P3:Q3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A13:C13"/>
    <mergeCell ref="A8:B8"/>
    <mergeCell ref="A12:C12"/>
    <mergeCell ref="A14:C14"/>
    <mergeCell ref="A22:C22"/>
    <mergeCell ref="A17:C17"/>
    <mergeCell ref="A24:C24"/>
    <mergeCell ref="A30:C30"/>
    <mergeCell ref="A35:D35"/>
    <mergeCell ref="A28:C28"/>
    <mergeCell ref="A31:C31"/>
    <mergeCell ref="A29:C29"/>
    <mergeCell ref="A32:C32"/>
    <mergeCell ref="A33:C33"/>
  </mergeCells>
  <phoneticPr fontId="4" type="noConversion"/>
  <conditionalFormatting sqref="E9">
    <cfRule type="containsText" dxfId="236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58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53"/>
  <sheetViews>
    <sheetView view="pageBreakPreview" zoomScaleNormal="100" zoomScaleSheetLayoutView="100" workbookViewId="0">
      <selection sqref="A1:F1"/>
    </sheetView>
  </sheetViews>
  <sheetFormatPr defaultColWidth="14.140625" defaultRowHeight="15" customHeight="1"/>
  <cols>
    <col min="1" max="1" width="14.140625" style="5"/>
    <col min="2" max="2" width="31.140625" style="2" bestFit="1" customWidth="1"/>
    <col min="3" max="3" width="14.140625" style="2"/>
    <col min="4" max="4" width="32" style="6" customWidth="1"/>
    <col min="5" max="6" width="23.7109375" style="2" customWidth="1"/>
    <col min="7" max="7" width="14.140625" style="1"/>
    <col min="8" max="16384" width="14.140625" style="2"/>
  </cols>
  <sheetData>
    <row r="1" spans="1:10" s="7" customFormat="1" ht="26.25" customHeight="1">
      <c r="A1" s="395" t="s">
        <v>122</v>
      </c>
      <c r="B1" s="395"/>
      <c r="C1" s="395"/>
      <c r="D1" s="395"/>
      <c r="E1" s="395"/>
      <c r="F1" s="395"/>
    </row>
    <row r="2" spans="1:10" s="7" customFormat="1" ht="15" customHeight="1">
      <c r="A2" s="393" t="s">
        <v>218</v>
      </c>
      <c r="B2" s="394"/>
      <c r="C2" s="394"/>
      <c r="D2" s="394"/>
      <c r="E2" s="394"/>
      <c r="F2" s="394"/>
    </row>
    <row r="3" spans="1:10" s="68" customFormat="1" ht="15" customHeight="1">
      <c r="A3" s="69"/>
      <c r="E3" s="86"/>
      <c r="F3" s="86"/>
      <c r="G3" s="69"/>
      <c r="H3" s="69"/>
    </row>
    <row r="4" spans="1:10" s="68" customFormat="1" ht="15" customHeight="1">
      <c r="A4" s="69"/>
      <c r="E4" s="86"/>
      <c r="F4" s="86"/>
      <c r="G4" s="69"/>
      <c r="H4" s="69"/>
    </row>
    <row r="5" spans="1:10" s="68" customFormat="1" ht="26.25" customHeight="1">
      <c r="A5" s="88" t="s">
        <v>235</v>
      </c>
      <c r="B5" s="88"/>
      <c r="C5" s="88"/>
      <c r="D5" s="88"/>
      <c r="E5" s="87"/>
      <c r="F5" s="87"/>
      <c r="G5" s="69"/>
      <c r="H5" s="69"/>
    </row>
    <row r="6" spans="1:10" s="68" customFormat="1" ht="26.25" customHeight="1" thickBot="1">
      <c r="A6" s="128" t="s">
        <v>34</v>
      </c>
      <c r="B6" s="129" t="s">
        <v>149</v>
      </c>
      <c r="C6" s="126" t="s">
        <v>109</v>
      </c>
      <c r="D6" s="130" t="s">
        <v>68</v>
      </c>
      <c r="E6" s="131" t="s">
        <v>67</v>
      </c>
      <c r="F6" s="24" t="s">
        <v>30</v>
      </c>
      <c r="G6" s="69"/>
      <c r="H6" s="69"/>
    </row>
    <row r="7" spans="1:10" s="68" customFormat="1" ht="15" customHeight="1" thickTop="1">
      <c r="A7" s="133">
        <v>1</v>
      </c>
      <c r="B7" s="132" t="s">
        <v>439</v>
      </c>
      <c r="C7" s="127">
        <v>1</v>
      </c>
      <c r="D7" s="132" t="s">
        <v>440</v>
      </c>
      <c r="E7" s="192" t="s">
        <v>441</v>
      </c>
      <c r="F7" s="192" t="s">
        <v>442</v>
      </c>
      <c r="G7" s="69"/>
      <c r="H7" s="69"/>
    </row>
    <row r="8" spans="1:10" s="68" customFormat="1" ht="15" customHeight="1">
      <c r="A8" s="69"/>
      <c r="E8" s="86"/>
      <c r="F8" s="86"/>
      <c r="G8" s="69"/>
      <c r="H8" s="69"/>
    </row>
    <row r="9" spans="1:10" s="68" customFormat="1" ht="26.25" customHeight="1">
      <c r="A9" s="97" t="s">
        <v>236</v>
      </c>
      <c r="B9" s="87"/>
      <c r="C9" s="87"/>
      <c r="D9" s="87"/>
      <c r="E9" s="86"/>
      <c r="F9" s="86"/>
      <c r="G9" s="69"/>
      <c r="H9" s="69"/>
    </row>
    <row r="10" spans="1:10" s="68" customFormat="1" ht="26.25" customHeight="1">
      <c r="A10" s="96" t="s">
        <v>34</v>
      </c>
      <c r="B10" s="18" t="s">
        <v>107</v>
      </c>
      <c r="C10" s="20" t="s">
        <v>106</v>
      </c>
      <c r="D10" s="96" t="s">
        <v>212</v>
      </c>
      <c r="E10" s="86"/>
      <c r="F10" s="86"/>
      <c r="G10" s="69"/>
      <c r="H10" s="69"/>
    </row>
    <row r="11" spans="1:10" s="68" customFormat="1" ht="15" customHeight="1">
      <c r="A11" s="19">
        <v>1</v>
      </c>
      <c r="B11" s="17" t="s">
        <v>59</v>
      </c>
      <c r="C11" s="98">
        <v>0</v>
      </c>
      <c r="D11" s="174" t="s">
        <v>407</v>
      </c>
      <c r="E11" s="86"/>
      <c r="F11" s="86"/>
      <c r="G11" s="69"/>
      <c r="H11" s="69"/>
    </row>
    <row r="12" spans="1:10" s="87" customFormat="1" ht="15" customHeight="1">
      <c r="A12" s="19">
        <v>2</v>
      </c>
      <c r="B12" s="17" t="s">
        <v>60</v>
      </c>
      <c r="C12" s="98">
        <v>0</v>
      </c>
      <c r="D12" s="174" t="s">
        <v>408</v>
      </c>
      <c r="G12" s="89"/>
      <c r="H12" s="89"/>
      <c r="I12" s="89"/>
    </row>
    <row r="13" spans="1:10" s="21" customFormat="1" ht="15" customHeight="1">
      <c r="A13" s="19">
        <v>3</v>
      </c>
      <c r="B13" s="17" t="s">
        <v>61</v>
      </c>
      <c r="C13" s="98">
        <v>0</v>
      </c>
      <c r="D13" s="174" t="s">
        <v>407</v>
      </c>
      <c r="E13" s="70"/>
      <c r="F13" s="70"/>
      <c r="G13" s="139"/>
      <c r="H13" s="139"/>
      <c r="I13" s="139"/>
      <c r="J13" s="139"/>
    </row>
    <row r="14" spans="1:10" s="24" customFormat="1" ht="15" customHeight="1">
      <c r="A14" s="19">
        <v>4</v>
      </c>
      <c r="B14" s="17" t="s">
        <v>62</v>
      </c>
      <c r="C14" s="98">
        <v>0</v>
      </c>
      <c r="D14" s="174" t="s">
        <v>408</v>
      </c>
      <c r="E14" s="100"/>
      <c r="F14" s="87"/>
      <c r="G14" s="89"/>
      <c r="H14" s="89"/>
      <c r="I14" s="89"/>
      <c r="J14" s="89"/>
    </row>
    <row r="15" spans="1:10" s="24" customFormat="1" ht="15" customHeight="1">
      <c r="A15" s="19">
        <v>5</v>
      </c>
      <c r="B15" s="17" t="s">
        <v>22</v>
      </c>
      <c r="C15" s="98">
        <v>0</v>
      </c>
      <c r="D15" s="174" t="s">
        <v>409</v>
      </c>
      <c r="E15" s="100"/>
      <c r="F15" s="87"/>
      <c r="G15" s="89"/>
      <c r="H15" s="89"/>
      <c r="I15" s="89"/>
      <c r="J15" s="89"/>
    </row>
    <row r="16" spans="1:10" s="24" customFormat="1" ht="15" customHeight="1">
      <c r="A16" s="19">
        <v>6</v>
      </c>
      <c r="B16" s="17" t="s">
        <v>63</v>
      </c>
      <c r="C16" s="98">
        <v>0</v>
      </c>
      <c r="D16" s="174" t="s">
        <v>407</v>
      </c>
      <c r="E16" s="100"/>
      <c r="F16" s="87"/>
      <c r="G16" s="89"/>
      <c r="H16" s="89"/>
      <c r="I16" s="89"/>
      <c r="J16" s="89"/>
    </row>
    <row r="17" spans="1:10" s="24" customFormat="1" ht="15" customHeight="1">
      <c r="A17" s="19">
        <v>7</v>
      </c>
      <c r="B17" s="17" t="s">
        <v>40</v>
      </c>
      <c r="C17" s="98">
        <v>0</v>
      </c>
      <c r="D17" s="174" t="s">
        <v>407</v>
      </c>
      <c r="E17" s="100"/>
      <c r="F17" s="87"/>
      <c r="G17" s="89"/>
      <c r="H17" s="89"/>
      <c r="I17" s="89"/>
      <c r="J17" s="89"/>
    </row>
    <row r="18" spans="1:10" s="24" customFormat="1" ht="15" customHeight="1">
      <c r="A18" s="19">
        <v>8</v>
      </c>
      <c r="B18" s="17" t="s">
        <v>401</v>
      </c>
      <c r="C18" s="98">
        <v>0</v>
      </c>
      <c r="D18" s="174" t="s">
        <v>410</v>
      </c>
      <c r="E18" s="100"/>
      <c r="F18" s="103"/>
      <c r="G18" s="89"/>
      <c r="H18" s="89"/>
      <c r="I18" s="89"/>
      <c r="J18" s="89"/>
    </row>
    <row r="19" spans="1:10" s="24" customFormat="1" ht="15" customHeight="1">
      <c r="A19" s="19">
        <v>9</v>
      </c>
      <c r="B19" s="17" t="s">
        <v>402</v>
      </c>
      <c r="C19" s="98">
        <v>0</v>
      </c>
      <c r="D19" s="174" t="s">
        <v>410</v>
      </c>
      <c r="E19" s="100"/>
      <c r="F19" s="103"/>
      <c r="G19" s="89"/>
      <c r="H19" s="89"/>
      <c r="I19" s="89"/>
      <c r="J19" s="89"/>
    </row>
    <row r="20" spans="1:10" s="24" customFormat="1" ht="15" customHeight="1">
      <c r="A20" s="19">
        <v>10</v>
      </c>
      <c r="B20" s="17" t="s">
        <v>64</v>
      </c>
      <c r="C20" s="98">
        <v>0</v>
      </c>
      <c r="D20" s="174" t="s">
        <v>407</v>
      </c>
      <c r="E20" s="103"/>
      <c r="F20" s="87"/>
      <c r="G20" s="89"/>
      <c r="H20" s="89"/>
      <c r="I20" s="89"/>
      <c r="J20" s="87"/>
    </row>
    <row r="21" spans="1:10" s="24" customFormat="1" ht="15" customHeight="1">
      <c r="A21" s="19">
        <v>11</v>
      </c>
      <c r="B21" s="17" t="s">
        <v>403</v>
      </c>
      <c r="C21" s="98">
        <v>0</v>
      </c>
      <c r="D21" s="174" t="s">
        <v>407</v>
      </c>
      <c r="E21" s="103"/>
      <c r="F21" s="87"/>
      <c r="G21" s="89"/>
      <c r="H21" s="89"/>
      <c r="I21" s="89"/>
      <c r="J21" s="87"/>
    </row>
    <row r="22" spans="1:10" s="24" customFormat="1" ht="15" customHeight="1">
      <c r="A22" s="19">
        <v>12</v>
      </c>
      <c r="B22" s="17" t="s">
        <v>404</v>
      </c>
      <c r="C22" s="98">
        <v>0</v>
      </c>
      <c r="D22" s="174" t="s">
        <v>407</v>
      </c>
      <c r="E22" s="103"/>
      <c r="F22" s="87"/>
      <c r="G22" s="89"/>
      <c r="H22" s="89"/>
      <c r="I22" s="89"/>
      <c r="J22" s="87"/>
    </row>
    <row r="23" spans="1:10" s="24" customFormat="1" ht="15" customHeight="1">
      <c r="A23" s="19">
        <v>13</v>
      </c>
      <c r="B23" s="17" t="s">
        <v>630</v>
      </c>
      <c r="C23" s="98">
        <v>0</v>
      </c>
      <c r="D23" s="174" t="s">
        <v>407</v>
      </c>
      <c r="E23" s="103"/>
      <c r="F23" s="87"/>
      <c r="G23" s="89"/>
      <c r="H23" s="89"/>
      <c r="I23" s="89"/>
      <c r="J23" s="87"/>
    </row>
    <row r="24" spans="1:10" s="24" customFormat="1" ht="15" customHeight="1">
      <c r="A24" s="19">
        <v>14</v>
      </c>
      <c r="B24" s="17" t="s">
        <v>405</v>
      </c>
      <c r="C24" s="98">
        <v>0</v>
      </c>
      <c r="D24" s="174" t="s">
        <v>410</v>
      </c>
      <c r="E24" s="103"/>
      <c r="F24" s="87"/>
      <c r="G24" s="89"/>
      <c r="H24" s="89"/>
      <c r="I24" s="87"/>
      <c r="J24" s="87"/>
    </row>
    <row r="25" spans="1:10" s="24" customFormat="1" ht="15" customHeight="1">
      <c r="A25" s="19">
        <v>15</v>
      </c>
      <c r="B25" s="17" t="s">
        <v>65</v>
      </c>
      <c r="C25" s="98">
        <v>0</v>
      </c>
      <c r="D25" s="174" t="s">
        <v>407</v>
      </c>
      <c r="E25" s="103"/>
      <c r="F25" s="87"/>
      <c r="G25" s="89"/>
      <c r="H25" s="89"/>
      <c r="I25" s="87"/>
      <c r="J25" s="87"/>
    </row>
    <row r="26" spans="1:10" s="24" customFormat="1" ht="15" customHeight="1">
      <c r="A26" s="19">
        <v>16</v>
      </c>
      <c r="B26" s="17" t="s">
        <v>369</v>
      </c>
      <c r="C26" s="98">
        <v>0</v>
      </c>
      <c r="D26" s="174" t="s">
        <v>410</v>
      </c>
      <c r="E26" s="103"/>
      <c r="F26" s="87"/>
      <c r="G26" s="89"/>
      <c r="H26" s="89"/>
      <c r="I26" s="87"/>
      <c r="J26" s="87"/>
    </row>
    <row r="27" spans="1:10" s="24" customFormat="1" ht="15" customHeight="1">
      <c r="A27" s="19">
        <v>17</v>
      </c>
      <c r="B27" s="17" t="s">
        <v>70</v>
      </c>
      <c r="C27" s="98">
        <v>0</v>
      </c>
      <c r="D27" s="174" t="s">
        <v>407</v>
      </c>
      <c r="E27" s="103"/>
      <c r="F27" s="87"/>
      <c r="G27" s="89"/>
      <c r="H27" s="89"/>
      <c r="I27" s="87"/>
      <c r="J27" s="87"/>
    </row>
    <row r="28" spans="1:10" s="24" customFormat="1" ht="15" customHeight="1">
      <c r="A28" s="19">
        <v>18</v>
      </c>
      <c r="B28" s="17" t="s">
        <v>69</v>
      </c>
      <c r="C28" s="98">
        <v>0</v>
      </c>
      <c r="D28" s="174" t="s">
        <v>411</v>
      </c>
      <c r="E28" s="103"/>
      <c r="F28" s="87"/>
      <c r="G28" s="89"/>
      <c r="H28" s="89"/>
      <c r="I28" s="87"/>
      <c r="J28" s="87"/>
    </row>
    <row r="29" spans="1:10" s="24" customFormat="1" ht="15" customHeight="1">
      <c r="A29" s="19">
        <v>19</v>
      </c>
      <c r="B29" s="17" t="s">
        <v>406</v>
      </c>
      <c r="C29" s="98">
        <v>0</v>
      </c>
      <c r="D29" s="174" t="s">
        <v>407</v>
      </c>
      <c r="E29" s="103"/>
      <c r="F29" s="87"/>
      <c r="G29" s="89"/>
      <c r="H29" s="89"/>
      <c r="I29" s="87"/>
      <c r="J29" s="87"/>
    </row>
    <row r="30" spans="1:10" s="24" customFormat="1" ht="15" customHeight="1">
      <c r="A30" s="19">
        <v>20</v>
      </c>
      <c r="B30" s="17" t="s">
        <v>66</v>
      </c>
      <c r="C30" s="99"/>
      <c r="D30" s="99"/>
      <c r="E30" s="103"/>
      <c r="F30" s="87"/>
      <c r="G30" s="89"/>
      <c r="H30" s="89"/>
      <c r="I30" s="87"/>
      <c r="J30" s="87"/>
    </row>
    <row r="31" spans="1:10" s="24" customFormat="1" ht="15" customHeight="1">
      <c r="A31" s="87"/>
      <c r="B31" s="87"/>
      <c r="C31" s="87"/>
      <c r="D31" s="87"/>
      <c r="E31" s="103"/>
      <c r="F31" s="87"/>
      <c r="G31" s="89"/>
      <c r="H31" s="89"/>
      <c r="I31" s="87"/>
      <c r="J31" s="87"/>
    </row>
    <row r="32" spans="1:10" s="24" customFormat="1" ht="26.25" customHeight="1">
      <c r="A32" s="88" t="s">
        <v>237</v>
      </c>
      <c r="B32" s="88"/>
      <c r="C32" s="87"/>
      <c r="D32" s="87"/>
      <c r="E32" s="103"/>
      <c r="F32" s="87"/>
      <c r="G32" s="89"/>
      <c r="H32" s="89"/>
      <c r="I32" s="87"/>
      <c r="J32" s="87"/>
    </row>
    <row r="33" spans="1:12" s="24" customFormat="1" ht="26.25" customHeight="1">
      <c r="A33" s="22" t="s">
        <v>34</v>
      </c>
      <c r="B33" s="134" t="s">
        <v>135</v>
      </c>
      <c r="C33" s="23" t="s">
        <v>109</v>
      </c>
      <c r="D33" s="20" t="s">
        <v>108</v>
      </c>
      <c r="E33" s="144" t="s">
        <v>211</v>
      </c>
      <c r="F33" s="145" t="s">
        <v>174</v>
      </c>
      <c r="G33" s="89"/>
      <c r="H33" s="89"/>
      <c r="I33" s="89"/>
      <c r="J33" s="89"/>
      <c r="K33" s="87"/>
      <c r="L33" s="87"/>
    </row>
    <row r="34" spans="1:12" s="24" customFormat="1" ht="15" customHeight="1">
      <c r="A34" s="101" t="s">
        <v>111</v>
      </c>
      <c r="B34" s="135" t="s">
        <v>136</v>
      </c>
      <c r="C34" s="102">
        <v>1</v>
      </c>
      <c r="D34" s="7" t="s">
        <v>114</v>
      </c>
      <c r="E34" s="7"/>
      <c r="F34" s="143"/>
      <c r="G34" s="89"/>
      <c r="H34" s="89"/>
      <c r="I34" s="89"/>
      <c r="J34" s="89"/>
      <c r="K34" s="87"/>
      <c r="L34" s="87"/>
    </row>
    <row r="35" spans="1:12" s="24" customFormat="1" ht="15" customHeight="1">
      <c r="A35" s="101" t="s">
        <v>110</v>
      </c>
      <c r="B35" s="135" t="s">
        <v>38</v>
      </c>
      <c r="C35" s="102">
        <v>1</v>
      </c>
      <c r="D35" s="7" t="s">
        <v>115</v>
      </c>
      <c r="E35" s="7"/>
      <c r="F35" s="143"/>
      <c r="G35" s="89"/>
      <c r="H35" s="89"/>
      <c r="I35" s="89"/>
      <c r="J35" s="89"/>
      <c r="K35" s="87"/>
      <c r="L35" s="87"/>
    </row>
    <row r="36" spans="1:12" s="24" customFormat="1" ht="15" customHeight="1">
      <c r="A36" s="101" t="s">
        <v>112</v>
      </c>
      <c r="B36" s="135" t="s">
        <v>132</v>
      </c>
      <c r="C36" s="102">
        <v>1</v>
      </c>
      <c r="D36" s="7" t="s">
        <v>116</v>
      </c>
      <c r="E36" s="7"/>
      <c r="F36" s="143"/>
      <c r="G36" s="89"/>
      <c r="H36" s="89"/>
      <c r="I36" s="89"/>
      <c r="J36" s="89"/>
      <c r="K36" s="87"/>
      <c r="L36" s="87"/>
    </row>
    <row r="37" spans="1:12" s="24" customFormat="1" ht="15" customHeight="1">
      <c r="A37" s="101" t="s">
        <v>113</v>
      </c>
      <c r="B37" s="135" t="s">
        <v>133</v>
      </c>
      <c r="C37" s="102">
        <v>1</v>
      </c>
      <c r="D37" s="7" t="s">
        <v>117</v>
      </c>
      <c r="E37" s="7"/>
      <c r="F37" s="143"/>
      <c r="G37" s="89"/>
      <c r="H37" s="89"/>
      <c r="I37" s="89"/>
      <c r="J37" s="89"/>
      <c r="K37" s="87"/>
      <c r="L37" s="87"/>
    </row>
    <row r="38" spans="1:12" s="24" customFormat="1" ht="15" customHeight="1">
      <c r="A38" s="87"/>
      <c r="B38" s="87"/>
      <c r="C38" s="87"/>
      <c r="D38" s="87"/>
      <c r="E38" s="103"/>
      <c r="F38" s="87"/>
      <c r="G38" s="89"/>
      <c r="H38" s="89"/>
      <c r="I38" s="87"/>
      <c r="J38" s="87"/>
    </row>
    <row r="39" spans="1:12" s="81" customFormat="1" ht="26.25" customHeight="1">
      <c r="A39" s="88" t="s">
        <v>118</v>
      </c>
      <c r="B39" s="87"/>
      <c r="C39" s="87"/>
      <c r="D39" s="89"/>
      <c r="G39" s="90"/>
    </row>
    <row r="40" spans="1:12" ht="26.25" customHeight="1">
      <c r="A40" s="22" t="s">
        <v>34</v>
      </c>
      <c r="B40" s="20" t="s">
        <v>119</v>
      </c>
      <c r="C40" s="23" t="s">
        <v>109</v>
      </c>
      <c r="D40" s="81"/>
      <c r="E40" s="81"/>
      <c r="F40" s="140"/>
      <c r="G40" s="81"/>
      <c r="H40" s="81"/>
    </row>
    <row r="41" spans="1:12" ht="15" customHeight="1">
      <c r="A41" s="50" t="s">
        <v>19</v>
      </c>
      <c r="B41" s="51" t="s">
        <v>29</v>
      </c>
      <c r="C41" s="102">
        <v>1</v>
      </c>
      <c r="D41" s="81"/>
      <c r="E41" s="81"/>
      <c r="F41" s="140"/>
      <c r="G41" s="81"/>
      <c r="H41" s="81"/>
    </row>
    <row r="42" spans="1:12" ht="15" customHeight="1">
      <c r="A42" s="52" t="s">
        <v>2</v>
      </c>
      <c r="B42" s="53" t="s">
        <v>1</v>
      </c>
      <c r="C42" s="102">
        <v>1</v>
      </c>
      <c r="D42" s="81"/>
      <c r="E42" s="81"/>
      <c r="F42" s="140"/>
      <c r="G42" s="81"/>
      <c r="H42" s="81"/>
    </row>
    <row r="43" spans="1:12" ht="15" customHeight="1">
      <c r="A43" s="50" t="s">
        <v>20</v>
      </c>
      <c r="B43" s="51" t="s">
        <v>21</v>
      </c>
      <c r="C43" s="102">
        <v>1</v>
      </c>
      <c r="D43" s="81"/>
      <c r="E43" s="81"/>
      <c r="F43" s="140"/>
      <c r="G43" s="81"/>
      <c r="H43" s="81"/>
    </row>
    <row r="44" spans="1:12" ht="15" customHeight="1">
      <c r="A44" s="52" t="s">
        <v>18</v>
      </c>
      <c r="B44" s="53" t="s">
        <v>12</v>
      </c>
      <c r="C44" s="102">
        <v>1</v>
      </c>
      <c r="D44" s="81"/>
      <c r="E44" s="81"/>
      <c r="F44" s="140"/>
      <c r="G44" s="81"/>
      <c r="H44" s="81"/>
    </row>
    <row r="45" spans="1:12" ht="15" customHeight="1">
      <c r="A45" s="50" t="s">
        <v>120</v>
      </c>
      <c r="B45" s="51" t="s">
        <v>121</v>
      </c>
      <c r="C45" s="102">
        <v>1</v>
      </c>
      <c r="D45" s="81"/>
      <c r="E45" s="81"/>
      <c r="F45" s="140"/>
      <c r="G45" s="81"/>
      <c r="H45" s="81"/>
    </row>
    <row r="46" spans="1:12" ht="15" customHeight="1">
      <c r="A46" s="52" t="s">
        <v>17</v>
      </c>
      <c r="B46" s="53" t="s">
        <v>14</v>
      </c>
      <c r="C46" s="102">
        <v>1</v>
      </c>
      <c r="D46" s="81"/>
      <c r="E46" s="81"/>
      <c r="F46" s="140"/>
      <c r="G46" s="81"/>
      <c r="H46" s="81"/>
    </row>
    <row r="47" spans="1:12" ht="15" customHeight="1">
      <c r="A47" s="50" t="s">
        <v>15</v>
      </c>
      <c r="B47" s="51" t="s">
        <v>13</v>
      </c>
      <c r="C47" s="102">
        <v>1</v>
      </c>
      <c r="D47" s="81"/>
      <c r="E47" s="81"/>
      <c r="F47" s="140"/>
      <c r="G47" s="81"/>
      <c r="H47" s="81"/>
    </row>
    <row r="48" spans="1:12" ht="15" customHeight="1">
      <c r="A48" s="52" t="s">
        <v>25</v>
      </c>
      <c r="B48" s="53" t="s">
        <v>28</v>
      </c>
      <c r="C48" s="102">
        <v>1</v>
      </c>
      <c r="D48" s="81"/>
      <c r="E48" s="81"/>
      <c r="F48" s="140"/>
      <c r="G48" s="81"/>
      <c r="H48" s="81"/>
    </row>
    <row r="49" spans="1:10" ht="15" customHeight="1">
      <c r="A49" s="50" t="s">
        <v>26</v>
      </c>
      <c r="B49" s="51" t="s">
        <v>27</v>
      </c>
      <c r="C49" s="102">
        <v>1</v>
      </c>
      <c r="D49" s="81"/>
      <c r="E49" s="81"/>
      <c r="F49" s="140"/>
      <c r="G49" s="81"/>
      <c r="H49" s="81"/>
    </row>
    <row r="50" spans="1:10" ht="15" customHeight="1">
      <c r="A50" s="52" t="s">
        <v>16</v>
      </c>
      <c r="B50" s="53" t="s">
        <v>0</v>
      </c>
      <c r="C50" s="102">
        <v>1</v>
      </c>
      <c r="D50" s="81"/>
      <c r="E50" s="81"/>
      <c r="F50" s="140"/>
      <c r="G50" s="81"/>
      <c r="H50" s="81"/>
    </row>
    <row r="51" spans="1:10" ht="15" customHeight="1">
      <c r="A51" s="104"/>
      <c r="B51" s="89"/>
      <c r="C51" s="89"/>
      <c r="D51" s="89"/>
      <c r="E51" s="81"/>
      <c r="F51" s="81"/>
      <c r="G51" s="90"/>
      <c r="H51" s="81"/>
      <c r="I51" s="81"/>
      <c r="J51" s="81"/>
    </row>
    <row r="52" spans="1:10" ht="15" customHeight="1">
      <c r="A52" s="141"/>
      <c r="B52" s="81"/>
      <c r="C52" s="81"/>
      <c r="D52" s="142"/>
      <c r="E52" s="81"/>
      <c r="F52" s="81"/>
      <c r="G52" s="90"/>
      <c r="H52" s="81"/>
      <c r="I52" s="81"/>
      <c r="J52" s="81"/>
    </row>
    <row r="53" spans="1:10" ht="15" customHeight="1">
      <c r="A53" s="141"/>
      <c r="B53" s="81"/>
      <c r="C53" s="81"/>
      <c r="D53" s="142"/>
      <c r="E53" s="81"/>
      <c r="F53" s="81"/>
      <c r="G53" s="90"/>
      <c r="H53" s="81"/>
      <c r="I53" s="81"/>
      <c r="J53" s="81"/>
    </row>
    <row r="54" spans="1:10" ht="15" customHeight="1">
      <c r="A54" s="141"/>
      <c r="B54" s="81"/>
      <c r="C54" s="81"/>
      <c r="D54" s="142"/>
      <c r="E54" s="81"/>
      <c r="F54" s="81"/>
      <c r="G54" s="90"/>
      <c r="H54" s="81"/>
      <c r="I54" s="81"/>
      <c r="J54" s="81"/>
    </row>
    <row r="55" spans="1:10" ht="15" customHeight="1">
      <c r="A55" s="141"/>
      <c r="B55" s="81"/>
      <c r="C55" s="81"/>
      <c r="D55" s="142"/>
      <c r="E55" s="81"/>
      <c r="F55" s="81"/>
      <c r="G55" s="90"/>
      <c r="H55" s="81"/>
      <c r="I55" s="81"/>
      <c r="J55" s="81"/>
    </row>
    <row r="56" spans="1:10" ht="15" customHeight="1">
      <c r="F56" s="81"/>
      <c r="G56" s="90"/>
      <c r="H56" s="81"/>
      <c r="I56" s="81"/>
      <c r="J56" s="81"/>
    </row>
    <row r="57" spans="1:10" ht="15" customHeight="1">
      <c r="F57" s="81"/>
      <c r="G57" s="90"/>
      <c r="H57" s="81"/>
      <c r="I57" s="81"/>
      <c r="J57" s="81"/>
    </row>
    <row r="58" spans="1:10" ht="15" customHeight="1">
      <c r="F58" s="81"/>
      <c r="G58" s="90"/>
      <c r="H58" s="81"/>
      <c r="I58" s="81"/>
      <c r="J58" s="81"/>
    </row>
    <row r="59" spans="1:10" ht="15" customHeight="1">
      <c r="F59" s="81"/>
      <c r="G59" s="90"/>
      <c r="H59" s="81"/>
      <c r="I59" s="81"/>
      <c r="J59" s="81"/>
    </row>
    <row r="60" spans="1:10" ht="15" customHeight="1">
      <c r="F60" s="81"/>
      <c r="G60" s="90"/>
      <c r="H60" s="81"/>
      <c r="I60" s="81"/>
      <c r="J60" s="81"/>
    </row>
    <row r="61" spans="1:10" ht="15" customHeight="1">
      <c r="F61" s="81"/>
      <c r="G61" s="90"/>
      <c r="H61" s="81"/>
      <c r="I61" s="81"/>
      <c r="J61" s="81"/>
    </row>
    <row r="62" spans="1:10" ht="15" customHeight="1">
      <c r="F62" s="81"/>
      <c r="G62" s="90"/>
      <c r="H62" s="81"/>
      <c r="I62" s="81"/>
      <c r="J62" s="81"/>
    </row>
    <row r="63" spans="1:10" ht="15" customHeight="1">
      <c r="F63" s="81"/>
      <c r="G63" s="90"/>
      <c r="H63" s="81"/>
      <c r="I63" s="81"/>
      <c r="J63" s="81"/>
    </row>
    <row r="64" spans="1:10" ht="15" customHeight="1">
      <c r="F64" s="81"/>
      <c r="G64" s="90"/>
      <c r="H64" s="81"/>
      <c r="I64" s="81"/>
      <c r="J64" s="81"/>
    </row>
    <row r="65" spans="6:10" ht="15" customHeight="1">
      <c r="F65" s="81"/>
      <c r="G65" s="90"/>
      <c r="H65" s="81"/>
      <c r="I65" s="81"/>
      <c r="J65" s="81"/>
    </row>
    <row r="66" spans="6:10" ht="15" customHeight="1">
      <c r="F66" s="81"/>
      <c r="G66" s="90"/>
      <c r="H66" s="81"/>
      <c r="I66" s="81"/>
      <c r="J66" s="81"/>
    </row>
    <row r="67" spans="6:10" ht="15" customHeight="1">
      <c r="F67" s="81"/>
      <c r="G67" s="90"/>
      <c r="H67" s="81"/>
      <c r="I67" s="81"/>
      <c r="J67" s="81"/>
    </row>
    <row r="68" spans="6:10" ht="15" customHeight="1">
      <c r="F68" s="81"/>
      <c r="G68" s="90"/>
      <c r="H68" s="81"/>
      <c r="I68" s="81"/>
      <c r="J68" s="81"/>
    </row>
    <row r="69" spans="6:10" ht="15" customHeight="1">
      <c r="F69" s="81"/>
      <c r="G69" s="90"/>
      <c r="H69" s="81"/>
      <c r="I69" s="81"/>
      <c r="J69" s="81"/>
    </row>
    <row r="70" spans="6:10" ht="15" customHeight="1">
      <c r="F70" s="81"/>
      <c r="G70" s="90"/>
      <c r="H70" s="81"/>
      <c r="I70" s="81"/>
      <c r="J70" s="81"/>
    </row>
    <row r="71" spans="6:10" ht="15" customHeight="1">
      <c r="F71" s="81"/>
      <c r="G71" s="90"/>
      <c r="H71" s="81"/>
      <c r="I71" s="81"/>
      <c r="J71" s="81"/>
    </row>
    <row r="72" spans="6:10" ht="15" customHeight="1">
      <c r="F72" s="81"/>
      <c r="G72" s="90"/>
      <c r="H72" s="81"/>
      <c r="I72" s="81"/>
      <c r="J72" s="81"/>
    </row>
    <row r="73" spans="6:10" ht="15" customHeight="1">
      <c r="F73" s="81"/>
      <c r="G73" s="90"/>
      <c r="H73" s="81"/>
      <c r="I73" s="81"/>
      <c r="J73" s="81"/>
    </row>
    <row r="74" spans="6:10" ht="15" customHeight="1">
      <c r="F74" s="81"/>
      <c r="G74" s="90"/>
      <c r="H74" s="81"/>
      <c r="I74" s="81"/>
      <c r="J74" s="81"/>
    </row>
    <row r="75" spans="6:10" ht="15" customHeight="1">
      <c r="F75" s="81"/>
      <c r="G75" s="90"/>
      <c r="H75" s="81"/>
      <c r="I75" s="81"/>
      <c r="J75" s="81"/>
    </row>
    <row r="76" spans="6:10" ht="15" customHeight="1">
      <c r="F76" s="81"/>
      <c r="G76" s="90"/>
      <c r="H76" s="81"/>
      <c r="I76" s="81"/>
      <c r="J76" s="81"/>
    </row>
    <row r="77" spans="6:10" ht="15" customHeight="1">
      <c r="F77" s="81"/>
      <c r="G77" s="90"/>
      <c r="H77" s="81"/>
      <c r="I77" s="81"/>
      <c r="J77" s="81"/>
    </row>
    <row r="78" spans="6:10" ht="15" customHeight="1">
      <c r="F78" s="81"/>
      <c r="G78" s="90"/>
      <c r="H78" s="81"/>
      <c r="I78" s="81"/>
      <c r="J78" s="81"/>
    </row>
    <row r="79" spans="6:10" ht="15" customHeight="1">
      <c r="F79" s="81"/>
      <c r="G79" s="90"/>
      <c r="H79" s="81"/>
      <c r="I79" s="81"/>
      <c r="J79" s="81"/>
    </row>
    <row r="80" spans="6:10" ht="15" customHeight="1">
      <c r="F80" s="81"/>
      <c r="G80" s="90"/>
      <c r="H80" s="81"/>
      <c r="I80" s="81"/>
      <c r="J80" s="81"/>
    </row>
    <row r="81" spans="6:10" ht="15" customHeight="1">
      <c r="F81" s="81"/>
      <c r="G81" s="90"/>
      <c r="H81" s="81"/>
      <c r="I81" s="81"/>
      <c r="J81" s="81"/>
    </row>
    <row r="82" spans="6:10" ht="15" customHeight="1">
      <c r="F82" s="81"/>
      <c r="G82" s="90"/>
      <c r="H82" s="81"/>
      <c r="I82" s="81"/>
      <c r="J82" s="81"/>
    </row>
    <row r="83" spans="6:10" ht="15" customHeight="1">
      <c r="F83" s="81"/>
      <c r="G83" s="90"/>
      <c r="H83" s="81"/>
      <c r="I83" s="81"/>
      <c r="J83" s="81"/>
    </row>
    <row r="84" spans="6:10" ht="15" customHeight="1">
      <c r="F84" s="81"/>
      <c r="G84" s="90"/>
      <c r="H84" s="81"/>
      <c r="I84" s="81"/>
      <c r="J84" s="81"/>
    </row>
    <row r="85" spans="6:10" ht="15" customHeight="1">
      <c r="F85" s="81"/>
      <c r="G85" s="90"/>
      <c r="H85" s="81"/>
      <c r="I85" s="81"/>
      <c r="J85" s="81"/>
    </row>
    <row r="86" spans="6:10" ht="15" customHeight="1">
      <c r="F86" s="81"/>
      <c r="G86" s="90"/>
      <c r="H86" s="81"/>
      <c r="I86" s="81"/>
      <c r="J86" s="81"/>
    </row>
    <row r="87" spans="6:10" ht="15" customHeight="1">
      <c r="F87" s="81"/>
      <c r="G87" s="90"/>
      <c r="H87" s="81"/>
      <c r="I87" s="81"/>
      <c r="J87" s="81"/>
    </row>
    <row r="88" spans="6:10" ht="15" customHeight="1">
      <c r="F88" s="81"/>
      <c r="G88" s="90"/>
      <c r="H88" s="81"/>
      <c r="I88" s="81"/>
      <c r="J88" s="81"/>
    </row>
    <row r="89" spans="6:10" ht="15" customHeight="1">
      <c r="F89" s="81"/>
      <c r="G89" s="90"/>
      <c r="H89" s="81"/>
      <c r="I89" s="81"/>
      <c r="J89" s="81"/>
    </row>
    <row r="90" spans="6:10" ht="15" customHeight="1">
      <c r="F90" s="81"/>
      <c r="G90" s="90"/>
      <c r="H90" s="81"/>
      <c r="I90" s="81"/>
      <c r="J90" s="81"/>
    </row>
    <row r="91" spans="6:10" ht="15" customHeight="1">
      <c r="F91" s="81"/>
      <c r="G91" s="90"/>
      <c r="H91" s="81"/>
      <c r="I91" s="81"/>
      <c r="J91" s="81"/>
    </row>
    <row r="92" spans="6:10" ht="15" customHeight="1">
      <c r="F92" s="81"/>
      <c r="G92" s="90"/>
      <c r="H92" s="81"/>
      <c r="I92" s="81"/>
      <c r="J92" s="81"/>
    </row>
    <row r="93" spans="6:10" ht="15" customHeight="1">
      <c r="F93" s="81"/>
      <c r="G93" s="90"/>
      <c r="H93" s="81"/>
      <c r="I93" s="81"/>
      <c r="J93" s="81"/>
    </row>
    <row r="94" spans="6:10" ht="15" customHeight="1">
      <c r="F94" s="81"/>
      <c r="G94" s="90"/>
      <c r="H94" s="81"/>
      <c r="I94" s="81"/>
      <c r="J94" s="81"/>
    </row>
    <row r="95" spans="6:10" ht="15" customHeight="1">
      <c r="F95" s="81"/>
      <c r="G95" s="90"/>
      <c r="H95" s="81"/>
      <c r="I95" s="81"/>
      <c r="J95" s="81"/>
    </row>
    <row r="96" spans="6:10" ht="15" customHeight="1">
      <c r="F96" s="81"/>
      <c r="G96" s="90"/>
      <c r="H96" s="81"/>
      <c r="I96" s="81"/>
      <c r="J96" s="81"/>
    </row>
    <row r="97" spans="6:10" ht="15" customHeight="1">
      <c r="F97" s="81"/>
      <c r="G97" s="90"/>
      <c r="H97" s="81"/>
      <c r="I97" s="81"/>
      <c r="J97" s="81"/>
    </row>
    <row r="98" spans="6:10" ht="15" customHeight="1">
      <c r="F98" s="81"/>
      <c r="G98" s="90"/>
      <c r="H98" s="81"/>
      <c r="I98" s="81"/>
      <c r="J98" s="81"/>
    </row>
    <row r="99" spans="6:10" ht="15" customHeight="1">
      <c r="F99" s="81"/>
      <c r="G99" s="90"/>
      <c r="H99" s="81"/>
      <c r="I99" s="81"/>
      <c r="J99" s="81"/>
    </row>
    <row r="100" spans="6:10" ht="15" customHeight="1">
      <c r="F100" s="81"/>
      <c r="G100" s="90"/>
      <c r="H100" s="81"/>
      <c r="I100" s="81"/>
      <c r="J100" s="81"/>
    </row>
    <row r="101" spans="6:10" ht="15" customHeight="1">
      <c r="F101" s="81"/>
      <c r="G101" s="90"/>
      <c r="H101" s="81"/>
      <c r="I101" s="81"/>
      <c r="J101" s="81"/>
    </row>
    <row r="102" spans="6:10" ht="15" customHeight="1">
      <c r="F102" s="81"/>
      <c r="G102" s="90"/>
      <c r="H102" s="81"/>
      <c r="I102" s="81"/>
      <c r="J102" s="81"/>
    </row>
    <row r="103" spans="6:10" ht="15" customHeight="1">
      <c r="F103" s="81"/>
      <c r="G103" s="90"/>
      <c r="H103" s="81"/>
      <c r="I103" s="81"/>
      <c r="J103" s="81"/>
    </row>
    <row r="104" spans="6:10" ht="15" customHeight="1">
      <c r="F104" s="81"/>
      <c r="G104" s="90"/>
      <c r="H104" s="81"/>
      <c r="I104" s="81"/>
      <c r="J104" s="81"/>
    </row>
    <row r="105" spans="6:10" ht="15" customHeight="1">
      <c r="F105" s="81"/>
      <c r="G105" s="90"/>
      <c r="H105" s="81"/>
      <c r="I105" s="81"/>
      <c r="J105" s="81"/>
    </row>
    <row r="106" spans="6:10" ht="15" customHeight="1">
      <c r="F106" s="81"/>
      <c r="G106" s="90"/>
      <c r="H106" s="81"/>
      <c r="I106" s="81"/>
      <c r="J106" s="81"/>
    </row>
    <row r="107" spans="6:10" ht="15" customHeight="1">
      <c r="F107" s="81"/>
      <c r="G107" s="90"/>
      <c r="H107" s="81"/>
      <c r="I107" s="81"/>
      <c r="J107" s="81"/>
    </row>
    <row r="108" spans="6:10" ht="15" customHeight="1">
      <c r="F108" s="81"/>
      <c r="G108" s="90"/>
      <c r="H108" s="81"/>
      <c r="I108" s="81"/>
      <c r="J108" s="81"/>
    </row>
    <row r="109" spans="6:10" ht="15" customHeight="1">
      <c r="F109" s="81"/>
      <c r="G109" s="90"/>
      <c r="H109" s="81"/>
      <c r="I109" s="81"/>
      <c r="J109" s="81"/>
    </row>
    <row r="110" spans="6:10" ht="15" customHeight="1">
      <c r="F110" s="81"/>
      <c r="G110" s="90"/>
      <c r="H110" s="81"/>
      <c r="I110" s="81"/>
      <c r="J110" s="81"/>
    </row>
    <row r="111" spans="6:10" ht="15" customHeight="1">
      <c r="F111" s="81"/>
      <c r="G111" s="90"/>
      <c r="H111" s="81"/>
      <c r="I111" s="81"/>
      <c r="J111" s="81"/>
    </row>
    <row r="112" spans="6:10" ht="15" customHeight="1">
      <c r="F112" s="81"/>
      <c r="G112" s="90"/>
      <c r="H112" s="81"/>
      <c r="I112" s="81"/>
      <c r="J112" s="81"/>
    </row>
    <row r="113" spans="6:10" ht="15" customHeight="1">
      <c r="F113" s="81"/>
      <c r="G113" s="90"/>
      <c r="H113" s="81"/>
      <c r="I113" s="81"/>
      <c r="J113" s="81"/>
    </row>
    <row r="114" spans="6:10" ht="15" customHeight="1">
      <c r="F114" s="81"/>
      <c r="G114" s="90"/>
      <c r="H114" s="81"/>
      <c r="I114" s="81"/>
      <c r="J114" s="81"/>
    </row>
    <row r="115" spans="6:10" ht="15" customHeight="1">
      <c r="F115" s="81"/>
      <c r="G115" s="90"/>
      <c r="H115" s="81"/>
      <c r="I115" s="81"/>
      <c r="J115" s="81"/>
    </row>
    <row r="116" spans="6:10" ht="15" customHeight="1">
      <c r="F116" s="81"/>
      <c r="G116" s="90"/>
      <c r="H116" s="81"/>
      <c r="I116" s="81"/>
      <c r="J116" s="81"/>
    </row>
    <row r="117" spans="6:10" ht="15" customHeight="1">
      <c r="F117" s="81"/>
      <c r="G117" s="90"/>
      <c r="H117" s="81"/>
      <c r="I117" s="81"/>
      <c r="J117" s="81"/>
    </row>
    <row r="118" spans="6:10" ht="15" customHeight="1">
      <c r="F118" s="81"/>
      <c r="G118" s="90"/>
      <c r="H118" s="81"/>
      <c r="I118" s="81"/>
      <c r="J118" s="81"/>
    </row>
    <row r="119" spans="6:10" ht="15" customHeight="1">
      <c r="F119" s="81"/>
      <c r="G119" s="90"/>
      <c r="H119" s="81"/>
      <c r="I119" s="81"/>
      <c r="J119" s="81"/>
    </row>
    <row r="120" spans="6:10" ht="15" customHeight="1">
      <c r="F120" s="81"/>
      <c r="G120" s="90"/>
      <c r="H120" s="81"/>
      <c r="I120" s="81"/>
      <c r="J120" s="81"/>
    </row>
    <row r="121" spans="6:10" ht="15" customHeight="1">
      <c r="F121" s="81"/>
      <c r="G121" s="90"/>
      <c r="H121" s="81"/>
      <c r="I121" s="81"/>
      <c r="J121" s="81"/>
    </row>
    <row r="122" spans="6:10" ht="15" customHeight="1">
      <c r="F122" s="81"/>
      <c r="G122" s="90"/>
      <c r="H122" s="81"/>
      <c r="I122" s="81"/>
      <c r="J122" s="81"/>
    </row>
    <row r="123" spans="6:10" ht="15" customHeight="1">
      <c r="F123" s="81"/>
      <c r="G123" s="90"/>
      <c r="H123" s="81"/>
      <c r="I123" s="81"/>
      <c r="J123" s="81"/>
    </row>
    <row r="124" spans="6:10" ht="15" customHeight="1">
      <c r="F124" s="81"/>
      <c r="G124" s="90"/>
      <c r="H124" s="81"/>
      <c r="I124" s="81"/>
      <c r="J124" s="81"/>
    </row>
    <row r="125" spans="6:10" ht="15" customHeight="1">
      <c r="F125" s="81"/>
      <c r="G125" s="90"/>
      <c r="H125" s="81"/>
      <c r="I125" s="81"/>
      <c r="J125" s="81"/>
    </row>
    <row r="126" spans="6:10" ht="15" customHeight="1">
      <c r="F126" s="81"/>
      <c r="G126" s="90"/>
      <c r="H126" s="81"/>
      <c r="I126" s="81"/>
      <c r="J126" s="81"/>
    </row>
    <row r="127" spans="6:10" ht="15" customHeight="1">
      <c r="F127" s="81"/>
      <c r="G127" s="90"/>
      <c r="H127" s="81"/>
      <c r="I127" s="81"/>
      <c r="J127" s="81"/>
    </row>
    <row r="128" spans="6:10" ht="15" customHeight="1">
      <c r="F128" s="81"/>
      <c r="G128" s="90"/>
      <c r="H128" s="81"/>
      <c r="I128" s="81"/>
      <c r="J128" s="81"/>
    </row>
    <row r="129" spans="6:10" ht="15" customHeight="1">
      <c r="F129" s="81"/>
      <c r="G129" s="90"/>
      <c r="H129" s="81"/>
      <c r="I129" s="81"/>
      <c r="J129" s="81"/>
    </row>
    <row r="130" spans="6:10" ht="15" customHeight="1">
      <c r="F130" s="81"/>
      <c r="G130" s="90"/>
      <c r="H130" s="81"/>
      <c r="I130" s="81"/>
      <c r="J130" s="81"/>
    </row>
    <row r="131" spans="6:10" ht="15" customHeight="1">
      <c r="F131" s="81"/>
      <c r="G131" s="90"/>
      <c r="H131" s="81"/>
      <c r="I131" s="81"/>
      <c r="J131" s="81"/>
    </row>
    <row r="132" spans="6:10" ht="15" customHeight="1">
      <c r="F132" s="81"/>
      <c r="G132" s="90"/>
      <c r="H132" s="81"/>
      <c r="I132" s="81"/>
      <c r="J132" s="81"/>
    </row>
    <row r="133" spans="6:10" ht="15" customHeight="1">
      <c r="F133" s="81"/>
      <c r="G133" s="90"/>
      <c r="H133" s="81"/>
      <c r="I133" s="81"/>
      <c r="J133" s="81"/>
    </row>
    <row r="134" spans="6:10" ht="15" customHeight="1">
      <c r="F134" s="81"/>
      <c r="G134" s="90"/>
      <c r="H134" s="81"/>
      <c r="I134" s="81"/>
      <c r="J134" s="81"/>
    </row>
    <row r="135" spans="6:10" ht="15" customHeight="1">
      <c r="F135" s="81"/>
      <c r="G135" s="90"/>
      <c r="H135" s="81"/>
      <c r="I135" s="81"/>
      <c r="J135" s="81"/>
    </row>
    <row r="136" spans="6:10" ht="15" customHeight="1">
      <c r="F136" s="81"/>
      <c r="G136" s="90"/>
      <c r="H136" s="81"/>
      <c r="I136" s="81"/>
      <c r="J136" s="81"/>
    </row>
    <row r="137" spans="6:10" ht="15" customHeight="1">
      <c r="F137" s="81"/>
      <c r="G137" s="90"/>
      <c r="H137" s="81"/>
      <c r="I137" s="81"/>
      <c r="J137" s="81"/>
    </row>
    <row r="138" spans="6:10" ht="15" customHeight="1">
      <c r="F138" s="81"/>
      <c r="G138" s="90"/>
      <c r="H138" s="81"/>
      <c r="I138" s="81"/>
      <c r="J138" s="81"/>
    </row>
    <row r="139" spans="6:10" ht="15" customHeight="1">
      <c r="F139" s="81"/>
      <c r="G139" s="90"/>
      <c r="H139" s="81"/>
      <c r="I139" s="81"/>
      <c r="J139" s="81"/>
    </row>
    <row r="140" spans="6:10" ht="15" customHeight="1">
      <c r="F140" s="81"/>
      <c r="G140" s="90"/>
      <c r="H140" s="81"/>
      <c r="I140" s="81"/>
      <c r="J140" s="81"/>
    </row>
    <row r="141" spans="6:10" ht="15" customHeight="1">
      <c r="F141" s="81"/>
      <c r="G141" s="90"/>
      <c r="H141" s="81"/>
      <c r="I141" s="81"/>
      <c r="J141" s="81"/>
    </row>
    <row r="142" spans="6:10" ht="15" customHeight="1">
      <c r="F142" s="81"/>
      <c r="G142" s="90"/>
      <c r="H142" s="81"/>
      <c r="I142" s="81"/>
      <c r="J142" s="81"/>
    </row>
    <row r="143" spans="6:10" ht="15" customHeight="1">
      <c r="F143" s="81"/>
      <c r="G143" s="90"/>
      <c r="H143" s="81"/>
      <c r="I143" s="81"/>
      <c r="J143" s="81"/>
    </row>
    <row r="144" spans="6:10" ht="15" customHeight="1">
      <c r="F144" s="81"/>
      <c r="G144" s="90"/>
      <c r="H144" s="81"/>
      <c r="I144" s="81"/>
      <c r="J144" s="81"/>
    </row>
    <row r="145" spans="6:10" ht="15" customHeight="1">
      <c r="F145" s="81"/>
      <c r="G145" s="90"/>
      <c r="H145" s="81"/>
      <c r="I145" s="81"/>
      <c r="J145" s="81"/>
    </row>
    <row r="146" spans="6:10" ht="15" customHeight="1">
      <c r="F146" s="81"/>
      <c r="G146" s="90"/>
      <c r="H146" s="81"/>
      <c r="I146" s="81"/>
      <c r="J146" s="81"/>
    </row>
    <row r="147" spans="6:10" ht="15" customHeight="1">
      <c r="F147" s="81"/>
      <c r="G147" s="90"/>
      <c r="H147" s="81"/>
      <c r="I147" s="81"/>
      <c r="J147" s="81"/>
    </row>
    <row r="148" spans="6:10" ht="15" customHeight="1">
      <c r="F148" s="81"/>
      <c r="G148" s="90"/>
      <c r="H148" s="81"/>
      <c r="I148" s="81"/>
      <c r="J148" s="81"/>
    </row>
    <row r="149" spans="6:10" ht="15" customHeight="1">
      <c r="F149" s="81"/>
      <c r="G149" s="90"/>
      <c r="H149" s="81"/>
      <c r="I149" s="81"/>
      <c r="J149" s="81"/>
    </row>
    <row r="150" spans="6:10" ht="15" customHeight="1">
      <c r="F150" s="81"/>
      <c r="G150" s="90"/>
      <c r="H150" s="81"/>
      <c r="I150" s="81"/>
      <c r="J150" s="81"/>
    </row>
    <row r="151" spans="6:10" ht="15" customHeight="1">
      <c r="F151" s="81"/>
      <c r="G151" s="90"/>
      <c r="H151" s="81"/>
      <c r="I151" s="81"/>
      <c r="J151" s="81"/>
    </row>
    <row r="152" spans="6:10" ht="15" customHeight="1">
      <c r="F152" s="81"/>
      <c r="G152" s="90"/>
      <c r="H152" s="81"/>
      <c r="I152" s="81"/>
      <c r="J152" s="81"/>
    </row>
    <row r="153" spans="6:10" ht="15" customHeight="1">
      <c r="F153" s="81"/>
      <c r="G153" s="90"/>
      <c r="H153" s="81"/>
      <c r="I153" s="81"/>
      <c r="J153" s="81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175"/>
  <sheetViews>
    <sheetView view="pageBreakPreview" zoomScale="90" zoomScaleNormal="40" zoomScaleSheetLayoutView="90" workbookViewId="0">
      <pane ySplit="4" topLeftCell="A5" activePane="bottomLeft" state="frozen"/>
      <selection pane="bottomLeft" activeCell="A2" sqref="A2"/>
    </sheetView>
  </sheetViews>
  <sheetFormatPr defaultColWidth="10.28515625" defaultRowHeight="15" customHeight="1"/>
  <cols>
    <col min="1" max="1" width="11.28515625" style="24" bestFit="1" customWidth="1"/>
    <col min="2" max="2" width="29.85546875" style="24" bestFit="1" customWidth="1"/>
    <col min="3" max="3" width="23.7109375" style="24" bestFit="1" customWidth="1"/>
    <col min="4" max="4" width="15.5703125" style="24" bestFit="1" customWidth="1"/>
    <col min="5" max="5" width="12.5703125" style="24" bestFit="1" customWidth="1"/>
    <col min="6" max="6" width="15.28515625" style="24" bestFit="1" customWidth="1"/>
    <col min="7" max="7" width="13.85546875" style="24" bestFit="1" customWidth="1"/>
    <col min="8" max="8" width="14.7109375" style="27" bestFit="1" customWidth="1"/>
    <col min="9" max="9" width="27.28515625" style="74" customWidth="1"/>
    <col min="10" max="10" width="13.28515625" style="27" bestFit="1" customWidth="1"/>
    <col min="11" max="11" width="21.5703125" style="74" bestFit="1" customWidth="1"/>
    <col min="12" max="12" width="11.5703125" style="27" bestFit="1" customWidth="1"/>
    <col min="13" max="13" width="16.42578125" style="119" bestFit="1" customWidth="1"/>
    <col min="14" max="14" width="16.85546875" style="119" bestFit="1" customWidth="1"/>
    <col min="15" max="15" width="18.85546875" style="120" bestFit="1" customWidth="1"/>
    <col min="16" max="16" width="16" style="120" bestFit="1" customWidth="1"/>
    <col min="17" max="17" width="17.42578125" style="24" bestFit="1" customWidth="1"/>
    <col min="18" max="18" width="15.85546875" style="24" bestFit="1" customWidth="1"/>
    <col min="19" max="19" width="17.5703125" style="12" bestFit="1" customWidth="1"/>
    <col min="20" max="20" width="19.7109375" style="12" bestFit="1" customWidth="1"/>
    <col min="21" max="21" width="22.42578125" style="122" bestFit="1" customWidth="1"/>
    <col min="22" max="22" width="24.42578125" style="123" bestFit="1" customWidth="1"/>
    <col min="23" max="23" width="17.7109375" style="121" bestFit="1" customWidth="1"/>
    <col min="24" max="24" width="20.140625" style="12" bestFit="1" customWidth="1"/>
    <col min="25" max="25" width="17.42578125" style="122" bestFit="1" customWidth="1"/>
    <col min="26" max="26" width="19.7109375" style="123" bestFit="1" customWidth="1"/>
    <col min="27" max="27" width="22.42578125" style="121" bestFit="1" customWidth="1"/>
    <col min="28" max="28" width="22.7109375" style="24" bestFit="1" customWidth="1"/>
    <col min="29" max="29" width="17.7109375" style="24" bestFit="1" customWidth="1"/>
    <col min="30" max="30" width="20.140625" style="124" bestFit="1" customWidth="1"/>
    <col min="31" max="31" width="17.5703125" style="124" bestFit="1" customWidth="1"/>
    <col min="32" max="32" width="18.42578125" style="125" bestFit="1" customWidth="1"/>
    <col min="33" max="33" width="20.7109375" style="87" bestFit="1" customWidth="1"/>
    <col min="34" max="219" width="10.28515625" style="87"/>
    <col min="220" max="16384" width="10.28515625" style="24"/>
  </cols>
  <sheetData>
    <row r="1" spans="1:220" ht="15" customHeight="1">
      <c r="A1" s="396" t="s">
        <v>166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 t="s">
        <v>166</v>
      </c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</row>
    <row r="2" spans="1:220" ht="15" customHeight="1">
      <c r="A2" s="87"/>
      <c r="B2" s="87"/>
      <c r="C2" s="87"/>
      <c r="D2" s="87"/>
      <c r="E2" s="87"/>
      <c r="F2" s="87"/>
      <c r="G2" s="87"/>
      <c r="H2" s="89"/>
      <c r="I2" s="138"/>
      <c r="J2" s="89"/>
      <c r="K2" s="138"/>
      <c r="L2" s="89"/>
      <c r="M2" s="105"/>
      <c r="N2" s="105"/>
      <c r="O2" s="106"/>
      <c r="P2" s="106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220" s="87" customFormat="1" ht="15" customHeight="1">
      <c r="H3" s="89"/>
      <c r="I3" s="138"/>
      <c r="J3" s="89"/>
      <c r="K3" s="138"/>
      <c r="L3" s="89"/>
      <c r="M3" s="105"/>
      <c r="N3" s="105"/>
      <c r="O3" s="106"/>
      <c r="P3" s="106"/>
      <c r="S3" s="397" t="s">
        <v>243</v>
      </c>
      <c r="T3" s="398"/>
      <c r="U3" s="398"/>
      <c r="V3" s="398"/>
      <c r="W3" s="398"/>
      <c r="X3" s="399"/>
      <c r="Y3" s="400" t="s">
        <v>244</v>
      </c>
      <c r="Z3" s="401"/>
      <c r="AA3" s="401"/>
      <c r="AB3" s="401"/>
      <c r="AC3" s="401"/>
      <c r="AD3" s="402"/>
      <c r="AE3" s="403" t="s">
        <v>245</v>
      </c>
      <c r="AF3" s="404"/>
      <c r="AG3" s="405"/>
    </row>
    <row r="4" spans="1:220" s="20" customFormat="1" ht="26.25" customHeight="1">
      <c r="A4" s="137" t="s">
        <v>34</v>
      </c>
      <c r="B4" s="23" t="s">
        <v>149</v>
      </c>
      <c r="C4" s="23" t="s">
        <v>68</v>
      </c>
      <c r="D4" s="23" t="s">
        <v>67</v>
      </c>
      <c r="E4" s="23" t="s">
        <v>30</v>
      </c>
      <c r="F4" s="23" t="s">
        <v>31</v>
      </c>
      <c r="G4" s="23" t="s">
        <v>123</v>
      </c>
      <c r="H4" s="23" t="s">
        <v>124</v>
      </c>
      <c r="I4" s="75" t="s">
        <v>107</v>
      </c>
      <c r="J4" s="23" t="s">
        <v>23</v>
      </c>
      <c r="K4" s="75" t="s">
        <v>125</v>
      </c>
      <c r="L4" s="23" t="s">
        <v>126</v>
      </c>
      <c r="M4" s="23" t="s">
        <v>39</v>
      </c>
      <c r="N4" s="23" t="s">
        <v>32</v>
      </c>
      <c r="O4" s="23" t="s">
        <v>137</v>
      </c>
      <c r="P4" s="23" t="s">
        <v>71</v>
      </c>
      <c r="Q4" s="23" t="s">
        <v>138</v>
      </c>
      <c r="R4" s="23" t="s">
        <v>129</v>
      </c>
      <c r="S4" s="23" t="s">
        <v>127</v>
      </c>
      <c r="T4" s="23" t="s">
        <v>141</v>
      </c>
      <c r="U4" s="23" t="s">
        <v>142</v>
      </c>
      <c r="V4" s="23" t="s">
        <v>143</v>
      </c>
      <c r="W4" s="23" t="s">
        <v>139</v>
      </c>
      <c r="X4" s="23" t="s">
        <v>140</v>
      </c>
      <c r="Y4" s="23" t="s">
        <v>128</v>
      </c>
      <c r="Z4" s="23" t="s">
        <v>148</v>
      </c>
      <c r="AA4" s="23" t="s">
        <v>144</v>
      </c>
      <c r="AB4" s="23" t="s">
        <v>145</v>
      </c>
      <c r="AC4" s="23" t="s">
        <v>146</v>
      </c>
      <c r="AD4" s="23" t="s">
        <v>147</v>
      </c>
      <c r="AE4" s="82" t="s">
        <v>131</v>
      </c>
      <c r="AF4" s="82" t="s">
        <v>37</v>
      </c>
      <c r="AG4" s="83" t="s">
        <v>36</v>
      </c>
      <c r="AH4" s="84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</row>
    <row r="5" spans="1:220" ht="15" customHeight="1">
      <c r="A5" s="136">
        <v>1</v>
      </c>
      <c r="B5" s="27" t="str">
        <f>VLOOKUP(Ruimtestaat[[#This Row],[Code]],Locaties[#All],2,FALSE)</f>
        <v>Hoornbeeck College Gouda</v>
      </c>
      <c r="C5" s="27" t="str">
        <f>VLOOKUP(Ruimtestaat[[#This Row],[Code]],Locaties[#All],4,FALSE)</f>
        <v>Noordelijk Halfrond 10</v>
      </c>
      <c r="D5" s="27" t="str">
        <f>VLOOKUP(Ruimtestaat[[#This Row],[Code]],Locaties[#All],5,FALSE)</f>
        <v>2801 DE</v>
      </c>
      <c r="E5" s="27" t="str">
        <f>VLOOKUP(Ruimtestaat[[#This Row],[Code]],Locaties[#All],6,FALSE)</f>
        <v>Gouda</v>
      </c>
      <c r="F5" s="74" t="s">
        <v>465</v>
      </c>
      <c r="G5" s="285" t="s">
        <v>464</v>
      </c>
      <c r="H5" s="286" t="s">
        <v>443</v>
      </c>
      <c r="I5" s="287" t="s">
        <v>621</v>
      </c>
      <c r="J5" s="285">
        <v>1</v>
      </c>
      <c r="K5" s="74" t="str">
        <f>VLOOKUP(J5,Ruimtegroepen[],2,FALSE)</f>
        <v>Magazijnen/bergingen</v>
      </c>
      <c r="L5" s="285" t="s">
        <v>110</v>
      </c>
      <c r="M5" s="287" t="s">
        <v>38</v>
      </c>
      <c r="N5" s="289">
        <v>24.1</v>
      </c>
      <c r="O5" s="285"/>
      <c r="P5" s="118" t="str">
        <f>LEFT(VLOOKUP(Ruimtestaat[[#This Row],[Ruimte code]],Ruimtegroepen[#All],4,1),2)</f>
        <v>Ve</v>
      </c>
      <c r="Q5" s="107"/>
      <c r="R5" s="108">
        <v>40</v>
      </c>
      <c r="S5" s="109" t="s">
        <v>16</v>
      </c>
      <c r="T5" s="110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" s="110">
        <f>IF(T5&gt;0,VLOOKUP($J5,Ruimtegroepen[],3,FALSE)*VLOOKUP($L5,Vloersoorten[],3,FALSE)*VLOOKUP($S5,Frequenties[],3,FALSE)*VLOOKUP($A5,Locaties[],3,FALSE),0)</f>
        <v>0</v>
      </c>
      <c r="V5" s="111">
        <f>Ruimtestaat[[#This Row],[Uitvoeringen werkdagen]]*Ruimtestaat[[#This Row],[Oppervlak (netto)]]</f>
        <v>289.20000000000005</v>
      </c>
      <c r="W5" s="112">
        <f>IF(U5&gt;0,Ruimtestaat[[#This Row],[Prest. (m2 /jaar) werkdagen]]/Ruimtestaat[[#This Row],[Norm (m2/uur) werkdagen]],0)</f>
        <v>0</v>
      </c>
      <c r="X5" s="113">
        <f>Ruimtestaat[[#This Row],[uren / jaar werkdagen]]*Tariefsopbouw!$E$35</f>
        <v>0</v>
      </c>
      <c r="Y5" s="110"/>
      <c r="Z5" s="114">
        <f>IF(Ruimtestaat[[#This Row],[Frequentie weekend]]&gt;0,VALUE(LEFT(Y5,1))*R5,0)</f>
        <v>0</v>
      </c>
      <c r="AA5" s="110">
        <f>IF($Z5&gt;0,VLOOKUP($J5,Ruimtegroepen[],3,FALSE)*VLOOKUP($L5,Vloersoorten[],3,FALSE)*VLOOKUP($Y5,Frequenties[],3,FALSE)*VLOOKUP(#REF!,Locaties[],3,FALSE),0)</f>
        <v>0</v>
      </c>
      <c r="AB5" s="112">
        <f>Ruimtestaat[[#This Row],[Uitvoeringen weekend]]*Ruimtestaat[[#This Row],[Oppervlak (netto)]]</f>
        <v>0</v>
      </c>
      <c r="AC5" s="115">
        <f>IF(AB5&gt;0,Ruimtestaat[[#This Row],[Prest. (m2 /jaar) weekend]]/Ruimtestaat[[#This Row],[Norm (m2/uur) weekend]],0)</f>
        <v>0</v>
      </c>
      <c r="AD5" s="116">
        <f>Ruimtestaat[[#This Row],[uren / jaar weekend]]*Tariefsopbouw!$D$40</f>
        <v>0</v>
      </c>
      <c r="AE5" s="82">
        <f>Ruimtestaat[[#This Row],[Prest. (m2 /jaar) weekend]]+Ruimtestaat[[#This Row],[Prest. (m2 /jaar) werkdagen]]</f>
        <v>289.20000000000005</v>
      </c>
      <c r="AF5" s="82">
        <f>Ruimtestaat[[#This Row],[uren / jaar weekend]]+Ruimtestaat[[#This Row],[uren / jaar werkdagen]]</f>
        <v>0</v>
      </c>
      <c r="AG5" s="83">
        <f>Ruimtestaat[[#This Row],[kosten / jaar weekend]]+Ruimtestaat[[#This Row],[kosten / jaar werkdagen]]</f>
        <v>0</v>
      </c>
      <c r="AH5" s="117"/>
      <c r="HL5" s="87"/>
    </row>
    <row r="6" spans="1:220" ht="15" customHeight="1">
      <c r="A6" s="136">
        <v>1</v>
      </c>
      <c r="B6" s="27" t="str">
        <f>VLOOKUP(Ruimtestaat[[#This Row],[Code]],Locaties[#All],2,FALSE)</f>
        <v>Hoornbeeck College Gouda</v>
      </c>
      <c r="C6" s="27" t="str">
        <f>VLOOKUP(Ruimtestaat[[#This Row],[Code]],Locaties[#All],4,FALSE)</f>
        <v>Noordelijk Halfrond 10</v>
      </c>
      <c r="D6" s="27" t="str">
        <f>VLOOKUP(Ruimtestaat[[#This Row],[Code]],Locaties[#All],5,FALSE)</f>
        <v>2801 DE</v>
      </c>
      <c r="E6" s="27" t="str">
        <f>VLOOKUP(Ruimtestaat[[#This Row],[Code]],Locaties[#All],6,FALSE)</f>
        <v>Gouda</v>
      </c>
      <c r="F6" s="74" t="s">
        <v>465</v>
      </c>
      <c r="G6" s="285" t="s">
        <v>464</v>
      </c>
      <c r="H6" s="286" t="s">
        <v>444</v>
      </c>
      <c r="I6" s="287" t="s">
        <v>622</v>
      </c>
      <c r="J6" s="285">
        <v>2</v>
      </c>
      <c r="K6" s="74" t="str">
        <f>VLOOKUP(J6,Ruimtegroepen[],2,FALSE)</f>
        <v>Kantoren</v>
      </c>
      <c r="L6" s="285" t="s">
        <v>110</v>
      </c>
      <c r="M6" s="287" t="s">
        <v>38</v>
      </c>
      <c r="N6" s="289">
        <v>17.899999999999999</v>
      </c>
      <c r="O6" s="290"/>
      <c r="P6" s="118" t="str">
        <f>LEFT(VLOOKUP(Ruimtestaat[[#This Row],[Ruimte code]],Ruimtegroepen[#All],4,1),2)</f>
        <v>Bu</v>
      </c>
      <c r="Q6" s="107"/>
      <c r="R6" s="108">
        <v>40</v>
      </c>
      <c r="S6" s="109" t="s">
        <v>17</v>
      </c>
      <c r="T6" s="110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6" s="110">
        <f>IF(T6&gt;0,VLOOKUP($J6,Ruimtegroepen[],3,FALSE)*VLOOKUP($L6,Vloersoorten[],3,FALSE)*VLOOKUP($S6,Frequenties[],3,FALSE)*VLOOKUP($A6,Locaties[],3,FALSE),0)</f>
        <v>0</v>
      </c>
      <c r="V6" s="111">
        <f>Ruimtestaat[[#This Row],[Uitvoeringen werkdagen]]*Ruimtestaat[[#This Row],[Oppervlak (netto)]]</f>
        <v>1432</v>
      </c>
      <c r="W6" s="112">
        <f>IF(U6&gt;0,Ruimtestaat[[#This Row],[Prest. (m2 /jaar) werkdagen]]/Ruimtestaat[[#This Row],[Norm (m2/uur) werkdagen]],0)</f>
        <v>0</v>
      </c>
      <c r="X6" s="113">
        <f>Ruimtestaat[[#This Row],[uren / jaar werkdagen]]*Tariefsopbouw!$E$35</f>
        <v>0</v>
      </c>
      <c r="Y6" s="110"/>
      <c r="Z6" s="114">
        <f>IF(Ruimtestaat[[#This Row],[Frequentie weekend]]&gt;0,VALUE(LEFT(Y6,1))*R6,0)</f>
        <v>0</v>
      </c>
      <c r="AA6" s="110">
        <f>IF($Z6&gt;0,VLOOKUP($J6,Ruimtegroepen[],3,FALSE)*VLOOKUP($L6,Vloersoorten[],3,FALSE)*VLOOKUP($Y6,Frequenties[],3,FALSE)*VLOOKUP($A1,Locaties[],3,FALSE),0)</f>
        <v>0</v>
      </c>
      <c r="AB6" s="112">
        <f>Ruimtestaat[[#This Row],[Uitvoeringen weekend]]*Ruimtestaat[[#This Row],[Oppervlak (netto)]]</f>
        <v>0</v>
      </c>
      <c r="AC6" s="115">
        <f>IF(AB6&gt;0,Ruimtestaat[[#This Row],[Prest. (m2 /jaar) weekend]]/Ruimtestaat[[#This Row],[Norm (m2/uur) weekend]],0)</f>
        <v>0</v>
      </c>
      <c r="AD6" s="116">
        <f>Ruimtestaat[[#This Row],[uren / jaar weekend]]*Tariefsopbouw!$D$40</f>
        <v>0</v>
      </c>
      <c r="AE6" s="82">
        <f>Ruimtestaat[[#This Row],[Prest. (m2 /jaar) weekend]]+Ruimtestaat[[#This Row],[Prest. (m2 /jaar) werkdagen]]</f>
        <v>1432</v>
      </c>
      <c r="AF6" s="82">
        <f>Ruimtestaat[[#This Row],[uren / jaar weekend]]+Ruimtestaat[[#This Row],[uren / jaar werkdagen]]</f>
        <v>0</v>
      </c>
      <c r="AG6" s="83">
        <f>Ruimtestaat[[#This Row],[kosten / jaar weekend]]+Ruimtestaat[[#This Row],[kosten / jaar werkdagen]]</f>
        <v>0</v>
      </c>
      <c r="AH6" s="117"/>
      <c r="HL6" s="87"/>
    </row>
    <row r="7" spans="1:220" ht="15" customHeight="1">
      <c r="A7" s="136">
        <v>1</v>
      </c>
      <c r="B7" s="27" t="str">
        <f>VLOOKUP(Ruimtestaat[[#This Row],[Code]],Locaties[#All],2,FALSE)</f>
        <v>Hoornbeeck College Gouda</v>
      </c>
      <c r="C7" s="27" t="str">
        <f>VLOOKUP(Ruimtestaat[[#This Row],[Code]],Locaties[#All],4,FALSE)</f>
        <v>Noordelijk Halfrond 10</v>
      </c>
      <c r="D7" s="27" t="str">
        <f>VLOOKUP(Ruimtestaat[[#This Row],[Code]],Locaties[#All],5,FALSE)</f>
        <v>2801 DE</v>
      </c>
      <c r="E7" s="27" t="str">
        <f>VLOOKUP(Ruimtestaat[[#This Row],[Code]],Locaties[#All],6,FALSE)</f>
        <v>Gouda</v>
      </c>
      <c r="F7" s="74" t="s">
        <v>465</v>
      </c>
      <c r="G7" s="285" t="s">
        <v>464</v>
      </c>
      <c r="H7" s="286" t="s">
        <v>445</v>
      </c>
      <c r="I7" s="287" t="s">
        <v>623</v>
      </c>
      <c r="J7" s="288">
        <v>2</v>
      </c>
      <c r="K7" s="74" t="str">
        <f>VLOOKUP(J7,Ruimtegroepen[],2,FALSE)</f>
        <v>Kantoren</v>
      </c>
      <c r="L7" s="285" t="s">
        <v>110</v>
      </c>
      <c r="M7" s="287" t="s">
        <v>38</v>
      </c>
      <c r="N7" s="289">
        <v>27.2</v>
      </c>
      <c r="O7" s="290"/>
      <c r="P7" s="118" t="str">
        <f>LEFT(VLOOKUP(Ruimtestaat[[#This Row],[Ruimte code]],Ruimtegroepen[#All],4,1),2)</f>
        <v>Bu</v>
      </c>
      <c r="Q7" s="107"/>
      <c r="R7" s="108">
        <v>40</v>
      </c>
      <c r="S7" s="109" t="s">
        <v>17</v>
      </c>
      <c r="T7" s="110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7" s="110">
        <f>IF(T7&gt;0,VLOOKUP($J7,Ruimtegroepen[],3,FALSE)*VLOOKUP($L7,Vloersoorten[],3,FALSE)*VLOOKUP($S7,Frequenties[],3,FALSE)*VLOOKUP($A7,Locaties[],3,FALSE),0)</f>
        <v>0</v>
      </c>
      <c r="V7" s="111">
        <f>Ruimtestaat[[#This Row],[Uitvoeringen werkdagen]]*Ruimtestaat[[#This Row],[Oppervlak (netto)]]</f>
        <v>2176</v>
      </c>
      <c r="W7" s="112">
        <f>IF(U7&gt;0,Ruimtestaat[[#This Row],[Prest. (m2 /jaar) werkdagen]]/Ruimtestaat[[#This Row],[Norm (m2/uur) werkdagen]],0)</f>
        <v>0</v>
      </c>
      <c r="X7" s="113">
        <f>Ruimtestaat[[#This Row],[uren / jaar werkdagen]]*Tariefsopbouw!$E$35</f>
        <v>0</v>
      </c>
      <c r="Y7" s="110"/>
      <c r="Z7" s="114">
        <f>IF(Ruimtestaat[[#This Row],[Frequentie weekend]]&gt;0,VALUE(LEFT(Y7,1))*R7,0)</f>
        <v>0</v>
      </c>
      <c r="AA7" s="110">
        <f>IF($Z7&gt;0,VLOOKUP($J7,Ruimtegroepen[],3,FALSE)*VLOOKUP($L7,Vloersoorten[],3,FALSE)*VLOOKUP($Y7,Frequenties[],3,FALSE)*VLOOKUP($A2,Locaties[],3,FALSE),0)</f>
        <v>0</v>
      </c>
      <c r="AB7" s="112">
        <f>Ruimtestaat[[#This Row],[Uitvoeringen weekend]]*Ruimtestaat[[#This Row],[Oppervlak (netto)]]</f>
        <v>0</v>
      </c>
      <c r="AC7" s="115">
        <f>IF(AB7&gt;0,Ruimtestaat[[#This Row],[Prest. (m2 /jaar) weekend]]/Ruimtestaat[[#This Row],[Norm (m2/uur) weekend]],0)</f>
        <v>0</v>
      </c>
      <c r="AD7" s="116">
        <f>Ruimtestaat[[#This Row],[uren / jaar weekend]]*Tariefsopbouw!$D$40</f>
        <v>0</v>
      </c>
      <c r="AE7" s="82">
        <f>Ruimtestaat[[#This Row],[Prest. (m2 /jaar) weekend]]+Ruimtestaat[[#This Row],[Prest. (m2 /jaar) werkdagen]]</f>
        <v>2176</v>
      </c>
      <c r="AF7" s="82">
        <f>Ruimtestaat[[#This Row],[uren / jaar weekend]]+Ruimtestaat[[#This Row],[uren / jaar werkdagen]]</f>
        <v>0</v>
      </c>
      <c r="AG7" s="83">
        <f>Ruimtestaat[[#This Row],[kosten / jaar weekend]]+Ruimtestaat[[#This Row],[kosten / jaar werkdagen]]</f>
        <v>0</v>
      </c>
      <c r="AH7" s="117"/>
      <c r="HL7" s="87"/>
    </row>
    <row r="8" spans="1:220" ht="15" customHeight="1">
      <c r="A8" s="136">
        <v>1</v>
      </c>
      <c r="B8" s="27" t="str">
        <f>VLOOKUP(Ruimtestaat[[#This Row],[Code]],Locaties[#All],2,FALSE)</f>
        <v>Hoornbeeck College Gouda</v>
      </c>
      <c r="C8" s="27" t="str">
        <f>VLOOKUP(Ruimtestaat[[#This Row],[Code]],Locaties[#All],4,FALSE)</f>
        <v>Noordelijk Halfrond 10</v>
      </c>
      <c r="D8" s="27" t="str">
        <f>VLOOKUP(Ruimtestaat[[#This Row],[Code]],Locaties[#All],5,FALSE)</f>
        <v>2801 DE</v>
      </c>
      <c r="E8" s="27" t="str">
        <f>VLOOKUP(Ruimtestaat[[#This Row],[Code]],Locaties[#All],6,FALSE)</f>
        <v>Gouda</v>
      </c>
      <c r="F8" s="74" t="s">
        <v>465</v>
      </c>
      <c r="G8" s="285" t="s">
        <v>464</v>
      </c>
      <c r="H8" s="286" t="s">
        <v>446</v>
      </c>
      <c r="I8" s="287" t="s">
        <v>624</v>
      </c>
      <c r="J8" s="285">
        <v>20</v>
      </c>
      <c r="K8" s="74" t="str">
        <f>VLOOKUP(J8,Ruimtegroepen[],2,FALSE)</f>
        <v>Niet in onderhoud</v>
      </c>
      <c r="L8" s="285" t="s">
        <v>111</v>
      </c>
      <c r="M8" s="287" t="s">
        <v>467</v>
      </c>
      <c r="N8" s="289"/>
      <c r="O8" s="290">
        <v>9.15</v>
      </c>
      <c r="P8" s="118" t="str">
        <f>LEFT(VLOOKUP(Ruimtestaat[[#This Row],[Ruimte code]],Ruimtegroepen[#All],4,1),2)</f>
        <v/>
      </c>
      <c r="Q8" s="107"/>
      <c r="R8" s="108"/>
      <c r="S8" s="109"/>
      <c r="T8" s="110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" s="110">
        <f>IF(T8&gt;0,VLOOKUP($J8,Ruimtegroepen[],3,FALSE)*VLOOKUP($L8,Vloersoorten[],3,FALSE)*VLOOKUP($S8,Frequenties[],3,FALSE)*VLOOKUP($A8,Locaties[],3,FALSE),0)</f>
        <v>0</v>
      </c>
      <c r="V8" s="111">
        <f>Ruimtestaat[[#This Row],[Uitvoeringen werkdagen]]*Ruimtestaat[[#This Row],[Oppervlak (netto)]]</f>
        <v>0</v>
      </c>
      <c r="W8" s="112">
        <f>IF(U8&gt;0,Ruimtestaat[[#This Row],[Prest. (m2 /jaar) werkdagen]]/Ruimtestaat[[#This Row],[Norm (m2/uur) werkdagen]],0)</f>
        <v>0</v>
      </c>
      <c r="X8" s="113">
        <f>Ruimtestaat[[#This Row],[uren / jaar werkdagen]]*Tariefsopbouw!$E$35</f>
        <v>0</v>
      </c>
      <c r="Y8" s="110"/>
      <c r="Z8" s="114">
        <f>IF(Ruimtestaat[[#This Row],[Frequentie weekend]]&gt;0,VALUE(LEFT(Y8,1))*R8,0)</f>
        <v>0</v>
      </c>
      <c r="AA8" s="110">
        <f>IF($Z8&gt;0,VLOOKUP($J8,Ruimtegroepen[],3,FALSE)*VLOOKUP($L8,Vloersoorten[],3,FALSE)*VLOOKUP($Y8,Frequenties[],3,FALSE)*VLOOKUP($A3,Locaties[],3,FALSE),0)</f>
        <v>0</v>
      </c>
      <c r="AB8" s="112">
        <f>Ruimtestaat[[#This Row],[Uitvoeringen weekend]]*Ruimtestaat[[#This Row],[Oppervlak (netto)]]</f>
        <v>0</v>
      </c>
      <c r="AC8" s="115">
        <f>IF(AB8&gt;0,Ruimtestaat[[#This Row],[Prest. (m2 /jaar) weekend]]/Ruimtestaat[[#This Row],[Norm (m2/uur) weekend]],0)</f>
        <v>0</v>
      </c>
      <c r="AD8" s="116">
        <f>Ruimtestaat[[#This Row],[uren / jaar weekend]]*Tariefsopbouw!$D$40</f>
        <v>0</v>
      </c>
      <c r="AE8" s="82">
        <f>Ruimtestaat[[#This Row],[Prest. (m2 /jaar) weekend]]+Ruimtestaat[[#This Row],[Prest. (m2 /jaar) werkdagen]]</f>
        <v>0</v>
      </c>
      <c r="AF8" s="82">
        <f>Ruimtestaat[[#This Row],[uren / jaar weekend]]+Ruimtestaat[[#This Row],[uren / jaar werkdagen]]</f>
        <v>0</v>
      </c>
      <c r="AG8" s="83">
        <f>Ruimtestaat[[#This Row],[kosten / jaar weekend]]+Ruimtestaat[[#This Row],[kosten / jaar werkdagen]]</f>
        <v>0</v>
      </c>
      <c r="AH8" s="117"/>
      <c r="HL8" s="87"/>
    </row>
    <row r="9" spans="1:220" ht="15" customHeight="1">
      <c r="A9" s="136">
        <v>1</v>
      </c>
      <c r="B9" s="27" t="str">
        <f>VLOOKUP(Ruimtestaat[[#This Row],[Code]],Locaties[#All],2,FALSE)</f>
        <v>Hoornbeeck College Gouda</v>
      </c>
      <c r="C9" s="27" t="str">
        <f>VLOOKUP(Ruimtestaat[[#This Row],[Code]],Locaties[#All],4,FALSE)</f>
        <v>Noordelijk Halfrond 10</v>
      </c>
      <c r="D9" s="27" t="str">
        <f>VLOOKUP(Ruimtestaat[[#This Row],[Code]],Locaties[#All],5,FALSE)</f>
        <v>2801 DE</v>
      </c>
      <c r="E9" s="27" t="str">
        <f>VLOOKUP(Ruimtestaat[[#This Row],[Code]],Locaties[#All],6,FALSE)</f>
        <v>Gouda</v>
      </c>
      <c r="F9" s="74" t="s">
        <v>465</v>
      </c>
      <c r="G9" s="285" t="s">
        <v>464</v>
      </c>
      <c r="H9" s="286" t="s">
        <v>447</v>
      </c>
      <c r="I9" s="287" t="s">
        <v>625</v>
      </c>
      <c r="J9" s="288">
        <v>1</v>
      </c>
      <c r="K9" s="74" t="str">
        <f>VLOOKUP(J9,Ruimtegroepen[],2,FALSE)</f>
        <v>Magazijnen/bergingen</v>
      </c>
      <c r="L9" s="285" t="s">
        <v>112</v>
      </c>
      <c r="M9" s="287" t="s">
        <v>437</v>
      </c>
      <c r="N9" s="289">
        <v>12</v>
      </c>
      <c r="O9" s="285"/>
      <c r="P9" s="118" t="str">
        <f>LEFT(VLOOKUP(Ruimtestaat[[#This Row],[Ruimte code]],Ruimtegroepen[#All],4,1),2)</f>
        <v>Ve</v>
      </c>
      <c r="Q9" s="107"/>
      <c r="R9" s="108">
        <v>40</v>
      </c>
      <c r="S9" s="109" t="s">
        <v>16</v>
      </c>
      <c r="T9" s="110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9" s="110">
        <f>IF(T9&gt;0,VLOOKUP($J9,Ruimtegroepen[],3,FALSE)*VLOOKUP($L9,Vloersoorten[],3,FALSE)*VLOOKUP($S9,Frequenties[],3,FALSE)*VLOOKUP($A9,Locaties[],3,FALSE),0)</f>
        <v>0</v>
      </c>
      <c r="V9" s="111">
        <f>Ruimtestaat[[#This Row],[Uitvoeringen werkdagen]]*Ruimtestaat[[#This Row],[Oppervlak (netto)]]</f>
        <v>144</v>
      </c>
      <c r="W9" s="112">
        <f>IF(U9&gt;0,Ruimtestaat[[#This Row],[Prest. (m2 /jaar) werkdagen]]/Ruimtestaat[[#This Row],[Norm (m2/uur) werkdagen]],0)</f>
        <v>0</v>
      </c>
      <c r="X9" s="113">
        <f>Ruimtestaat[[#This Row],[uren / jaar werkdagen]]*Tariefsopbouw!$E$35</f>
        <v>0</v>
      </c>
      <c r="Y9" s="110"/>
      <c r="Z9" s="114">
        <f>IF(Ruimtestaat[[#This Row],[Frequentie weekend]]&gt;0,VALUE(LEFT(Y9,1))*R9,0)</f>
        <v>0</v>
      </c>
      <c r="AA9" s="110">
        <f>IF($Z9&gt;0,VLOOKUP($J9,Ruimtegroepen[],3,FALSE)*VLOOKUP($L9,Vloersoorten[],3,FALSE)*VLOOKUP($Y9,Frequenties[],3,FALSE)*VLOOKUP($A4,Locaties[],3,FALSE),0)</f>
        <v>0</v>
      </c>
      <c r="AB9" s="112">
        <f>Ruimtestaat[[#This Row],[Uitvoeringen weekend]]*Ruimtestaat[[#This Row],[Oppervlak (netto)]]</f>
        <v>0</v>
      </c>
      <c r="AC9" s="115">
        <f>IF(AB9&gt;0,Ruimtestaat[[#This Row],[Prest. (m2 /jaar) weekend]]/Ruimtestaat[[#This Row],[Norm (m2/uur) weekend]],0)</f>
        <v>0</v>
      </c>
      <c r="AD9" s="116">
        <f>Ruimtestaat[[#This Row],[uren / jaar weekend]]*Tariefsopbouw!$D$40</f>
        <v>0</v>
      </c>
      <c r="AE9" s="82">
        <f>Ruimtestaat[[#This Row],[Prest. (m2 /jaar) weekend]]+Ruimtestaat[[#This Row],[Prest. (m2 /jaar) werkdagen]]</f>
        <v>144</v>
      </c>
      <c r="AF9" s="82">
        <f>Ruimtestaat[[#This Row],[uren / jaar weekend]]+Ruimtestaat[[#This Row],[uren / jaar werkdagen]]</f>
        <v>0</v>
      </c>
      <c r="AG9" s="83">
        <f>Ruimtestaat[[#This Row],[kosten / jaar weekend]]+Ruimtestaat[[#This Row],[kosten / jaar werkdagen]]</f>
        <v>0</v>
      </c>
      <c r="AH9" s="117"/>
      <c r="HL9" s="87"/>
    </row>
    <row r="10" spans="1:220" ht="15" customHeight="1">
      <c r="A10" s="136">
        <v>1</v>
      </c>
      <c r="B10" s="27" t="str">
        <f>VLOOKUP(Ruimtestaat[[#This Row],[Code]],Locaties[#All],2,FALSE)</f>
        <v>Hoornbeeck College Gouda</v>
      </c>
      <c r="C10" s="27" t="str">
        <f>VLOOKUP(Ruimtestaat[[#This Row],[Code]],Locaties[#All],4,FALSE)</f>
        <v>Noordelijk Halfrond 10</v>
      </c>
      <c r="D10" s="27" t="str">
        <f>VLOOKUP(Ruimtestaat[[#This Row],[Code]],Locaties[#All],5,FALSE)</f>
        <v>2801 DE</v>
      </c>
      <c r="E10" s="27" t="str">
        <f>VLOOKUP(Ruimtestaat[[#This Row],[Code]],Locaties[#All],6,FALSE)</f>
        <v>Gouda</v>
      </c>
      <c r="F10" s="74" t="s">
        <v>465</v>
      </c>
      <c r="G10" s="285" t="s">
        <v>464</v>
      </c>
      <c r="H10" s="286" t="s">
        <v>448</v>
      </c>
      <c r="I10" s="287" t="s">
        <v>626</v>
      </c>
      <c r="J10" s="288">
        <v>12</v>
      </c>
      <c r="K10" s="74" t="str">
        <f>VLOOKUP(J10,Ruimtegroepen[],2,FALSE)</f>
        <v>Kantine/Aula</v>
      </c>
      <c r="L10" s="285" t="s">
        <v>112</v>
      </c>
      <c r="M10" s="287" t="s">
        <v>437</v>
      </c>
      <c r="N10" s="289">
        <v>105.7</v>
      </c>
      <c r="O10" s="290"/>
      <c r="P10" s="118" t="str">
        <f>LEFT(VLOOKUP(Ruimtestaat[[#This Row],[Ruimte code]],Ruimtegroepen[#All],4,1),2)</f>
        <v>Ve</v>
      </c>
      <c r="Q10" s="107"/>
      <c r="R10" s="108">
        <v>40</v>
      </c>
      <c r="S10" s="109" t="s">
        <v>2</v>
      </c>
      <c r="T10" s="110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" s="110">
        <f>IF(T10&gt;0,VLOOKUP($J10,Ruimtegroepen[],3,FALSE)*VLOOKUP($L10,Vloersoorten[],3,FALSE)*VLOOKUP($S10,Frequenties[],3,FALSE)*VLOOKUP($A10,Locaties[],3,FALSE),0)</f>
        <v>0</v>
      </c>
      <c r="V10" s="111">
        <f>Ruimtestaat[[#This Row],[Uitvoeringen werkdagen]]*Ruimtestaat[[#This Row],[Oppervlak (netto)]]</f>
        <v>21140</v>
      </c>
      <c r="W10" s="112">
        <f>IF(U10&gt;0,Ruimtestaat[[#This Row],[Prest. (m2 /jaar) werkdagen]]/Ruimtestaat[[#This Row],[Norm (m2/uur) werkdagen]],0)</f>
        <v>0</v>
      </c>
      <c r="X10" s="113">
        <f>Ruimtestaat[[#This Row],[uren / jaar werkdagen]]*Tariefsopbouw!$E$35</f>
        <v>0</v>
      </c>
      <c r="Y10" s="110"/>
      <c r="Z10" s="114">
        <f>IF(Ruimtestaat[[#This Row],[Frequentie weekend]]&gt;0,VALUE(LEFT(Y10,1))*R10,0)</f>
        <v>0</v>
      </c>
      <c r="AA10" s="110">
        <f>IF($Z10&gt;0,VLOOKUP($J10,Ruimtegroepen[],3,FALSE)*VLOOKUP($L10,Vloersoorten[],3,FALSE)*VLOOKUP($Y10,Frequenties[],3,FALSE)*VLOOKUP($A6,Locaties[],3,FALSE),0)</f>
        <v>0</v>
      </c>
      <c r="AB10" s="112">
        <f>Ruimtestaat[[#This Row],[Uitvoeringen weekend]]*Ruimtestaat[[#This Row],[Oppervlak (netto)]]</f>
        <v>0</v>
      </c>
      <c r="AC10" s="115">
        <f>IF(AB10&gt;0,Ruimtestaat[[#This Row],[Prest. (m2 /jaar) weekend]]/Ruimtestaat[[#This Row],[Norm (m2/uur) weekend]],0)</f>
        <v>0</v>
      </c>
      <c r="AD10" s="116">
        <f>Ruimtestaat[[#This Row],[uren / jaar weekend]]*Tariefsopbouw!$D$40</f>
        <v>0</v>
      </c>
      <c r="AE10" s="82">
        <f>Ruimtestaat[[#This Row],[Prest. (m2 /jaar) weekend]]+Ruimtestaat[[#This Row],[Prest. (m2 /jaar) werkdagen]]</f>
        <v>21140</v>
      </c>
      <c r="AF10" s="82">
        <f>Ruimtestaat[[#This Row],[uren / jaar weekend]]+Ruimtestaat[[#This Row],[uren / jaar werkdagen]]</f>
        <v>0</v>
      </c>
      <c r="AG10" s="83">
        <f>Ruimtestaat[[#This Row],[kosten / jaar weekend]]+Ruimtestaat[[#This Row],[kosten / jaar werkdagen]]</f>
        <v>0</v>
      </c>
      <c r="AH10" s="117"/>
      <c r="HL10" s="87"/>
    </row>
    <row r="11" spans="1:220" ht="15" customHeight="1">
      <c r="A11" s="136">
        <v>1</v>
      </c>
      <c r="B11" s="27" t="str">
        <f>VLOOKUP(Ruimtestaat[[#This Row],[Code]],Locaties[#All],2,FALSE)</f>
        <v>Hoornbeeck College Gouda</v>
      </c>
      <c r="C11" s="27" t="str">
        <f>VLOOKUP(Ruimtestaat[[#This Row],[Code]],Locaties[#All],4,FALSE)</f>
        <v>Noordelijk Halfrond 10</v>
      </c>
      <c r="D11" s="27" t="str">
        <f>VLOOKUP(Ruimtestaat[[#This Row],[Code]],Locaties[#All],5,FALSE)</f>
        <v>2801 DE</v>
      </c>
      <c r="E11" s="27" t="str">
        <f>VLOOKUP(Ruimtestaat[[#This Row],[Code]],Locaties[#All],6,FALSE)</f>
        <v>Gouda</v>
      </c>
      <c r="F11" s="74" t="s">
        <v>465</v>
      </c>
      <c r="G11" s="285" t="s">
        <v>464</v>
      </c>
      <c r="H11" s="286" t="s">
        <v>449</v>
      </c>
      <c r="I11" s="287" t="s">
        <v>627</v>
      </c>
      <c r="J11" s="288">
        <v>2</v>
      </c>
      <c r="K11" s="74" t="str">
        <f>VLOOKUP(J11,Ruimtegroepen[],2,FALSE)</f>
        <v>Kantoren</v>
      </c>
      <c r="L11" s="285" t="s">
        <v>110</v>
      </c>
      <c r="M11" s="287" t="s">
        <v>38</v>
      </c>
      <c r="N11" s="289">
        <v>38.6</v>
      </c>
      <c r="O11" s="290"/>
      <c r="P11" s="118" t="str">
        <f>LEFT(VLOOKUP(Ruimtestaat[[#This Row],[Ruimte code]],Ruimtegroepen[#All],4,1),2)</f>
        <v>Bu</v>
      </c>
      <c r="Q11" s="107"/>
      <c r="R11" s="108">
        <v>40</v>
      </c>
      <c r="S11" s="109" t="s">
        <v>17</v>
      </c>
      <c r="T11" s="110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1" s="110">
        <f>IF(T11&gt;0,VLOOKUP($J11,Ruimtegroepen[],3,FALSE)*VLOOKUP($L11,Vloersoorten[],3,FALSE)*VLOOKUP($S11,Frequenties[],3,FALSE)*VLOOKUP($A11,Locaties[],3,FALSE),0)</f>
        <v>0</v>
      </c>
      <c r="V11" s="111">
        <f>Ruimtestaat[[#This Row],[Uitvoeringen werkdagen]]*Ruimtestaat[[#This Row],[Oppervlak (netto)]]</f>
        <v>3088</v>
      </c>
      <c r="W11" s="112">
        <f>IF(U11&gt;0,Ruimtestaat[[#This Row],[Prest. (m2 /jaar) werkdagen]]/Ruimtestaat[[#This Row],[Norm (m2/uur) werkdagen]],0)</f>
        <v>0</v>
      </c>
      <c r="X11" s="113">
        <f>Ruimtestaat[[#This Row],[uren / jaar werkdagen]]*Tariefsopbouw!$E$35</f>
        <v>0</v>
      </c>
      <c r="Y11" s="110"/>
      <c r="Z11" s="114">
        <f>IF(Ruimtestaat[[#This Row],[Frequentie weekend]]&gt;0,VALUE(LEFT(Y11,1))*R11,0)</f>
        <v>0</v>
      </c>
      <c r="AA11" s="110">
        <f>IF($Z11&gt;0,VLOOKUP($J11,Ruimtegroepen[],3,FALSE)*VLOOKUP($L11,Vloersoorten[],3,FALSE)*VLOOKUP($Y11,Frequenties[],3,FALSE)*VLOOKUP($A7,Locaties[],3,FALSE),0)</f>
        <v>0</v>
      </c>
      <c r="AB11" s="112">
        <f>Ruimtestaat[[#This Row],[Uitvoeringen weekend]]*Ruimtestaat[[#This Row],[Oppervlak (netto)]]</f>
        <v>0</v>
      </c>
      <c r="AC11" s="115">
        <f>IF(AB11&gt;0,Ruimtestaat[[#This Row],[Prest. (m2 /jaar) weekend]]/Ruimtestaat[[#This Row],[Norm (m2/uur) weekend]],0)</f>
        <v>0</v>
      </c>
      <c r="AD11" s="116">
        <f>Ruimtestaat[[#This Row],[uren / jaar weekend]]*Tariefsopbouw!$D$40</f>
        <v>0</v>
      </c>
      <c r="AE11" s="82">
        <f>Ruimtestaat[[#This Row],[Prest. (m2 /jaar) weekend]]+Ruimtestaat[[#This Row],[Prest. (m2 /jaar) werkdagen]]</f>
        <v>3088</v>
      </c>
      <c r="AF11" s="82">
        <f>Ruimtestaat[[#This Row],[uren / jaar weekend]]+Ruimtestaat[[#This Row],[uren / jaar werkdagen]]</f>
        <v>0</v>
      </c>
      <c r="AG11" s="83">
        <f>Ruimtestaat[[#This Row],[kosten / jaar weekend]]+Ruimtestaat[[#This Row],[kosten / jaar werkdagen]]</f>
        <v>0</v>
      </c>
      <c r="AH11" s="117"/>
      <c r="HL11" s="87"/>
    </row>
    <row r="12" spans="1:220" ht="15" customHeight="1">
      <c r="A12" s="136">
        <v>1</v>
      </c>
      <c r="B12" s="27" t="str">
        <f>VLOOKUP(Ruimtestaat[[#This Row],[Code]],Locaties[#All],2,FALSE)</f>
        <v>Hoornbeeck College Gouda</v>
      </c>
      <c r="C12" s="27" t="str">
        <f>VLOOKUP(Ruimtestaat[[#This Row],[Code]],Locaties[#All],4,FALSE)</f>
        <v>Noordelijk Halfrond 10</v>
      </c>
      <c r="D12" s="27" t="str">
        <f>VLOOKUP(Ruimtestaat[[#This Row],[Code]],Locaties[#All],5,FALSE)</f>
        <v>2801 DE</v>
      </c>
      <c r="E12" s="27" t="str">
        <f>VLOOKUP(Ruimtestaat[[#This Row],[Code]],Locaties[#All],6,FALSE)</f>
        <v>Gouda</v>
      </c>
      <c r="F12" s="74" t="s">
        <v>465</v>
      </c>
      <c r="G12" s="285" t="s">
        <v>464</v>
      </c>
      <c r="H12" s="286" t="s">
        <v>450</v>
      </c>
      <c r="I12" s="287" t="s">
        <v>628</v>
      </c>
      <c r="J12" s="288">
        <v>4</v>
      </c>
      <c r="K12" s="74" t="str">
        <f>VLOOKUP(J12,Ruimtegroepen[],2,FALSE)</f>
        <v>Vergader/spreekkamers</v>
      </c>
      <c r="L12" s="285" t="s">
        <v>110</v>
      </c>
      <c r="M12" s="287" t="s">
        <v>38</v>
      </c>
      <c r="N12" s="289">
        <v>8.7100000000000009</v>
      </c>
      <c r="O12" s="285"/>
      <c r="P12" s="118" t="str">
        <f>LEFT(VLOOKUP(Ruimtestaat[[#This Row],[Ruimte code]],Ruimtegroepen[#All],4,1),2)</f>
        <v>Bu</v>
      </c>
      <c r="Q12" s="107"/>
      <c r="R12" s="108">
        <v>40</v>
      </c>
      <c r="S12" s="109" t="s">
        <v>17</v>
      </c>
      <c r="T12" s="110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2" s="110">
        <f>IF(T12&gt;0,VLOOKUP($J12,Ruimtegroepen[],3,FALSE)*VLOOKUP($L12,Vloersoorten[],3,FALSE)*VLOOKUP($S12,Frequenties[],3,FALSE)*VLOOKUP($A12,Locaties[],3,FALSE),0)</f>
        <v>0</v>
      </c>
      <c r="V12" s="111">
        <f>Ruimtestaat[[#This Row],[Uitvoeringen werkdagen]]*Ruimtestaat[[#This Row],[Oppervlak (netto)]]</f>
        <v>696.80000000000007</v>
      </c>
      <c r="W12" s="112">
        <f>IF(U12&gt;0,Ruimtestaat[[#This Row],[Prest. (m2 /jaar) werkdagen]]/Ruimtestaat[[#This Row],[Norm (m2/uur) werkdagen]],0)</f>
        <v>0</v>
      </c>
      <c r="X12" s="113">
        <f>Ruimtestaat[[#This Row],[uren / jaar werkdagen]]*Tariefsopbouw!$E$35</f>
        <v>0</v>
      </c>
      <c r="Y12" s="110"/>
      <c r="Z12" s="114">
        <f>IF(Ruimtestaat[[#This Row],[Frequentie weekend]]&gt;0,VALUE(LEFT(Y12,1))*R12,0)</f>
        <v>0</v>
      </c>
      <c r="AA12" s="110">
        <f>IF($Z12&gt;0,VLOOKUP($J12,Ruimtegroepen[],3,FALSE)*VLOOKUP($L12,Vloersoorten[],3,FALSE)*VLOOKUP($Y12,Frequenties[],3,FALSE)*VLOOKUP($A8,Locaties[],3,FALSE),0)</f>
        <v>0</v>
      </c>
      <c r="AB12" s="112">
        <f>Ruimtestaat[[#This Row],[Uitvoeringen weekend]]*Ruimtestaat[[#This Row],[Oppervlak (netto)]]</f>
        <v>0</v>
      </c>
      <c r="AC12" s="115">
        <f>IF(AB12&gt;0,Ruimtestaat[[#This Row],[Prest. (m2 /jaar) weekend]]/Ruimtestaat[[#This Row],[Norm (m2/uur) weekend]],0)</f>
        <v>0</v>
      </c>
      <c r="AD12" s="116">
        <f>Ruimtestaat[[#This Row],[uren / jaar weekend]]*Tariefsopbouw!$D$40</f>
        <v>0</v>
      </c>
      <c r="AE12" s="82">
        <f>Ruimtestaat[[#This Row],[Prest. (m2 /jaar) weekend]]+Ruimtestaat[[#This Row],[Prest. (m2 /jaar) werkdagen]]</f>
        <v>696.80000000000007</v>
      </c>
      <c r="AF12" s="82">
        <f>Ruimtestaat[[#This Row],[uren / jaar weekend]]+Ruimtestaat[[#This Row],[uren / jaar werkdagen]]</f>
        <v>0</v>
      </c>
      <c r="AG12" s="83">
        <f>Ruimtestaat[[#This Row],[kosten / jaar weekend]]+Ruimtestaat[[#This Row],[kosten / jaar werkdagen]]</f>
        <v>0</v>
      </c>
      <c r="AH12" s="117"/>
      <c r="HL12" s="87"/>
    </row>
    <row r="13" spans="1:220" ht="15" customHeight="1">
      <c r="A13" s="136">
        <v>1</v>
      </c>
      <c r="B13" s="27" t="str">
        <f>VLOOKUP(Ruimtestaat[[#This Row],[Code]],Locaties[#All],2,FALSE)</f>
        <v>Hoornbeeck College Gouda</v>
      </c>
      <c r="C13" s="27" t="str">
        <f>VLOOKUP(Ruimtestaat[[#This Row],[Code]],Locaties[#All],4,FALSE)</f>
        <v>Noordelijk Halfrond 10</v>
      </c>
      <c r="D13" s="27" t="str">
        <f>VLOOKUP(Ruimtestaat[[#This Row],[Code]],Locaties[#All],5,FALSE)</f>
        <v>2801 DE</v>
      </c>
      <c r="E13" s="27" t="str">
        <f>VLOOKUP(Ruimtestaat[[#This Row],[Code]],Locaties[#All],6,FALSE)</f>
        <v>Gouda</v>
      </c>
      <c r="F13" s="74" t="s">
        <v>465</v>
      </c>
      <c r="G13" s="285" t="s">
        <v>464</v>
      </c>
      <c r="H13" s="286" t="s">
        <v>451</v>
      </c>
      <c r="I13" s="287" t="s">
        <v>629</v>
      </c>
      <c r="J13" s="288">
        <v>13</v>
      </c>
      <c r="K13" s="74" t="str">
        <f>VLOOKUP(J13,Ruimtegroepen[],2,FALSE)</f>
        <v>Personeelskamer</v>
      </c>
      <c r="L13" s="285" t="s">
        <v>110</v>
      </c>
      <c r="M13" s="287" t="s">
        <v>38</v>
      </c>
      <c r="N13" s="289">
        <v>100.7</v>
      </c>
      <c r="O13" s="290"/>
      <c r="P13" s="118" t="str">
        <f>LEFT(VLOOKUP(Ruimtestaat[[#This Row],[Ruimte code]],Ruimtegroepen[#All],4,1),2)</f>
        <v>Ve</v>
      </c>
      <c r="Q13" s="107"/>
      <c r="R13" s="108">
        <v>40</v>
      </c>
      <c r="S13" s="109" t="s">
        <v>2</v>
      </c>
      <c r="T13" s="110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" s="110">
        <f>IF(T13&gt;0,VLOOKUP($J13,Ruimtegroepen[],3,FALSE)*VLOOKUP($L13,Vloersoorten[],3,FALSE)*VLOOKUP($S13,Frequenties[],3,FALSE)*VLOOKUP($A13,Locaties[],3,FALSE),0)</f>
        <v>0</v>
      </c>
      <c r="V13" s="111">
        <f>Ruimtestaat[[#This Row],[Uitvoeringen werkdagen]]*Ruimtestaat[[#This Row],[Oppervlak (netto)]]</f>
        <v>20140</v>
      </c>
      <c r="W13" s="112">
        <f>IF(U13&gt;0,Ruimtestaat[[#This Row],[Prest. (m2 /jaar) werkdagen]]/Ruimtestaat[[#This Row],[Norm (m2/uur) werkdagen]],0)</f>
        <v>0</v>
      </c>
      <c r="X13" s="113">
        <f>Ruimtestaat[[#This Row],[uren / jaar werkdagen]]*Tariefsopbouw!$E$35</f>
        <v>0</v>
      </c>
      <c r="Y13" s="110"/>
      <c r="Z13" s="114">
        <f>IF(Ruimtestaat[[#This Row],[Frequentie weekend]]&gt;0,VALUE(LEFT(Y13,1))*R13,0)</f>
        <v>0</v>
      </c>
      <c r="AA13" s="110">
        <f>IF($Z13&gt;0,VLOOKUP($J13,Ruimtegroepen[],3,FALSE)*VLOOKUP($L13,Vloersoorten[],3,FALSE)*VLOOKUP($Y13,Frequenties[],3,FALSE)*VLOOKUP($A9,Locaties[],3,FALSE),0)</f>
        <v>0</v>
      </c>
      <c r="AB13" s="112">
        <f>Ruimtestaat[[#This Row],[Uitvoeringen weekend]]*Ruimtestaat[[#This Row],[Oppervlak (netto)]]</f>
        <v>0</v>
      </c>
      <c r="AC13" s="115">
        <f>IF(AB13&gt;0,Ruimtestaat[[#This Row],[Prest. (m2 /jaar) weekend]]/Ruimtestaat[[#This Row],[Norm (m2/uur) weekend]],0)</f>
        <v>0</v>
      </c>
      <c r="AD13" s="116">
        <f>Ruimtestaat[[#This Row],[uren / jaar weekend]]*Tariefsopbouw!$D$40</f>
        <v>0</v>
      </c>
      <c r="AE13" s="82">
        <f>Ruimtestaat[[#This Row],[Prest. (m2 /jaar) weekend]]+Ruimtestaat[[#This Row],[Prest. (m2 /jaar) werkdagen]]</f>
        <v>20140</v>
      </c>
      <c r="AF13" s="82">
        <f>Ruimtestaat[[#This Row],[uren / jaar weekend]]+Ruimtestaat[[#This Row],[uren / jaar werkdagen]]</f>
        <v>0</v>
      </c>
      <c r="AG13" s="83">
        <f>Ruimtestaat[[#This Row],[kosten / jaar weekend]]+Ruimtestaat[[#This Row],[kosten / jaar werkdagen]]</f>
        <v>0</v>
      </c>
      <c r="AH13" s="117"/>
      <c r="HL13" s="87"/>
    </row>
    <row r="14" spans="1:220" ht="15" customHeight="1">
      <c r="A14" s="136">
        <v>1</v>
      </c>
      <c r="B14" s="27" t="str">
        <f>VLOOKUP(Ruimtestaat[[#This Row],[Code]],Locaties[#All],2,FALSE)</f>
        <v>Hoornbeeck College Gouda</v>
      </c>
      <c r="C14" s="27" t="str">
        <f>VLOOKUP(Ruimtestaat[[#This Row],[Code]],Locaties[#All],4,FALSE)</f>
        <v>Noordelijk Halfrond 10</v>
      </c>
      <c r="D14" s="27" t="str">
        <f>VLOOKUP(Ruimtestaat[[#This Row],[Code]],Locaties[#All],5,FALSE)</f>
        <v>2801 DE</v>
      </c>
      <c r="E14" s="27" t="str">
        <f>VLOOKUP(Ruimtestaat[[#This Row],[Code]],Locaties[#All],6,FALSE)</f>
        <v>Gouda</v>
      </c>
      <c r="F14" s="74" t="s">
        <v>465</v>
      </c>
      <c r="G14" s="285" t="s">
        <v>464</v>
      </c>
      <c r="H14" s="286" t="s">
        <v>452</v>
      </c>
      <c r="I14" s="287" t="s">
        <v>631</v>
      </c>
      <c r="J14" s="288">
        <v>12</v>
      </c>
      <c r="K14" s="74" t="str">
        <f>VLOOKUP(J14,Ruimtegroepen[],2,FALSE)</f>
        <v>Kantine/Aula</v>
      </c>
      <c r="L14" s="285" t="s">
        <v>110</v>
      </c>
      <c r="M14" s="287" t="s">
        <v>38</v>
      </c>
      <c r="N14" s="289">
        <v>69.8</v>
      </c>
      <c r="O14" s="290"/>
      <c r="P14" s="118" t="str">
        <f>LEFT(VLOOKUP(Ruimtestaat[[#This Row],[Ruimte code]],Ruimtegroepen[#All],4,1),2)</f>
        <v>Ve</v>
      </c>
      <c r="Q14" s="107"/>
      <c r="R14" s="108">
        <v>40</v>
      </c>
      <c r="S14" s="109" t="s">
        <v>2</v>
      </c>
      <c r="T14" s="110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110">
        <f>IF(T14&gt;0,VLOOKUP($J14,Ruimtegroepen[],3,FALSE)*VLOOKUP($L14,Vloersoorten[],3,FALSE)*VLOOKUP($S14,Frequenties[],3,FALSE)*VLOOKUP($A14,Locaties[],3,FALSE),0)</f>
        <v>0</v>
      </c>
      <c r="V14" s="111">
        <f>Ruimtestaat[[#This Row],[Uitvoeringen werkdagen]]*Ruimtestaat[[#This Row],[Oppervlak (netto)]]</f>
        <v>13960</v>
      </c>
      <c r="W14" s="112">
        <f>IF(U14&gt;0,Ruimtestaat[[#This Row],[Prest. (m2 /jaar) werkdagen]]/Ruimtestaat[[#This Row],[Norm (m2/uur) werkdagen]],0)</f>
        <v>0</v>
      </c>
      <c r="X14" s="113">
        <f>Ruimtestaat[[#This Row],[uren / jaar werkdagen]]*Tariefsopbouw!$E$35</f>
        <v>0</v>
      </c>
      <c r="Y14" s="110"/>
      <c r="Z14" s="114">
        <f>IF(Ruimtestaat[[#This Row],[Frequentie weekend]]&gt;0,VALUE(LEFT(Y14,1))*R14,0)</f>
        <v>0</v>
      </c>
      <c r="AA14" s="110">
        <f>IF($Z14&gt;0,VLOOKUP($J14,Ruimtegroepen[],3,FALSE)*VLOOKUP($L14,Vloersoorten[],3,FALSE)*VLOOKUP($Y14,Frequenties[],3,FALSE)*VLOOKUP($A10,Locaties[],3,FALSE),0)</f>
        <v>0</v>
      </c>
      <c r="AB14" s="112">
        <f>Ruimtestaat[[#This Row],[Uitvoeringen weekend]]*Ruimtestaat[[#This Row],[Oppervlak (netto)]]</f>
        <v>0</v>
      </c>
      <c r="AC14" s="115">
        <f>IF(AB14&gt;0,Ruimtestaat[[#This Row],[Prest. (m2 /jaar) weekend]]/Ruimtestaat[[#This Row],[Norm (m2/uur) weekend]],0)</f>
        <v>0</v>
      </c>
      <c r="AD14" s="116">
        <f>Ruimtestaat[[#This Row],[uren / jaar weekend]]*Tariefsopbouw!$D$40</f>
        <v>0</v>
      </c>
      <c r="AE14" s="82">
        <f>Ruimtestaat[[#This Row],[Prest. (m2 /jaar) weekend]]+Ruimtestaat[[#This Row],[Prest. (m2 /jaar) werkdagen]]</f>
        <v>13960</v>
      </c>
      <c r="AF14" s="82">
        <f>Ruimtestaat[[#This Row],[uren / jaar weekend]]+Ruimtestaat[[#This Row],[uren / jaar werkdagen]]</f>
        <v>0</v>
      </c>
      <c r="AG14" s="83">
        <f>Ruimtestaat[[#This Row],[kosten / jaar weekend]]+Ruimtestaat[[#This Row],[kosten / jaar werkdagen]]</f>
        <v>0</v>
      </c>
      <c r="AH14" s="117"/>
      <c r="HL14" s="87"/>
    </row>
    <row r="15" spans="1:220" ht="12.75" customHeight="1">
      <c r="A15" s="136">
        <v>1</v>
      </c>
      <c r="B15" s="27" t="str">
        <f>VLOOKUP(Ruimtestaat[[#This Row],[Code]],Locaties[#All],2,FALSE)</f>
        <v>Hoornbeeck College Gouda</v>
      </c>
      <c r="C15" s="27" t="str">
        <f>VLOOKUP(Ruimtestaat[[#This Row],[Code]],Locaties[#All],4,FALSE)</f>
        <v>Noordelijk Halfrond 10</v>
      </c>
      <c r="D15" s="27" t="str">
        <f>VLOOKUP(Ruimtestaat[[#This Row],[Code]],Locaties[#All],5,FALSE)</f>
        <v>2801 DE</v>
      </c>
      <c r="E15" s="27" t="str">
        <f>VLOOKUP(Ruimtestaat[[#This Row],[Code]],Locaties[#All],6,FALSE)</f>
        <v>Gouda</v>
      </c>
      <c r="F15" s="74" t="s">
        <v>465</v>
      </c>
      <c r="G15" s="285" t="s">
        <v>464</v>
      </c>
      <c r="H15" s="286" t="s">
        <v>453</v>
      </c>
      <c r="I15" s="287" t="s">
        <v>632</v>
      </c>
      <c r="J15" s="288">
        <v>6</v>
      </c>
      <c r="K15" s="74" t="str">
        <f>VLOOKUP(J15,Ruimtegroepen[],2,FALSE)</f>
        <v>Gangen/hallen</v>
      </c>
      <c r="L15" s="285" t="s">
        <v>110</v>
      </c>
      <c r="M15" s="287" t="s">
        <v>38</v>
      </c>
      <c r="N15" s="289">
        <v>26.6</v>
      </c>
      <c r="O15" s="285"/>
      <c r="P15" s="118" t="str">
        <f>LEFT(VLOOKUP(Ruimtestaat[[#This Row],[Ruimte code]],Ruimtegroepen[#All],4,1),2)</f>
        <v>Ve</v>
      </c>
      <c r="Q15" s="107"/>
      <c r="R15" s="108">
        <v>40</v>
      </c>
      <c r="S15" s="109" t="s">
        <v>2</v>
      </c>
      <c r="T15" s="110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110">
        <f>IF(T15&gt;0,VLOOKUP($J15,Ruimtegroepen[],3,FALSE)*VLOOKUP($L15,Vloersoorten[],3,FALSE)*VLOOKUP($S15,Frequenties[],3,FALSE)*VLOOKUP($A15,Locaties[],3,FALSE),0)</f>
        <v>0</v>
      </c>
      <c r="V15" s="111">
        <f>Ruimtestaat[[#This Row],[Uitvoeringen werkdagen]]*Ruimtestaat[[#This Row],[Oppervlak (netto)]]</f>
        <v>5320</v>
      </c>
      <c r="W15" s="112">
        <f>IF(U15&gt;0,Ruimtestaat[[#This Row],[Prest. (m2 /jaar) werkdagen]]/Ruimtestaat[[#This Row],[Norm (m2/uur) werkdagen]],0)</f>
        <v>0</v>
      </c>
      <c r="X15" s="113">
        <f>Ruimtestaat[[#This Row],[uren / jaar werkdagen]]*Tariefsopbouw!$E$35</f>
        <v>0</v>
      </c>
      <c r="Y15" s="110"/>
      <c r="Z15" s="114">
        <f>IF(Ruimtestaat[[#This Row],[Frequentie weekend]]&gt;0,VALUE(LEFT(Y15,1))*R15,0)</f>
        <v>0</v>
      </c>
      <c r="AA15" s="110">
        <f>IF($Z15&gt;0,VLOOKUP($J15,Ruimtegroepen[],3,FALSE)*VLOOKUP($L15,Vloersoorten[],3,FALSE)*VLOOKUP($Y15,Frequenties[],3,FALSE)*VLOOKUP($A11,Locaties[],3,FALSE),0)</f>
        <v>0</v>
      </c>
      <c r="AB15" s="112">
        <f>Ruimtestaat[[#This Row],[Uitvoeringen weekend]]*Ruimtestaat[[#This Row],[Oppervlak (netto)]]</f>
        <v>0</v>
      </c>
      <c r="AC15" s="115">
        <f>IF(AB15&gt;0,Ruimtestaat[[#This Row],[Prest. (m2 /jaar) weekend]]/Ruimtestaat[[#This Row],[Norm (m2/uur) weekend]],0)</f>
        <v>0</v>
      </c>
      <c r="AD15" s="116">
        <f>Ruimtestaat[[#This Row],[uren / jaar weekend]]*Tariefsopbouw!$D$40</f>
        <v>0</v>
      </c>
      <c r="AE15" s="82">
        <f>Ruimtestaat[[#This Row],[Prest. (m2 /jaar) weekend]]+Ruimtestaat[[#This Row],[Prest. (m2 /jaar) werkdagen]]</f>
        <v>5320</v>
      </c>
      <c r="AF15" s="82">
        <f>Ruimtestaat[[#This Row],[uren / jaar weekend]]+Ruimtestaat[[#This Row],[uren / jaar werkdagen]]</f>
        <v>0</v>
      </c>
      <c r="AG15" s="83">
        <f>Ruimtestaat[[#This Row],[kosten / jaar weekend]]+Ruimtestaat[[#This Row],[kosten / jaar werkdagen]]</f>
        <v>0</v>
      </c>
      <c r="AH15" s="117"/>
      <c r="HL15" s="87"/>
    </row>
    <row r="16" spans="1:220" ht="15" customHeight="1">
      <c r="A16" s="136">
        <v>1</v>
      </c>
      <c r="B16" s="27" t="str">
        <f>VLOOKUP(Ruimtestaat[[#This Row],[Code]],Locaties[#All],2,FALSE)</f>
        <v>Hoornbeeck College Gouda</v>
      </c>
      <c r="C16" s="27" t="str">
        <f>VLOOKUP(Ruimtestaat[[#This Row],[Code]],Locaties[#All],4,FALSE)</f>
        <v>Noordelijk Halfrond 10</v>
      </c>
      <c r="D16" s="27" t="str">
        <f>VLOOKUP(Ruimtestaat[[#This Row],[Code]],Locaties[#All],5,FALSE)</f>
        <v>2801 DE</v>
      </c>
      <c r="E16" s="27" t="str">
        <f>VLOOKUP(Ruimtestaat[[#This Row],[Code]],Locaties[#All],6,FALSE)</f>
        <v>Gouda</v>
      </c>
      <c r="F16" s="74" t="s">
        <v>465</v>
      </c>
      <c r="G16" s="285" t="s">
        <v>464</v>
      </c>
      <c r="H16" s="286" t="s">
        <v>454</v>
      </c>
      <c r="I16" s="287" t="s">
        <v>633</v>
      </c>
      <c r="J16" s="288">
        <v>2</v>
      </c>
      <c r="K16" s="74" t="str">
        <f>VLOOKUP(J16,Ruimtegroepen[],2,FALSE)</f>
        <v>Kantoren</v>
      </c>
      <c r="L16" s="285" t="s">
        <v>110</v>
      </c>
      <c r="M16" s="287" t="s">
        <v>38</v>
      </c>
      <c r="N16" s="289">
        <v>26.43</v>
      </c>
      <c r="O16" s="290"/>
      <c r="P16" s="118" t="str">
        <f>LEFT(VLOOKUP(Ruimtestaat[[#This Row],[Ruimte code]],Ruimtegroepen[#All],4,1),2)</f>
        <v>Bu</v>
      </c>
      <c r="Q16" s="107"/>
      <c r="R16" s="108">
        <v>40</v>
      </c>
      <c r="S16" s="109" t="s">
        <v>17</v>
      </c>
      <c r="T16" s="110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6" s="110">
        <f>IF(T16&gt;0,VLOOKUP($J16,Ruimtegroepen[],3,FALSE)*VLOOKUP($L16,Vloersoorten[],3,FALSE)*VLOOKUP($S16,Frequenties[],3,FALSE)*VLOOKUP($A16,Locaties[],3,FALSE),0)</f>
        <v>0</v>
      </c>
      <c r="V16" s="111">
        <f>Ruimtestaat[[#This Row],[Uitvoeringen werkdagen]]*Ruimtestaat[[#This Row],[Oppervlak (netto)]]</f>
        <v>2114.4</v>
      </c>
      <c r="W16" s="112">
        <f>IF(U16&gt;0,Ruimtestaat[[#This Row],[Prest. (m2 /jaar) werkdagen]]/Ruimtestaat[[#This Row],[Norm (m2/uur) werkdagen]],0)</f>
        <v>0</v>
      </c>
      <c r="X16" s="113">
        <f>Ruimtestaat[[#This Row],[uren / jaar werkdagen]]*Tariefsopbouw!$E$35</f>
        <v>0</v>
      </c>
      <c r="Y16" s="110"/>
      <c r="Z16" s="114">
        <f>IF(Ruimtestaat[[#This Row],[Frequentie weekend]]&gt;0,VALUE(LEFT(Y16,1))*R16,0)</f>
        <v>0</v>
      </c>
      <c r="AA16" s="110">
        <f>IF($Z16&gt;0,VLOOKUP($J16,Ruimtegroepen[],3,FALSE)*VLOOKUP($L16,Vloersoorten[],3,FALSE)*VLOOKUP($Y16,Frequenties[],3,FALSE)*VLOOKUP($A12,Locaties[],3,FALSE),0)</f>
        <v>0</v>
      </c>
      <c r="AB16" s="112">
        <f>Ruimtestaat[[#This Row],[Uitvoeringen weekend]]*Ruimtestaat[[#This Row],[Oppervlak (netto)]]</f>
        <v>0</v>
      </c>
      <c r="AC16" s="115">
        <f>IF(AB16&gt;0,Ruimtestaat[[#This Row],[Prest. (m2 /jaar) weekend]]/Ruimtestaat[[#This Row],[Norm (m2/uur) weekend]],0)</f>
        <v>0</v>
      </c>
      <c r="AD16" s="116">
        <f>Ruimtestaat[[#This Row],[uren / jaar weekend]]*Tariefsopbouw!$D$40</f>
        <v>0</v>
      </c>
      <c r="AE16" s="82">
        <f>Ruimtestaat[[#This Row],[Prest. (m2 /jaar) weekend]]+Ruimtestaat[[#This Row],[Prest. (m2 /jaar) werkdagen]]</f>
        <v>2114.4</v>
      </c>
      <c r="AF16" s="82">
        <f>Ruimtestaat[[#This Row],[uren / jaar weekend]]+Ruimtestaat[[#This Row],[uren / jaar werkdagen]]</f>
        <v>0</v>
      </c>
      <c r="AG16" s="83">
        <f>Ruimtestaat[[#This Row],[kosten / jaar weekend]]+Ruimtestaat[[#This Row],[kosten / jaar werkdagen]]</f>
        <v>0</v>
      </c>
      <c r="AH16" s="117"/>
      <c r="HL16" s="87"/>
    </row>
    <row r="17" spans="1:220" ht="15" customHeight="1">
      <c r="A17" s="136">
        <v>1</v>
      </c>
      <c r="B17" s="27" t="str">
        <f>VLOOKUP(Ruimtestaat[[#This Row],[Code]],Locaties[#All],2,FALSE)</f>
        <v>Hoornbeeck College Gouda</v>
      </c>
      <c r="C17" s="27" t="str">
        <f>VLOOKUP(Ruimtestaat[[#This Row],[Code]],Locaties[#All],4,FALSE)</f>
        <v>Noordelijk Halfrond 10</v>
      </c>
      <c r="D17" s="27" t="str">
        <f>VLOOKUP(Ruimtestaat[[#This Row],[Code]],Locaties[#All],5,FALSE)</f>
        <v>2801 DE</v>
      </c>
      <c r="E17" s="27" t="str">
        <f>VLOOKUP(Ruimtestaat[[#This Row],[Code]],Locaties[#All],6,FALSE)</f>
        <v>Gouda</v>
      </c>
      <c r="F17" s="74" t="s">
        <v>465</v>
      </c>
      <c r="G17" s="285" t="s">
        <v>464</v>
      </c>
      <c r="H17" s="286" t="s">
        <v>455</v>
      </c>
      <c r="I17" s="287" t="s">
        <v>634</v>
      </c>
      <c r="J17" s="288">
        <v>2</v>
      </c>
      <c r="K17" s="74" t="str">
        <f>VLOOKUP(J17,Ruimtegroepen[],2,FALSE)</f>
        <v>Kantoren</v>
      </c>
      <c r="L17" s="285" t="s">
        <v>111</v>
      </c>
      <c r="M17" s="287" t="s">
        <v>467</v>
      </c>
      <c r="N17" s="289">
        <v>2.95</v>
      </c>
      <c r="O17" s="290"/>
      <c r="P17" s="118" t="str">
        <f>LEFT(VLOOKUP(Ruimtestaat[[#This Row],[Ruimte code]],Ruimtegroepen[#All],4,1),2)</f>
        <v>Bu</v>
      </c>
      <c r="Q17" s="107"/>
      <c r="R17" s="108">
        <v>40</v>
      </c>
      <c r="S17" s="109" t="s">
        <v>2</v>
      </c>
      <c r="T17" s="110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110">
        <f>IF(T17&gt;0,VLOOKUP($J17,Ruimtegroepen[],3,FALSE)*VLOOKUP($L17,Vloersoorten[],3,FALSE)*VLOOKUP($S17,Frequenties[],3,FALSE)*VLOOKUP($A17,Locaties[],3,FALSE),0)</f>
        <v>0</v>
      </c>
      <c r="V17" s="111">
        <f>Ruimtestaat[[#This Row],[Uitvoeringen werkdagen]]*Ruimtestaat[[#This Row],[Oppervlak (netto)]]</f>
        <v>590</v>
      </c>
      <c r="W17" s="112">
        <f>IF(U17&gt;0,Ruimtestaat[[#This Row],[Prest. (m2 /jaar) werkdagen]]/Ruimtestaat[[#This Row],[Norm (m2/uur) werkdagen]],0)</f>
        <v>0</v>
      </c>
      <c r="X17" s="113">
        <f>Ruimtestaat[[#This Row],[uren / jaar werkdagen]]*Tariefsopbouw!$E$35</f>
        <v>0</v>
      </c>
      <c r="Y17" s="110"/>
      <c r="Z17" s="114">
        <f>IF(Ruimtestaat[[#This Row],[Frequentie weekend]]&gt;0,VALUE(LEFT(Y17,1))*R17,0)</f>
        <v>0</v>
      </c>
      <c r="AA17" s="110">
        <f>IF($Z17&gt;0,VLOOKUP($J17,Ruimtegroepen[],3,FALSE)*VLOOKUP($L17,Vloersoorten[],3,FALSE)*VLOOKUP($Y17,Frequenties[],3,FALSE)*VLOOKUP($A13,Locaties[],3,FALSE),0)</f>
        <v>0</v>
      </c>
      <c r="AB17" s="112">
        <f>Ruimtestaat[[#This Row],[Uitvoeringen weekend]]*Ruimtestaat[[#This Row],[Oppervlak (netto)]]</f>
        <v>0</v>
      </c>
      <c r="AC17" s="115">
        <f>IF(AB17&gt;0,Ruimtestaat[[#This Row],[Prest. (m2 /jaar) weekend]]/Ruimtestaat[[#This Row],[Norm (m2/uur) weekend]],0)</f>
        <v>0</v>
      </c>
      <c r="AD17" s="116">
        <f>Ruimtestaat[[#This Row],[uren / jaar weekend]]*Tariefsopbouw!$D$40</f>
        <v>0</v>
      </c>
      <c r="AE17" s="82">
        <f>Ruimtestaat[[#This Row],[Prest. (m2 /jaar) weekend]]+Ruimtestaat[[#This Row],[Prest. (m2 /jaar) werkdagen]]</f>
        <v>590</v>
      </c>
      <c r="AF17" s="82">
        <f>Ruimtestaat[[#This Row],[uren / jaar weekend]]+Ruimtestaat[[#This Row],[uren / jaar werkdagen]]</f>
        <v>0</v>
      </c>
      <c r="AG17" s="83">
        <f>Ruimtestaat[[#This Row],[kosten / jaar weekend]]+Ruimtestaat[[#This Row],[kosten / jaar werkdagen]]</f>
        <v>0</v>
      </c>
      <c r="AH17" s="117"/>
      <c r="HL17" s="87"/>
    </row>
    <row r="18" spans="1:220" ht="15" customHeight="1">
      <c r="A18" s="136">
        <v>1</v>
      </c>
      <c r="B18" s="27" t="str">
        <f>VLOOKUP(Ruimtestaat[[#This Row],[Code]],Locaties[#All],2,FALSE)</f>
        <v>Hoornbeeck College Gouda</v>
      </c>
      <c r="C18" s="27" t="str">
        <f>VLOOKUP(Ruimtestaat[[#This Row],[Code]],Locaties[#All],4,FALSE)</f>
        <v>Noordelijk Halfrond 10</v>
      </c>
      <c r="D18" s="27" t="str">
        <f>VLOOKUP(Ruimtestaat[[#This Row],[Code]],Locaties[#All],5,FALSE)</f>
        <v>2801 DE</v>
      </c>
      <c r="E18" s="27" t="str">
        <f>VLOOKUP(Ruimtestaat[[#This Row],[Code]],Locaties[#All],6,FALSE)</f>
        <v>Gouda</v>
      </c>
      <c r="F18" s="74" t="s">
        <v>465</v>
      </c>
      <c r="G18" s="285" t="s">
        <v>464</v>
      </c>
      <c r="H18" s="286" t="s">
        <v>456</v>
      </c>
      <c r="I18" s="287" t="s">
        <v>468</v>
      </c>
      <c r="J18" s="288">
        <v>7</v>
      </c>
      <c r="K18" s="74" t="str">
        <f>VLOOKUP(J18,Ruimtegroepen[],2,FALSE)</f>
        <v>Entree</v>
      </c>
      <c r="L18" s="285" t="s">
        <v>110</v>
      </c>
      <c r="M18" s="287" t="s">
        <v>38</v>
      </c>
      <c r="N18" s="289">
        <v>4.0599999999999996</v>
      </c>
      <c r="O18" s="285"/>
      <c r="P18" s="118" t="str">
        <f>LEFT(VLOOKUP(Ruimtestaat[[#This Row],[Ruimte code]],Ruimtegroepen[#All],4,1),2)</f>
        <v>Ve</v>
      </c>
      <c r="Q18" s="107"/>
      <c r="R18" s="108">
        <v>40</v>
      </c>
      <c r="S18" s="109" t="s">
        <v>2</v>
      </c>
      <c r="T18" s="110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" s="110">
        <f>IF(T18&gt;0,VLOOKUP($J18,Ruimtegroepen[],3,FALSE)*VLOOKUP($L18,Vloersoorten[],3,FALSE)*VLOOKUP($S18,Frequenties[],3,FALSE)*VLOOKUP($A18,Locaties[],3,FALSE),0)</f>
        <v>0</v>
      </c>
      <c r="V18" s="111">
        <f>Ruimtestaat[[#This Row],[Uitvoeringen werkdagen]]*Ruimtestaat[[#This Row],[Oppervlak (netto)]]</f>
        <v>811.99999999999989</v>
      </c>
      <c r="W18" s="112">
        <f>IF(U18&gt;0,Ruimtestaat[[#This Row],[Prest. (m2 /jaar) werkdagen]]/Ruimtestaat[[#This Row],[Norm (m2/uur) werkdagen]],0)</f>
        <v>0</v>
      </c>
      <c r="X18" s="113">
        <f>Ruimtestaat[[#This Row],[uren / jaar werkdagen]]*Tariefsopbouw!$E$35</f>
        <v>0</v>
      </c>
      <c r="Y18" s="110"/>
      <c r="Z18" s="114">
        <f>IF(Ruimtestaat[[#This Row],[Frequentie weekend]]&gt;0,VALUE(LEFT(Y18,1))*R18,0)</f>
        <v>0</v>
      </c>
      <c r="AA18" s="110">
        <f>IF($Z18&gt;0,VLOOKUP($J18,Ruimtegroepen[],3,FALSE)*VLOOKUP($L18,Vloersoorten[],3,FALSE)*VLOOKUP($Y18,Frequenties[],3,FALSE)*VLOOKUP($A14,Locaties[],3,FALSE),0)</f>
        <v>0</v>
      </c>
      <c r="AB18" s="112">
        <f>Ruimtestaat[[#This Row],[Uitvoeringen weekend]]*Ruimtestaat[[#This Row],[Oppervlak (netto)]]</f>
        <v>0</v>
      </c>
      <c r="AC18" s="115">
        <f>IF(AB18&gt;0,Ruimtestaat[[#This Row],[Prest. (m2 /jaar) weekend]]/Ruimtestaat[[#This Row],[Norm (m2/uur) weekend]],0)</f>
        <v>0</v>
      </c>
      <c r="AD18" s="116">
        <f>Ruimtestaat[[#This Row],[uren / jaar weekend]]*Tariefsopbouw!$D$40</f>
        <v>0</v>
      </c>
      <c r="AE18" s="82">
        <f>Ruimtestaat[[#This Row],[Prest. (m2 /jaar) weekend]]+Ruimtestaat[[#This Row],[Prest. (m2 /jaar) werkdagen]]</f>
        <v>811.99999999999989</v>
      </c>
      <c r="AF18" s="82">
        <f>Ruimtestaat[[#This Row],[uren / jaar weekend]]+Ruimtestaat[[#This Row],[uren / jaar werkdagen]]</f>
        <v>0</v>
      </c>
      <c r="AG18" s="83">
        <f>Ruimtestaat[[#This Row],[kosten / jaar weekend]]+Ruimtestaat[[#This Row],[kosten / jaar werkdagen]]</f>
        <v>0</v>
      </c>
      <c r="AH18" s="117"/>
      <c r="HL18" s="87"/>
    </row>
    <row r="19" spans="1:220" ht="15" customHeight="1">
      <c r="A19" s="136">
        <v>1</v>
      </c>
      <c r="B19" s="27" t="str">
        <f>VLOOKUP(Ruimtestaat[[#This Row],[Code]],Locaties[#All],2,FALSE)</f>
        <v>Hoornbeeck College Gouda</v>
      </c>
      <c r="C19" s="27" t="str">
        <f>VLOOKUP(Ruimtestaat[[#This Row],[Code]],Locaties[#All],4,FALSE)</f>
        <v>Noordelijk Halfrond 10</v>
      </c>
      <c r="D19" s="27" t="str">
        <f>VLOOKUP(Ruimtestaat[[#This Row],[Code]],Locaties[#All],5,FALSE)</f>
        <v>2801 DE</v>
      </c>
      <c r="E19" s="27" t="str">
        <f>VLOOKUP(Ruimtestaat[[#This Row],[Code]],Locaties[#All],6,FALSE)</f>
        <v>Gouda</v>
      </c>
      <c r="F19" s="74" t="s">
        <v>465</v>
      </c>
      <c r="G19" s="285" t="s">
        <v>464</v>
      </c>
      <c r="H19" s="286" t="s">
        <v>457</v>
      </c>
      <c r="I19" s="287" t="s">
        <v>468</v>
      </c>
      <c r="J19" s="288">
        <v>7</v>
      </c>
      <c r="K19" s="74" t="str">
        <f>VLOOKUP(J19,Ruimtegroepen[],2,FALSE)</f>
        <v>Entree</v>
      </c>
      <c r="L19" s="285" t="s">
        <v>110</v>
      </c>
      <c r="M19" s="287" t="s">
        <v>38</v>
      </c>
      <c r="N19" s="289">
        <v>7.84</v>
      </c>
      <c r="O19" s="290"/>
      <c r="P19" s="118" t="str">
        <f>LEFT(VLOOKUP(Ruimtestaat[[#This Row],[Ruimte code]],Ruimtegroepen[#All],4,1),2)</f>
        <v>Ve</v>
      </c>
      <c r="Q19" s="107"/>
      <c r="R19" s="108">
        <v>40</v>
      </c>
      <c r="S19" s="109" t="s">
        <v>2</v>
      </c>
      <c r="T19" s="110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" s="110">
        <f>IF(T19&gt;0,VLOOKUP($J19,Ruimtegroepen[],3,FALSE)*VLOOKUP($L19,Vloersoorten[],3,FALSE)*VLOOKUP($S19,Frequenties[],3,FALSE)*VLOOKUP($A19,Locaties[],3,FALSE),0)</f>
        <v>0</v>
      </c>
      <c r="V19" s="111">
        <f>Ruimtestaat[[#This Row],[Uitvoeringen werkdagen]]*Ruimtestaat[[#This Row],[Oppervlak (netto)]]</f>
        <v>1568</v>
      </c>
      <c r="W19" s="112">
        <f>IF(U19&gt;0,Ruimtestaat[[#This Row],[Prest. (m2 /jaar) werkdagen]]/Ruimtestaat[[#This Row],[Norm (m2/uur) werkdagen]],0)</f>
        <v>0</v>
      </c>
      <c r="X19" s="113">
        <f>Ruimtestaat[[#This Row],[uren / jaar werkdagen]]*Tariefsopbouw!$E$35</f>
        <v>0</v>
      </c>
      <c r="Y19" s="110"/>
      <c r="Z19" s="114">
        <f>IF(Ruimtestaat[[#This Row],[Frequentie weekend]]&gt;0,VALUE(LEFT(Y19,1))*R19,0)</f>
        <v>0</v>
      </c>
      <c r="AA19" s="110">
        <f>IF($Z19&gt;0,VLOOKUP($J19,Ruimtegroepen[],3,FALSE)*VLOOKUP($L19,Vloersoorten[],3,FALSE)*VLOOKUP($Y19,Frequenties[],3,FALSE)*VLOOKUP($A14,Locaties[],3,FALSE),0)</f>
        <v>0</v>
      </c>
      <c r="AB19" s="112">
        <f>Ruimtestaat[[#This Row],[Uitvoeringen weekend]]*Ruimtestaat[[#This Row],[Oppervlak (netto)]]</f>
        <v>0</v>
      </c>
      <c r="AC19" s="115">
        <f>IF(AB19&gt;0,Ruimtestaat[[#This Row],[Prest. (m2 /jaar) weekend]]/Ruimtestaat[[#This Row],[Norm (m2/uur) weekend]],0)</f>
        <v>0</v>
      </c>
      <c r="AD19" s="116">
        <f>Ruimtestaat[[#This Row],[uren / jaar weekend]]*Tariefsopbouw!$D$40</f>
        <v>0</v>
      </c>
      <c r="AE19" s="82">
        <f>Ruimtestaat[[#This Row],[Prest. (m2 /jaar) weekend]]+Ruimtestaat[[#This Row],[Prest. (m2 /jaar) werkdagen]]</f>
        <v>1568</v>
      </c>
      <c r="AF19" s="82">
        <f>Ruimtestaat[[#This Row],[uren / jaar weekend]]+Ruimtestaat[[#This Row],[uren / jaar werkdagen]]</f>
        <v>0</v>
      </c>
      <c r="AG19" s="83">
        <f>Ruimtestaat[[#This Row],[kosten / jaar weekend]]+Ruimtestaat[[#This Row],[kosten / jaar werkdagen]]</f>
        <v>0</v>
      </c>
      <c r="AH19" s="117"/>
      <c r="HL19" s="87"/>
    </row>
    <row r="20" spans="1:220" ht="15" customHeight="1">
      <c r="A20" s="136">
        <v>1</v>
      </c>
      <c r="B20" s="27" t="str">
        <f>VLOOKUP(Ruimtestaat[[#This Row],[Code]],Locaties[#All],2,FALSE)</f>
        <v>Hoornbeeck College Gouda</v>
      </c>
      <c r="C20" s="27" t="str">
        <f>VLOOKUP(Ruimtestaat[[#This Row],[Code]],Locaties[#All],4,FALSE)</f>
        <v>Noordelijk Halfrond 10</v>
      </c>
      <c r="D20" s="27" t="str">
        <f>VLOOKUP(Ruimtestaat[[#This Row],[Code]],Locaties[#All],5,FALSE)</f>
        <v>2801 DE</v>
      </c>
      <c r="E20" s="27" t="str">
        <f>VLOOKUP(Ruimtestaat[[#This Row],[Code]],Locaties[#All],6,FALSE)</f>
        <v>Gouda</v>
      </c>
      <c r="F20" s="74" t="s">
        <v>465</v>
      </c>
      <c r="G20" s="285" t="s">
        <v>464</v>
      </c>
      <c r="H20" s="286" t="s">
        <v>636</v>
      </c>
      <c r="I20" s="287" t="s">
        <v>635</v>
      </c>
      <c r="J20" s="288">
        <v>11</v>
      </c>
      <c r="K20" s="74" t="str">
        <f>VLOOKUP(J20,Ruimtegroepen[],2,FALSE)</f>
        <v>Garderobes</v>
      </c>
      <c r="L20" s="285" t="s">
        <v>112</v>
      </c>
      <c r="M20" s="287" t="s">
        <v>469</v>
      </c>
      <c r="N20" s="289">
        <v>23.2</v>
      </c>
      <c r="O20" s="290"/>
      <c r="P20" s="118" t="str">
        <f>LEFT(VLOOKUP(Ruimtestaat[[#This Row],[Ruimte code]],Ruimtegroepen[#All],4,1),2)</f>
        <v>Ve</v>
      </c>
      <c r="Q20" s="107"/>
      <c r="R20" s="108">
        <v>40</v>
      </c>
      <c r="S20" s="109" t="s">
        <v>2</v>
      </c>
      <c r="T20" s="110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" s="110">
        <f>IF(T20&gt;0,VLOOKUP($J20,Ruimtegroepen[],3,FALSE)*VLOOKUP($L20,Vloersoorten[],3,FALSE)*VLOOKUP($S20,Frequenties[],3,FALSE)*VLOOKUP($A20,Locaties[],3,FALSE),0)</f>
        <v>0</v>
      </c>
      <c r="V20" s="111">
        <f>Ruimtestaat[[#This Row],[Uitvoeringen werkdagen]]*Ruimtestaat[[#This Row],[Oppervlak (netto)]]</f>
        <v>4640</v>
      </c>
      <c r="W20" s="112">
        <f>IF(U20&gt;0,Ruimtestaat[[#This Row],[Prest. (m2 /jaar) werkdagen]]/Ruimtestaat[[#This Row],[Norm (m2/uur) werkdagen]],0)</f>
        <v>0</v>
      </c>
      <c r="X20" s="113">
        <f>Ruimtestaat[[#This Row],[uren / jaar werkdagen]]*Tariefsopbouw!$E$35</f>
        <v>0</v>
      </c>
      <c r="Y20" s="110"/>
      <c r="Z20" s="114">
        <f>IF(Ruimtestaat[[#This Row],[Frequentie weekend]]&gt;0,VALUE(LEFT(Y20,1))*R20,0)</f>
        <v>0</v>
      </c>
      <c r="AA20" s="110">
        <f>IF($Z20&gt;0,VLOOKUP($J20,Ruimtegroepen[],3,FALSE)*VLOOKUP($L20,Vloersoorten[],3,FALSE)*VLOOKUP($Y20,Frequenties[],3,FALSE)*VLOOKUP($A15,Locaties[],3,FALSE),0)</f>
        <v>0</v>
      </c>
      <c r="AB20" s="112">
        <f>Ruimtestaat[[#This Row],[Uitvoeringen weekend]]*Ruimtestaat[[#This Row],[Oppervlak (netto)]]</f>
        <v>0</v>
      </c>
      <c r="AC20" s="115">
        <f>IF(AB20&gt;0,Ruimtestaat[[#This Row],[Prest. (m2 /jaar) weekend]]/Ruimtestaat[[#This Row],[Norm (m2/uur) weekend]],0)</f>
        <v>0</v>
      </c>
      <c r="AD20" s="116">
        <f>Ruimtestaat[[#This Row],[uren / jaar weekend]]*Tariefsopbouw!$D$40</f>
        <v>0</v>
      </c>
      <c r="AE20" s="82">
        <f>Ruimtestaat[[#This Row],[Prest. (m2 /jaar) weekend]]+Ruimtestaat[[#This Row],[Prest. (m2 /jaar) werkdagen]]</f>
        <v>4640</v>
      </c>
      <c r="AF20" s="82">
        <f>Ruimtestaat[[#This Row],[uren / jaar weekend]]+Ruimtestaat[[#This Row],[uren / jaar werkdagen]]</f>
        <v>0</v>
      </c>
      <c r="AG20" s="83">
        <f>Ruimtestaat[[#This Row],[kosten / jaar weekend]]+Ruimtestaat[[#This Row],[kosten / jaar werkdagen]]</f>
        <v>0</v>
      </c>
      <c r="AH20" s="117"/>
      <c r="HL20" s="87"/>
    </row>
    <row r="21" spans="1:220" ht="15" customHeight="1">
      <c r="A21" s="136">
        <v>1</v>
      </c>
      <c r="B21" s="27" t="str">
        <f>VLOOKUP(Ruimtestaat[[#This Row],[Code]],Locaties[#All],2,FALSE)</f>
        <v>Hoornbeeck College Gouda</v>
      </c>
      <c r="C21" s="27" t="str">
        <f>VLOOKUP(Ruimtestaat[[#This Row],[Code]],Locaties[#All],4,FALSE)</f>
        <v>Noordelijk Halfrond 10</v>
      </c>
      <c r="D21" s="27" t="str">
        <f>VLOOKUP(Ruimtestaat[[#This Row],[Code]],Locaties[#All],5,FALSE)</f>
        <v>2801 DE</v>
      </c>
      <c r="E21" s="27" t="str">
        <f>VLOOKUP(Ruimtestaat[[#This Row],[Code]],Locaties[#All],6,FALSE)</f>
        <v>Gouda</v>
      </c>
      <c r="F21" s="74" t="s">
        <v>465</v>
      </c>
      <c r="G21" s="285" t="s">
        <v>464</v>
      </c>
      <c r="H21" s="286" t="s">
        <v>637</v>
      </c>
      <c r="I21" s="287" t="s">
        <v>638</v>
      </c>
      <c r="J21" s="288">
        <v>9</v>
      </c>
      <c r="K21" s="74" t="str">
        <f>VLOOKUP(J21,Ruimtegroepen[],2,FALSE)</f>
        <v>Bibliotheek/OLC</v>
      </c>
      <c r="L21" s="285" t="s">
        <v>112</v>
      </c>
      <c r="M21" s="287" t="s">
        <v>469</v>
      </c>
      <c r="N21" s="289">
        <v>4.7</v>
      </c>
      <c r="O21" s="290"/>
      <c r="P21" s="118" t="str">
        <f>LEFT(VLOOKUP(Ruimtestaat[[#This Row],[Ruimte code]],Ruimtegroepen[#All],4,1),2)</f>
        <v>Le</v>
      </c>
      <c r="Q21" s="107"/>
      <c r="R21" s="108">
        <v>40</v>
      </c>
      <c r="S21" s="109" t="s">
        <v>2</v>
      </c>
      <c r="T21" s="110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" s="110">
        <f>IF(T21&gt;0,VLOOKUP($J21,Ruimtegroepen[],3,FALSE)*VLOOKUP($L21,Vloersoorten[],3,FALSE)*VLOOKUP($S21,Frequenties[],3,FALSE)*VLOOKUP($A21,Locaties[],3,FALSE),0)</f>
        <v>0</v>
      </c>
      <c r="V21" s="111">
        <f>Ruimtestaat[[#This Row],[Uitvoeringen werkdagen]]*Ruimtestaat[[#This Row],[Oppervlak (netto)]]</f>
        <v>940</v>
      </c>
      <c r="W21" s="112">
        <f>IF(U21&gt;0,Ruimtestaat[[#This Row],[Prest. (m2 /jaar) werkdagen]]/Ruimtestaat[[#This Row],[Norm (m2/uur) werkdagen]],0)</f>
        <v>0</v>
      </c>
      <c r="X21" s="113">
        <f>Ruimtestaat[[#This Row],[uren / jaar werkdagen]]*Tariefsopbouw!$E$35</f>
        <v>0</v>
      </c>
      <c r="Y21" s="110"/>
      <c r="Z21" s="114">
        <f>IF(Ruimtestaat[[#This Row],[Frequentie weekend]]&gt;0,VALUE(LEFT(Y21,1))*R21,0)</f>
        <v>0</v>
      </c>
      <c r="AA21" s="110">
        <f>IF($Z21&gt;0,VLOOKUP($J21,Ruimtegroepen[],3,FALSE)*VLOOKUP($L21,Vloersoorten[],3,FALSE)*VLOOKUP($Y21,Frequenties[],3,FALSE)*VLOOKUP($A16,Locaties[],3,FALSE),0)</f>
        <v>0</v>
      </c>
      <c r="AB21" s="112">
        <f>Ruimtestaat[[#This Row],[Uitvoeringen weekend]]*Ruimtestaat[[#This Row],[Oppervlak (netto)]]</f>
        <v>0</v>
      </c>
      <c r="AC21" s="115">
        <f>IF(AB21&gt;0,Ruimtestaat[[#This Row],[Prest. (m2 /jaar) weekend]]/Ruimtestaat[[#This Row],[Norm (m2/uur) weekend]],0)</f>
        <v>0</v>
      </c>
      <c r="AD21" s="116">
        <f>Ruimtestaat[[#This Row],[uren / jaar weekend]]*Tariefsopbouw!$D$40</f>
        <v>0</v>
      </c>
      <c r="AE21" s="82">
        <f>Ruimtestaat[[#This Row],[Prest. (m2 /jaar) weekend]]+Ruimtestaat[[#This Row],[Prest. (m2 /jaar) werkdagen]]</f>
        <v>940</v>
      </c>
      <c r="AF21" s="82">
        <f>Ruimtestaat[[#This Row],[uren / jaar weekend]]+Ruimtestaat[[#This Row],[uren / jaar werkdagen]]</f>
        <v>0</v>
      </c>
      <c r="AG21" s="83">
        <f>Ruimtestaat[[#This Row],[kosten / jaar weekend]]+Ruimtestaat[[#This Row],[kosten / jaar werkdagen]]</f>
        <v>0</v>
      </c>
      <c r="AH21" s="117"/>
      <c r="HL21" s="87"/>
    </row>
    <row r="22" spans="1:220" ht="15" customHeight="1">
      <c r="A22" s="136">
        <v>1</v>
      </c>
      <c r="B22" s="27" t="str">
        <f>VLOOKUP(Ruimtestaat[[#This Row],[Code]],Locaties[#All],2,FALSE)</f>
        <v>Hoornbeeck College Gouda</v>
      </c>
      <c r="C22" s="27" t="str">
        <f>VLOOKUP(Ruimtestaat[[#This Row],[Code]],Locaties[#All],4,FALSE)</f>
        <v>Noordelijk Halfrond 10</v>
      </c>
      <c r="D22" s="27" t="str">
        <f>VLOOKUP(Ruimtestaat[[#This Row],[Code]],Locaties[#All],5,FALSE)</f>
        <v>2801 DE</v>
      </c>
      <c r="E22" s="27" t="str">
        <f>VLOOKUP(Ruimtestaat[[#This Row],[Code]],Locaties[#All],6,FALSE)</f>
        <v>Gouda</v>
      </c>
      <c r="F22" s="74" t="s">
        <v>465</v>
      </c>
      <c r="G22" s="285" t="s">
        <v>464</v>
      </c>
      <c r="H22" s="286" t="s">
        <v>458</v>
      </c>
      <c r="I22" s="287" t="s">
        <v>639</v>
      </c>
      <c r="J22" s="288">
        <v>5</v>
      </c>
      <c r="K22" s="74" t="str">
        <f>VLOOKUP(J22,Ruimtegroepen[],2,FALSE)</f>
        <v>Sanitair</v>
      </c>
      <c r="L22" s="285" t="s">
        <v>112</v>
      </c>
      <c r="M22" s="287" t="s">
        <v>469</v>
      </c>
      <c r="N22" s="289">
        <v>2.2999999999999998</v>
      </c>
      <c r="O22" s="285"/>
      <c r="P22" s="118" t="str">
        <f>LEFT(VLOOKUP(Ruimtestaat[[#This Row],[Ruimte code]],Ruimtegroepen[#All],4,1),2)</f>
        <v>Sa</v>
      </c>
      <c r="Q22" s="107"/>
      <c r="R22" s="108">
        <v>40</v>
      </c>
      <c r="S22" s="109" t="s">
        <v>2</v>
      </c>
      <c r="T22" s="110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" s="110">
        <f>IF(T22&gt;0,VLOOKUP($J22,Ruimtegroepen[],3,FALSE)*VLOOKUP($L22,Vloersoorten[],3,FALSE)*VLOOKUP($S22,Frequenties[],3,FALSE)*VLOOKUP($A22,Locaties[],3,FALSE),0)</f>
        <v>0</v>
      </c>
      <c r="V22" s="111">
        <f>Ruimtestaat[[#This Row],[Uitvoeringen werkdagen]]*Ruimtestaat[[#This Row],[Oppervlak (netto)]]</f>
        <v>459.99999999999994</v>
      </c>
      <c r="W22" s="112">
        <f>IF(U22&gt;0,Ruimtestaat[[#This Row],[Prest. (m2 /jaar) werkdagen]]/Ruimtestaat[[#This Row],[Norm (m2/uur) werkdagen]],0)</f>
        <v>0</v>
      </c>
      <c r="X22" s="113">
        <f>Ruimtestaat[[#This Row],[uren / jaar werkdagen]]*Tariefsopbouw!$E$35</f>
        <v>0</v>
      </c>
      <c r="Y22" s="110"/>
      <c r="Z22" s="114">
        <f>IF(Ruimtestaat[[#This Row],[Frequentie weekend]]&gt;0,VALUE(LEFT(Y22,1))*R22,0)</f>
        <v>0</v>
      </c>
      <c r="AA22" s="110">
        <f>IF($Z22&gt;0,VLOOKUP($J22,Ruimtegroepen[],3,FALSE)*VLOOKUP($L22,Vloersoorten[],3,FALSE)*VLOOKUP($Y22,Frequenties[],3,FALSE)*VLOOKUP($A16,Locaties[],3,FALSE),0)</f>
        <v>0</v>
      </c>
      <c r="AB22" s="112">
        <f>Ruimtestaat[[#This Row],[Uitvoeringen weekend]]*Ruimtestaat[[#This Row],[Oppervlak (netto)]]</f>
        <v>0</v>
      </c>
      <c r="AC22" s="115">
        <f>IF(AB22&gt;0,Ruimtestaat[[#This Row],[Prest. (m2 /jaar) weekend]]/Ruimtestaat[[#This Row],[Norm (m2/uur) weekend]],0)</f>
        <v>0</v>
      </c>
      <c r="AD22" s="116">
        <f>Ruimtestaat[[#This Row],[uren / jaar weekend]]*Tariefsopbouw!$D$40</f>
        <v>0</v>
      </c>
      <c r="AE22" s="82">
        <f>Ruimtestaat[[#This Row],[Prest. (m2 /jaar) weekend]]+Ruimtestaat[[#This Row],[Prest. (m2 /jaar) werkdagen]]</f>
        <v>459.99999999999994</v>
      </c>
      <c r="AF22" s="82">
        <f>Ruimtestaat[[#This Row],[uren / jaar weekend]]+Ruimtestaat[[#This Row],[uren / jaar werkdagen]]</f>
        <v>0</v>
      </c>
      <c r="AG22" s="83">
        <f>Ruimtestaat[[#This Row],[kosten / jaar weekend]]+Ruimtestaat[[#This Row],[kosten / jaar werkdagen]]</f>
        <v>0</v>
      </c>
      <c r="AH22" s="117"/>
      <c r="HL22" s="87"/>
    </row>
    <row r="23" spans="1:220" ht="15" customHeight="1">
      <c r="A23" s="136">
        <v>1</v>
      </c>
      <c r="B23" s="27" t="str">
        <f>VLOOKUP(Ruimtestaat[[#This Row],[Code]],Locaties[#All],2,FALSE)</f>
        <v>Hoornbeeck College Gouda</v>
      </c>
      <c r="C23" s="27" t="str">
        <f>VLOOKUP(Ruimtestaat[[#This Row],[Code]],Locaties[#All],4,FALSE)</f>
        <v>Noordelijk Halfrond 10</v>
      </c>
      <c r="D23" s="27" t="str">
        <f>VLOOKUP(Ruimtestaat[[#This Row],[Code]],Locaties[#All],5,FALSE)</f>
        <v>2801 DE</v>
      </c>
      <c r="E23" s="27" t="str">
        <f>VLOOKUP(Ruimtestaat[[#This Row],[Code]],Locaties[#All],6,FALSE)</f>
        <v>Gouda</v>
      </c>
      <c r="F23" s="74" t="s">
        <v>465</v>
      </c>
      <c r="G23" s="285" t="s">
        <v>464</v>
      </c>
      <c r="H23" s="286" t="s">
        <v>459</v>
      </c>
      <c r="I23" s="287" t="s">
        <v>640</v>
      </c>
      <c r="J23" s="288">
        <v>5</v>
      </c>
      <c r="K23" s="74" t="str">
        <f>VLOOKUP(J23,Ruimtegroepen[],2,FALSE)</f>
        <v>Sanitair</v>
      </c>
      <c r="L23" s="285" t="s">
        <v>112</v>
      </c>
      <c r="M23" s="287" t="s">
        <v>469</v>
      </c>
      <c r="N23" s="289">
        <v>4.5</v>
      </c>
      <c r="O23" s="290"/>
      <c r="P23" s="118" t="str">
        <f>LEFT(VLOOKUP(Ruimtestaat[[#This Row],[Ruimte code]],Ruimtegroepen[#All],4,1),2)</f>
        <v>Sa</v>
      </c>
      <c r="Q23" s="107"/>
      <c r="R23" s="108">
        <v>40</v>
      </c>
      <c r="S23" s="109" t="s">
        <v>2</v>
      </c>
      <c r="T23" s="110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" s="110">
        <f>IF(T23&gt;0,VLOOKUP($J23,Ruimtegroepen[],3,FALSE)*VLOOKUP($L23,Vloersoorten[],3,FALSE)*VLOOKUP($S23,Frequenties[],3,FALSE)*VLOOKUP($A23,Locaties[],3,FALSE),0)</f>
        <v>0</v>
      </c>
      <c r="V23" s="111">
        <f>Ruimtestaat[[#This Row],[Uitvoeringen werkdagen]]*Ruimtestaat[[#This Row],[Oppervlak (netto)]]</f>
        <v>900</v>
      </c>
      <c r="W23" s="112">
        <f>IF(U23&gt;0,Ruimtestaat[[#This Row],[Prest. (m2 /jaar) werkdagen]]/Ruimtestaat[[#This Row],[Norm (m2/uur) werkdagen]],0)</f>
        <v>0</v>
      </c>
      <c r="X23" s="113">
        <f>Ruimtestaat[[#This Row],[uren / jaar werkdagen]]*Tariefsopbouw!$E$35</f>
        <v>0</v>
      </c>
      <c r="Y23" s="110"/>
      <c r="Z23" s="114">
        <f>IF(Ruimtestaat[[#This Row],[Frequentie weekend]]&gt;0,VALUE(LEFT(Y23,1))*R23,0)</f>
        <v>0</v>
      </c>
      <c r="AA23" s="110">
        <f>IF($Z23&gt;0,VLOOKUP($J23,Ruimtegroepen[],3,FALSE)*VLOOKUP($L23,Vloersoorten[],3,FALSE)*VLOOKUP($Y23,Frequenties[],3,FALSE)*VLOOKUP($A17,Locaties[],3,FALSE),0)</f>
        <v>0</v>
      </c>
      <c r="AB23" s="112">
        <f>Ruimtestaat[[#This Row],[Uitvoeringen weekend]]*Ruimtestaat[[#This Row],[Oppervlak (netto)]]</f>
        <v>0</v>
      </c>
      <c r="AC23" s="115">
        <f>IF(AB23&gt;0,Ruimtestaat[[#This Row],[Prest. (m2 /jaar) weekend]]/Ruimtestaat[[#This Row],[Norm (m2/uur) weekend]],0)</f>
        <v>0</v>
      </c>
      <c r="AD23" s="116">
        <f>Ruimtestaat[[#This Row],[uren / jaar weekend]]*Tariefsopbouw!$D$40</f>
        <v>0</v>
      </c>
      <c r="AE23" s="82">
        <f>Ruimtestaat[[#This Row],[Prest. (m2 /jaar) weekend]]+Ruimtestaat[[#This Row],[Prest. (m2 /jaar) werkdagen]]</f>
        <v>900</v>
      </c>
      <c r="AF23" s="82">
        <f>Ruimtestaat[[#This Row],[uren / jaar weekend]]+Ruimtestaat[[#This Row],[uren / jaar werkdagen]]</f>
        <v>0</v>
      </c>
      <c r="AG23" s="83">
        <f>Ruimtestaat[[#This Row],[kosten / jaar weekend]]+Ruimtestaat[[#This Row],[kosten / jaar werkdagen]]</f>
        <v>0</v>
      </c>
      <c r="AH23" s="117"/>
      <c r="HL23" s="87"/>
    </row>
    <row r="24" spans="1:220" ht="15" customHeight="1">
      <c r="A24" s="136">
        <v>1</v>
      </c>
      <c r="B24" s="27" t="str">
        <f>VLOOKUP(Ruimtestaat[[#This Row],[Code]],Locaties[#All],2,FALSE)</f>
        <v>Hoornbeeck College Gouda</v>
      </c>
      <c r="C24" s="27" t="str">
        <f>VLOOKUP(Ruimtestaat[[#This Row],[Code]],Locaties[#All],4,FALSE)</f>
        <v>Noordelijk Halfrond 10</v>
      </c>
      <c r="D24" s="27" t="str">
        <f>VLOOKUP(Ruimtestaat[[#This Row],[Code]],Locaties[#All],5,FALSE)</f>
        <v>2801 DE</v>
      </c>
      <c r="E24" s="27" t="str">
        <f>VLOOKUP(Ruimtestaat[[#This Row],[Code]],Locaties[#All],6,FALSE)</f>
        <v>Gouda</v>
      </c>
      <c r="F24" s="74" t="s">
        <v>465</v>
      </c>
      <c r="G24" s="285" t="s">
        <v>464</v>
      </c>
      <c r="H24" s="286" t="s">
        <v>460</v>
      </c>
      <c r="I24" s="287" t="s">
        <v>639</v>
      </c>
      <c r="J24" s="288">
        <v>5</v>
      </c>
      <c r="K24" s="74" t="str">
        <f>VLOOKUP(J24,Ruimtegroepen[],2,FALSE)</f>
        <v>Sanitair</v>
      </c>
      <c r="L24" s="285" t="s">
        <v>112</v>
      </c>
      <c r="M24" s="287" t="s">
        <v>469</v>
      </c>
      <c r="N24" s="289">
        <v>5.6</v>
      </c>
      <c r="O24" s="290"/>
      <c r="P24" s="118" t="str">
        <f>LEFT(VLOOKUP(Ruimtestaat[[#This Row],[Ruimte code]],Ruimtegroepen[#All],4,1),2)</f>
        <v>Sa</v>
      </c>
      <c r="Q24" s="107"/>
      <c r="R24" s="108">
        <v>40</v>
      </c>
      <c r="S24" s="109" t="s">
        <v>2</v>
      </c>
      <c r="T24" s="110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" s="110">
        <f>IF(T24&gt;0,VLOOKUP($J24,Ruimtegroepen[],3,FALSE)*VLOOKUP($L24,Vloersoorten[],3,FALSE)*VLOOKUP($S24,Frequenties[],3,FALSE)*VLOOKUP($A24,Locaties[],3,FALSE),0)</f>
        <v>0</v>
      </c>
      <c r="V24" s="111">
        <f>Ruimtestaat[[#This Row],[Uitvoeringen werkdagen]]*Ruimtestaat[[#This Row],[Oppervlak (netto)]]</f>
        <v>1120</v>
      </c>
      <c r="W24" s="112">
        <f>IF(U24&gt;0,Ruimtestaat[[#This Row],[Prest. (m2 /jaar) werkdagen]]/Ruimtestaat[[#This Row],[Norm (m2/uur) werkdagen]],0)</f>
        <v>0</v>
      </c>
      <c r="X24" s="113">
        <f>Ruimtestaat[[#This Row],[uren / jaar werkdagen]]*Tariefsopbouw!$E$35</f>
        <v>0</v>
      </c>
      <c r="Y24" s="110"/>
      <c r="Z24" s="114">
        <f>IF(Ruimtestaat[[#This Row],[Frequentie weekend]]&gt;0,VALUE(LEFT(Y24,1))*R24,0)</f>
        <v>0</v>
      </c>
      <c r="AA24" s="110">
        <f>IF($Z24&gt;0,VLOOKUP($J24,Ruimtegroepen[],3,FALSE)*VLOOKUP($L24,Vloersoorten[],3,FALSE)*VLOOKUP($Y24,Frequenties[],3,FALSE)*VLOOKUP($A18,Locaties[],3,FALSE),0)</f>
        <v>0</v>
      </c>
      <c r="AB24" s="112">
        <f>Ruimtestaat[[#This Row],[Uitvoeringen weekend]]*Ruimtestaat[[#This Row],[Oppervlak (netto)]]</f>
        <v>0</v>
      </c>
      <c r="AC24" s="115">
        <f>IF(AB24&gt;0,Ruimtestaat[[#This Row],[Prest. (m2 /jaar) weekend]]/Ruimtestaat[[#This Row],[Norm (m2/uur) weekend]],0)</f>
        <v>0</v>
      </c>
      <c r="AD24" s="116">
        <f>Ruimtestaat[[#This Row],[uren / jaar weekend]]*Tariefsopbouw!$D$40</f>
        <v>0</v>
      </c>
      <c r="AE24" s="82">
        <f>Ruimtestaat[[#This Row],[Prest. (m2 /jaar) weekend]]+Ruimtestaat[[#This Row],[Prest. (m2 /jaar) werkdagen]]</f>
        <v>1120</v>
      </c>
      <c r="AF24" s="82">
        <f>Ruimtestaat[[#This Row],[uren / jaar weekend]]+Ruimtestaat[[#This Row],[uren / jaar werkdagen]]</f>
        <v>0</v>
      </c>
      <c r="AG24" s="83">
        <f>Ruimtestaat[[#This Row],[kosten / jaar weekend]]+Ruimtestaat[[#This Row],[kosten / jaar werkdagen]]</f>
        <v>0</v>
      </c>
      <c r="AH24" s="117"/>
      <c r="HL24" s="87"/>
    </row>
    <row r="25" spans="1:220" ht="15" customHeight="1">
      <c r="A25" s="136">
        <v>1</v>
      </c>
      <c r="B25" s="27" t="str">
        <f>VLOOKUP(Ruimtestaat[[#This Row],[Code]],Locaties[#All],2,FALSE)</f>
        <v>Hoornbeeck College Gouda</v>
      </c>
      <c r="C25" s="27" t="str">
        <f>VLOOKUP(Ruimtestaat[[#This Row],[Code]],Locaties[#All],4,FALSE)</f>
        <v>Noordelijk Halfrond 10</v>
      </c>
      <c r="D25" s="27" t="str">
        <f>VLOOKUP(Ruimtestaat[[#This Row],[Code]],Locaties[#All],5,FALSE)</f>
        <v>2801 DE</v>
      </c>
      <c r="E25" s="27" t="str">
        <f>VLOOKUP(Ruimtestaat[[#This Row],[Code]],Locaties[#All],6,FALSE)</f>
        <v>Gouda</v>
      </c>
      <c r="F25" s="74" t="s">
        <v>465</v>
      </c>
      <c r="G25" s="285" t="s">
        <v>464</v>
      </c>
      <c r="H25" s="286" t="s">
        <v>461</v>
      </c>
      <c r="I25" s="287" t="s">
        <v>639</v>
      </c>
      <c r="J25" s="288">
        <v>5</v>
      </c>
      <c r="K25" s="74" t="str">
        <f>VLOOKUP(J25,Ruimtegroepen[],2,FALSE)</f>
        <v>Sanitair</v>
      </c>
      <c r="L25" s="285" t="s">
        <v>112</v>
      </c>
      <c r="M25" s="287" t="s">
        <v>469</v>
      </c>
      <c r="N25" s="289">
        <v>5.6</v>
      </c>
      <c r="O25" s="285"/>
      <c r="P25" s="118" t="str">
        <f>LEFT(VLOOKUP(Ruimtestaat[[#This Row],[Ruimte code]],Ruimtegroepen[#All],4,1),2)</f>
        <v>Sa</v>
      </c>
      <c r="Q25" s="107"/>
      <c r="R25" s="108">
        <v>40</v>
      </c>
      <c r="S25" s="109" t="s">
        <v>2</v>
      </c>
      <c r="T25" s="110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" s="110">
        <f>IF(T25&gt;0,VLOOKUP($J25,Ruimtegroepen[],3,FALSE)*VLOOKUP($L25,Vloersoorten[],3,FALSE)*VLOOKUP($S25,Frequenties[],3,FALSE)*VLOOKUP($A25,Locaties[],3,FALSE),0)</f>
        <v>0</v>
      </c>
      <c r="V25" s="111">
        <f>Ruimtestaat[[#This Row],[Uitvoeringen werkdagen]]*Ruimtestaat[[#This Row],[Oppervlak (netto)]]</f>
        <v>1120</v>
      </c>
      <c r="W25" s="112">
        <f>IF(U25&gt;0,Ruimtestaat[[#This Row],[Prest. (m2 /jaar) werkdagen]]/Ruimtestaat[[#This Row],[Norm (m2/uur) werkdagen]],0)</f>
        <v>0</v>
      </c>
      <c r="X25" s="113">
        <f>Ruimtestaat[[#This Row],[uren / jaar werkdagen]]*Tariefsopbouw!$E$35</f>
        <v>0</v>
      </c>
      <c r="Y25" s="110"/>
      <c r="Z25" s="114">
        <f>IF(Ruimtestaat[[#This Row],[Frequentie weekend]]&gt;0,VALUE(LEFT(Y25,1))*R25,0)</f>
        <v>0</v>
      </c>
      <c r="AA25" s="110">
        <f>IF($Z25&gt;0,VLOOKUP($J25,Ruimtegroepen[],3,FALSE)*VLOOKUP($L25,Vloersoorten[],3,FALSE)*VLOOKUP($Y25,Frequenties[],3,FALSE)*VLOOKUP($A20,Locaties[],3,FALSE),0)</f>
        <v>0</v>
      </c>
      <c r="AB25" s="112">
        <f>Ruimtestaat[[#This Row],[Uitvoeringen weekend]]*Ruimtestaat[[#This Row],[Oppervlak (netto)]]</f>
        <v>0</v>
      </c>
      <c r="AC25" s="115">
        <f>IF(AB25&gt;0,Ruimtestaat[[#This Row],[Prest. (m2 /jaar) weekend]]/Ruimtestaat[[#This Row],[Norm (m2/uur) weekend]],0)</f>
        <v>0</v>
      </c>
      <c r="AD25" s="116">
        <f>Ruimtestaat[[#This Row],[uren / jaar weekend]]*Tariefsopbouw!$D$40</f>
        <v>0</v>
      </c>
      <c r="AE25" s="82">
        <f>Ruimtestaat[[#This Row],[Prest. (m2 /jaar) weekend]]+Ruimtestaat[[#This Row],[Prest. (m2 /jaar) werkdagen]]</f>
        <v>1120</v>
      </c>
      <c r="AF25" s="82">
        <f>Ruimtestaat[[#This Row],[uren / jaar weekend]]+Ruimtestaat[[#This Row],[uren / jaar werkdagen]]</f>
        <v>0</v>
      </c>
      <c r="AG25" s="83">
        <f>Ruimtestaat[[#This Row],[kosten / jaar weekend]]+Ruimtestaat[[#This Row],[kosten / jaar werkdagen]]</f>
        <v>0</v>
      </c>
      <c r="AH25" s="117"/>
      <c r="HL25" s="87"/>
    </row>
    <row r="26" spans="1:220" ht="15" customHeight="1">
      <c r="A26" s="136">
        <v>1</v>
      </c>
      <c r="B26" s="27" t="str">
        <f>VLOOKUP(Ruimtestaat[[#This Row],[Code]],Locaties[#All],2,FALSE)</f>
        <v>Hoornbeeck College Gouda</v>
      </c>
      <c r="C26" s="27" t="str">
        <f>VLOOKUP(Ruimtestaat[[#This Row],[Code]],Locaties[#All],4,FALSE)</f>
        <v>Noordelijk Halfrond 10</v>
      </c>
      <c r="D26" s="27" t="str">
        <f>VLOOKUP(Ruimtestaat[[#This Row],[Code]],Locaties[#All],5,FALSE)</f>
        <v>2801 DE</v>
      </c>
      <c r="E26" s="27" t="str">
        <f>VLOOKUP(Ruimtestaat[[#This Row],[Code]],Locaties[#All],6,FALSE)</f>
        <v>Gouda</v>
      </c>
      <c r="F26" s="74" t="s">
        <v>465</v>
      </c>
      <c r="G26" s="285" t="s">
        <v>464</v>
      </c>
      <c r="H26" s="286" t="s">
        <v>462</v>
      </c>
      <c r="I26" s="287" t="s">
        <v>466</v>
      </c>
      <c r="J26" s="288">
        <v>10</v>
      </c>
      <c r="K26" s="74" t="str">
        <f>VLOOKUP(J26,Ruimtegroepen[],2,FALSE)</f>
        <v>Trappenhuizen/lift</v>
      </c>
      <c r="L26" s="285" t="s">
        <v>112</v>
      </c>
      <c r="M26" s="287" t="s">
        <v>469</v>
      </c>
      <c r="N26" s="289">
        <v>12</v>
      </c>
      <c r="O26" s="290"/>
      <c r="P26" s="118" t="str">
        <f>LEFT(VLOOKUP(Ruimtestaat[[#This Row],[Ruimte code]],Ruimtegroepen[#All],4,1),2)</f>
        <v>Ve</v>
      </c>
      <c r="Q26" s="107"/>
      <c r="R26" s="108">
        <v>40</v>
      </c>
      <c r="S26" s="109" t="s">
        <v>2</v>
      </c>
      <c r="T26" s="110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" s="110">
        <f>IF(T26&gt;0,VLOOKUP($J26,Ruimtegroepen[],3,FALSE)*VLOOKUP($L26,Vloersoorten[],3,FALSE)*VLOOKUP($S26,Frequenties[],3,FALSE)*VLOOKUP($A26,Locaties[],3,FALSE),0)</f>
        <v>0</v>
      </c>
      <c r="V26" s="111">
        <f>Ruimtestaat[[#This Row],[Uitvoeringen werkdagen]]*Ruimtestaat[[#This Row],[Oppervlak (netto)]]</f>
        <v>2400</v>
      </c>
      <c r="W26" s="112">
        <f>IF(U26&gt;0,Ruimtestaat[[#This Row],[Prest. (m2 /jaar) werkdagen]]/Ruimtestaat[[#This Row],[Norm (m2/uur) werkdagen]],0)</f>
        <v>0</v>
      </c>
      <c r="X26" s="113">
        <f>Ruimtestaat[[#This Row],[uren / jaar werkdagen]]*Tariefsopbouw!$E$35</f>
        <v>0</v>
      </c>
      <c r="Y26" s="110"/>
      <c r="Z26" s="114">
        <f>IF(Ruimtestaat[[#This Row],[Frequentie weekend]]&gt;0,VALUE(LEFT(Y26,1))*R26,0)</f>
        <v>0</v>
      </c>
      <c r="AA26" s="110">
        <f>IF($Z26&gt;0,VLOOKUP($J26,Ruimtegroepen[],3,FALSE)*VLOOKUP($L26,Vloersoorten[],3,FALSE)*VLOOKUP($Y26,Frequenties[],3,FALSE)*VLOOKUP($A22,Locaties[],3,FALSE),0)</f>
        <v>0</v>
      </c>
      <c r="AB26" s="112">
        <f>Ruimtestaat[[#This Row],[Uitvoeringen weekend]]*Ruimtestaat[[#This Row],[Oppervlak (netto)]]</f>
        <v>0</v>
      </c>
      <c r="AC26" s="115">
        <f>IF(AB26&gt;0,Ruimtestaat[[#This Row],[Prest. (m2 /jaar) weekend]]/Ruimtestaat[[#This Row],[Norm (m2/uur) weekend]],0)</f>
        <v>0</v>
      </c>
      <c r="AD26" s="116">
        <f>Ruimtestaat[[#This Row],[uren / jaar weekend]]*Tariefsopbouw!$D$40</f>
        <v>0</v>
      </c>
      <c r="AE26" s="82">
        <f>Ruimtestaat[[#This Row],[Prest. (m2 /jaar) weekend]]+Ruimtestaat[[#This Row],[Prest. (m2 /jaar) werkdagen]]</f>
        <v>2400</v>
      </c>
      <c r="AF26" s="82">
        <f>Ruimtestaat[[#This Row],[uren / jaar weekend]]+Ruimtestaat[[#This Row],[uren / jaar werkdagen]]</f>
        <v>0</v>
      </c>
      <c r="AG26" s="83">
        <f>Ruimtestaat[[#This Row],[kosten / jaar weekend]]+Ruimtestaat[[#This Row],[kosten / jaar werkdagen]]</f>
        <v>0</v>
      </c>
      <c r="AH26" s="117"/>
      <c r="HL26" s="87"/>
    </row>
    <row r="27" spans="1:220" ht="15" customHeight="1">
      <c r="A27" s="136">
        <v>1</v>
      </c>
      <c r="B27" s="27" t="str">
        <f>VLOOKUP(Ruimtestaat[[#This Row],[Code]],Locaties[#All],2,FALSE)</f>
        <v>Hoornbeeck College Gouda</v>
      </c>
      <c r="C27" s="27" t="str">
        <f>VLOOKUP(Ruimtestaat[[#This Row],[Code]],Locaties[#All],4,FALSE)</f>
        <v>Noordelijk Halfrond 10</v>
      </c>
      <c r="D27" s="27" t="str">
        <f>VLOOKUP(Ruimtestaat[[#This Row],[Code]],Locaties[#All],5,FALSE)</f>
        <v>2801 DE</v>
      </c>
      <c r="E27" s="27" t="str">
        <f>VLOOKUP(Ruimtestaat[[#This Row],[Code]],Locaties[#All],6,FALSE)</f>
        <v>Gouda</v>
      </c>
      <c r="F27" s="74" t="s">
        <v>465</v>
      </c>
      <c r="G27" s="285" t="s">
        <v>464</v>
      </c>
      <c r="H27" s="286"/>
      <c r="I27" s="287" t="s">
        <v>463</v>
      </c>
      <c r="J27" s="288">
        <v>7</v>
      </c>
      <c r="K27" s="74" t="str">
        <f>VLOOKUP(J27,Ruimtegroepen[],2,FALSE)</f>
        <v>Entree</v>
      </c>
      <c r="L27" s="285" t="s">
        <v>110</v>
      </c>
      <c r="M27" s="287" t="s">
        <v>38</v>
      </c>
      <c r="N27" s="289">
        <v>8.5399999999999991</v>
      </c>
      <c r="O27" s="290"/>
      <c r="P27" s="118" t="str">
        <f>LEFT(VLOOKUP(Ruimtestaat[[#This Row],[Ruimte code]],Ruimtegroepen[#All],4,1),2)</f>
        <v>Ve</v>
      </c>
      <c r="Q27" s="107"/>
      <c r="R27" s="108">
        <v>40</v>
      </c>
      <c r="S27" s="109" t="s">
        <v>2</v>
      </c>
      <c r="T27" s="110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" s="110">
        <f>IF(T27&gt;0,VLOOKUP($J27,Ruimtegroepen[],3,FALSE)*VLOOKUP($L27,Vloersoorten[],3,FALSE)*VLOOKUP($S27,Frequenties[],3,FALSE)*VLOOKUP($A27,Locaties[],3,FALSE),0)</f>
        <v>0</v>
      </c>
      <c r="V27" s="111">
        <f>Ruimtestaat[[#This Row],[Uitvoeringen werkdagen]]*Ruimtestaat[[#This Row],[Oppervlak (netto)]]</f>
        <v>1707.9999999999998</v>
      </c>
      <c r="W27" s="112">
        <f>IF(U27&gt;0,Ruimtestaat[[#This Row],[Prest. (m2 /jaar) werkdagen]]/Ruimtestaat[[#This Row],[Norm (m2/uur) werkdagen]],0)</f>
        <v>0</v>
      </c>
      <c r="X27" s="113">
        <f>Ruimtestaat[[#This Row],[uren / jaar werkdagen]]*Tariefsopbouw!$E$35</f>
        <v>0</v>
      </c>
      <c r="Y27" s="110"/>
      <c r="Z27" s="114">
        <f>IF(Ruimtestaat[[#This Row],[Frequentie weekend]]&gt;0,VALUE(LEFT(Y27,1))*R27,0)</f>
        <v>0</v>
      </c>
      <c r="AA27" s="110">
        <f>IF($Z27&gt;0,VLOOKUP($J27,Ruimtegroepen[],3,FALSE)*VLOOKUP($L27,Vloersoorten[],3,FALSE)*VLOOKUP($Y27,Frequenties[],3,FALSE)*VLOOKUP($A23,Locaties[],3,FALSE),0)</f>
        <v>0</v>
      </c>
      <c r="AB27" s="112">
        <f>Ruimtestaat[[#This Row],[Uitvoeringen weekend]]*Ruimtestaat[[#This Row],[Oppervlak (netto)]]</f>
        <v>0</v>
      </c>
      <c r="AC27" s="115">
        <f>IF(AB27&gt;0,Ruimtestaat[[#This Row],[Prest. (m2 /jaar) weekend]]/Ruimtestaat[[#This Row],[Norm (m2/uur) weekend]],0)</f>
        <v>0</v>
      </c>
      <c r="AD27" s="116">
        <f>Ruimtestaat[[#This Row],[uren / jaar weekend]]*Tariefsopbouw!$D$40</f>
        <v>0</v>
      </c>
      <c r="AE27" s="82">
        <f>Ruimtestaat[[#This Row],[Prest. (m2 /jaar) weekend]]+Ruimtestaat[[#This Row],[Prest. (m2 /jaar) werkdagen]]</f>
        <v>1707.9999999999998</v>
      </c>
      <c r="AF27" s="82">
        <f>Ruimtestaat[[#This Row],[uren / jaar weekend]]+Ruimtestaat[[#This Row],[uren / jaar werkdagen]]</f>
        <v>0</v>
      </c>
      <c r="AG27" s="83">
        <f>Ruimtestaat[[#This Row],[kosten / jaar weekend]]+Ruimtestaat[[#This Row],[kosten / jaar werkdagen]]</f>
        <v>0</v>
      </c>
      <c r="AH27" s="117"/>
      <c r="HL27" s="87"/>
    </row>
    <row r="28" spans="1:220" ht="15" customHeight="1">
      <c r="A28" s="136">
        <v>1</v>
      </c>
      <c r="B28" s="27" t="str">
        <f>VLOOKUP(Ruimtestaat[[#This Row],[Code]],Locaties[#All],2,FALSE)</f>
        <v>Hoornbeeck College Gouda</v>
      </c>
      <c r="C28" s="27" t="str">
        <f>VLOOKUP(Ruimtestaat[[#This Row],[Code]],Locaties[#All],4,FALSE)</f>
        <v>Noordelijk Halfrond 10</v>
      </c>
      <c r="D28" s="27" t="str">
        <f>VLOOKUP(Ruimtestaat[[#This Row],[Code]],Locaties[#All],5,FALSE)</f>
        <v>2801 DE</v>
      </c>
      <c r="E28" s="27" t="str">
        <f>VLOOKUP(Ruimtestaat[[#This Row],[Code]],Locaties[#All],6,FALSE)</f>
        <v>Gouda</v>
      </c>
      <c r="F28" s="74" t="s">
        <v>484</v>
      </c>
      <c r="G28" s="285" t="s">
        <v>464</v>
      </c>
      <c r="H28" s="286" t="s">
        <v>471</v>
      </c>
      <c r="I28" s="287" t="s">
        <v>641</v>
      </c>
      <c r="J28" s="288">
        <v>2</v>
      </c>
      <c r="K28" s="74" t="str">
        <f>VLOOKUP(J28,Ruimtegroepen[],2,FALSE)</f>
        <v>Kantoren</v>
      </c>
      <c r="L28" s="285" t="s">
        <v>110</v>
      </c>
      <c r="M28" s="287" t="s">
        <v>38</v>
      </c>
      <c r="N28" s="289">
        <v>34</v>
      </c>
      <c r="O28" s="285"/>
      <c r="P28" s="118" t="str">
        <f>LEFT(VLOOKUP(Ruimtestaat[[#This Row],[Ruimte code]],Ruimtegroepen[#All],4,1),2)</f>
        <v>Bu</v>
      </c>
      <c r="Q28" s="107"/>
      <c r="R28" s="108">
        <v>40</v>
      </c>
      <c r="S28" s="109" t="s">
        <v>17</v>
      </c>
      <c r="T28" s="110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28" s="110">
        <f>IF(T28&gt;0,VLOOKUP($J28,Ruimtegroepen[],3,FALSE)*VLOOKUP($L28,Vloersoorten[],3,FALSE)*VLOOKUP($S28,Frequenties[],3,FALSE)*VLOOKUP($A28,Locaties[],3,FALSE),0)</f>
        <v>0</v>
      </c>
      <c r="V28" s="111">
        <f>Ruimtestaat[[#This Row],[Uitvoeringen werkdagen]]*Ruimtestaat[[#This Row],[Oppervlak (netto)]]</f>
        <v>2720</v>
      </c>
      <c r="W28" s="112">
        <f>IF(U28&gt;0,Ruimtestaat[[#This Row],[Prest. (m2 /jaar) werkdagen]]/Ruimtestaat[[#This Row],[Norm (m2/uur) werkdagen]],0)</f>
        <v>0</v>
      </c>
      <c r="X28" s="113">
        <f>Ruimtestaat[[#This Row],[uren / jaar werkdagen]]*Tariefsopbouw!$E$35</f>
        <v>0</v>
      </c>
      <c r="Y28" s="110"/>
      <c r="Z28" s="114">
        <f>IF(Ruimtestaat[[#This Row],[Frequentie weekend]]&gt;0,VALUE(LEFT(Y28,1))*R28,0)</f>
        <v>0</v>
      </c>
      <c r="AA28" s="110">
        <f>IF($Z28&gt;0,VLOOKUP($J28,Ruimtegroepen[],3,FALSE)*VLOOKUP($L28,Vloersoorten[],3,FALSE)*VLOOKUP($Y28,Frequenties[],3,FALSE)*VLOOKUP($A24,Locaties[],3,FALSE),0)</f>
        <v>0</v>
      </c>
      <c r="AB28" s="112">
        <f>Ruimtestaat[[#This Row],[Uitvoeringen weekend]]*Ruimtestaat[[#This Row],[Oppervlak (netto)]]</f>
        <v>0</v>
      </c>
      <c r="AC28" s="115">
        <f>IF(AB28&gt;0,Ruimtestaat[[#This Row],[Prest. (m2 /jaar) weekend]]/Ruimtestaat[[#This Row],[Norm (m2/uur) weekend]],0)</f>
        <v>0</v>
      </c>
      <c r="AD28" s="116">
        <f>Ruimtestaat[[#This Row],[uren / jaar weekend]]*Tariefsopbouw!$D$40</f>
        <v>0</v>
      </c>
      <c r="AE28" s="82">
        <f>Ruimtestaat[[#This Row],[Prest. (m2 /jaar) weekend]]+Ruimtestaat[[#This Row],[Prest. (m2 /jaar) werkdagen]]</f>
        <v>2720</v>
      </c>
      <c r="AF28" s="82">
        <f>Ruimtestaat[[#This Row],[uren / jaar weekend]]+Ruimtestaat[[#This Row],[uren / jaar werkdagen]]</f>
        <v>0</v>
      </c>
      <c r="AG28" s="83">
        <f>Ruimtestaat[[#This Row],[kosten / jaar weekend]]+Ruimtestaat[[#This Row],[kosten / jaar werkdagen]]</f>
        <v>0</v>
      </c>
      <c r="AH28" s="117"/>
      <c r="HL28" s="87"/>
    </row>
    <row r="29" spans="1:220" ht="15" customHeight="1">
      <c r="A29" s="136">
        <v>1</v>
      </c>
      <c r="B29" s="27" t="str">
        <f>VLOOKUP(Ruimtestaat[[#This Row],[Code]],Locaties[#All],2,FALSE)</f>
        <v>Hoornbeeck College Gouda</v>
      </c>
      <c r="C29" s="27" t="str">
        <f>VLOOKUP(Ruimtestaat[[#This Row],[Code]],Locaties[#All],4,FALSE)</f>
        <v>Noordelijk Halfrond 10</v>
      </c>
      <c r="D29" s="27" t="str">
        <f>VLOOKUP(Ruimtestaat[[#This Row],[Code]],Locaties[#All],5,FALSE)</f>
        <v>2801 DE</v>
      </c>
      <c r="E29" s="27" t="str">
        <f>VLOOKUP(Ruimtestaat[[#This Row],[Code]],Locaties[#All],6,FALSE)</f>
        <v>Gouda</v>
      </c>
      <c r="F29" s="74" t="s">
        <v>484</v>
      </c>
      <c r="G29" s="285" t="s">
        <v>464</v>
      </c>
      <c r="H29" s="286" t="s">
        <v>472</v>
      </c>
      <c r="I29" s="287" t="s">
        <v>642</v>
      </c>
      <c r="J29" s="288">
        <v>1</v>
      </c>
      <c r="K29" s="74" t="str">
        <f>VLOOKUP(J29,Ruimtegroepen[],2,FALSE)</f>
        <v>Magazijnen/bergingen</v>
      </c>
      <c r="L29" s="285" t="s">
        <v>110</v>
      </c>
      <c r="M29" s="287" t="s">
        <v>38</v>
      </c>
      <c r="N29" s="289">
        <v>10.6</v>
      </c>
      <c r="O29" s="290"/>
      <c r="P29" s="118" t="str">
        <f>LEFT(VLOOKUP(Ruimtestaat[[#This Row],[Ruimte code]],Ruimtegroepen[#All],4,1),2)</f>
        <v>Ve</v>
      </c>
      <c r="Q29" s="107"/>
      <c r="R29" s="108">
        <v>40</v>
      </c>
      <c r="S29" s="109" t="s">
        <v>16</v>
      </c>
      <c r="T29" s="110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9" s="110">
        <f>IF(T29&gt;0,VLOOKUP($J29,Ruimtegroepen[],3,FALSE)*VLOOKUP($L29,Vloersoorten[],3,FALSE)*VLOOKUP($S29,Frequenties[],3,FALSE)*VLOOKUP($A29,Locaties[],3,FALSE),0)</f>
        <v>0</v>
      </c>
      <c r="V29" s="111">
        <f>Ruimtestaat[[#This Row],[Uitvoeringen werkdagen]]*Ruimtestaat[[#This Row],[Oppervlak (netto)]]</f>
        <v>127.19999999999999</v>
      </c>
      <c r="W29" s="112">
        <f>IF(U29&gt;0,Ruimtestaat[[#This Row],[Prest. (m2 /jaar) werkdagen]]/Ruimtestaat[[#This Row],[Norm (m2/uur) werkdagen]],0)</f>
        <v>0</v>
      </c>
      <c r="X29" s="113">
        <f>Ruimtestaat[[#This Row],[uren / jaar werkdagen]]*Tariefsopbouw!$E$35</f>
        <v>0</v>
      </c>
      <c r="Y29" s="110"/>
      <c r="Z29" s="114">
        <f>IF(Ruimtestaat[[#This Row],[Frequentie weekend]]&gt;0,VALUE(LEFT(Y29,1))*R29,0)</f>
        <v>0</v>
      </c>
      <c r="AA29" s="110">
        <f>IF($Z29&gt;0,VLOOKUP($J29,Ruimtegroepen[],3,FALSE)*VLOOKUP($L29,Vloersoorten[],3,FALSE)*VLOOKUP($Y29,Frequenties[],3,FALSE)*VLOOKUP($A25,Locaties[],3,FALSE),0)</f>
        <v>0</v>
      </c>
      <c r="AB29" s="112">
        <f>Ruimtestaat[[#This Row],[Uitvoeringen weekend]]*Ruimtestaat[[#This Row],[Oppervlak (netto)]]</f>
        <v>0</v>
      </c>
      <c r="AC29" s="115">
        <f>IF(AB29&gt;0,Ruimtestaat[[#This Row],[Prest. (m2 /jaar) weekend]]/Ruimtestaat[[#This Row],[Norm (m2/uur) weekend]],0)</f>
        <v>0</v>
      </c>
      <c r="AD29" s="116">
        <f>Ruimtestaat[[#This Row],[uren / jaar weekend]]*Tariefsopbouw!$D$40</f>
        <v>0</v>
      </c>
      <c r="AE29" s="82">
        <f>Ruimtestaat[[#This Row],[Prest. (m2 /jaar) weekend]]+Ruimtestaat[[#This Row],[Prest. (m2 /jaar) werkdagen]]</f>
        <v>127.19999999999999</v>
      </c>
      <c r="AF29" s="82">
        <f>Ruimtestaat[[#This Row],[uren / jaar weekend]]+Ruimtestaat[[#This Row],[uren / jaar werkdagen]]</f>
        <v>0</v>
      </c>
      <c r="AG29" s="83">
        <f>Ruimtestaat[[#This Row],[kosten / jaar weekend]]+Ruimtestaat[[#This Row],[kosten / jaar werkdagen]]</f>
        <v>0</v>
      </c>
      <c r="AH29" s="117"/>
      <c r="HL29" s="87"/>
    </row>
    <row r="30" spans="1:220" ht="15" customHeight="1">
      <c r="A30" s="136">
        <v>1</v>
      </c>
      <c r="B30" s="27" t="str">
        <f>VLOOKUP(Ruimtestaat[[#This Row],[Code]],Locaties[#All],2,FALSE)</f>
        <v>Hoornbeeck College Gouda</v>
      </c>
      <c r="C30" s="27" t="str">
        <f>VLOOKUP(Ruimtestaat[[#This Row],[Code]],Locaties[#All],4,FALSE)</f>
        <v>Noordelijk Halfrond 10</v>
      </c>
      <c r="D30" s="27" t="str">
        <f>VLOOKUP(Ruimtestaat[[#This Row],[Code]],Locaties[#All],5,FALSE)</f>
        <v>2801 DE</v>
      </c>
      <c r="E30" s="27" t="str">
        <f>VLOOKUP(Ruimtestaat[[#This Row],[Code]],Locaties[#All],6,FALSE)</f>
        <v>Gouda</v>
      </c>
      <c r="F30" s="74" t="s">
        <v>484</v>
      </c>
      <c r="G30" s="285" t="s">
        <v>464</v>
      </c>
      <c r="H30" s="286" t="s">
        <v>473</v>
      </c>
      <c r="I30" s="287" t="s">
        <v>643</v>
      </c>
      <c r="J30" s="288">
        <v>1</v>
      </c>
      <c r="K30" s="74" t="str">
        <f>VLOOKUP(J30,Ruimtegroepen[],2,FALSE)</f>
        <v>Magazijnen/bergingen</v>
      </c>
      <c r="L30" s="285" t="s">
        <v>112</v>
      </c>
      <c r="M30" s="287" t="s">
        <v>437</v>
      </c>
      <c r="N30" s="289">
        <v>13</v>
      </c>
      <c r="O30" s="290"/>
      <c r="P30" s="118" t="str">
        <f>LEFT(VLOOKUP(Ruimtestaat[[#This Row],[Ruimte code]],Ruimtegroepen[#All],4,1),2)</f>
        <v>Ve</v>
      </c>
      <c r="Q30" s="195"/>
      <c r="R30" s="108">
        <v>40</v>
      </c>
      <c r="S30" s="109" t="s">
        <v>16</v>
      </c>
      <c r="T30" s="110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0" s="110">
        <f>IF(T30&gt;0,VLOOKUP($J30,Ruimtegroepen[],3,FALSE)*VLOOKUP($L30,Vloersoorten[],3,FALSE)*VLOOKUP($S30,Frequenties[],3,FALSE)*VLOOKUP($A30,Locaties[],3,FALSE),0)</f>
        <v>0</v>
      </c>
      <c r="V30" s="111">
        <f>Ruimtestaat[[#This Row],[Uitvoeringen werkdagen]]*Ruimtestaat[[#This Row],[Oppervlak (netto)]]</f>
        <v>156</v>
      </c>
      <c r="W30" s="112">
        <f>IF(U30&gt;0,Ruimtestaat[[#This Row],[Prest. (m2 /jaar) werkdagen]]/Ruimtestaat[[#This Row],[Norm (m2/uur) werkdagen]],0)</f>
        <v>0</v>
      </c>
      <c r="X30" s="113">
        <f>Ruimtestaat[[#This Row],[uren / jaar werkdagen]]*Tariefsopbouw!$E$35</f>
        <v>0</v>
      </c>
      <c r="Y30" s="196"/>
      <c r="Z30" s="114">
        <f>IF(Ruimtestaat[[#This Row],[Frequentie weekend]]&gt;0,VALUE(LEFT(Y30,1))*R30,0)</f>
        <v>0</v>
      </c>
      <c r="AA30" s="110">
        <f>IF($Z30&gt;0,VLOOKUP($J30,Ruimtegroepen[],3,FALSE)*VLOOKUP($L30,Vloersoorten[],3,FALSE)*VLOOKUP($Y30,Frequenties[],3,FALSE)*VLOOKUP($A26,Locaties[],3,FALSE),0)</f>
        <v>0</v>
      </c>
      <c r="AB30" s="112">
        <f>Ruimtestaat[[#This Row],[Uitvoeringen weekend]]*Ruimtestaat[[#This Row],[Oppervlak (netto)]]</f>
        <v>0</v>
      </c>
      <c r="AC30" s="115">
        <f>IF(AB30&gt;0,Ruimtestaat[[#This Row],[Prest. (m2 /jaar) weekend]]/Ruimtestaat[[#This Row],[Norm (m2/uur) weekend]],0)</f>
        <v>0</v>
      </c>
      <c r="AD30" s="116">
        <f>Ruimtestaat[[#This Row],[uren / jaar weekend]]*Tariefsopbouw!$D$40</f>
        <v>0</v>
      </c>
      <c r="AE30" s="82">
        <f>Ruimtestaat[[#This Row],[Prest. (m2 /jaar) weekend]]+Ruimtestaat[[#This Row],[Prest. (m2 /jaar) werkdagen]]</f>
        <v>156</v>
      </c>
      <c r="AF30" s="82">
        <f>Ruimtestaat[[#This Row],[uren / jaar weekend]]+Ruimtestaat[[#This Row],[uren / jaar werkdagen]]</f>
        <v>0</v>
      </c>
      <c r="AG30" s="83">
        <f>Ruimtestaat[[#This Row],[kosten / jaar weekend]]+Ruimtestaat[[#This Row],[kosten / jaar werkdagen]]</f>
        <v>0</v>
      </c>
      <c r="AH30" s="117"/>
      <c r="HL30" s="87"/>
    </row>
    <row r="31" spans="1:220" ht="15" customHeight="1">
      <c r="A31" s="136">
        <v>1</v>
      </c>
      <c r="B31" s="27" t="str">
        <f>VLOOKUP(Ruimtestaat[[#This Row],[Code]],Locaties[#All],2,FALSE)</f>
        <v>Hoornbeeck College Gouda</v>
      </c>
      <c r="C31" s="27" t="str">
        <f>VLOOKUP(Ruimtestaat[[#This Row],[Code]],Locaties[#All],4,FALSE)</f>
        <v>Noordelijk Halfrond 10</v>
      </c>
      <c r="D31" s="27" t="str">
        <f>VLOOKUP(Ruimtestaat[[#This Row],[Code]],Locaties[#All],5,FALSE)</f>
        <v>2801 DE</v>
      </c>
      <c r="E31" s="27" t="str">
        <f>VLOOKUP(Ruimtestaat[[#This Row],[Code]],Locaties[#All],6,FALSE)</f>
        <v>Gouda</v>
      </c>
      <c r="F31" s="74" t="s">
        <v>484</v>
      </c>
      <c r="G31" s="285" t="s">
        <v>464</v>
      </c>
      <c r="H31" s="286" t="s">
        <v>474</v>
      </c>
      <c r="I31" s="287" t="s">
        <v>644</v>
      </c>
      <c r="J31" s="288">
        <v>15</v>
      </c>
      <c r="K31" s="74" t="str">
        <f>VLOOKUP(J31,Ruimtegroepen[],2,FALSE)</f>
        <v>Keuken/pantry</v>
      </c>
      <c r="L31" s="285" t="s">
        <v>112</v>
      </c>
      <c r="M31" s="287" t="s">
        <v>437</v>
      </c>
      <c r="N31" s="289">
        <v>38</v>
      </c>
      <c r="O31" s="285"/>
      <c r="P31" s="118" t="str">
        <f>LEFT(VLOOKUP(Ruimtestaat[[#This Row],[Ruimte code]],Ruimtegroepen[#All],4,1),2)</f>
        <v>Ve</v>
      </c>
      <c r="Q31" s="107"/>
      <c r="R31" s="108">
        <v>40</v>
      </c>
      <c r="S31" s="109" t="s">
        <v>2</v>
      </c>
      <c r="T31" s="110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110">
        <f>IF(T31&gt;0,VLOOKUP($J31,Ruimtegroepen[],3,FALSE)*VLOOKUP($L31,Vloersoorten[],3,FALSE)*VLOOKUP($S31,Frequenties[],3,FALSE)*VLOOKUP($A31,Locaties[],3,FALSE),0)</f>
        <v>0</v>
      </c>
      <c r="V31" s="111">
        <f>Ruimtestaat[[#This Row],[Uitvoeringen werkdagen]]*Ruimtestaat[[#This Row],[Oppervlak (netto)]]</f>
        <v>7600</v>
      </c>
      <c r="W31" s="112">
        <f>IF(U31&gt;0,Ruimtestaat[[#This Row],[Prest. (m2 /jaar) werkdagen]]/Ruimtestaat[[#This Row],[Norm (m2/uur) werkdagen]],0)</f>
        <v>0</v>
      </c>
      <c r="X31" s="113">
        <f>Ruimtestaat[[#This Row],[uren / jaar werkdagen]]*Tariefsopbouw!$E$35</f>
        <v>0</v>
      </c>
      <c r="Y31" s="110"/>
      <c r="Z31" s="114">
        <f>IF(Ruimtestaat[[#This Row],[Frequentie weekend]]&gt;0,VALUE(LEFT(Y31,1))*R31,0)</f>
        <v>0</v>
      </c>
      <c r="AA31" s="110">
        <f>IF($Z31&gt;0,VLOOKUP($J31,Ruimtegroepen[],3,FALSE)*VLOOKUP($L31,Vloersoorten[],3,FALSE)*VLOOKUP($Y31,Frequenties[],3,FALSE)*VLOOKUP($A26,Locaties[],3,FALSE),0)</f>
        <v>0</v>
      </c>
      <c r="AB31" s="112">
        <f>Ruimtestaat[[#This Row],[Uitvoeringen weekend]]*Ruimtestaat[[#This Row],[Oppervlak (netto)]]</f>
        <v>0</v>
      </c>
      <c r="AC31" s="115">
        <f>IF(AB31&gt;0,Ruimtestaat[[#This Row],[Prest. (m2 /jaar) weekend]]/Ruimtestaat[[#This Row],[Norm (m2/uur) weekend]],0)</f>
        <v>0</v>
      </c>
      <c r="AD31" s="116">
        <f>Ruimtestaat[[#This Row],[uren / jaar weekend]]*Tariefsopbouw!$D$40</f>
        <v>0</v>
      </c>
      <c r="AE31" s="82">
        <f>Ruimtestaat[[#This Row],[Prest. (m2 /jaar) weekend]]+Ruimtestaat[[#This Row],[Prest. (m2 /jaar) werkdagen]]</f>
        <v>7600</v>
      </c>
      <c r="AF31" s="82">
        <f>Ruimtestaat[[#This Row],[uren / jaar weekend]]+Ruimtestaat[[#This Row],[uren / jaar werkdagen]]</f>
        <v>0</v>
      </c>
      <c r="AG31" s="83">
        <f>Ruimtestaat[[#This Row],[kosten / jaar weekend]]+Ruimtestaat[[#This Row],[kosten / jaar werkdagen]]</f>
        <v>0</v>
      </c>
      <c r="AH31" s="117"/>
      <c r="HL31" s="87"/>
    </row>
    <row r="32" spans="1:220" ht="15" customHeight="1">
      <c r="A32" s="136">
        <v>1</v>
      </c>
      <c r="B32" s="27" t="str">
        <f>VLOOKUP(Ruimtestaat[[#This Row],[Code]],Locaties[#All],2,FALSE)</f>
        <v>Hoornbeeck College Gouda</v>
      </c>
      <c r="C32" s="27" t="str">
        <f>VLOOKUP(Ruimtestaat[[#This Row],[Code]],Locaties[#All],4,FALSE)</f>
        <v>Noordelijk Halfrond 10</v>
      </c>
      <c r="D32" s="27" t="str">
        <f>VLOOKUP(Ruimtestaat[[#This Row],[Code]],Locaties[#All],5,FALSE)</f>
        <v>2801 DE</v>
      </c>
      <c r="E32" s="27" t="str">
        <f>VLOOKUP(Ruimtestaat[[#This Row],[Code]],Locaties[#All],6,FALSE)</f>
        <v>Gouda</v>
      </c>
      <c r="F32" s="74" t="s">
        <v>484</v>
      </c>
      <c r="G32" s="285" t="s">
        <v>464</v>
      </c>
      <c r="H32" s="286" t="s">
        <v>475</v>
      </c>
      <c r="I32" s="287" t="s">
        <v>626</v>
      </c>
      <c r="J32" s="288">
        <v>12</v>
      </c>
      <c r="K32" s="74" t="str">
        <f>VLOOKUP(J32,Ruimtegroepen[],2,FALSE)</f>
        <v>Kantine/Aula</v>
      </c>
      <c r="L32" s="285" t="s">
        <v>110</v>
      </c>
      <c r="M32" s="287" t="s">
        <v>38</v>
      </c>
      <c r="N32" s="289">
        <v>343.45</v>
      </c>
      <c r="O32" s="290"/>
      <c r="P32" s="118" t="str">
        <f>LEFT(VLOOKUP(Ruimtestaat[[#This Row],[Ruimte code]],Ruimtegroepen[#All],4,1),2)</f>
        <v>Ve</v>
      </c>
      <c r="Q32" s="107"/>
      <c r="R32" s="108">
        <v>40</v>
      </c>
      <c r="S32" s="109" t="s">
        <v>2</v>
      </c>
      <c r="T32" s="110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" s="110">
        <f>IF(T32&gt;0,VLOOKUP($J32,Ruimtegroepen[],3,FALSE)*VLOOKUP($L32,Vloersoorten[],3,FALSE)*VLOOKUP($S32,Frequenties[],3,FALSE)*VLOOKUP($A32,Locaties[],3,FALSE),0)</f>
        <v>0</v>
      </c>
      <c r="V32" s="111">
        <f>Ruimtestaat[[#This Row],[Uitvoeringen werkdagen]]*Ruimtestaat[[#This Row],[Oppervlak (netto)]]</f>
        <v>68690</v>
      </c>
      <c r="W32" s="112">
        <f>IF(U32&gt;0,Ruimtestaat[[#This Row],[Prest. (m2 /jaar) werkdagen]]/Ruimtestaat[[#This Row],[Norm (m2/uur) werkdagen]],0)</f>
        <v>0</v>
      </c>
      <c r="X32" s="113">
        <f>Ruimtestaat[[#This Row],[uren / jaar werkdagen]]*Tariefsopbouw!$E$35</f>
        <v>0</v>
      </c>
      <c r="Y32" s="110"/>
      <c r="Z32" s="114">
        <f>IF(Ruimtestaat[[#This Row],[Frequentie weekend]]&gt;0,VALUE(LEFT(Y32,1))*R32,0)</f>
        <v>0</v>
      </c>
      <c r="AA32" s="110">
        <f>IF($Z32&gt;0,VLOOKUP($J32,Ruimtegroepen[],3,FALSE)*VLOOKUP($L32,Vloersoorten[],3,FALSE)*VLOOKUP($Y32,Frequenties[],3,FALSE)*VLOOKUP($A27,Locaties[],3,FALSE),0)</f>
        <v>0</v>
      </c>
      <c r="AB32" s="112">
        <f>Ruimtestaat[[#This Row],[Uitvoeringen weekend]]*Ruimtestaat[[#This Row],[Oppervlak (netto)]]</f>
        <v>0</v>
      </c>
      <c r="AC32" s="115">
        <f>IF(AB32&gt;0,Ruimtestaat[[#This Row],[Prest. (m2 /jaar) weekend]]/Ruimtestaat[[#This Row],[Norm (m2/uur) weekend]],0)</f>
        <v>0</v>
      </c>
      <c r="AD32" s="116">
        <f>Ruimtestaat[[#This Row],[uren / jaar weekend]]*Tariefsopbouw!$D$40</f>
        <v>0</v>
      </c>
      <c r="AE32" s="82">
        <f>Ruimtestaat[[#This Row],[Prest. (m2 /jaar) weekend]]+Ruimtestaat[[#This Row],[Prest. (m2 /jaar) werkdagen]]</f>
        <v>68690</v>
      </c>
      <c r="AF32" s="82">
        <f>Ruimtestaat[[#This Row],[uren / jaar weekend]]+Ruimtestaat[[#This Row],[uren / jaar werkdagen]]</f>
        <v>0</v>
      </c>
      <c r="AG32" s="83">
        <f>Ruimtestaat[[#This Row],[kosten / jaar weekend]]+Ruimtestaat[[#This Row],[kosten / jaar werkdagen]]</f>
        <v>0</v>
      </c>
      <c r="AH32" s="117"/>
      <c r="HL32" s="87"/>
    </row>
    <row r="33" spans="1:220" ht="15" customHeight="1">
      <c r="A33" s="136">
        <v>1</v>
      </c>
      <c r="B33" s="27" t="str">
        <f>VLOOKUP(Ruimtestaat[[#This Row],[Code]],Locaties[#All],2,FALSE)</f>
        <v>Hoornbeeck College Gouda</v>
      </c>
      <c r="C33" s="27" t="str">
        <f>VLOOKUP(Ruimtestaat[[#This Row],[Code]],Locaties[#All],4,FALSE)</f>
        <v>Noordelijk Halfrond 10</v>
      </c>
      <c r="D33" s="27" t="str">
        <f>VLOOKUP(Ruimtestaat[[#This Row],[Code]],Locaties[#All],5,FALSE)</f>
        <v>2801 DE</v>
      </c>
      <c r="E33" s="27" t="str">
        <f>VLOOKUP(Ruimtestaat[[#This Row],[Code]],Locaties[#All],6,FALSE)</f>
        <v>Gouda</v>
      </c>
      <c r="F33" s="74" t="s">
        <v>484</v>
      </c>
      <c r="G33" s="285" t="s">
        <v>464</v>
      </c>
      <c r="H33" s="286" t="s">
        <v>476</v>
      </c>
      <c r="I33" s="287" t="s">
        <v>632</v>
      </c>
      <c r="J33" s="288">
        <v>6</v>
      </c>
      <c r="K33" s="74" t="str">
        <f>VLOOKUP(J33,Ruimtegroepen[],2,FALSE)</f>
        <v>Gangen/hallen</v>
      </c>
      <c r="L33" s="285" t="s">
        <v>110</v>
      </c>
      <c r="M33" s="287" t="s">
        <v>38</v>
      </c>
      <c r="N33" s="289">
        <v>19.649999999999999</v>
      </c>
      <c r="O33" s="290"/>
      <c r="P33" s="118" t="str">
        <f>LEFT(VLOOKUP(Ruimtestaat[[#This Row],[Ruimte code]],Ruimtegroepen[#All],4,1),2)</f>
        <v>Ve</v>
      </c>
      <c r="Q33" s="107"/>
      <c r="R33" s="108">
        <v>40</v>
      </c>
      <c r="S33" s="109" t="s">
        <v>2</v>
      </c>
      <c r="T33" s="110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" s="110">
        <f>IF(T33&gt;0,VLOOKUP($J33,Ruimtegroepen[],3,FALSE)*VLOOKUP($L33,Vloersoorten[],3,FALSE)*VLOOKUP($S33,Frequenties[],3,FALSE)*VLOOKUP($A33,Locaties[],3,FALSE),0)</f>
        <v>0</v>
      </c>
      <c r="V33" s="111">
        <f>Ruimtestaat[[#This Row],[Uitvoeringen werkdagen]]*Ruimtestaat[[#This Row],[Oppervlak (netto)]]</f>
        <v>3929.9999999999995</v>
      </c>
      <c r="W33" s="112">
        <f>IF(U33&gt;0,Ruimtestaat[[#This Row],[Prest. (m2 /jaar) werkdagen]]/Ruimtestaat[[#This Row],[Norm (m2/uur) werkdagen]],0)</f>
        <v>0</v>
      </c>
      <c r="X33" s="113">
        <f>Ruimtestaat[[#This Row],[uren / jaar werkdagen]]*Tariefsopbouw!$E$35</f>
        <v>0</v>
      </c>
      <c r="Y33" s="110"/>
      <c r="Z33" s="114">
        <f>IF(Ruimtestaat[[#This Row],[Frequentie weekend]]&gt;0,VALUE(LEFT(Y33,1))*R33,0)</f>
        <v>0</v>
      </c>
      <c r="AA33" s="110">
        <f>IF($Z33&gt;0,VLOOKUP($J33,Ruimtegroepen[],3,FALSE)*VLOOKUP($L33,Vloersoorten[],3,FALSE)*VLOOKUP($Y33,Frequenties[],3,FALSE)*VLOOKUP($A28,Locaties[],3,FALSE),0)</f>
        <v>0</v>
      </c>
      <c r="AB33" s="112">
        <f>Ruimtestaat[[#This Row],[Uitvoeringen weekend]]*Ruimtestaat[[#This Row],[Oppervlak (netto)]]</f>
        <v>0</v>
      </c>
      <c r="AC33" s="115">
        <f>IF(AB33&gt;0,Ruimtestaat[[#This Row],[Prest. (m2 /jaar) weekend]]/Ruimtestaat[[#This Row],[Norm (m2/uur) weekend]],0)</f>
        <v>0</v>
      </c>
      <c r="AD33" s="116">
        <f>Ruimtestaat[[#This Row],[uren / jaar weekend]]*Tariefsopbouw!$D$40</f>
        <v>0</v>
      </c>
      <c r="AE33" s="82">
        <f>Ruimtestaat[[#This Row],[Prest. (m2 /jaar) weekend]]+Ruimtestaat[[#This Row],[Prest. (m2 /jaar) werkdagen]]</f>
        <v>3929.9999999999995</v>
      </c>
      <c r="AF33" s="82">
        <f>Ruimtestaat[[#This Row],[uren / jaar weekend]]+Ruimtestaat[[#This Row],[uren / jaar werkdagen]]</f>
        <v>0</v>
      </c>
      <c r="AG33" s="83">
        <f>Ruimtestaat[[#This Row],[kosten / jaar weekend]]+Ruimtestaat[[#This Row],[kosten / jaar werkdagen]]</f>
        <v>0</v>
      </c>
      <c r="AH33" s="117"/>
      <c r="HL33" s="87"/>
    </row>
    <row r="34" spans="1:220" ht="15" customHeight="1">
      <c r="A34" s="136">
        <v>1</v>
      </c>
      <c r="B34" s="27" t="str">
        <f>VLOOKUP(Ruimtestaat[[#This Row],[Code]],Locaties[#All],2,FALSE)</f>
        <v>Hoornbeeck College Gouda</v>
      </c>
      <c r="C34" s="27" t="str">
        <f>VLOOKUP(Ruimtestaat[[#This Row],[Code]],Locaties[#All],4,FALSE)</f>
        <v>Noordelijk Halfrond 10</v>
      </c>
      <c r="D34" s="27" t="str">
        <f>VLOOKUP(Ruimtestaat[[#This Row],[Code]],Locaties[#All],5,FALSE)</f>
        <v>2801 DE</v>
      </c>
      <c r="E34" s="27" t="str">
        <f>VLOOKUP(Ruimtestaat[[#This Row],[Code]],Locaties[#All],6,FALSE)</f>
        <v>Gouda</v>
      </c>
      <c r="F34" s="74" t="s">
        <v>484</v>
      </c>
      <c r="G34" s="285" t="s">
        <v>464</v>
      </c>
      <c r="H34" s="286" t="s">
        <v>477</v>
      </c>
      <c r="I34" s="287" t="s">
        <v>645</v>
      </c>
      <c r="J34" s="288">
        <v>6</v>
      </c>
      <c r="K34" s="74" t="str">
        <f>VLOOKUP(J34,Ruimtegroepen[],2,FALSE)</f>
        <v>Gangen/hallen</v>
      </c>
      <c r="L34" s="285" t="s">
        <v>110</v>
      </c>
      <c r="M34" s="287" t="s">
        <v>38</v>
      </c>
      <c r="N34" s="289">
        <v>104.63</v>
      </c>
      <c r="O34" s="285"/>
      <c r="P34" s="118" t="str">
        <f>LEFT(VLOOKUP(Ruimtestaat[[#This Row],[Ruimte code]],Ruimtegroepen[#All],4,1),2)</f>
        <v>Ve</v>
      </c>
      <c r="Q34" s="107"/>
      <c r="R34" s="108">
        <v>40</v>
      </c>
      <c r="S34" s="109" t="s">
        <v>2</v>
      </c>
      <c r="T34" s="110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110">
        <f>IF(T34&gt;0,VLOOKUP($J34,Ruimtegroepen[],3,FALSE)*VLOOKUP($L34,Vloersoorten[],3,FALSE)*VLOOKUP($S34,Frequenties[],3,FALSE)*VLOOKUP($A34,Locaties[],3,FALSE),0)</f>
        <v>0</v>
      </c>
      <c r="V34" s="111">
        <f>Ruimtestaat[[#This Row],[Uitvoeringen werkdagen]]*Ruimtestaat[[#This Row],[Oppervlak (netto)]]</f>
        <v>20926</v>
      </c>
      <c r="W34" s="112">
        <f>IF(U34&gt;0,Ruimtestaat[[#This Row],[Prest. (m2 /jaar) werkdagen]]/Ruimtestaat[[#This Row],[Norm (m2/uur) werkdagen]],0)</f>
        <v>0</v>
      </c>
      <c r="X34" s="113">
        <f>Ruimtestaat[[#This Row],[uren / jaar werkdagen]]*Tariefsopbouw!$E$35</f>
        <v>0</v>
      </c>
      <c r="Y34" s="110"/>
      <c r="Z34" s="114">
        <f>IF(Ruimtestaat[[#This Row],[Frequentie weekend]]&gt;0,VALUE(LEFT(Y34,1))*R34,0)</f>
        <v>0</v>
      </c>
      <c r="AA34" s="110">
        <f>IF($Z34&gt;0,VLOOKUP($J34,Ruimtegroepen[],3,FALSE)*VLOOKUP($L34,Vloersoorten[],3,FALSE)*VLOOKUP($Y34,Frequenties[],3,FALSE)*VLOOKUP($A29,Locaties[],3,FALSE),0)</f>
        <v>0</v>
      </c>
      <c r="AB34" s="112">
        <f>Ruimtestaat[[#This Row],[Uitvoeringen weekend]]*Ruimtestaat[[#This Row],[Oppervlak (netto)]]</f>
        <v>0</v>
      </c>
      <c r="AC34" s="115">
        <f>IF(AB34&gt;0,Ruimtestaat[[#This Row],[Prest. (m2 /jaar) weekend]]/Ruimtestaat[[#This Row],[Norm (m2/uur) weekend]],0)</f>
        <v>0</v>
      </c>
      <c r="AD34" s="116">
        <f>Ruimtestaat[[#This Row],[uren / jaar weekend]]*Tariefsopbouw!$D$40</f>
        <v>0</v>
      </c>
      <c r="AE34" s="82">
        <f>Ruimtestaat[[#This Row],[Prest. (m2 /jaar) weekend]]+Ruimtestaat[[#This Row],[Prest. (m2 /jaar) werkdagen]]</f>
        <v>20926</v>
      </c>
      <c r="AF34" s="82">
        <f>Ruimtestaat[[#This Row],[uren / jaar weekend]]+Ruimtestaat[[#This Row],[uren / jaar werkdagen]]</f>
        <v>0</v>
      </c>
      <c r="AG34" s="83">
        <f>Ruimtestaat[[#This Row],[kosten / jaar weekend]]+Ruimtestaat[[#This Row],[kosten / jaar werkdagen]]</f>
        <v>0</v>
      </c>
      <c r="AH34" s="117"/>
      <c r="HL34" s="87"/>
    </row>
    <row r="35" spans="1:220" ht="15" customHeight="1">
      <c r="A35" s="136">
        <v>1</v>
      </c>
      <c r="B35" s="27" t="str">
        <f>VLOOKUP(Ruimtestaat[[#This Row],[Code]],Locaties[#All],2,FALSE)</f>
        <v>Hoornbeeck College Gouda</v>
      </c>
      <c r="C35" s="27" t="str">
        <f>VLOOKUP(Ruimtestaat[[#This Row],[Code]],Locaties[#All],4,FALSE)</f>
        <v>Noordelijk Halfrond 10</v>
      </c>
      <c r="D35" s="27" t="str">
        <f>VLOOKUP(Ruimtestaat[[#This Row],[Code]],Locaties[#All],5,FALSE)</f>
        <v>2801 DE</v>
      </c>
      <c r="E35" s="27" t="str">
        <f>VLOOKUP(Ruimtestaat[[#This Row],[Code]],Locaties[#All],6,FALSE)</f>
        <v>Gouda</v>
      </c>
      <c r="F35" s="74" t="s">
        <v>484</v>
      </c>
      <c r="G35" s="285" t="s">
        <v>464</v>
      </c>
      <c r="H35" s="286" t="s">
        <v>478</v>
      </c>
      <c r="I35" s="287" t="s">
        <v>646</v>
      </c>
      <c r="J35" s="288">
        <v>2</v>
      </c>
      <c r="K35" s="74" t="str">
        <f>VLOOKUP(J35,Ruimtegroepen[],2,FALSE)</f>
        <v>Kantoren</v>
      </c>
      <c r="L35" s="285" t="s">
        <v>110</v>
      </c>
      <c r="M35" s="287" t="s">
        <v>38</v>
      </c>
      <c r="N35" s="289">
        <v>34.1</v>
      </c>
      <c r="O35" s="290"/>
      <c r="P35" s="118" t="str">
        <f>LEFT(VLOOKUP(Ruimtestaat[[#This Row],[Ruimte code]],Ruimtegroepen[#All],4,1),2)</f>
        <v>Bu</v>
      </c>
      <c r="Q35" s="107"/>
      <c r="R35" s="108">
        <v>40</v>
      </c>
      <c r="S35" s="109" t="s">
        <v>17</v>
      </c>
      <c r="T35" s="110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35" s="110">
        <f>IF(T35&gt;0,VLOOKUP($J35,Ruimtegroepen[],3,FALSE)*VLOOKUP($L35,Vloersoorten[],3,FALSE)*VLOOKUP($S35,Frequenties[],3,FALSE)*VLOOKUP($A35,Locaties[],3,FALSE),0)</f>
        <v>0</v>
      </c>
      <c r="V35" s="111">
        <f>Ruimtestaat[[#This Row],[Uitvoeringen werkdagen]]*Ruimtestaat[[#This Row],[Oppervlak (netto)]]</f>
        <v>2728</v>
      </c>
      <c r="W35" s="112">
        <f>IF(U35&gt;0,Ruimtestaat[[#This Row],[Prest. (m2 /jaar) werkdagen]]/Ruimtestaat[[#This Row],[Norm (m2/uur) werkdagen]],0)</f>
        <v>0</v>
      </c>
      <c r="X35" s="113">
        <f>Ruimtestaat[[#This Row],[uren / jaar werkdagen]]*Tariefsopbouw!$E$35</f>
        <v>0</v>
      </c>
      <c r="Y35" s="110"/>
      <c r="Z35" s="114">
        <f>IF(Ruimtestaat[[#This Row],[Frequentie weekend]]&gt;0,VALUE(LEFT(Y35,1))*R35,0)</f>
        <v>0</v>
      </c>
      <c r="AA35" s="110">
        <f>IF($Z35&gt;0,VLOOKUP($J35,Ruimtegroepen[],3,FALSE)*VLOOKUP($L35,Vloersoorten[],3,FALSE)*VLOOKUP($Y35,Frequenties[],3,FALSE)*VLOOKUP($A31,Locaties[],3,FALSE),0)</f>
        <v>0</v>
      </c>
      <c r="AB35" s="112">
        <f>Ruimtestaat[[#This Row],[Uitvoeringen weekend]]*Ruimtestaat[[#This Row],[Oppervlak (netto)]]</f>
        <v>0</v>
      </c>
      <c r="AC35" s="115">
        <f>IF(AB35&gt;0,Ruimtestaat[[#This Row],[Prest. (m2 /jaar) weekend]]/Ruimtestaat[[#This Row],[Norm (m2/uur) weekend]],0)</f>
        <v>0</v>
      </c>
      <c r="AD35" s="116">
        <f>Ruimtestaat[[#This Row],[uren / jaar weekend]]*Tariefsopbouw!$D$40</f>
        <v>0</v>
      </c>
      <c r="AE35" s="82">
        <f>Ruimtestaat[[#This Row],[Prest. (m2 /jaar) weekend]]+Ruimtestaat[[#This Row],[Prest. (m2 /jaar) werkdagen]]</f>
        <v>2728</v>
      </c>
      <c r="AF35" s="82">
        <f>Ruimtestaat[[#This Row],[uren / jaar weekend]]+Ruimtestaat[[#This Row],[uren / jaar werkdagen]]</f>
        <v>0</v>
      </c>
      <c r="AG35" s="83">
        <f>Ruimtestaat[[#This Row],[kosten / jaar weekend]]+Ruimtestaat[[#This Row],[kosten / jaar werkdagen]]</f>
        <v>0</v>
      </c>
      <c r="AH35" s="117"/>
      <c r="HL35" s="87"/>
    </row>
    <row r="36" spans="1:220" ht="15" customHeight="1">
      <c r="A36" s="136">
        <v>1</v>
      </c>
      <c r="B36" s="27" t="str">
        <f>VLOOKUP(Ruimtestaat[[#This Row],[Code]],Locaties[#All],2,FALSE)</f>
        <v>Hoornbeeck College Gouda</v>
      </c>
      <c r="C36" s="27" t="str">
        <f>VLOOKUP(Ruimtestaat[[#This Row],[Code]],Locaties[#All],4,FALSE)</f>
        <v>Noordelijk Halfrond 10</v>
      </c>
      <c r="D36" s="27" t="str">
        <f>VLOOKUP(Ruimtestaat[[#This Row],[Code]],Locaties[#All],5,FALSE)</f>
        <v>2801 DE</v>
      </c>
      <c r="E36" s="27" t="str">
        <f>VLOOKUP(Ruimtestaat[[#This Row],[Code]],Locaties[#All],6,FALSE)</f>
        <v>Gouda</v>
      </c>
      <c r="F36" s="74" t="s">
        <v>484</v>
      </c>
      <c r="G36" s="285" t="s">
        <v>464</v>
      </c>
      <c r="H36" s="286" t="s">
        <v>479</v>
      </c>
      <c r="I36" s="287" t="s">
        <v>648</v>
      </c>
      <c r="J36" s="288">
        <v>1</v>
      </c>
      <c r="K36" s="74" t="str">
        <f>VLOOKUP(J36,Ruimtegroepen[],2,FALSE)</f>
        <v>Magazijnen/bergingen</v>
      </c>
      <c r="L36" s="285" t="s">
        <v>110</v>
      </c>
      <c r="M36" s="287" t="s">
        <v>38</v>
      </c>
      <c r="N36" s="289">
        <v>4.0199999999999996</v>
      </c>
      <c r="O36" s="290"/>
      <c r="P36" s="118" t="str">
        <f>LEFT(VLOOKUP(Ruimtestaat[[#This Row],[Ruimte code]],Ruimtegroepen[#All],4,1),2)</f>
        <v>Ve</v>
      </c>
      <c r="Q36" s="107"/>
      <c r="R36" s="108">
        <v>40</v>
      </c>
      <c r="S36" s="109" t="s">
        <v>16</v>
      </c>
      <c r="T36" s="110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6" s="110">
        <f>IF(T36&gt;0,VLOOKUP($J36,Ruimtegroepen[],3,FALSE)*VLOOKUP($L36,Vloersoorten[],3,FALSE)*VLOOKUP($S36,Frequenties[],3,FALSE)*VLOOKUP($A36,Locaties[],3,FALSE),0)</f>
        <v>0</v>
      </c>
      <c r="V36" s="111">
        <f>Ruimtestaat[[#This Row],[Uitvoeringen werkdagen]]*Ruimtestaat[[#This Row],[Oppervlak (netto)]]</f>
        <v>48.239999999999995</v>
      </c>
      <c r="W36" s="112">
        <f>IF(U36&gt;0,Ruimtestaat[[#This Row],[Prest. (m2 /jaar) werkdagen]]/Ruimtestaat[[#This Row],[Norm (m2/uur) werkdagen]],0)</f>
        <v>0</v>
      </c>
      <c r="X36" s="113">
        <f>Ruimtestaat[[#This Row],[uren / jaar werkdagen]]*Tariefsopbouw!$E$35</f>
        <v>0</v>
      </c>
      <c r="Y36" s="110"/>
      <c r="Z36" s="114">
        <f>IF(Ruimtestaat[[#This Row],[Frequentie weekend]]&gt;0,VALUE(LEFT(Y36,1))*R36,0)</f>
        <v>0</v>
      </c>
      <c r="AA36" s="110">
        <f>IF($Z36&gt;0,VLOOKUP($J36,Ruimtegroepen[],3,FALSE)*VLOOKUP($L36,Vloersoorten[],3,FALSE)*VLOOKUP($Y36,Frequenties[],3,FALSE)*VLOOKUP($A32,Locaties[],3,FALSE),0)</f>
        <v>0</v>
      </c>
      <c r="AB36" s="112">
        <f>Ruimtestaat[[#This Row],[Uitvoeringen weekend]]*Ruimtestaat[[#This Row],[Oppervlak (netto)]]</f>
        <v>0</v>
      </c>
      <c r="AC36" s="115">
        <f>IF(AB36&gt;0,Ruimtestaat[[#This Row],[Prest. (m2 /jaar) weekend]]/Ruimtestaat[[#This Row],[Norm (m2/uur) weekend]],0)</f>
        <v>0</v>
      </c>
      <c r="AD36" s="116">
        <f>Ruimtestaat[[#This Row],[uren / jaar weekend]]*Tariefsopbouw!$D$40</f>
        <v>0</v>
      </c>
      <c r="AE36" s="82">
        <f>Ruimtestaat[[#This Row],[Prest. (m2 /jaar) weekend]]+Ruimtestaat[[#This Row],[Prest. (m2 /jaar) werkdagen]]</f>
        <v>48.239999999999995</v>
      </c>
      <c r="AF36" s="82">
        <f>Ruimtestaat[[#This Row],[uren / jaar weekend]]+Ruimtestaat[[#This Row],[uren / jaar werkdagen]]</f>
        <v>0</v>
      </c>
      <c r="AG36" s="83">
        <f>Ruimtestaat[[#This Row],[kosten / jaar weekend]]+Ruimtestaat[[#This Row],[kosten / jaar werkdagen]]</f>
        <v>0</v>
      </c>
      <c r="AH36" s="117"/>
      <c r="HL36" s="87"/>
    </row>
    <row r="37" spans="1:220" ht="15" customHeight="1">
      <c r="A37" s="136">
        <v>1</v>
      </c>
      <c r="B37" s="27" t="str">
        <f>VLOOKUP(Ruimtestaat[[#This Row],[Code]],Locaties[#All],2,FALSE)</f>
        <v>Hoornbeeck College Gouda</v>
      </c>
      <c r="C37" s="27" t="str">
        <f>VLOOKUP(Ruimtestaat[[#This Row],[Code]],Locaties[#All],4,FALSE)</f>
        <v>Noordelijk Halfrond 10</v>
      </c>
      <c r="D37" s="27" t="str">
        <f>VLOOKUP(Ruimtestaat[[#This Row],[Code]],Locaties[#All],5,FALSE)</f>
        <v>2801 DE</v>
      </c>
      <c r="E37" s="27" t="str">
        <f>VLOOKUP(Ruimtestaat[[#This Row],[Code]],Locaties[#All],6,FALSE)</f>
        <v>Gouda</v>
      </c>
      <c r="F37" s="74" t="s">
        <v>484</v>
      </c>
      <c r="G37" s="285" t="s">
        <v>464</v>
      </c>
      <c r="H37" s="286" t="s">
        <v>480</v>
      </c>
      <c r="I37" s="287" t="s">
        <v>648</v>
      </c>
      <c r="J37" s="288">
        <v>1</v>
      </c>
      <c r="K37" s="74" t="str">
        <f>VLOOKUP(J37,Ruimtegroepen[],2,FALSE)</f>
        <v>Magazijnen/bergingen</v>
      </c>
      <c r="L37" s="285" t="s">
        <v>110</v>
      </c>
      <c r="M37" s="287" t="s">
        <v>38</v>
      </c>
      <c r="N37" s="289">
        <v>2.6</v>
      </c>
      <c r="O37" s="285"/>
      <c r="P37" s="118" t="str">
        <f>LEFT(VLOOKUP(Ruimtestaat[[#This Row],[Ruimte code]],Ruimtegroepen[#All],4,1),2)</f>
        <v>Ve</v>
      </c>
      <c r="Q37" s="107"/>
      <c r="R37" s="108">
        <v>40</v>
      </c>
      <c r="S37" s="109" t="s">
        <v>16</v>
      </c>
      <c r="T37" s="110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7" s="110">
        <f>IF(T37&gt;0,VLOOKUP($J37,Ruimtegroepen[],3,FALSE)*VLOOKUP($L37,Vloersoorten[],3,FALSE)*VLOOKUP($S37,Frequenties[],3,FALSE)*VLOOKUP($A37,Locaties[],3,FALSE),0)</f>
        <v>0</v>
      </c>
      <c r="V37" s="111">
        <f>Ruimtestaat[[#This Row],[Uitvoeringen werkdagen]]*Ruimtestaat[[#This Row],[Oppervlak (netto)]]</f>
        <v>31.200000000000003</v>
      </c>
      <c r="W37" s="112">
        <f>IF(U37&gt;0,Ruimtestaat[[#This Row],[Prest. (m2 /jaar) werkdagen]]/Ruimtestaat[[#This Row],[Norm (m2/uur) werkdagen]],0)</f>
        <v>0</v>
      </c>
      <c r="X37" s="113">
        <f>Ruimtestaat[[#This Row],[uren / jaar werkdagen]]*Tariefsopbouw!$E$35</f>
        <v>0</v>
      </c>
      <c r="Y37" s="110"/>
      <c r="Z37" s="114">
        <f>IF(Ruimtestaat[[#This Row],[Frequentie weekend]]&gt;0,VALUE(LEFT(Y37,1))*R37,0)</f>
        <v>0</v>
      </c>
      <c r="AA37" s="110">
        <f>IF($Z37&gt;0,VLOOKUP($J37,Ruimtegroepen[],3,FALSE)*VLOOKUP($L37,Vloersoorten[],3,FALSE)*VLOOKUP($Y37,Frequenties[],3,FALSE)*VLOOKUP($A33,Locaties[],3,FALSE),0)</f>
        <v>0</v>
      </c>
      <c r="AB37" s="112">
        <f>Ruimtestaat[[#This Row],[Uitvoeringen weekend]]*Ruimtestaat[[#This Row],[Oppervlak (netto)]]</f>
        <v>0</v>
      </c>
      <c r="AC37" s="115">
        <f>IF(AB37&gt;0,Ruimtestaat[[#This Row],[Prest. (m2 /jaar) weekend]]/Ruimtestaat[[#This Row],[Norm (m2/uur) weekend]],0)</f>
        <v>0</v>
      </c>
      <c r="AD37" s="116">
        <f>Ruimtestaat[[#This Row],[uren / jaar weekend]]*Tariefsopbouw!$D$40</f>
        <v>0</v>
      </c>
      <c r="AE37" s="82">
        <f>Ruimtestaat[[#This Row],[Prest. (m2 /jaar) weekend]]+Ruimtestaat[[#This Row],[Prest. (m2 /jaar) werkdagen]]</f>
        <v>31.200000000000003</v>
      </c>
      <c r="AF37" s="82">
        <f>Ruimtestaat[[#This Row],[uren / jaar weekend]]+Ruimtestaat[[#This Row],[uren / jaar werkdagen]]</f>
        <v>0</v>
      </c>
      <c r="AG37" s="83">
        <f>Ruimtestaat[[#This Row],[kosten / jaar weekend]]+Ruimtestaat[[#This Row],[kosten / jaar werkdagen]]</f>
        <v>0</v>
      </c>
      <c r="AH37" s="117"/>
      <c r="HL37" s="87"/>
    </row>
    <row r="38" spans="1:220" ht="15" customHeight="1">
      <c r="A38" s="136">
        <v>1</v>
      </c>
      <c r="B38" s="27" t="str">
        <f>VLOOKUP(Ruimtestaat[[#This Row],[Code]],Locaties[#All],2,FALSE)</f>
        <v>Hoornbeeck College Gouda</v>
      </c>
      <c r="C38" s="27" t="str">
        <f>VLOOKUP(Ruimtestaat[[#This Row],[Code]],Locaties[#All],4,FALSE)</f>
        <v>Noordelijk Halfrond 10</v>
      </c>
      <c r="D38" s="27" t="str">
        <f>VLOOKUP(Ruimtestaat[[#This Row],[Code]],Locaties[#All],5,FALSE)</f>
        <v>2801 DE</v>
      </c>
      <c r="E38" s="27" t="str">
        <f>VLOOKUP(Ruimtestaat[[#This Row],[Code]],Locaties[#All],6,FALSE)</f>
        <v>Gouda</v>
      </c>
      <c r="F38" s="74" t="s">
        <v>484</v>
      </c>
      <c r="G38" s="285" t="s">
        <v>464</v>
      </c>
      <c r="H38" s="286" t="s">
        <v>481</v>
      </c>
      <c r="I38" s="287" t="s">
        <v>639</v>
      </c>
      <c r="J38" s="288">
        <v>5</v>
      </c>
      <c r="K38" s="74" t="str">
        <f>VLOOKUP(J38,Ruimtegroepen[],2,FALSE)</f>
        <v>Sanitair</v>
      </c>
      <c r="L38" s="285" t="s">
        <v>112</v>
      </c>
      <c r="M38" s="287" t="s">
        <v>437</v>
      </c>
      <c r="N38" s="289">
        <v>10</v>
      </c>
      <c r="O38" s="290"/>
      <c r="P38" s="118" t="str">
        <f>LEFT(VLOOKUP(Ruimtestaat[[#This Row],[Ruimte code]],Ruimtegroepen[#All],4,1),2)</f>
        <v>Sa</v>
      </c>
      <c r="Q38" s="107"/>
      <c r="R38" s="108">
        <v>40</v>
      </c>
      <c r="S38" s="109" t="s">
        <v>2</v>
      </c>
      <c r="T38" s="110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110">
        <f>IF(T38&gt;0,VLOOKUP($J38,Ruimtegroepen[],3,FALSE)*VLOOKUP($L38,Vloersoorten[],3,FALSE)*VLOOKUP($S38,Frequenties[],3,FALSE)*VLOOKUP($A38,Locaties[],3,FALSE),0)</f>
        <v>0</v>
      </c>
      <c r="V38" s="111">
        <f>Ruimtestaat[[#This Row],[Uitvoeringen werkdagen]]*Ruimtestaat[[#This Row],[Oppervlak (netto)]]</f>
        <v>2000</v>
      </c>
      <c r="W38" s="112">
        <f>IF(U38&gt;0,Ruimtestaat[[#This Row],[Prest. (m2 /jaar) werkdagen]]/Ruimtestaat[[#This Row],[Norm (m2/uur) werkdagen]],0)</f>
        <v>0</v>
      </c>
      <c r="X38" s="113">
        <f>Ruimtestaat[[#This Row],[uren / jaar werkdagen]]*Tariefsopbouw!$E$35</f>
        <v>0</v>
      </c>
      <c r="Y38" s="110"/>
      <c r="Z38" s="114">
        <f>IF(Ruimtestaat[[#This Row],[Frequentie weekend]]&gt;0,VALUE(LEFT(Y38,1))*R38,0)</f>
        <v>0</v>
      </c>
      <c r="AA38" s="110">
        <f>IF($Z38&gt;0,VLOOKUP($J38,Ruimtegroepen[],3,FALSE)*VLOOKUP($L38,Vloersoorten[],3,FALSE)*VLOOKUP($Y38,Frequenties[],3,FALSE)*VLOOKUP($A34,Locaties[],3,FALSE),0)</f>
        <v>0</v>
      </c>
      <c r="AB38" s="112">
        <f>Ruimtestaat[[#This Row],[Uitvoeringen weekend]]*Ruimtestaat[[#This Row],[Oppervlak (netto)]]</f>
        <v>0</v>
      </c>
      <c r="AC38" s="115">
        <f>IF(AB38&gt;0,Ruimtestaat[[#This Row],[Prest. (m2 /jaar) weekend]]/Ruimtestaat[[#This Row],[Norm (m2/uur) weekend]],0)</f>
        <v>0</v>
      </c>
      <c r="AD38" s="116">
        <f>Ruimtestaat[[#This Row],[uren / jaar weekend]]*Tariefsopbouw!$D$40</f>
        <v>0</v>
      </c>
      <c r="AE38" s="82">
        <f>Ruimtestaat[[#This Row],[Prest. (m2 /jaar) weekend]]+Ruimtestaat[[#This Row],[Prest. (m2 /jaar) werkdagen]]</f>
        <v>2000</v>
      </c>
      <c r="AF38" s="82">
        <f>Ruimtestaat[[#This Row],[uren / jaar weekend]]+Ruimtestaat[[#This Row],[uren / jaar werkdagen]]</f>
        <v>0</v>
      </c>
      <c r="AG38" s="83">
        <f>Ruimtestaat[[#This Row],[kosten / jaar weekend]]+Ruimtestaat[[#This Row],[kosten / jaar werkdagen]]</f>
        <v>0</v>
      </c>
      <c r="AH38" s="117"/>
      <c r="HL38" s="87"/>
    </row>
    <row r="39" spans="1:220" ht="15" customHeight="1">
      <c r="A39" s="136">
        <v>1</v>
      </c>
      <c r="B39" s="27" t="str">
        <f>VLOOKUP(Ruimtestaat[[#This Row],[Code]],Locaties[#All],2,FALSE)</f>
        <v>Hoornbeeck College Gouda</v>
      </c>
      <c r="C39" s="27" t="str">
        <f>VLOOKUP(Ruimtestaat[[#This Row],[Code]],Locaties[#All],4,FALSE)</f>
        <v>Noordelijk Halfrond 10</v>
      </c>
      <c r="D39" s="27" t="str">
        <f>VLOOKUP(Ruimtestaat[[#This Row],[Code]],Locaties[#All],5,FALSE)</f>
        <v>2801 DE</v>
      </c>
      <c r="E39" s="27" t="str">
        <f>VLOOKUP(Ruimtestaat[[#This Row],[Code]],Locaties[#All],6,FALSE)</f>
        <v>Gouda</v>
      </c>
      <c r="F39" s="74" t="s">
        <v>484</v>
      </c>
      <c r="G39" s="285" t="s">
        <v>464</v>
      </c>
      <c r="H39" s="286" t="s">
        <v>482</v>
      </c>
      <c r="I39" s="287" t="s">
        <v>639</v>
      </c>
      <c r="J39" s="288">
        <v>5</v>
      </c>
      <c r="K39" s="74" t="str">
        <f>VLOOKUP(J39,Ruimtegroepen[],2,FALSE)</f>
        <v>Sanitair</v>
      </c>
      <c r="L39" s="285" t="s">
        <v>112</v>
      </c>
      <c r="M39" s="287" t="s">
        <v>437</v>
      </c>
      <c r="N39" s="289">
        <v>11.7</v>
      </c>
      <c r="O39" s="289"/>
      <c r="P39" s="118" t="str">
        <f>LEFT(VLOOKUP(Ruimtestaat[[#This Row],[Ruimte code]],Ruimtegroepen[#All],4,1),2)</f>
        <v>Sa</v>
      </c>
      <c r="Q39" s="107"/>
      <c r="R39" s="108">
        <v>40</v>
      </c>
      <c r="S39" s="109" t="s">
        <v>2</v>
      </c>
      <c r="T39" s="110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110">
        <f>IF(T39&gt;0,VLOOKUP($J39,Ruimtegroepen[],3,FALSE)*VLOOKUP($L39,Vloersoorten[],3,FALSE)*VLOOKUP($S39,Frequenties[],3,FALSE)*VLOOKUP($A39,Locaties[],3,FALSE),0)</f>
        <v>0</v>
      </c>
      <c r="V39" s="111">
        <f>Ruimtestaat[[#This Row],[Uitvoeringen werkdagen]]*Ruimtestaat[[#This Row],[Oppervlak (netto)]]</f>
        <v>2340</v>
      </c>
      <c r="W39" s="112">
        <f>IF(U39&gt;0,Ruimtestaat[[#This Row],[Prest. (m2 /jaar) werkdagen]]/Ruimtestaat[[#This Row],[Norm (m2/uur) werkdagen]],0)</f>
        <v>0</v>
      </c>
      <c r="X39" s="113">
        <f>Ruimtestaat[[#This Row],[uren / jaar werkdagen]]*Tariefsopbouw!$E$35</f>
        <v>0</v>
      </c>
      <c r="Y39" s="110"/>
      <c r="Z39" s="114">
        <f>IF(Ruimtestaat[[#This Row],[Frequentie weekend]]&gt;0,VALUE(LEFT(Y39,1))*R39,0)</f>
        <v>0</v>
      </c>
      <c r="AA39" s="110">
        <f>IF($Z39&gt;0,VLOOKUP($J39,Ruimtegroepen[],3,FALSE)*VLOOKUP($L39,Vloersoorten[],3,FALSE)*VLOOKUP($Y39,Frequenties[],3,FALSE)*VLOOKUP($A35,Locaties[],3,FALSE),0)</f>
        <v>0</v>
      </c>
      <c r="AB39" s="112">
        <f>Ruimtestaat[[#This Row],[Uitvoeringen weekend]]*Ruimtestaat[[#This Row],[Oppervlak (netto)]]</f>
        <v>0</v>
      </c>
      <c r="AC39" s="115">
        <f>IF(AB39&gt;0,Ruimtestaat[[#This Row],[Prest. (m2 /jaar) weekend]]/Ruimtestaat[[#This Row],[Norm (m2/uur) weekend]],0)</f>
        <v>0</v>
      </c>
      <c r="AD39" s="116">
        <f>Ruimtestaat[[#This Row],[uren / jaar weekend]]*Tariefsopbouw!$D$40</f>
        <v>0</v>
      </c>
      <c r="AE39" s="82">
        <f>Ruimtestaat[[#This Row],[Prest. (m2 /jaar) weekend]]+Ruimtestaat[[#This Row],[Prest. (m2 /jaar) werkdagen]]</f>
        <v>2340</v>
      </c>
      <c r="AF39" s="82">
        <f>Ruimtestaat[[#This Row],[uren / jaar weekend]]+Ruimtestaat[[#This Row],[uren / jaar werkdagen]]</f>
        <v>0</v>
      </c>
      <c r="AG39" s="83">
        <f>Ruimtestaat[[#This Row],[kosten / jaar weekend]]+Ruimtestaat[[#This Row],[kosten / jaar werkdagen]]</f>
        <v>0</v>
      </c>
      <c r="AH39" s="117"/>
      <c r="HL39" s="87"/>
    </row>
    <row r="40" spans="1:220" ht="15" customHeight="1">
      <c r="A40" s="136">
        <v>1</v>
      </c>
      <c r="B40" s="27" t="str">
        <f>VLOOKUP(Ruimtestaat[[#This Row],[Code]],Locaties[#All],2,FALSE)</f>
        <v>Hoornbeeck College Gouda</v>
      </c>
      <c r="C40" s="27" t="str">
        <f>VLOOKUP(Ruimtestaat[[#This Row],[Code]],Locaties[#All],4,FALSE)</f>
        <v>Noordelijk Halfrond 10</v>
      </c>
      <c r="D40" s="27" t="str">
        <f>VLOOKUP(Ruimtestaat[[#This Row],[Code]],Locaties[#All],5,FALSE)</f>
        <v>2801 DE</v>
      </c>
      <c r="E40" s="27" t="str">
        <f>VLOOKUP(Ruimtestaat[[#This Row],[Code]],Locaties[#All],6,FALSE)</f>
        <v>Gouda</v>
      </c>
      <c r="F40" s="74" t="s">
        <v>484</v>
      </c>
      <c r="G40" s="285" t="s">
        <v>464</v>
      </c>
      <c r="H40" s="286" t="s">
        <v>483</v>
      </c>
      <c r="I40" s="287" t="s">
        <v>470</v>
      </c>
      <c r="J40" s="288">
        <v>10</v>
      </c>
      <c r="K40" s="74" t="str">
        <f>VLOOKUP(J40,Ruimtegroepen[],2,FALSE)</f>
        <v>Trappenhuizen/lift</v>
      </c>
      <c r="L40" s="285" t="s">
        <v>110</v>
      </c>
      <c r="M40" s="287" t="s">
        <v>38</v>
      </c>
      <c r="N40" s="289">
        <v>15</v>
      </c>
      <c r="O40" s="285"/>
      <c r="P40" s="118" t="str">
        <f>LEFT(VLOOKUP(Ruimtestaat[[#This Row],[Ruimte code]],Ruimtegroepen[#All],4,1),2)</f>
        <v>Ve</v>
      </c>
      <c r="Q40" s="107"/>
      <c r="R40" s="108">
        <v>40</v>
      </c>
      <c r="S40" s="109" t="s">
        <v>2</v>
      </c>
      <c r="T40" s="110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110">
        <f>IF(T40&gt;0,VLOOKUP($J40,Ruimtegroepen[],3,FALSE)*VLOOKUP($L40,Vloersoorten[],3,FALSE)*VLOOKUP($S40,Frequenties[],3,FALSE)*VLOOKUP($A40,Locaties[],3,FALSE),0)</f>
        <v>0</v>
      </c>
      <c r="V40" s="111">
        <f>Ruimtestaat[[#This Row],[Uitvoeringen werkdagen]]*Ruimtestaat[[#This Row],[Oppervlak (netto)]]</f>
        <v>3000</v>
      </c>
      <c r="W40" s="112">
        <f>IF(U40&gt;0,Ruimtestaat[[#This Row],[Prest. (m2 /jaar) werkdagen]]/Ruimtestaat[[#This Row],[Norm (m2/uur) werkdagen]],0)</f>
        <v>0</v>
      </c>
      <c r="X40" s="113">
        <f>Ruimtestaat[[#This Row],[uren / jaar werkdagen]]*Tariefsopbouw!$E$35</f>
        <v>0</v>
      </c>
      <c r="Y40" s="110"/>
      <c r="Z40" s="114">
        <f>IF(Ruimtestaat[[#This Row],[Frequentie weekend]]&gt;0,VALUE(LEFT(Y40,1))*R40,0)</f>
        <v>0</v>
      </c>
      <c r="AA40" s="110">
        <f>IF($Z40&gt;0,VLOOKUP($J40,Ruimtegroepen[],3,FALSE)*VLOOKUP($L40,Vloersoorten[],3,FALSE)*VLOOKUP($Y40,Frequenties[],3,FALSE)*VLOOKUP($A36,Locaties[],3,FALSE),0)</f>
        <v>0</v>
      </c>
      <c r="AB40" s="112">
        <f>Ruimtestaat[[#This Row],[Uitvoeringen weekend]]*Ruimtestaat[[#This Row],[Oppervlak (netto)]]</f>
        <v>0</v>
      </c>
      <c r="AC40" s="115">
        <f>IF(AB40&gt;0,Ruimtestaat[[#This Row],[Prest. (m2 /jaar) weekend]]/Ruimtestaat[[#This Row],[Norm (m2/uur) weekend]],0)</f>
        <v>0</v>
      </c>
      <c r="AD40" s="116">
        <f>Ruimtestaat[[#This Row],[uren / jaar weekend]]*Tariefsopbouw!$D$40</f>
        <v>0</v>
      </c>
      <c r="AE40" s="82">
        <f>Ruimtestaat[[#This Row],[Prest. (m2 /jaar) weekend]]+Ruimtestaat[[#This Row],[Prest. (m2 /jaar) werkdagen]]</f>
        <v>3000</v>
      </c>
      <c r="AF40" s="82">
        <f>Ruimtestaat[[#This Row],[uren / jaar weekend]]+Ruimtestaat[[#This Row],[uren / jaar werkdagen]]</f>
        <v>0</v>
      </c>
      <c r="AG40" s="83">
        <f>Ruimtestaat[[#This Row],[kosten / jaar weekend]]+Ruimtestaat[[#This Row],[kosten / jaar werkdagen]]</f>
        <v>0</v>
      </c>
      <c r="AH40" s="117"/>
      <c r="HL40" s="87"/>
    </row>
    <row r="41" spans="1:220" ht="15" customHeight="1">
      <c r="A41" s="136">
        <v>1</v>
      </c>
      <c r="B41" s="27" t="str">
        <f>VLOOKUP(Ruimtestaat[[#This Row],[Code]],Locaties[#All],2,FALSE)</f>
        <v>Hoornbeeck College Gouda</v>
      </c>
      <c r="C41" s="27" t="str">
        <f>VLOOKUP(Ruimtestaat[[#This Row],[Code]],Locaties[#All],4,FALSE)</f>
        <v>Noordelijk Halfrond 10</v>
      </c>
      <c r="D41" s="27" t="str">
        <f>VLOOKUP(Ruimtestaat[[#This Row],[Code]],Locaties[#All],5,FALSE)</f>
        <v>2801 DE</v>
      </c>
      <c r="E41" s="27" t="str">
        <f>VLOOKUP(Ruimtestaat[[#This Row],[Code]],Locaties[#All],6,FALSE)</f>
        <v>Gouda</v>
      </c>
      <c r="F41" s="74" t="s">
        <v>465</v>
      </c>
      <c r="G41" s="285" t="s">
        <v>505</v>
      </c>
      <c r="H41" s="286" t="s">
        <v>485</v>
      </c>
      <c r="I41" s="287" t="s">
        <v>649</v>
      </c>
      <c r="J41" s="288">
        <v>2</v>
      </c>
      <c r="K41" s="74" t="str">
        <f>VLOOKUP(J41,Ruimtegroepen[],2,FALSE)</f>
        <v>Kantoren</v>
      </c>
      <c r="L41" s="285" t="s">
        <v>110</v>
      </c>
      <c r="M41" s="287" t="s">
        <v>38</v>
      </c>
      <c r="N41" s="289">
        <v>33.200000000000003</v>
      </c>
      <c r="O41" s="290"/>
      <c r="P41" s="118" t="str">
        <f>LEFT(VLOOKUP(Ruimtestaat[[#This Row],[Ruimte code]],Ruimtegroepen[#All],4,1),2)</f>
        <v>Bu</v>
      </c>
      <c r="Q41" s="107"/>
      <c r="R41" s="108">
        <v>40</v>
      </c>
      <c r="S41" s="109" t="s">
        <v>17</v>
      </c>
      <c r="T41" s="110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41" s="110">
        <f>IF(T41&gt;0,VLOOKUP($J41,Ruimtegroepen[],3,FALSE)*VLOOKUP($L41,Vloersoorten[],3,FALSE)*VLOOKUP($S41,Frequenties[],3,FALSE)*VLOOKUP($A41,Locaties[],3,FALSE),0)</f>
        <v>0</v>
      </c>
      <c r="V41" s="111">
        <f>Ruimtestaat[[#This Row],[Uitvoeringen werkdagen]]*Ruimtestaat[[#This Row],[Oppervlak (netto)]]</f>
        <v>2656</v>
      </c>
      <c r="W41" s="112">
        <f>IF(U41&gt;0,Ruimtestaat[[#This Row],[Prest. (m2 /jaar) werkdagen]]/Ruimtestaat[[#This Row],[Norm (m2/uur) werkdagen]],0)</f>
        <v>0</v>
      </c>
      <c r="X41" s="113">
        <f>Ruimtestaat[[#This Row],[uren / jaar werkdagen]]*Tariefsopbouw!$E$35</f>
        <v>0</v>
      </c>
      <c r="Y41" s="110"/>
      <c r="Z41" s="114">
        <f>IF(Ruimtestaat[[#This Row],[Frequentie weekend]]&gt;0,VALUE(LEFT(Y41,1))*R41,0)</f>
        <v>0</v>
      </c>
      <c r="AA41" s="110">
        <f>IF($Z41&gt;0,VLOOKUP($J41,Ruimtegroepen[],3,FALSE)*VLOOKUP($L41,Vloersoorten[],3,FALSE)*VLOOKUP($Y41,Frequenties[],3,FALSE)*VLOOKUP($A37,Locaties[],3,FALSE),0)</f>
        <v>0</v>
      </c>
      <c r="AB41" s="112">
        <f>Ruimtestaat[[#This Row],[Uitvoeringen weekend]]*Ruimtestaat[[#This Row],[Oppervlak (netto)]]</f>
        <v>0</v>
      </c>
      <c r="AC41" s="115">
        <f>IF(AB41&gt;0,Ruimtestaat[[#This Row],[Prest. (m2 /jaar) weekend]]/Ruimtestaat[[#This Row],[Norm (m2/uur) weekend]],0)</f>
        <v>0</v>
      </c>
      <c r="AD41" s="116">
        <f>Ruimtestaat[[#This Row],[uren / jaar weekend]]*Tariefsopbouw!$D$40</f>
        <v>0</v>
      </c>
      <c r="AE41" s="82">
        <f>Ruimtestaat[[#This Row],[Prest. (m2 /jaar) weekend]]+Ruimtestaat[[#This Row],[Prest. (m2 /jaar) werkdagen]]</f>
        <v>2656</v>
      </c>
      <c r="AF41" s="82">
        <f>Ruimtestaat[[#This Row],[uren / jaar weekend]]+Ruimtestaat[[#This Row],[uren / jaar werkdagen]]</f>
        <v>0</v>
      </c>
      <c r="AG41" s="83">
        <f>Ruimtestaat[[#This Row],[kosten / jaar weekend]]+Ruimtestaat[[#This Row],[kosten / jaar werkdagen]]</f>
        <v>0</v>
      </c>
      <c r="AH41" s="117"/>
      <c r="HL41" s="87"/>
    </row>
    <row r="42" spans="1:220" ht="15" customHeight="1">
      <c r="A42" s="136">
        <v>1</v>
      </c>
      <c r="B42" s="27" t="str">
        <f>VLOOKUP(Ruimtestaat[[#This Row],[Code]],Locaties[#All],2,FALSE)</f>
        <v>Hoornbeeck College Gouda</v>
      </c>
      <c r="C42" s="27" t="str">
        <f>VLOOKUP(Ruimtestaat[[#This Row],[Code]],Locaties[#All],4,FALSE)</f>
        <v>Noordelijk Halfrond 10</v>
      </c>
      <c r="D42" s="27" t="str">
        <f>VLOOKUP(Ruimtestaat[[#This Row],[Code]],Locaties[#All],5,FALSE)</f>
        <v>2801 DE</v>
      </c>
      <c r="E42" s="27" t="str">
        <f>VLOOKUP(Ruimtestaat[[#This Row],[Code]],Locaties[#All],6,FALSE)</f>
        <v>Gouda</v>
      </c>
      <c r="F42" s="74" t="s">
        <v>465</v>
      </c>
      <c r="G42" s="285" t="s">
        <v>505</v>
      </c>
      <c r="H42" s="286" t="s">
        <v>486</v>
      </c>
      <c r="I42" s="287" t="s">
        <v>650</v>
      </c>
      <c r="J42" s="288">
        <v>2</v>
      </c>
      <c r="K42" s="74" t="str">
        <f>VLOOKUP(J42,Ruimtegroepen[],2,FALSE)</f>
        <v>Kantoren</v>
      </c>
      <c r="L42" s="285" t="s">
        <v>110</v>
      </c>
      <c r="M42" s="287" t="s">
        <v>38</v>
      </c>
      <c r="N42" s="289">
        <v>18</v>
      </c>
      <c r="O42" s="290"/>
      <c r="P42" s="118" t="str">
        <f>LEFT(VLOOKUP(Ruimtestaat[[#This Row],[Ruimte code]],Ruimtegroepen[#All],4,1),2)</f>
        <v>Bu</v>
      </c>
      <c r="Q42" s="107"/>
      <c r="R42" s="108">
        <v>40</v>
      </c>
      <c r="S42" s="109" t="s">
        <v>17</v>
      </c>
      <c r="T42" s="110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42" s="110">
        <f>IF(T42&gt;0,VLOOKUP($J42,Ruimtegroepen[],3,FALSE)*VLOOKUP($L42,Vloersoorten[],3,FALSE)*VLOOKUP($S42,Frequenties[],3,FALSE)*VLOOKUP($A42,Locaties[],3,FALSE),0)</f>
        <v>0</v>
      </c>
      <c r="V42" s="111">
        <f>Ruimtestaat[[#This Row],[Uitvoeringen werkdagen]]*Ruimtestaat[[#This Row],[Oppervlak (netto)]]</f>
        <v>1440</v>
      </c>
      <c r="W42" s="112">
        <f>IF(U42&gt;0,Ruimtestaat[[#This Row],[Prest. (m2 /jaar) werkdagen]]/Ruimtestaat[[#This Row],[Norm (m2/uur) werkdagen]],0)</f>
        <v>0</v>
      </c>
      <c r="X42" s="113">
        <f>Ruimtestaat[[#This Row],[uren / jaar werkdagen]]*Tariefsopbouw!$E$35</f>
        <v>0</v>
      </c>
      <c r="Y42" s="110"/>
      <c r="Z42" s="114">
        <f>IF(Ruimtestaat[[#This Row],[Frequentie weekend]]&gt;0,VALUE(LEFT(Y42,1))*R42,0)</f>
        <v>0</v>
      </c>
      <c r="AA42" s="110">
        <f>IF($Z42&gt;0,VLOOKUP($J42,Ruimtegroepen[],3,FALSE)*VLOOKUP($L42,Vloersoorten[],3,FALSE)*VLOOKUP($Y42,Frequenties[],3,FALSE)*VLOOKUP($A38,Locaties[],3,FALSE),0)</f>
        <v>0</v>
      </c>
      <c r="AB42" s="112">
        <f>Ruimtestaat[[#This Row],[Uitvoeringen weekend]]*Ruimtestaat[[#This Row],[Oppervlak (netto)]]</f>
        <v>0</v>
      </c>
      <c r="AC42" s="115">
        <f>IF(AB42&gt;0,Ruimtestaat[[#This Row],[Prest. (m2 /jaar) weekend]]/Ruimtestaat[[#This Row],[Norm (m2/uur) weekend]],0)</f>
        <v>0</v>
      </c>
      <c r="AD42" s="116">
        <f>Ruimtestaat[[#This Row],[uren / jaar weekend]]*Tariefsopbouw!$D$40</f>
        <v>0</v>
      </c>
      <c r="AE42" s="82">
        <f>Ruimtestaat[[#This Row],[Prest. (m2 /jaar) weekend]]+Ruimtestaat[[#This Row],[Prest. (m2 /jaar) werkdagen]]</f>
        <v>1440</v>
      </c>
      <c r="AF42" s="82">
        <f>Ruimtestaat[[#This Row],[uren / jaar weekend]]+Ruimtestaat[[#This Row],[uren / jaar werkdagen]]</f>
        <v>0</v>
      </c>
      <c r="AG42" s="83">
        <f>Ruimtestaat[[#This Row],[kosten / jaar weekend]]+Ruimtestaat[[#This Row],[kosten / jaar werkdagen]]</f>
        <v>0</v>
      </c>
      <c r="AH42" s="117"/>
      <c r="HL42" s="87"/>
    </row>
    <row r="43" spans="1:220" ht="15" customHeight="1">
      <c r="A43" s="136">
        <v>1</v>
      </c>
      <c r="B43" s="27" t="str">
        <f>VLOOKUP(Ruimtestaat[[#This Row],[Code]],Locaties[#All],2,FALSE)</f>
        <v>Hoornbeeck College Gouda</v>
      </c>
      <c r="C43" s="27" t="str">
        <f>VLOOKUP(Ruimtestaat[[#This Row],[Code]],Locaties[#All],4,FALSE)</f>
        <v>Noordelijk Halfrond 10</v>
      </c>
      <c r="D43" s="27" t="str">
        <f>VLOOKUP(Ruimtestaat[[#This Row],[Code]],Locaties[#All],5,FALSE)</f>
        <v>2801 DE</v>
      </c>
      <c r="E43" s="27" t="str">
        <f>VLOOKUP(Ruimtestaat[[#This Row],[Code]],Locaties[#All],6,FALSE)</f>
        <v>Gouda</v>
      </c>
      <c r="F43" s="74" t="s">
        <v>465</v>
      </c>
      <c r="G43" s="285" t="s">
        <v>505</v>
      </c>
      <c r="H43" s="286" t="s">
        <v>487</v>
      </c>
      <c r="I43" s="287" t="s">
        <v>628</v>
      </c>
      <c r="J43" s="288">
        <v>4</v>
      </c>
      <c r="K43" s="74" t="str">
        <f>VLOOKUP(J43,Ruimtegroepen[],2,FALSE)</f>
        <v>Vergader/spreekkamers</v>
      </c>
      <c r="L43" s="285" t="s">
        <v>110</v>
      </c>
      <c r="M43" s="287" t="s">
        <v>38</v>
      </c>
      <c r="N43" s="289">
        <v>18</v>
      </c>
      <c r="O43" s="285"/>
      <c r="P43" s="118" t="str">
        <f>LEFT(VLOOKUP(Ruimtestaat[[#This Row],[Ruimte code]],Ruimtegroepen[#All],4,1),2)</f>
        <v>Bu</v>
      </c>
      <c r="Q43" s="107"/>
      <c r="R43" s="108">
        <v>40</v>
      </c>
      <c r="S43" s="109" t="s">
        <v>17</v>
      </c>
      <c r="T43" s="110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43" s="110">
        <f>IF(T43&gt;0,VLOOKUP($J43,Ruimtegroepen[],3,FALSE)*VLOOKUP($L43,Vloersoorten[],3,FALSE)*VLOOKUP($S43,Frequenties[],3,FALSE)*VLOOKUP($A43,Locaties[],3,FALSE),0)</f>
        <v>0</v>
      </c>
      <c r="V43" s="111">
        <f>Ruimtestaat[[#This Row],[Uitvoeringen werkdagen]]*Ruimtestaat[[#This Row],[Oppervlak (netto)]]</f>
        <v>1440</v>
      </c>
      <c r="W43" s="112">
        <f>IF(U43&gt;0,Ruimtestaat[[#This Row],[Prest. (m2 /jaar) werkdagen]]/Ruimtestaat[[#This Row],[Norm (m2/uur) werkdagen]],0)</f>
        <v>0</v>
      </c>
      <c r="X43" s="113">
        <f>Ruimtestaat[[#This Row],[uren / jaar werkdagen]]*Tariefsopbouw!$E$35</f>
        <v>0</v>
      </c>
      <c r="Y43" s="110"/>
      <c r="Z43" s="114">
        <f>IF(Ruimtestaat[[#This Row],[Frequentie weekend]]&gt;0,VALUE(LEFT(Y43,1))*R43,0)</f>
        <v>0</v>
      </c>
      <c r="AA43" s="110">
        <f>IF($Z43&gt;0,VLOOKUP($J43,Ruimtegroepen[],3,FALSE)*VLOOKUP($L43,Vloersoorten[],3,FALSE)*VLOOKUP($Y43,Frequenties[],3,FALSE)*VLOOKUP($A39,Locaties[],3,FALSE),0)</f>
        <v>0</v>
      </c>
      <c r="AB43" s="112">
        <f>Ruimtestaat[[#This Row],[Uitvoeringen weekend]]*Ruimtestaat[[#This Row],[Oppervlak (netto)]]</f>
        <v>0</v>
      </c>
      <c r="AC43" s="115">
        <f>IF(AB43&gt;0,Ruimtestaat[[#This Row],[Prest. (m2 /jaar) weekend]]/Ruimtestaat[[#This Row],[Norm (m2/uur) weekend]],0)</f>
        <v>0</v>
      </c>
      <c r="AD43" s="116">
        <f>Ruimtestaat[[#This Row],[uren / jaar weekend]]*Tariefsopbouw!$D$40</f>
        <v>0</v>
      </c>
      <c r="AE43" s="82">
        <f>Ruimtestaat[[#This Row],[Prest. (m2 /jaar) weekend]]+Ruimtestaat[[#This Row],[Prest. (m2 /jaar) werkdagen]]</f>
        <v>1440</v>
      </c>
      <c r="AF43" s="82">
        <f>Ruimtestaat[[#This Row],[uren / jaar weekend]]+Ruimtestaat[[#This Row],[uren / jaar werkdagen]]</f>
        <v>0</v>
      </c>
      <c r="AG43" s="83">
        <f>Ruimtestaat[[#This Row],[kosten / jaar weekend]]+Ruimtestaat[[#This Row],[kosten / jaar werkdagen]]</f>
        <v>0</v>
      </c>
      <c r="AH43" s="117"/>
      <c r="HL43" s="87"/>
    </row>
    <row r="44" spans="1:220" ht="15" customHeight="1">
      <c r="A44" s="136">
        <v>1</v>
      </c>
      <c r="B44" s="27" t="str">
        <f>VLOOKUP(Ruimtestaat[[#This Row],[Code]],Locaties[#All],2,FALSE)</f>
        <v>Hoornbeeck College Gouda</v>
      </c>
      <c r="C44" s="27" t="str">
        <f>VLOOKUP(Ruimtestaat[[#This Row],[Code]],Locaties[#All],4,FALSE)</f>
        <v>Noordelijk Halfrond 10</v>
      </c>
      <c r="D44" s="27" t="str">
        <f>VLOOKUP(Ruimtestaat[[#This Row],[Code]],Locaties[#All],5,FALSE)</f>
        <v>2801 DE</v>
      </c>
      <c r="E44" s="27" t="str">
        <f>VLOOKUP(Ruimtestaat[[#This Row],[Code]],Locaties[#All],6,FALSE)</f>
        <v>Gouda</v>
      </c>
      <c r="F44" s="74" t="s">
        <v>465</v>
      </c>
      <c r="G44" s="285" t="s">
        <v>505</v>
      </c>
      <c r="H44" s="286" t="s">
        <v>488</v>
      </c>
      <c r="I44" s="287" t="s">
        <v>651</v>
      </c>
      <c r="J44" s="288">
        <v>14</v>
      </c>
      <c r="K44" s="74" t="str">
        <f>VLOOKUP(J44,Ruimtegroepen[],2,FALSE)</f>
        <v>Praktijklokalen</v>
      </c>
      <c r="L44" s="285" t="s">
        <v>111</v>
      </c>
      <c r="M44" s="287" t="s">
        <v>467</v>
      </c>
      <c r="N44" s="289">
        <v>55.2</v>
      </c>
      <c r="O44" s="290"/>
      <c r="P44" s="118" t="str">
        <f>LEFT(VLOOKUP(Ruimtestaat[[#This Row],[Ruimte code]],Ruimtegroepen[#All],4,1),2)</f>
        <v>Le</v>
      </c>
      <c r="Q44" s="107"/>
      <c r="R44" s="108">
        <v>40</v>
      </c>
      <c r="S44" s="109" t="s">
        <v>2</v>
      </c>
      <c r="T44" s="110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110">
        <f>IF(T44&gt;0,VLOOKUP($J44,Ruimtegroepen[],3,FALSE)*VLOOKUP($L44,Vloersoorten[],3,FALSE)*VLOOKUP($S44,Frequenties[],3,FALSE)*VLOOKUP($A44,Locaties[],3,FALSE),0)</f>
        <v>0</v>
      </c>
      <c r="V44" s="111">
        <f>Ruimtestaat[[#This Row],[Uitvoeringen werkdagen]]*Ruimtestaat[[#This Row],[Oppervlak (netto)]]</f>
        <v>11040</v>
      </c>
      <c r="W44" s="112">
        <f>IF(U44&gt;0,Ruimtestaat[[#This Row],[Prest. (m2 /jaar) werkdagen]]/Ruimtestaat[[#This Row],[Norm (m2/uur) werkdagen]],0)</f>
        <v>0</v>
      </c>
      <c r="X44" s="113">
        <f>Ruimtestaat[[#This Row],[uren / jaar werkdagen]]*Tariefsopbouw!$E$35</f>
        <v>0</v>
      </c>
      <c r="Y44" s="110"/>
      <c r="Z44" s="114">
        <f>IF(Ruimtestaat[[#This Row],[Frequentie weekend]]&gt;0,VALUE(LEFT(Y44,1))*R44,0)</f>
        <v>0</v>
      </c>
      <c r="AA44" s="110">
        <f>IF($Z44&gt;0,VLOOKUP($J44,Ruimtegroepen[],3,FALSE)*VLOOKUP($L44,Vloersoorten[],3,FALSE)*VLOOKUP($Y44,Frequenties[],3,FALSE)*VLOOKUP($A40,Locaties[],3,FALSE),0)</f>
        <v>0</v>
      </c>
      <c r="AB44" s="112">
        <f>Ruimtestaat[[#This Row],[Uitvoeringen weekend]]*Ruimtestaat[[#This Row],[Oppervlak (netto)]]</f>
        <v>0</v>
      </c>
      <c r="AC44" s="115">
        <f>IF(AB44&gt;0,Ruimtestaat[[#This Row],[Prest. (m2 /jaar) weekend]]/Ruimtestaat[[#This Row],[Norm (m2/uur) weekend]],0)</f>
        <v>0</v>
      </c>
      <c r="AD44" s="116">
        <f>Ruimtestaat[[#This Row],[uren / jaar weekend]]*Tariefsopbouw!$D$40</f>
        <v>0</v>
      </c>
      <c r="AE44" s="82">
        <f>Ruimtestaat[[#This Row],[Prest. (m2 /jaar) weekend]]+Ruimtestaat[[#This Row],[Prest. (m2 /jaar) werkdagen]]</f>
        <v>11040</v>
      </c>
      <c r="AF44" s="82">
        <f>Ruimtestaat[[#This Row],[uren / jaar weekend]]+Ruimtestaat[[#This Row],[uren / jaar werkdagen]]</f>
        <v>0</v>
      </c>
      <c r="AG44" s="83">
        <f>Ruimtestaat[[#This Row],[kosten / jaar weekend]]+Ruimtestaat[[#This Row],[kosten / jaar werkdagen]]</f>
        <v>0</v>
      </c>
      <c r="AH44" s="117"/>
      <c r="HL44" s="87"/>
    </row>
    <row r="45" spans="1:220" ht="15" customHeight="1">
      <c r="A45" s="136">
        <v>1</v>
      </c>
      <c r="B45" s="27" t="str">
        <f>VLOOKUP(Ruimtestaat[[#This Row],[Code]],Locaties[#All],2,FALSE)</f>
        <v>Hoornbeeck College Gouda</v>
      </c>
      <c r="C45" s="27" t="str">
        <f>VLOOKUP(Ruimtestaat[[#This Row],[Code]],Locaties[#All],4,FALSE)</f>
        <v>Noordelijk Halfrond 10</v>
      </c>
      <c r="D45" s="27" t="str">
        <f>VLOOKUP(Ruimtestaat[[#This Row],[Code]],Locaties[#All],5,FALSE)</f>
        <v>2801 DE</v>
      </c>
      <c r="E45" s="27" t="str">
        <f>VLOOKUP(Ruimtestaat[[#This Row],[Code]],Locaties[#All],6,FALSE)</f>
        <v>Gouda</v>
      </c>
      <c r="F45" s="74" t="s">
        <v>465</v>
      </c>
      <c r="G45" s="285" t="s">
        <v>505</v>
      </c>
      <c r="H45" s="286" t="s">
        <v>489</v>
      </c>
      <c r="I45" s="287" t="s">
        <v>652</v>
      </c>
      <c r="J45" s="288">
        <v>1</v>
      </c>
      <c r="K45" s="74" t="str">
        <f>VLOOKUP(J45,Ruimtegroepen[],2,FALSE)</f>
        <v>Magazijnen/bergingen</v>
      </c>
      <c r="L45" s="285" t="s">
        <v>111</v>
      </c>
      <c r="M45" s="287" t="s">
        <v>467</v>
      </c>
      <c r="N45" s="289">
        <v>12</v>
      </c>
      <c r="O45" s="290"/>
      <c r="P45" s="118" t="str">
        <f>LEFT(VLOOKUP(Ruimtestaat[[#This Row],[Ruimte code]],Ruimtegroepen[#All],4,1),2)</f>
        <v>Ve</v>
      </c>
      <c r="Q45" s="107"/>
      <c r="R45" s="108">
        <v>40</v>
      </c>
      <c r="S45" s="109" t="s">
        <v>16</v>
      </c>
      <c r="T45" s="110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45" s="110">
        <f>IF(T45&gt;0,VLOOKUP($J45,Ruimtegroepen[],3,FALSE)*VLOOKUP($L45,Vloersoorten[],3,FALSE)*VLOOKUP($S45,Frequenties[],3,FALSE)*VLOOKUP($A45,Locaties[],3,FALSE),0)</f>
        <v>0</v>
      </c>
      <c r="V45" s="111">
        <f>Ruimtestaat[[#This Row],[Uitvoeringen werkdagen]]*Ruimtestaat[[#This Row],[Oppervlak (netto)]]</f>
        <v>144</v>
      </c>
      <c r="W45" s="112">
        <f>IF(U45&gt;0,Ruimtestaat[[#This Row],[Prest. (m2 /jaar) werkdagen]]/Ruimtestaat[[#This Row],[Norm (m2/uur) werkdagen]],0)</f>
        <v>0</v>
      </c>
      <c r="X45" s="113">
        <f>Ruimtestaat[[#This Row],[uren / jaar werkdagen]]*Tariefsopbouw!$E$35</f>
        <v>0</v>
      </c>
      <c r="Y45" s="110"/>
      <c r="Z45" s="114">
        <f>IF(Ruimtestaat[[#This Row],[Frequentie weekend]]&gt;0,VALUE(LEFT(Y45,1))*R45,0)</f>
        <v>0</v>
      </c>
      <c r="AA45" s="110">
        <f>IF($Z45&gt;0,VLOOKUP($J45,Ruimtegroepen[],3,FALSE)*VLOOKUP($L45,Vloersoorten[],3,FALSE)*VLOOKUP($Y45,Frequenties[],3,FALSE)*VLOOKUP($A41,Locaties[],3,FALSE),0)</f>
        <v>0</v>
      </c>
      <c r="AB45" s="112">
        <f>Ruimtestaat[[#This Row],[Uitvoeringen weekend]]*Ruimtestaat[[#This Row],[Oppervlak (netto)]]</f>
        <v>0</v>
      </c>
      <c r="AC45" s="115">
        <f>IF(AB45&gt;0,Ruimtestaat[[#This Row],[Prest. (m2 /jaar) weekend]]/Ruimtestaat[[#This Row],[Norm (m2/uur) weekend]],0)</f>
        <v>0</v>
      </c>
      <c r="AD45" s="116">
        <f>Ruimtestaat[[#This Row],[uren / jaar weekend]]*Tariefsopbouw!$D$40</f>
        <v>0</v>
      </c>
      <c r="AE45" s="82">
        <f>Ruimtestaat[[#This Row],[Prest. (m2 /jaar) weekend]]+Ruimtestaat[[#This Row],[Prest. (m2 /jaar) werkdagen]]</f>
        <v>144</v>
      </c>
      <c r="AF45" s="82">
        <f>Ruimtestaat[[#This Row],[uren / jaar weekend]]+Ruimtestaat[[#This Row],[uren / jaar werkdagen]]</f>
        <v>0</v>
      </c>
      <c r="AG45" s="83">
        <f>Ruimtestaat[[#This Row],[kosten / jaar weekend]]+Ruimtestaat[[#This Row],[kosten / jaar werkdagen]]</f>
        <v>0</v>
      </c>
      <c r="AH45" s="117"/>
      <c r="HL45" s="87"/>
    </row>
    <row r="46" spans="1:220" ht="15" customHeight="1">
      <c r="A46" s="136">
        <v>1</v>
      </c>
      <c r="B46" s="27" t="str">
        <f>VLOOKUP(Ruimtestaat[[#This Row],[Code]],Locaties[#All],2,FALSE)</f>
        <v>Hoornbeeck College Gouda</v>
      </c>
      <c r="C46" s="27" t="str">
        <f>VLOOKUP(Ruimtestaat[[#This Row],[Code]],Locaties[#All],4,FALSE)</f>
        <v>Noordelijk Halfrond 10</v>
      </c>
      <c r="D46" s="27" t="str">
        <f>VLOOKUP(Ruimtestaat[[#This Row],[Code]],Locaties[#All],5,FALSE)</f>
        <v>2801 DE</v>
      </c>
      <c r="E46" s="27" t="str">
        <f>VLOOKUP(Ruimtestaat[[#This Row],[Code]],Locaties[#All],6,FALSE)</f>
        <v>Gouda</v>
      </c>
      <c r="F46" s="74" t="s">
        <v>465</v>
      </c>
      <c r="G46" s="285" t="s">
        <v>505</v>
      </c>
      <c r="H46" s="286" t="s">
        <v>490</v>
      </c>
      <c r="I46" s="287" t="s">
        <v>653</v>
      </c>
      <c r="J46" s="288">
        <v>16</v>
      </c>
      <c r="K46" s="74" t="str">
        <f>VLOOKUP(J46,Ruimtegroepen[],2,FALSE)</f>
        <v>Leslokalen</v>
      </c>
      <c r="L46" s="285" t="s">
        <v>110</v>
      </c>
      <c r="M46" s="287" t="s">
        <v>38</v>
      </c>
      <c r="N46" s="289">
        <v>35.6</v>
      </c>
      <c r="O46" s="285"/>
      <c r="P46" s="118" t="str">
        <f>LEFT(VLOOKUP(Ruimtestaat[[#This Row],[Ruimte code]],Ruimtegroepen[#All],4,1),2)</f>
        <v>Le</v>
      </c>
      <c r="Q46" s="107"/>
      <c r="R46" s="108">
        <v>40</v>
      </c>
      <c r="S46" s="109" t="s">
        <v>2</v>
      </c>
      <c r="T46" s="110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110">
        <f>IF(T46&gt;0,VLOOKUP($J46,Ruimtegroepen[],3,FALSE)*VLOOKUP($L46,Vloersoorten[],3,FALSE)*VLOOKUP($S46,Frequenties[],3,FALSE)*VLOOKUP($A46,Locaties[],3,FALSE),0)</f>
        <v>0</v>
      </c>
      <c r="V46" s="111">
        <f>Ruimtestaat[[#This Row],[Uitvoeringen werkdagen]]*Ruimtestaat[[#This Row],[Oppervlak (netto)]]</f>
        <v>7120</v>
      </c>
      <c r="W46" s="112">
        <f>IF(U46&gt;0,Ruimtestaat[[#This Row],[Prest. (m2 /jaar) werkdagen]]/Ruimtestaat[[#This Row],[Norm (m2/uur) werkdagen]],0)</f>
        <v>0</v>
      </c>
      <c r="X46" s="113">
        <f>Ruimtestaat[[#This Row],[uren / jaar werkdagen]]*Tariefsopbouw!$E$35</f>
        <v>0</v>
      </c>
      <c r="Y46" s="110"/>
      <c r="Z46" s="114">
        <f>IF(Ruimtestaat[[#This Row],[Frequentie weekend]]&gt;0,VALUE(LEFT(Y46,1))*R46,0)</f>
        <v>0</v>
      </c>
      <c r="AA46" s="110">
        <f>IF($Z46&gt;0,VLOOKUP($J46,Ruimtegroepen[],3,FALSE)*VLOOKUP($L46,Vloersoorten[],3,FALSE)*VLOOKUP($Y46,Frequenties[],3,FALSE)*VLOOKUP($A42,Locaties[],3,FALSE),0)</f>
        <v>0</v>
      </c>
      <c r="AB46" s="112">
        <f>Ruimtestaat[[#This Row],[Uitvoeringen weekend]]*Ruimtestaat[[#This Row],[Oppervlak (netto)]]</f>
        <v>0</v>
      </c>
      <c r="AC46" s="115">
        <f>IF(AB46&gt;0,Ruimtestaat[[#This Row],[Prest. (m2 /jaar) weekend]]/Ruimtestaat[[#This Row],[Norm (m2/uur) weekend]],0)</f>
        <v>0</v>
      </c>
      <c r="AD46" s="116">
        <f>Ruimtestaat[[#This Row],[uren / jaar weekend]]*Tariefsopbouw!$D$40</f>
        <v>0</v>
      </c>
      <c r="AE46" s="82">
        <f>Ruimtestaat[[#This Row],[Prest. (m2 /jaar) weekend]]+Ruimtestaat[[#This Row],[Prest. (m2 /jaar) werkdagen]]</f>
        <v>7120</v>
      </c>
      <c r="AF46" s="82">
        <f>Ruimtestaat[[#This Row],[uren / jaar weekend]]+Ruimtestaat[[#This Row],[uren / jaar werkdagen]]</f>
        <v>0</v>
      </c>
      <c r="AG46" s="83">
        <f>Ruimtestaat[[#This Row],[kosten / jaar weekend]]+Ruimtestaat[[#This Row],[kosten / jaar werkdagen]]</f>
        <v>0</v>
      </c>
      <c r="AH46" s="117"/>
      <c r="HL46" s="87"/>
    </row>
    <row r="47" spans="1:220" ht="15" customHeight="1">
      <c r="A47" s="136">
        <v>1</v>
      </c>
      <c r="B47" s="27" t="str">
        <f>VLOOKUP(Ruimtestaat[[#This Row],[Code]],Locaties[#All],2,FALSE)</f>
        <v>Hoornbeeck College Gouda</v>
      </c>
      <c r="C47" s="27" t="str">
        <f>VLOOKUP(Ruimtestaat[[#This Row],[Code]],Locaties[#All],4,FALSE)</f>
        <v>Noordelijk Halfrond 10</v>
      </c>
      <c r="D47" s="27" t="str">
        <f>VLOOKUP(Ruimtestaat[[#This Row],[Code]],Locaties[#All],5,FALSE)</f>
        <v>2801 DE</v>
      </c>
      <c r="E47" s="27" t="str">
        <f>VLOOKUP(Ruimtestaat[[#This Row],[Code]],Locaties[#All],6,FALSE)</f>
        <v>Gouda</v>
      </c>
      <c r="F47" s="74" t="s">
        <v>465</v>
      </c>
      <c r="G47" s="285" t="s">
        <v>505</v>
      </c>
      <c r="H47" s="286" t="s">
        <v>491</v>
      </c>
      <c r="I47" s="287" t="s">
        <v>653</v>
      </c>
      <c r="J47" s="288">
        <v>16</v>
      </c>
      <c r="K47" s="74" t="str">
        <f>VLOOKUP(J47,Ruimtegroepen[],2,FALSE)</f>
        <v>Leslokalen</v>
      </c>
      <c r="L47" s="285" t="s">
        <v>110</v>
      </c>
      <c r="M47" s="287" t="s">
        <v>38</v>
      </c>
      <c r="N47" s="289">
        <v>38.9</v>
      </c>
      <c r="O47" s="290"/>
      <c r="P47" s="118" t="str">
        <f>LEFT(VLOOKUP(Ruimtestaat[[#This Row],[Ruimte code]],Ruimtegroepen[#All],4,1),2)</f>
        <v>Le</v>
      </c>
      <c r="Q47" s="107"/>
      <c r="R47" s="108">
        <v>40</v>
      </c>
      <c r="S47" s="109" t="s">
        <v>2</v>
      </c>
      <c r="T47" s="110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" s="110">
        <f>IF(T47&gt;0,VLOOKUP($J47,Ruimtegroepen[],3,FALSE)*VLOOKUP($L47,Vloersoorten[],3,FALSE)*VLOOKUP($S47,Frequenties[],3,FALSE)*VLOOKUP($A47,Locaties[],3,FALSE),0)</f>
        <v>0</v>
      </c>
      <c r="V47" s="111">
        <f>Ruimtestaat[[#This Row],[Uitvoeringen werkdagen]]*Ruimtestaat[[#This Row],[Oppervlak (netto)]]</f>
        <v>7780</v>
      </c>
      <c r="W47" s="112">
        <f>IF(U47&gt;0,Ruimtestaat[[#This Row],[Prest. (m2 /jaar) werkdagen]]/Ruimtestaat[[#This Row],[Norm (m2/uur) werkdagen]],0)</f>
        <v>0</v>
      </c>
      <c r="X47" s="113">
        <f>Ruimtestaat[[#This Row],[uren / jaar werkdagen]]*Tariefsopbouw!$E$35</f>
        <v>0</v>
      </c>
      <c r="Y47" s="110"/>
      <c r="Z47" s="114">
        <f>IF(Ruimtestaat[[#This Row],[Frequentie weekend]]&gt;0,VALUE(LEFT(Y47,1))*R47,0)</f>
        <v>0</v>
      </c>
      <c r="AA47" s="110">
        <f>IF($Z47&gt;0,VLOOKUP($J47,Ruimtegroepen[],3,FALSE)*VLOOKUP($L47,Vloersoorten[],3,FALSE)*VLOOKUP($Y47,Frequenties[],3,FALSE)*VLOOKUP($A42,Locaties[],3,FALSE),0)</f>
        <v>0</v>
      </c>
      <c r="AB47" s="112">
        <f>Ruimtestaat[[#This Row],[Uitvoeringen weekend]]*Ruimtestaat[[#This Row],[Oppervlak (netto)]]</f>
        <v>0</v>
      </c>
      <c r="AC47" s="115">
        <f>IF(AB47&gt;0,Ruimtestaat[[#This Row],[Prest. (m2 /jaar) weekend]]/Ruimtestaat[[#This Row],[Norm (m2/uur) weekend]],0)</f>
        <v>0</v>
      </c>
      <c r="AD47" s="116">
        <f>Ruimtestaat[[#This Row],[uren / jaar weekend]]*Tariefsopbouw!$D$40</f>
        <v>0</v>
      </c>
      <c r="AE47" s="82">
        <f>Ruimtestaat[[#This Row],[Prest. (m2 /jaar) weekend]]+Ruimtestaat[[#This Row],[Prest. (m2 /jaar) werkdagen]]</f>
        <v>7780</v>
      </c>
      <c r="AF47" s="82">
        <f>Ruimtestaat[[#This Row],[uren / jaar weekend]]+Ruimtestaat[[#This Row],[uren / jaar werkdagen]]</f>
        <v>0</v>
      </c>
      <c r="AG47" s="83">
        <f>Ruimtestaat[[#This Row],[kosten / jaar weekend]]+Ruimtestaat[[#This Row],[kosten / jaar werkdagen]]</f>
        <v>0</v>
      </c>
      <c r="AH47" s="117"/>
      <c r="HL47" s="87"/>
    </row>
    <row r="48" spans="1:220" ht="15" customHeight="1">
      <c r="A48" s="136">
        <v>1</v>
      </c>
      <c r="B48" s="27" t="str">
        <f>VLOOKUP(Ruimtestaat[[#This Row],[Code]],Locaties[#All],2,FALSE)</f>
        <v>Hoornbeeck College Gouda</v>
      </c>
      <c r="C48" s="27" t="str">
        <f>VLOOKUP(Ruimtestaat[[#This Row],[Code]],Locaties[#All],4,FALSE)</f>
        <v>Noordelijk Halfrond 10</v>
      </c>
      <c r="D48" s="27" t="str">
        <f>VLOOKUP(Ruimtestaat[[#This Row],[Code]],Locaties[#All],5,FALSE)</f>
        <v>2801 DE</v>
      </c>
      <c r="E48" s="27" t="str">
        <f>VLOOKUP(Ruimtestaat[[#This Row],[Code]],Locaties[#All],6,FALSE)</f>
        <v>Gouda</v>
      </c>
      <c r="F48" s="74" t="s">
        <v>465</v>
      </c>
      <c r="G48" s="285" t="s">
        <v>505</v>
      </c>
      <c r="H48" s="286" t="s">
        <v>492</v>
      </c>
      <c r="I48" s="287" t="s">
        <v>653</v>
      </c>
      <c r="J48" s="288">
        <v>16</v>
      </c>
      <c r="K48" s="74" t="str">
        <f>VLOOKUP(J48,Ruimtegroepen[],2,FALSE)</f>
        <v>Leslokalen</v>
      </c>
      <c r="L48" s="285" t="s">
        <v>110</v>
      </c>
      <c r="M48" s="287" t="s">
        <v>38</v>
      </c>
      <c r="N48" s="289">
        <v>51.3</v>
      </c>
      <c r="O48" s="290"/>
      <c r="P48" s="118" t="str">
        <f>LEFT(VLOOKUP(Ruimtestaat[[#This Row],[Ruimte code]],Ruimtegroepen[#All],4,1),2)</f>
        <v>Le</v>
      </c>
      <c r="Q48" s="107"/>
      <c r="R48" s="108">
        <v>40</v>
      </c>
      <c r="S48" s="109" t="s">
        <v>2</v>
      </c>
      <c r="T48" s="110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" s="110">
        <f>IF(T48&gt;0,VLOOKUP($J48,Ruimtegroepen[],3,FALSE)*VLOOKUP($L48,Vloersoorten[],3,FALSE)*VLOOKUP($S48,Frequenties[],3,FALSE)*VLOOKUP($A48,Locaties[],3,FALSE),0)</f>
        <v>0</v>
      </c>
      <c r="V48" s="111">
        <f>Ruimtestaat[[#This Row],[Uitvoeringen werkdagen]]*Ruimtestaat[[#This Row],[Oppervlak (netto)]]</f>
        <v>10260</v>
      </c>
      <c r="W48" s="112">
        <f>IF(U48&gt;0,Ruimtestaat[[#This Row],[Prest. (m2 /jaar) werkdagen]]/Ruimtestaat[[#This Row],[Norm (m2/uur) werkdagen]],0)</f>
        <v>0</v>
      </c>
      <c r="X48" s="113">
        <f>Ruimtestaat[[#This Row],[uren / jaar werkdagen]]*Tariefsopbouw!$E$35</f>
        <v>0</v>
      </c>
      <c r="Y48" s="110"/>
      <c r="Z48" s="114">
        <f>IF(Ruimtestaat[[#This Row],[Frequentie weekend]]&gt;0,VALUE(LEFT(Y48,1))*R48,0)</f>
        <v>0</v>
      </c>
      <c r="AA48" s="110">
        <f>IF($Z48&gt;0,VLOOKUP($J48,Ruimtegroepen[],3,FALSE)*VLOOKUP($L48,Vloersoorten[],3,FALSE)*VLOOKUP($Y48,Frequenties[],3,FALSE)*VLOOKUP($A43,Locaties[],3,FALSE),0)</f>
        <v>0</v>
      </c>
      <c r="AB48" s="112">
        <f>Ruimtestaat[[#This Row],[Uitvoeringen weekend]]*Ruimtestaat[[#This Row],[Oppervlak (netto)]]</f>
        <v>0</v>
      </c>
      <c r="AC48" s="115">
        <f>IF(AB48&gt;0,Ruimtestaat[[#This Row],[Prest. (m2 /jaar) weekend]]/Ruimtestaat[[#This Row],[Norm (m2/uur) weekend]],0)</f>
        <v>0</v>
      </c>
      <c r="AD48" s="116">
        <f>Ruimtestaat[[#This Row],[uren / jaar weekend]]*Tariefsopbouw!$D$40</f>
        <v>0</v>
      </c>
      <c r="AE48" s="82">
        <f>Ruimtestaat[[#This Row],[Prest. (m2 /jaar) weekend]]+Ruimtestaat[[#This Row],[Prest. (m2 /jaar) werkdagen]]</f>
        <v>10260</v>
      </c>
      <c r="AF48" s="82">
        <f>Ruimtestaat[[#This Row],[uren / jaar weekend]]+Ruimtestaat[[#This Row],[uren / jaar werkdagen]]</f>
        <v>0</v>
      </c>
      <c r="AG48" s="83">
        <f>Ruimtestaat[[#This Row],[kosten / jaar weekend]]+Ruimtestaat[[#This Row],[kosten / jaar werkdagen]]</f>
        <v>0</v>
      </c>
      <c r="AH48" s="117"/>
      <c r="HL48" s="87"/>
    </row>
    <row r="49" spans="1:220" ht="15" customHeight="1">
      <c r="A49" s="136">
        <v>1</v>
      </c>
      <c r="B49" s="27" t="str">
        <f>VLOOKUP(Ruimtestaat[[#This Row],[Code]],Locaties[#All],2,FALSE)</f>
        <v>Hoornbeeck College Gouda</v>
      </c>
      <c r="C49" s="27" t="str">
        <f>VLOOKUP(Ruimtestaat[[#This Row],[Code]],Locaties[#All],4,FALSE)</f>
        <v>Noordelijk Halfrond 10</v>
      </c>
      <c r="D49" s="27" t="str">
        <f>VLOOKUP(Ruimtestaat[[#This Row],[Code]],Locaties[#All],5,FALSE)</f>
        <v>2801 DE</v>
      </c>
      <c r="E49" s="27" t="str">
        <f>VLOOKUP(Ruimtestaat[[#This Row],[Code]],Locaties[#All],6,FALSE)</f>
        <v>Gouda</v>
      </c>
      <c r="F49" s="74" t="s">
        <v>465</v>
      </c>
      <c r="G49" s="285" t="s">
        <v>505</v>
      </c>
      <c r="H49" s="286" t="s">
        <v>493</v>
      </c>
      <c r="I49" s="287" t="s">
        <v>654</v>
      </c>
      <c r="J49" s="288">
        <v>16</v>
      </c>
      <c r="K49" s="74" t="str">
        <f>VLOOKUP(J49,Ruimtegroepen[],2,FALSE)</f>
        <v>Leslokalen</v>
      </c>
      <c r="L49" s="285" t="s">
        <v>110</v>
      </c>
      <c r="M49" s="287" t="s">
        <v>38</v>
      </c>
      <c r="N49" s="289">
        <v>57.1</v>
      </c>
      <c r="O49" s="285"/>
      <c r="P49" s="118" t="str">
        <f>LEFT(VLOOKUP(Ruimtestaat[[#This Row],[Ruimte code]],Ruimtegroepen[#All],4,1),2)</f>
        <v>Le</v>
      </c>
      <c r="Q49" s="107"/>
      <c r="R49" s="108">
        <v>40</v>
      </c>
      <c r="S49" s="109" t="s">
        <v>2</v>
      </c>
      <c r="T49" s="110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110">
        <f>IF(T49&gt;0,VLOOKUP($J49,Ruimtegroepen[],3,FALSE)*VLOOKUP($L49,Vloersoorten[],3,FALSE)*VLOOKUP($S49,Frequenties[],3,FALSE)*VLOOKUP($A49,Locaties[],3,FALSE),0)</f>
        <v>0</v>
      </c>
      <c r="V49" s="111">
        <f>Ruimtestaat[[#This Row],[Uitvoeringen werkdagen]]*Ruimtestaat[[#This Row],[Oppervlak (netto)]]</f>
        <v>11420</v>
      </c>
      <c r="W49" s="112">
        <f>IF(U49&gt;0,Ruimtestaat[[#This Row],[Prest. (m2 /jaar) werkdagen]]/Ruimtestaat[[#This Row],[Norm (m2/uur) werkdagen]],0)</f>
        <v>0</v>
      </c>
      <c r="X49" s="113">
        <f>Ruimtestaat[[#This Row],[uren / jaar werkdagen]]*Tariefsopbouw!$E$35</f>
        <v>0</v>
      </c>
      <c r="Y49" s="110"/>
      <c r="Z49" s="114">
        <f>IF(Ruimtestaat[[#This Row],[Frequentie weekend]]&gt;0,VALUE(LEFT(Y49,1))*R49,0)</f>
        <v>0</v>
      </c>
      <c r="AA49" s="110">
        <f>IF($Z49&gt;0,VLOOKUP($J49,Ruimtegroepen[],3,FALSE)*VLOOKUP($L49,Vloersoorten[],3,FALSE)*VLOOKUP($Y49,Frequenties[],3,FALSE)*VLOOKUP($A44,Locaties[],3,FALSE),0)</f>
        <v>0</v>
      </c>
      <c r="AB49" s="112">
        <f>Ruimtestaat[[#This Row],[Uitvoeringen weekend]]*Ruimtestaat[[#This Row],[Oppervlak (netto)]]</f>
        <v>0</v>
      </c>
      <c r="AC49" s="115">
        <f>IF(AB49&gt;0,Ruimtestaat[[#This Row],[Prest. (m2 /jaar) weekend]]/Ruimtestaat[[#This Row],[Norm (m2/uur) weekend]],0)</f>
        <v>0</v>
      </c>
      <c r="AD49" s="116">
        <f>Ruimtestaat[[#This Row],[uren / jaar weekend]]*Tariefsopbouw!$D$40</f>
        <v>0</v>
      </c>
      <c r="AE49" s="82">
        <f>Ruimtestaat[[#This Row],[Prest. (m2 /jaar) weekend]]+Ruimtestaat[[#This Row],[Prest. (m2 /jaar) werkdagen]]</f>
        <v>11420</v>
      </c>
      <c r="AF49" s="82">
        <f>Ruimtestaat[[#This Row],[uren / jaar weekend]]+Ruimtestaat[[#This Row],[uren / jaar werkdagen]]</f>
        <v>0</v>
      </c>
      <c r="AG49" s="83">
        <f>Ruimtestaat[[#This Row],[kosten / jaar weekend]]+Ruimtestaat[[#This Row],[kosten / jaar werkdagen]]</f>
        <v>0</v>
      </c>
      <c r="AH49" s="117"/>
      <c r="HL49" s="87"/>
    </row>
    <row r="50" spans="1:220" ht="15" customHeight="1">
      <c r="A50" s="136">
        <v>1</v>
      </c>
      <c r="B50" s="27" t="str">
        <f>VLOOKUP(Ruimtestaat[[#This Row],[Code]],Locaties[#All],2,FALSE)</f>
        <v>Hoornbeeck College Gouda</v>
      </c>
      <c r="C50" s="27" t="str">
        <f>VLOOKUP(Ruimtestaat[[#This Row],[Code]],Locaties[#All],4,FALSE)</f>
        <v>Noordelijk Halfrond 10</v>
      </c>
      <c r="D50" s="27" t="str">
        <f>VLOOKUP(Ruimtestaat[[#This Row],[Code]],Locaties[#All],5,FALSE)</f>
        <v>2801 DE</v>
      </c>
      <c r="E50" s="27" t="str">
        <f>VLOOKUP(Ruimtestaat[[#This Row],[Code]],Locaties[#All],6,FALSE)</f>
        <v>Gouda</v>
      </c>
      <c r="F50" s="74" t="s">
        <v>465</v>
      </c>
      <c r="G50" s="285" t="s">
        <v>505</v>
      </c>
      <c r="H50" s="286" t="s">
        <v>494</v>
      </c>
      <c r="I50" s="287" t="s">
        <v>655</v>
      </c>
      <c r="J50" s="288">
        <v>1</v>
      </c>
      <c r="K50" s="74" t="str">
        <f>VLOOKUP(J50,Ruimtegroepen[],2,FALSE)</f>
        <v>Magazijnen/bergingen</v>
      </c>
      <c r="L50" s="285" t="s">
        <v>110</v>
      </c>
      <c r="M50" s="287" t="s">
        <v>38</v>
      </c>
      <c r="N50" s="289">
        <v>10.7</v>
      </c>
      <c r="O50" s="290"/>
      <c r="P50" s="118" t="str">
        <f>LEFT(VLOOKUP(Ruimtestaat[[#This Row],[Ruimte code]],Ruimtegroepen[#All],4,1),2)</f>
        <v>Ve</v>
      </c>
      <c r="Q50" s="107"/>
      <c r="R50" s="108">
        <v>40</v>
      </c>
      <c r="S50" s="109" t="s">
        <v>16</v>
      </c>
      <c r="T50" s="110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0" s="110">
        <f>IF(T50&gt;0,VLOOKUP($J50,Ruimtegroepen[],3,FALSE)*VLOOKUP($L50,Vloersoorten[],3,FALSE)*VLOOKUP($S50,Frequenties[],3,FALSE)*VLOOKUP($A50,Locaties[],3,FALSE),0)</f>
        <v>0</v>
      </c>
      <c r="V50" s="111">
        <f>Ruimtestaat[[#This Row],[Uitvoeringen werkdagen]]*Ruimtestaat[[#This Row],[Oppervlak (netto)]]</f>
        <v>128.39999999999998</v>
      </c>
      <c r="W50" s="112">
        <f>IF(U50&gt;0,Ruimtestaat[[#This Row],[Prest. (m2 /jaar) werkdagen]]/Ruimtestaat[[#This Row],[Norm (m2/uur) werkdagen]],0)</f>
        <v>0</v>
      </c>
      <c r="X50" s="113">
        <f>Ruimtestaat[[#This Row],[uren / jaar werkdagen]]*Tariefsopbouw!$E$35</f>
        <v>0</v>
      </c>
      <c r="Y50" s="110"/>
      <c r="Z50" s="114">
        <f>IF(Ruimtestaat[[#This Row],[Frequentie weekend]]&gt;0,VALUE(LEFT(Y50,1))*R50,0)</f>
        <v>0</v>
      </c>
      <c r="AA50" s="110">
        <f>IF($Z50&gt;0,VLOOKUP($J50,Ruimtegroepen[],3,FALSE)*VLOOKUP($L50,Vloersoorten[],3,FALSE)*VLOOKUP($Y50,Frequenties[],3,FALSE)*VLOOKUP($A44,Locaties[],3,FALSE),0)</f>
        <v>0</v>
      </c>
      <c r="AB50" s="112">
        <f>Ruimtestaat[[#This Row],[Uitvoeringen weekend]]*Ruimtestaat[[#This Row],[Oppervlak (netto)]]</f>
        <v>0</v>
      </c>
      <c r="AC50" s="115">
        <f>IF(AB50&gt;0,Ruimtestaat[[#This Row],[Prest. (m2 /jaar) weekend]]/Ruimtestaat[[#This Row],[Norm (m2/uur) weekend]],0)</f>
        <v>0</v>
      </c>
      <c r="AD50" s="116">
        <f>Ruimtestaat[[#This Row],[uren / jaar weekend]]*Tariefsopbouw!$D$40</f>
        <v>0</v>
      </c>
      <c r="AE50" s="82">
        <f>Ruimtestaat[[#This Row],[Prest. (m2 /jaar) weekend]]+Ruimtestaat[[#This Row],[Prest. (m2 /jaar) werkdagen]]</f>
        <v>128.39999999999998</v>
      </c>
      <c r="AF50" s="82">
        <f>Ruimtestaat[[#This Row],[uren / jaar weekend]]+Ruimtestaat[[#This Row],[uren / jaar werkdagen]]</f>
        <v>0</v>
      </c>
      <c r="AG50" s="83">
        <f>Ruimtestaat[[#This Row],[kosten / jaar weekend]]+Ruimtestaat[[#This Row],[kosten / jaar werkdagen]]</f>
        <v>0</v>
      </c>
      <c r="AH50" s="117"/>
      <c r="HL50" s="87"/>
    </row>
    <row r="51" spans="1:220" ht="15" customHeight="1">
      <c r="A51" s="136">
        <v>1</v>
      </c>
      <c r="B51" s="27" t="str">
        <f>VLOOKUP(Ruimtestaat[[#This Row],[Code]],Locaties[#All],2,FALSE)</f>
        <v>Hoornbeeck College Gouda</v>
      </c>
      <c r="C51" s="27" t="str">
        <f>VLOOKUP(Ruimtestaat[[#This Row],[Code]],Locaties[#All],4,FALSE)</f>
        <v>Noordelijk Halfrond 10</v>
      </c>
      <c r="D51" s="27" t="str">
        <f>VLOOKUP(Ruimtestaat[[#This Row],[Code]],Locaties[#All],5,FALSE)</f>
        <v>2801 DE</v>
      </c>
      <c r="E51" s="27" t="str">
        <f>VLOOKUP(Ruimtestaat[[#This Row],[Code]],Locaties[#All],6,FALSE)</f>
        <v>Gouda</v>
      </c>
      <c r="F51" s="74" t="s">
        <v>465</v>
      </c>
      <c r="G51" s="285" t="s">
        <v>505</v>
      </c>
      <c r="H51" s="286" t="s">
        <v>495</v>
      </c>
      <c r="I51" s="287" t="s">
        <v>653</v>
      </c>
      <c r="J51" s="288">
        <v>16</v>
      </c>
      <c r="K51" s="74" t="str">
        <f>VLOOKUP(J51,Ruimtegroepen[],2,FALSE)</f>
        <v>Leslokalen</v>
      </c>
      <c r="L51" s="285" t="s">
        <v>110</v>
      </c>
      <c r="M51" s="287" t="s">
        <v>38</v>
      </c>
      <c r="N51" s="289">
        <v>42.3</v>
      </c>
      <c r="O51" s="290"/>
      <c r="P51" s="118" t="str">
        <f>LEFT(VLOOKUP(Ruimtestaat[[#This Row],[Ruimte code]],Ruimtegroepen[#All],4,1),2)</f>
        <v>Le</v>
      </c>
      <c r="Q51" s="107"/>
      <c r="R51" s="108">
        <v>40</v>
      </c>
      <c r="S51" s="109" t="s">
        <v>2</v>
      </c>
      <c r="T51" s="110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110">
        <f>IF(T51&gt;0,VLOOKUP($J51,Ruimtegroepen[],3,FALSE)*VLOOKUP($L51,Vloersoorten[],3,FALSE)*VLOOKUP($S51,Frequenties[],3,FALSE)*VLOOKUP($A51,Locaties[],3,FALSE),0)</f>
        <v>0</v>
      </c>
      <c r="V51" s="111">
        <f>Ruimtestaat[[#This Row],[Uitvoeringen werkdagen]]*Ruimtestaat[[#This Row],[Oppervlak (netto)]]</f>
        <v>8460</v>
      </c>
      <c r="W51" s="112">
        <f>IF(U51&gt;0,Ruimtestaat[[#This Row],[Prest. (m2 /jaar) werkdagen]]/Ruimtestaat[[#This Row],[Norm (m2/uur) werkdagen]],0)</f>
        <v>0</v>
      </c>
      <c r="X51" s="113">
        <f>Ruimtestaat[[#This Row],[uren / jaar werkdagen]]*Tariefsopbouw!$E$35</f>
        <v>0</v>
      </c>
      <c r="Y51" s="110"/>
      <c r="Z51" s="114">
        <f>IF(Ruimtestaat[[#This Row],[Frequentie weekend]]&gt;0,VALUE(LEFT(Y51,1))*R51,0)</f>
        <v>0</v>
      </c>
      <c r="AA51" s="110">
        <f>IF($Z51&gt;0,VLOOKUP($J51,Ruimtegroepen[],3,FALSE)*VLOOKUP($L51,Vloersoorten[],3,FALSE)*VLOOKUP($Y51,Frequenties[],3,FALSE)*VLOOKUP($A47,Locaties[],3,FALSE),0)</f>
        <v>0</v>
      </c>
      <c r="AB51" s="112">
        <f>Ruimtestaat[[#This Row],[Uitvoeringen weekend]]*Ruimtestaat[[#This Row],[Oppervlak (netto)]]</f>
        <v>0</v>
      </c>
      <c r="AC51" s="115">
        <f>IF(AB51&gt;0,Ruimtestaat[[#This Row],[Prest. (m2 /jaar) weekend]]/Ruimtestaat[[#This Row],[Norm (m2/uur) weekend]],0)</f>
        <v>0</v>
      </c>
      <c r="AD51" s="116">
        <f>Ruimtestaat[[#This Row],[uren / jaar weekend]]*Tariefsopbouw!$D$40</f>
        <v>0</v>
      </c>
      <c r="AE51" s="82">
        <f>Ruimtestaat[[#This Row],[Prest. (m2 /jaar) weekend]]+Ruimtestaat[[#This Row],[Prest. (m2 /jaar) werkdagen]]</f>
        <v>8460</v>
      </c>
      <c r="AF51" s="82">
        <f>Ruimtestaat[[#This Row],[uren / jaar weekend]]+Ruimtestaat[[#This Row],[uren / jaar werkdagen]]</f>
        <v>0</v>
      </c>
      <c r="AG51" s="83">
        <f>Ruimtestaat[[#This Row],[kosten / jaar weekend]]+Ruimtestaat[[#This Row],[kosten / jaar werkdagen]]</f>
        <v>0</v>
      </c>
      <c r="AH51" s="117"/>
      <c r="HL51" s="87"/>
    </row>
    <row r="52" spans="1:220" ht="15" customHeight="1">
      <c r="A52" s="136">
        <v>1</v>
      </c>
      <c r="B52" s="27" t="str">
        <f>VLOOKUP(Ruimtestaat[[#This Row],[Code]],Locaties[#All],2,FALSE)</f>
        <v>Hoornbeeck College Gouda</v>
      </c>
      <c r="C52" s="27" t="str">
        <f>VLOOKUP(Ruimtestaat[[#This Row],[Code]],Locaties[#All],4,FALSE)</f>
        <v>Noordelijk Halfrond 10</v>
      </c>
      <c r="D52" s="27" t="str">
        <f>VLOOKUP(Ruimtestaat[[#This Row],[Code]],Locaties[#All],5,FALSE)</f>
        <v>2801 DE</v>
      </c>
      <c r="E52" s="27" t="str">
        <f>VLOOKUP(Ruimtestaat[[#This Row],[Code]],Locaties[#All],6,FALSE)</f>
        <v>Gouda</v>
      </c>
      <c r="F52" s="74" t="s">
        <v>465</v>
      </c>
      <c r="G52" s="285" t="s">
        <v>505</v>
      </c>
      <c r="H52" s="286" t="s">
        <v>496</v>
      </c>
      <c r="I52" s="287" t="s">
        <v>632</v>
      </c>
      <c r="J52" s="288">
        <v>6</v>
      </c>
      <c r="K52" s="74" t="str">
        <f>VLOOKUP(J52,Ruimtegroepen[],2,FALSE)</f>
        <v>Gangen/hallen</v>
      </c>
      <c r="L52" s="285" t="s">
        <v>110</v>
      </c>
      <c r="M52" s="287" t="s">
        <v>38</v>
      </c>
      <c r="N52" s="289">
        <v>75.2</v>
      </c>
      <c r="O52" s="285"/>
      <c r="P52" s="118" t="str">
        <f>LEFT(VLOOKUP(Ruimtestaat[[#This Row],[Ruimte code]],Ruimtegroepen[#All],4,1),2)</f>
        <v>Ve</v>
      </c>
      <c r="Q52" s="107"/>
      <c r="R52" s="108">
        <v>40</v>
      </c>
      <c r="S52" s="109" t="s">
        <v>2</v>
      </c>
      <c r="T52" s="110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" s="110">
        <f>IF(T52&gt;0,VLOOKUP($J52,Ruimtegroepen[],3,FALSE)*VLOOKUP($L52,Vloersoorten[],3,FALSE)*VLOOKUP($S52,Frequenties[],3,FALSE)*VLOOKUP($A52,Locaties[],3,FALSE),0)</f>
        <v>0</v>
      </c>
      <c r="V52" s="111">
        <f>Ruimtestaat[[#This Row],[Uitvoeringen werkdagen]]*Ruimtestaat[[#This Row],[Oppervlak (netto)]]</f>
        <v>15040</v>
      </c>
      <c r="W52" s="112">
        <f>IF(U52&gt;0,Ruimtestaat[[#This Row],[Prest. (m2 /jaar) werkdagen]]/Ruimtestaat[[#This Row],[Norm (m2/uur) werkdagen]],0)</f>
        <v>0</v>
      </c>
      <c r="X52" s="113">
        <f>Ruimtestaat[[#This Row],[uren / jaar werkdagen]]*Tariefsopbouw!$E$35</f>
        <v>0</v>
      </c>
      <c r="Y52" s="110"/>
      <c r="Z52" s="114">
        <f>IF(Ruimtestaat[[#This Row],[Frequentie weekend]]&gt;0,VALUE(LEFT(Y52,1))*R52,0)</f>
        <v>0</v>
      </c>
      <c r="AA52" s="110">
        <f>IF($Z52&gt;0,VLOOKUP($J52,Ruimtegroepen[],3,FALSE)*VLOOKUP($L52,Vloersoorten[],3,FALSE)*VLOOKUP($Y52,Frequenties[],3,FALSE)*VLOOKUP($A48,Locaties[],3,FALSE),0)</f>
        <v>0</v>
      </c>
      <c r="AB52" s="112">
        <f>Ruimtestaat[[#This Row],[Uitvoeringen weekend]]*Ruimtestaat[[#This Row],[Oppervlak (netto)]]</f>
        <v>0</v>
      </c>
      <c r="AC52" s="115">
        <f>IF(AB52&gt;0,Ruimtestaat[[#This Row],[Prest. (m2 /jaar) weekend]]/Ruimtestaat[[#This Row],[Norm (m2/uur) weekend]],0)</f>
        <v>0</v>
      </c>
      <c r="AD52" s="116">
        <f>Ruimtestaat[[#This Row],[uren / jaar weekend]]*Tariefsopbouw!$D$40</f>
        <v>0</v>
      </c>
      <c r="AE52" s="82">
        <f>Ruimtestaat[[#This Row],[Prest. (m2 /jaar) weekend]]+Ruimtestaat[[#This Row],[Prest. (m2 /jaar) werkdagen]]</f>
        <v>15040</v>
      </c>
      <c r="AF52" s="82">
        <f>Ruimtestaat[[#This Row],[uren / jaar weekend]]+Ruimtestaat[[#This Row],[uren / jaar werkdagen]]</f>
        <v>0</v>
      </c>
      <c r="AG52" s="83">
        <f>Ruimtestaat[[#This Row],[kosten / jaar weekend]]+Ruimtestaat[[#This Row],[kosten / jaar werkdagen]]</f>
        <v>0</v>
      </c>
      <c r="AH52" s="117"/>
      <c r="HL52" s="87"/>
    </row>
    <row r="53" spans="1:220" ht="15" customHeight="1">
      <c r="A53" s="136">
        <v>1</v>
      </c>
      <c r="B53" s="27" t="str">
        <f>VLOOKUP(Ruimtestaat[[#This Row],[Code]],Locaties[#All],2,FALSE)</f>
        <v>Hoornbeeck College Gouda</v>
      </c>
      <c r="C53" s="27" t="str">
        <f>VLOOKUP(Ruimtestaat[[#This Row],[Code]],Locaties[#All],4,FALSE)</f>
        <v>Noordelijk Halfrond 10</v>
      </c>
      <c r="D53" s="27" t="str">
        <f>VLOOKUP(Ruimtestaat[[#This Row],[Code]],Locaties[#All],5,FALSE)</f>
        <v>2801 DE</v>
      </c>
      <c r="E53" s="27" t="str">
        <f>VLOOKUP(Ruimtestaat[[#This Row],[Code]],Locaties[#All],6,FALSE)</f>
        <v>Gouda</v>
      </c>
      <c r="F53" s="74" t="s">
        <v>465</v>
      </c>
      <c r="G53" s="285" t="s">
        <v>505</v>
      </c>
      <c r="H53" s="286" t="s">
        <v>497</v>
      </c>
      <c r="I53" s="287" t="s">
        <v>656</v>
      </c>
      <c r="J53" s="288">
        <v>16</v>
      </c>
      <c r="K53" s="74" t="str">
        <f>VLOOKUP(J53,Ruimtegroepen[],2,FALSE)</f>
        <v>Leslokalen</v>
      </c>
      <c r="L53" s="285" t="s">
        <v>110</v>
      </c>
      <c r="M53" s="287" t="s">
        <v>38</v>
      </c>
      <c r="N53" s="289">
        <v>11.5</v>
      </c>
      <c r="O53" s="290"/>
      <c r="P53" s="118" t="str">
        <f>LEFT(VLOOKUP(Ruimtestaat[[#This Row],[Ruimte code]],Ruimtegroepen[#All],4,1),2)</f>
        <v>Le</v>
      </c>
      <c r="Q53" s="107"/>
      <c r="R53" s="108">
        <v>40</v>
      </c>
      <c r="S53" s="109" t="s">
        <v>2</v>
      </c>
      <c r="T53" s="110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" s="110">
        <f>IF(T53&gt;0,VLOOKUP($J53,Ruimtegroepen[],3,FALSE)*VLOOKUP($L53,Vloersoorten[],3,FALSE)*VLOOKUP($S53,Frequenties[],3,FALSE)*VLOOKUP($A53,Locaties[],3,FALSE),0)</f>
        <v>0</v>
      </c>
      <c r="V53" s="111">
        <f>Ruimtestaat[[#This Row],[Uitvoeringen werkdagen]]*Ruimtestaat[[#This Row],[Oppervlak (netto)]]</f>
        <v>2300</v>
      </c>
      <c r="W53" s="112">
        <f>IF(U53&gt;0,Ruimtestaat[[#This Row],[Prest. (m2 /jaar) werkdagen]]/Ruimtestaat[[#This Row],[Norm (m2/uur) werkdagen]],0)</f>
        <v>0</v>
      </c>
      <c r="X53" s="113">
        <f>Ruimtestaat[[#This Row],[uren / jaar werkdagen]]*Tariefsopbouw!$E$35</f>
        <v>0</v>
      </c>
      <c r="Y53" s="110"/>
      <c r="Z53" s="114">
        <f>IF(Ruimtestaat[[#This Row],[Frequentie weekend]]&gt;0,VALUE(LEFT(Y53,1))*R53,0)</f>
        <v>0</v>
      </c>
      <c r="AA53" s="110">
        <f>IF($Z53&gt;0,VLOOKUP($J53,Ruimtegroepen[],3,FALSE)*VLOOKUP($L53,Vloersoorten[],3,FALSE)*VLOOKUP($Y53,Frequenties[],3,FALSE)*VLOOKUP($A50,Locaties[],3,FALSE),0)</f>
        <v>0</v>
      </c>
      <c r="AB53" s="112">
        <f>Ruimtestaat[[#This Row],[Uitvoeringen weekend]]*Ruimtestaat[[#This Row],[Oppervlak (netto)]]</f>
        <v>0</v>
      </c>
      <c r="AC53" s="115">
        <f>IF(AB53&gt;0,Ruimtestaat[[#This Row],[Prest. (m2 /jaar) weekend]]/Ruimtestaat[[#This Row],[Norm (m2/uur) weekend]],0)</f>
        <v>0</v>
      </c>
      <c r="AD53" s="116">
        <f>Ruimtestaat[[#This Row],[uren / jaar weekend]]*Tariefsopbouw!$D$40</f>
        <v>0</v>
      </c>
      <c r="AE53" s="82">
        <f>Ruimtestaat[[#This Row],[Prest. (m2 /jaar) weekend]]+Ruimtestaat[[#This Row],[Prest. (m2 /jaar) werkdagen]]</f>
        <v>2300</v>
      </c>
      <c r="AF53" s="82">
        <f>Ruimtestaat[[#This Row],[uren / jaar weekend]]+Ruimtestaat[[#This Row],[uren / jaar werkdagen]]</f>
        <v>0</v>
      </c>
      <c r="AG53" s="83">
        <f>Ruimtestaat[[#This Row],[kosten / jaar weekend]]+Ruimtestaat[[#This Row],[kosten / jaar werkdagen]]</f>
        <v>0</v>
      </c>
      <c r="AH53" s="117"/>
      <c r="HL53" s="87"/>
    </row>
    <row r="54" spans="1:220" ht="15" customHeight="1">
      <c r="A54" s="136">
        <v>1</v>
      </c>
      <c r="B54" s="27" t="str">
        <f>VLOOKUP(Ruimtestaat[[#This Row],[Code]],Locaties[#All],2,FALSE)</f>
        <v>Hoornbeeck College Gouda</v>
      </c>
      <c r="C54" s="27" t="str">
        <f>VLOOKUP(Ruimtestaat[[#This Row],[Code]],Locaties[#All],4,FALSE)</f>
        <v>Noordelijk Halfrond 10</v>
      </c>
      <c r="D54" s="27" t="str">
        <f>VLOOKUP(Ruimtestaat[[#This Row],[Code]],Locaties[#All],5,FALSE)</f>
        <v>2801 DE</v>
      </c>
      <c r="E54" s="27" t="str">
        <f>VLOOKUP(Ruimtestaat[[#This Row],[Code]],Locaties[#All],6,FALSE)</f>
        <v>Gouda</v>
      </c>
      <c r="F54" s="74" t="s">
        <v>465</v>
      </c>
      <c r="G54" s="285" t="s">
        <v>505</v>
      </c>
      <c r="H54" s="286" t="s">
        <v>498</v>
      </c>
      <c r="I54" s="287" t="s">
        <v>656</v>
      </c>
      <c r="J54" s="285">
        <v>16</v>
      </c>
      <c r="K54" s="74" t="str">
        <f>VLOOKUP(J54,Ruimtegroepen[],2,FALSE)</f>
        <v>Leslokalen</v>
      </c>
      <c r="L54" s="285" t="s">
        <v>110</v>
      </c>
      <c r="M54" s="287" t="s">
        <v>38</v>
      </c>
      <c r="N54" s="289">
        <v>12.6</v>
      </c>
      <c r="O54" s="290"/>
      <c r="P54" s="118" t="str">
        <f>LEFT(VLOOKUP(Ruimtestaat[[#This Row],[Ruimte code]],Ruimtegroepen[#All],4,1),2)</f>
        <v>Le</v>
      </c>
      <c r="Q54" s="107"/>
      <c r="R54" s="108">
        <v>40</v>
      </c>
      <c r="S54" s="109" t="s">
        <v>2</v>
      </c>
      <c r="T54" s="110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" s="110">
        <f>IF(T54&gt;0,VLOOKUP($J54,Ruimtegroepen[],3,FALSE)*VLOOKUP($L54,Vloersoorten[],3,FALSE)*VLOOKUP($S54,Frequenties[],3,FALSE)*VLOOKUP($A54,Locaties[],3,FALSE),0)</f>
        <v>0</v>
      </c>
      <c r="V54" s="111">
        <f>Ruimtestaat[[#This Row],[Uitvoeringen werkdagen]]*Ruimtestaat[[#This Row],[Oppervlak (netto)]]</f>
        <v>2520</v>
      </c>
      <c r="W54" s="112">
        <f>IF(U54&gt;0,Ruimtestaat[[#This Row],[Prest. (m2 /jaar) werkdagen]]/Ruimtestaat[[#This Row],[Norm (m2/uur) werkdagen]],0)</f>
        <v>0</v>
      </c>
      <c r="X54" s="113">
        <f>Ruimtestaat[[#This Row],[uren / jaar werkdagen]]*Tariefsopbouw!$E$35</f>
        <v>0</v>
      </c>
      <c r="Y54" s="110"/>
      <c r="Z54" s="114">
        <f>IF(Ruimtestaat[[#This Row],[Frequentie weekend]]&gt;0,VALUE(LEFT(Y54,1))*R54,0)</f>
        <v>0</v>
      </c>
      <c r="AA54" s="110">
        <f>IF($Z54&gt;0,VLOOKUP($J54,Ruimtegroepen[],3,FALSE)*VLOOKUP($L54,Vloersoorten[],3,FALSE)*VLOOKUP($Y54,Frequenties[],3,FALSE)*VLOOKUP(#REF!,Locaties[],3,FALSE),0)</f>
        <v>0</v>
      </c>
      <c r="AB54" s="112">
        <f>Ruimtestaat[[#This Row],[Uitvoeringen weekend]]*Ruimtestaat[[#This Row],[Oppervlak (netto)]]</f>
        <v>0</v>
      </c>
      <c r="AC54" s="115">
        <f>IF(AB54&gt;0,Ruimtestaat[[#This Row],[Prest. (m2 /jaar) weekend]]/Ruimtestaat[[#This Row],[Norm (m2/uur) weekend]],0)</f>
        <v>0</v>
      </c>
      <c r="AD54" s="116">
        <f>Ruimtestaat[[#This Row],[uren / jaar weekend]]*Tariefsopbouw!$D$40</f>
        <v>0</v>
      </c>
      <c r="AE54" s="82">
        <f>Ruimtestaat[[#This Row],[Prest. (m2 /jaar) weekend]]+Ruimtestaat[[#This Row],[Prest. (m2 /jaar) werkdagen]]</f>
        <v>2520</v>
      </c>
      <c r="AF54" s="82">
        <f>Ruimtestaat[[#This Row],[uren / jaar weekend]]+Ruimtestaat[[#This Row],[uren / jaar werkdagen]]</f>
        <v>0</v>
      </c>
      <c r="AG54" s="83">
        <f>Ruimtestaat[[#This Row],[kosten / jaar weekend]]+Ruimtestaat[[#This Row],[kosten / jaar werkdagen]]</f>
        <v>0</v>
      </c>
      <c r="AH54" s="117"/>
      <c r="HL54" s="87"/>
    </row>
    <row r="55" spans="1:220" ht="15" customHeight="1">
      <c r="A55" s="136">
        <v>1</v>
      </c>
      <c r="B55" s="27" t="str">
        <f>VLOOKUP(Ruimtestaat[[#This Row],[Code]],Locaties[#All],2,FALSE)</f>
        <v>Hoornbeeck College Gouda</v>
      </c>
      <c r="C55" s="27" t="str">
        <f>VLOOKUP(Ruimtestaat[[#This Row],[Code]],Locaties[#All],4,FALSE)</f>
        <v>Noordelijk Halfrond 10</v>
      </c>
      <c r="D55" s="27" t="str">
        <f>VLOOKUP(Ruimtestaat[[#This Row],[Code]],Locaties[#All],5,FALSE)</f>
        <v>2801 DE</v>
      </c>
      <c r="E55" s="27" t="str">
        <f>VLOOKUP(Ruimtestaat[[#This Row],[Code]],Locaties[#All],6,FALSE)</f>
        <v>Gouda</v>
      </c>
      <c r="F55" s="74" t="s">
        <v>465</v>
      </c>
      <c r="G55" s="285" t="s">
        <v>505</v>
      </c>
      <c r="H55" s="286" t="s">
        <v>499</v>
      </c>
      <c r="I55" s="287" t="s">
        <v>656</v>
      </c>
      <c r="J55" s="288">
        <v>16</v>
      </c>
      <c r="K55" s="74" t="str">
        <f>VLOOKUP(J55,Ruimtegroepen[],2,FALSE)</f>
        <v>Leslokalen</v>
      </c>
      <c r="L55" s="285" t="s">
        <v>110</v>
      </c>
      <c r="M55" s="287" t="s">
        <v>38</v>
      </c>
      <c r="N55" s="289">
        <v>10.5</v>
      </c>
      <c r="O55" s="285"/>
      <c r="P55" s="118" t="str">
        <f>LEFT(VLOOKUP(Ruimtestaat[[#This Row],[Ruimte code]],Ruimtegroepen[#All],4,1),2)</f>
        <v>Le</v>
      </c>
      <c r="Q55" s="107"/>
      <c r="R55" s="108">
        <v>40</v>
      </c>
      <c r="S55" s="109" t="s">
        <v>2</v>
      </c>
      <c r="T55" s="110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" s="110">
        <f>IF(T55&gt;0,VLOOKUP($J55,Ruimtegroepen[],3,FALSE)*VLOOKUP($L55,Vloersoorten[],3,FALSE)*VLOOKUP($S55,Frequenties[],3,FALSE)*VLOOKUP($A55,Locaties[],3,FALSE),0)</f>
        <v>0</v>
      </c>
      <c r="V55" s="111">
        <f>Ruimtestaat[[#This Row],[Uitvoeringen werkdagen]]*Ruimtestaat[[#This Row],[Oppervlak (netto)]]</f>
        <v>2100</v>
      </c>
      <c r="W55" s="112">
        <f>IF(U55&gt;0,Ruimtestaat[[#This Row],[Prest. (m2 /jaar) werkdagen]]/Ruimtestaat[[#This Row],[Norm (m2/uur) werkdagen]],0)</f>
        <v>0</v>
      </c>
      <c r="X55" s="113">
        <f>Ruimtestaat[[#This Row],[uren / jaar werkdagen]]*Tariefsopbouw!$E$35</f>
        <v>0</v>
      </c>
      <c r="Y55" s="110"/>
      <c r="Z55" s="114">
        <f>IF(Ruimtestaat[[#This Row],[Frequentie weekend]]&gt;0,VALUE(LEFT(Y55,1))*R55,0)</f>
        <v>0</v>
      </c>
      <c r="AA55" s="110">
        <f>IF($Z55&gt;0,VLOOKUP($J55,Ruimtegroepen[],3,FALSE)*VLOOKUP($L55,Vloersoorten[],3,FALSE)*VLOOKUP($Y55,Frequenties[],3,FALSE)*VLOOKUP($A51,Locaties[],3,FALSE),0)</f>
        <v>0</v>
      </c>
      <c r="AB55" s="112">
        <f>Ruimtestaat[[#This Row],[Uitvoeringen weekend]]*Ruimtestaat[[#This Row],[Oppervlak (netto)]]</f>
        <v>0</v>
      </c>
      <c r="AC55" s="115">
        <f>IF(AB55&gt;0,Ruimtestaat[[#This Row],[Prest. (m2 /jaar) weekend]]/Ruimtestaat[[#This Row],[Norm (m2/uur) weekend]],0)</f>
        <v>0</v>
      </c>
      <c r="AD55" s="116">
        <f>Ruimtestaat[[#This Row],[uren / jaar weekend]]*Tariefsopbouw!$D$40</f>
        <v>0</v>
      </c>
      <c r="AE55" s="82">
        <f>Ruimtestaat[[#This Row],[Prest. (m2 /jaar) weekend]]+Ruimtestaat[[#This Row],[Prest. (m2 /jaar) werkdagen]]</f>
        <v>2100</v>
      </c>
      <c r="AF55" s="82">
        <f>Ruimtestaat[[#This Row],[uren / jaar weekend]]+Ruimtestaat[[#This Row],[uren / jaar werkdagen]]</f>
        <v>0</v>
      </c>
      <c r="AG55" s="83">
        <f>Ruimtestaat[[#This Row],[kosten / jaar weekend]]+Ruimtestaat[[#This Row],[kosten / jaar werkdagen]]</f>
        <v>0</v>
      </c>
      <c r="AH55" s="117"/>
      <c r="HL55" s="87"/>
    </row>
    <row r="56" spans="1:220" ht="15" customHeight="1">
      <c r="A56" s="136">
        <v>1</v>
      </c>
      <c r="B56" s="27" t="str">
        <f>VLOOKUP(Ruimtestaat[[#This Row],[Code]],Locaties[#All],2,FALSE)</f>
        <v>Hoornbeeck College Gouda</v>
      </c>
      <c r="C56" s="27" t="str">
        <f>VLOOKUP(Ruimtestaat[[#This Row],[Code]],Locaties[#All],4,FALSE)</f>
        <v>Noordelijk Halfrond 10</v>
      </c>
      <c r="D56" s="27" t="str">
        <f>VLOOKUP(Ruimtestaat[[#This Row],[Code]],Locaties[#All],5,FALSE)</f>
        <v>2801 DE</v>
      </c>
      <c r="E56" s="27" t="str">
        <f>VLOOKUP(Ruimtestaat[[#This Row],[Code]],Locaties[#All],6,FALSE)</f>
        <v>Gouda</v>
      </c>
      <c r="F56" s="74" t="s">
        <v>465</v>
      </c>
      <c r="G56" s="285" t="s">
        <v>505</v>
      </c>
      <c r="H56" s="286" t="s">
        <v>657</v>
      </c>
      <c r="I56" s="287" t="s">
        <v>656</v>
      </c>
      <c r="J56" s="288">
        <v>16</v>
      </c>
      <c r="K56" s="74" t="str">
        <f>VLOOKUP(J56,Ruimtegroepen[],2,FALSE)</f>
        <v>Leslokalen</v>
      </c>
      <c r="L56" s="285" t="s">
        <v>110</v>
      </c>
      <c r="M56" s="287" t="s">
        <v>38</v>
      </c>
      <c r="N56" s="289">
        <v>9.6</v>
      </c>
      <c r="O56" s="285"/>
      <c r="P56" s="118" t="str">
        <f>LEFT(VLOOKUP(Ruimtestaat[[#This Row],[Ruimte code]],Ruimtegroepen[#All],4,1),2)</f>
        <v>Le</v>
      </c>
      <c r="Q56" s="107"/>
      <c r="R56" s="108">
        <v>40</v>
      </c>
      <c r="S56" s="109" t="s">
        <v>2</v>
      </c>
      <c r="T56" s="110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" s="110">
        <f>IF(T56&gt;0,VLOOKUP($J56,Ruimtegroepen[],3,FALSE)*VLOOKUP($L56,Vloersoorten[],3,FALSE)*VLOOKUP($S56,Frequenties[],3,FALSE)*VLOOKUP($A56,Locaties[],3,FALSE),0)</f>
        <v>0</v>
      </c>
      <c r="V56" s="111">
        <f>Ruimtestaat[[#This Row],[Uitvoeringen werkdagen]]*Ruimtestaat[[#This Row],[Oppervlak (netto)]]</f>
        <v>1920</v>
      </c>
      <c r="W56" s="112">
        <f>IF(U56&gt;0,Ruimtestaat[[#This Row],[Prest. (m2 /jaar) werkdagen]]/Ruimtestaat[[#This Row],[Norm (m2/uur) werkdagen]],0)</f>
        <v>0</v>
      </c>
      <c r="X56" s="113">
        <f>Ruimtestaat[[#This Row],[uren / jaar werkdagen]]*Tariefsopbouw!$E$35</f>
        <v>0</v>
      </c>
      <c r="Y56" s="110"/>
      <c r="Z56" s="114">
        <f>IF(Ruimtestaat[[#This Row],[Frequentie weekend]]&gt;0,VALUE(LEFT(Y56,1))*R56,0)</f>
        <v>0</v>
      </c>
      <c r="AA56" s="110">
        <f>IF($Z56&gt;0,VLOOKUP($J56,Ruimtegroepen[],3,FALSE)*VLOOKUP($L56,Vloersoorten[],3,FALSE)*VLOOKUP($Y56,Frequenties[],3,FALSE)*VLOOKUP($A52,Locaties[],3,FALSE),0)</f>
        <v>0</v>
      </c>
      <c r="AB56" s="112">
        <f>Ruimtestaat[[#This Row],[Uitvoeringen weekend]]*Ruimtestaat[[#This Row],[Oppervlak (netto)]]</f>
        <v>0</v>
      </c>
      <c r="AC56" s="115">
        <f>IF(AB56&gt;0,Ruimtestaat[[#This Row],[Prest. (m2 /jaar) weekend]]/Ruimtestaat[[#This Row],[Norm (m2/uur) weekend]],0)</f>
        <v>0</v>
      </c>
      <c r="AD56" s="116">
        <f>Ruimtestaat[[#This Row],[uren / jaar weekend]]*Tariefsopbouw!$D$40</f>
        <v>0</v>
      </c>
      <c r="AE56" s="82">
        <f>Ruimtestaat[[#This Row],[Prest. (m2 /jaar) weekend]]+Ruimtestaat[[#This Row],[Prest. (m2 /jaar) werkdagen]]</f>
        <v>1920</v>
      </c>
      <c r="AF56" s="82">
        <f>Ruimtestaat[[#This Row],[uren / jaar weekend]]+Ruimtestaat[[#This Row],[uren / jaar werkdagen]]</f>
        <v>0</v>
      </c>
      <c r="AG56" s="83">
        <f>Ruimtestaat[[#This Row],[kosten / jaar weekend]]+Ruimtestaat[[#This Row],[kosten / jaar werkdagen]]</f>
        <v>0</v>
      </c>
      <c r="AH56" s="117"/>
      <c r="HL56" s="87"/>
    </row>
    <row r="57" spans="1:220" ht="15" customHeight="1">
      <c r="A57" s="136">
        <v>1</v>
      </c>
      <c r="B57" s="27" t="str">
        <f>VLOOKUP(Ruimtestaat[[#This Row],[Code]],Locaties[#All],2,FALSE)</f>
        <v>Hoornbeeck College Gouda</v>
      </c>
      <c r="C57" s="27" t="str">
        <f>VLOOKUP(Ruimtestaat[[#This Row],[Code]],Locaties[#All],4,FALSE)</f>
        <v>Noordelijk Halfrond 10</v>
      </c>
      <c r="D57" s="27" t="str">
        <f>VLOOKUP(Ruimtestaat[[#This Row],[Code]],Locaties[#All],5,FALSE)</f>
        <v>2801 DE</v>
      </c>
      <c r="E57" s="27" t="str">
        <f>VLOOKUP(Ruimtestaat[[#This Row],[Code]],Locaties[#All],6,FALSE)</f>
        <v>Gouda</v>
      </c>
      <c r="F57" s="74" t="s">
        <v>465</v>
      </c>
      <c r="G57" s="285" t="s">
        <v>505</v>
      </c>
      <c r="H57" s="286" t="s">
        <v>500</v>
      </c>
      <c r="I57" s="287" t="s">
        <v>632</v>
      </c>
      <c r="J57" s="288">
        <v>6</v>
      </c>
      <c r="K57" s="74" t="str">
        <f>VLOOKUP(J57,Ruimtegroepen[],2,FALSE)</f>
        <v>Gangen/hallen</v>
      </c>
      <c r="L57" s="285" t="s">
        <v>110</v>
      </c>
      <c r="M57" s="287" t="s">
        <v>38</v>
      </c>
      <c r="N57" s="289">
        <v>10.26</v>
      </c>
      <c r="O57" s="290"/>
      <c r="P57" s="118" t="str">
        <f>LEFT(VLOOKUP(Ruimtestaat[[#This Row],[Ruimte code]],Ruimtegroepen[#All],4,1),2)</f>
        <v>Ve</v>
      </c>
      <c r="Q57" s="107"/>
      <c r="R57" s="108">
        <v>40</v>
      </c>
      <c r="S57" s="109" t="s">
        <v>2</v>
      </c>
      <c r="T57" s="110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" s="110">
        <f>IF(T57&gt;0,VLOOKUP($J57,Ruimtegroepen[],3,FALSE)*VLOOKUP($L57,Vloersoorten[],3,FALSE)*VLOOKUP($S57,Frequenties[],3,FALSE)*VLOOKUP($A57,Locaties[],3,FALSE),0)</f>
        <v>0</v>
      </c>
      <c r="V57" s="111">
        <f>Ruimtestaat[[#This Row],[Uitvoeringen werkdagen]]*Ruimtestaat[[#This Row],[Oppervlak (netto)]]</f>
        <v>2052</v>
      </c>
      <c r="W57" s="112">
        <f>IF(U57&gt;0,Ruimtestaat[[#This Row],[Prest. (m2 /jaar) werkdagen]]/Ruimtestaat[[#This Row],[Norm (m2/uur) werkdagen]],0)</f>
        <v>0</v>
      </c>
      <c r="X57" s="113">
        <f>Ruimtestaat[[#This Row],[uren / jaar werkdagen]]*Tariefsopbouw!$E$35</f>
        <v>0</v>
      </c>
      <c r="Y57" s="110"/>
      <c r="Z57" s="114">
        <f>IF(Ruimtestaat[[#This Row],[Frequentie weekend]]&gt;0,VALUE(LEFT(Y57,1))*R57,0)</f>
        <v>0</v>
      </c>
      <c r="AA57" s="110">
        <f>IF($Z57&gt;0,VLOOKUP($J57,Ruimtegroepen[],3,FALSE)*VLOOKUP($L57,Vloersoorten[],3,FALSE)*VLOOKUP($Y57,Frequenties[],3,FALSE)*VLOOKUP($A52,Locaties[],3,FALSE),0)</f>
        <v>0</v>
      </c>
      <c r="AB57" s="112">
        <f>Ruimtestaat[[#This Row],[Uitvoeringen weekend]]*Ruimtestaat[[#This Row],[Oppervlak (netto)]]</f>
        <v>0</v>
      </c>
      <c r="AC57" s="115">
        <f>IF(AB57&gt;0,Ruimtestaat[[#This Row],[Prest. (m2 /jaar) weekend]]/Ruimtestaat[[#This Row],[Norm (m2/uur) weekend]],0)</f>
        <v>0</v>
      </c>
      <c r="AD57" s="116">
        <f>Ruimtestaat[[#This Row],[uren / jaar weekend]]*Tariefsopbouw!$D$40</f>
        <v>0</v>
      </c>
      <c r="AE57" s="82">
        <f>Ruimtestaat[[#This Row],[Prest. (m2 /jaar) weekend]]+Ruimtestaat[[#This Row],[Prest. (m2 /jaar) werkdagen]]</f>
        <v>2052</v>
      </c>
      <c r="AF57" s="82">
        <f>Ruimtestaat[[#This Row],[uren / jaar weekend]]+Ruimtestaat[[#This Row],[uren / jaar werkdagen]]</f>
        <v>0</v>
      </c>
      <c r="AG57" s="83">
        <f>Ruimtestaat[[#This Row],[kosten / jaar weekend]]+Ruimtestaat[[#This Row],[kosten / jaar werkdagen]]</f>
        <v>0</v>
      </c>
      <c r="AH57" s="117"/>
      <c r="HL57" s="87"/>
    </row>
    <row r="58" spans="1:220" ht="15" customHeight="1">
      <c r="A58" s="136">
        <v>1</v>
      </c>
      <c r="B58" s="27" t="str">
        <f>VLOOKUP(Ruimtestaat[[#This Row],[Code]],Locaties[#All],2,FALSE)</f>
        <v>Hoornbeeck College Gouda</v>
      </c>
      <c r="C58" s="27" t="str">
        <f>VLOOKUP(Ruimtestaat[[#This Row],[Code]],Locaties[#All],4,FALSE)</f>
        <v>Noordelijk Halfrond 10</v>
      </c>
      <c r="D58" s="27" t="str">
        <f>VLOOKUP(Ruimtestaat[[#This Row],[Code]],Locaties[#All],5,FALSE)</f>
        <v>2801 DE</v>
      </c>
      <c r="E58" s="27" t="str">
        <f>VLOOKUP(Ruimtestaat[[#This Row],[Code]],Locaties[#All],6,FALSE)</f>
        <v>Gouda</v>
      </c>
      <c r="F58" s="74" t="s">
        <v>465</v>
      </c>
      <c r="G58" s="285" t="s">
        <v>505</v>
      </c>
      <c r="H58" s="286" t="s">
        <v>501</v>
      </c>
      <c r="I58" s="287" t="s">
        <v>632</v>
      </c>
      <c r="J58" s="288">
        <v>6</v>
      </c>
      <c r="K58" s="74" t="str">
        <f>VLOOKUP(J58,Ruimtegroepen[],2,FALSE)</f>
        <v>Gangen/hallen</v>
      </c>
      <c r="L58" s="285" t="s">
        <v>110</v>
      </c>
      <c r="M58" s="287" t="s">
        <v>38</v>
      </c>
      <c r="N58" s="289">
        <v>9.41</v>
      </c>
      <c r="O58" s="290"/>
      <c r="P58" s="118" t="str">
        <f>LEFT(VLOOKUP(Ruimtestaat[[#This Row],[Ruimte code]],Ruimtegroepen[#All],4,1),2)</f>
        <v>Ve</v>
      </c>
      <c r="Q58" s="107"/>
      <c r="R58" s="108">
        <v>40</v>
      </c>
      <c r="S58" s="109" t="s">
        <v>2</v>
      </c>
      <c r="T58" s="110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" s="110">
        <f>IF(T58&gt;0,VLOOKUP($J58,Ruimtegroepen[],3,FALSE)*VLOOKUP($L58,Vloersoorten[],3,FALSE)*VLOOKUP($S58,Frequenties[],3,FALSE)*VLOOKUP($A58,Locaties[],3,FALSE),0)</f>
        <v>0</v>
      </c>
      <c r="V58" s="111">
        <f>Ruimtestaat[[#This Row],[Uitvoeringen werkdagen]]*Ruimtestaat[[#This Row],[Oppervlak (netto)]]</f>
        <v>1882</v>
      </c>
      <c r="W58" s="112">
        <f>IF(U58&gt;0,Ruimtestaat[[#This Row],[Prest. (m2 /jaar) werkdagen]]/Ruimtestaat[[#This Row],[Norm (m2/uur) werkdagen]],0)</f>
        <v>0</v>
      </c>
      <c r="X58" s="113">
        <f>Ruimtestaat[[#This Row],[uren / jaar werkdagen]]*Tariefsopbouw!$E$35</f>
        <v>0</v>
      </c>
      <c r="Y58" s="110"/>
      <c r="Z58" s="114">
        <f>IF(Ruimtestaat[[#This Row],[Frequentie weekend]]&gt;0,VALUE(LEFT(Y58,1))*R58,0)</f>
        <v>0</v>
      </c>
      <c r="AA58" s="110">
        <f>IF($Z58&gt;0,VLOOKUP($J58,Ruimtegroepen[],3,FALSE)*VLOOKUP($L58,Vloersoorten[],3,FALSE)*VLOOKUP($Y58,Frequenties[],3,FALSE)*VLOOKUP($A53,Locaties[],3,FALSE),0)</f>
        <v>0</v>
      </c>
      <c r="AB58" s="112">
        <f>Ruimtestaat[[#This Row],[Uitvoeringen weekend]]*Ruimtestaat[[#This Row],[Oppervlak (netto)]]</f>
        <v>0</v>
      </c>
      <c r="AC58" s="115">
        <f>IF(AB58&gt;0,Ruimtestaat[[#This Row],[Prest. (m2 /jaar) weekend]]/Ruimtestaat[[#This Row],[Norm (m2/uur) weekend]],0)</f>
        <v>0</v>
      </c>
      <c r="AD58" s="116">
        <f>Ruimtestaat[[#This Row],[uren / jaar weekend]]*Tariefsopbouw!$D$40</f>
        <v>0</v>
      </c>
      <c r="AE58" s="82">
        <f>Ruimtestaat[[#This Row],[Prest. (m2 /jaar) weekend]]+Ruimtestaat[[#This Row],[Prest. (m2 /jaar) werkdagen]]</f>
        <v>1882</v>
      </c>
      <c r="AF58" s="82">
        <f>Ruimtestaat[[#This Row],[uren / jaar weekend]]+Ruimtestaat[[#This Row],[uren / jaar werkdagen]]</f>
        <v>0</v>
      </c>
      <c r="AG58" s="83">
        <f>Ruimtestaat[[#This Row],[kosten / jaar weekend]]+Ruimtestaat[[#This Row],[kosten / jaar werkdagen]]</f>
        <v>0</v>
      </c>
      <c r="AH58" s="117"/>
      <c r="HL58" s="87"/>
    </row>
    <row r="59" spans="1:220" ht="15" customHeight="1">
      <c r="A59" s="136">
        <v>1</v>
      </c>
      <c r="B59" s="27" t="str">
        <f>VLOOKUP(Ruimtestaat[[#This Row],[Code]],Locaties[#All],2,FALSE)</f>
        <v>Hoornbeeck College Gouda</v>
      </c>
      <c r="C59" s="27" t="str">
        <f>VLOOKUP(Ruimtestaat[[#This Row],[Code]],Locaties[#All],4,FALSE)</f>
        <v>Noordelijk Halfrond 10</v>
      </c>
      <c r="D59" s="27" t="str">
        <f>VLOOKUP(Ruimtestaat[[#This Row],[Code]],Locaties[#All],5,FALSE)</f>
        <v>2801 DE</v>
      </c>
      <c r="E59" s="27" t="str">
        <f>VLOOKUP(Ruimtestaat[[#This Row],[Code]],Locaties[#All],6,FALSE)</f>
        <v>Gouda</v>
      </c>
      <c r="F59" s="74" t="s">
        <v>465</v>
      </c>
      <c r="G59" s="285" t="s">
        <v>505</v>
      </c>
      <c r="H59" s="286" t="s">
        <v>658</v>
      </c>
      <c r="I59" s="287" t="s">
        <v>632</v>
      </c>
      <c r="J59" s="288">
        <v>6</v>
      </c>
      <c r="K59" s="74" t="str">
        <f>VLOOKUP(J59,Ruimtegroepen[],2,FALSE)</f>
        <v>Gangen/hallen</v>
      </c>
      <c r="L59" s="285" t="s">
        <v>110</v>
      </c>
      <c r="M59" s="287" t="s">
        <v>38</v>
      </c>
      <c r="N59" s="289">
        <v>47</v>
      </c>
      <c r="O59" s="285"/>
      <c r="P59" s="118" t="str">
        <f>LEFT(VLOOKUP(Ruimtestaat[[#This Row],[Ruimte code]],Ruimtegroepen[#All],4,1),2)</f>
        <v>Ve</v>
      </c>
      <c r="Q59" s="107"/>
      <c r="R59" s="108">
        <v>40</v>
      </c>
      <c r="S59" s="109" t="s">
        <v>2</v>
      </c>
      <c r="T59" s="110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" s="110">
        <f>IF(T59&gt;0,VLOOKUP($J59,Ruimtegroepen[],3,FALSE)*VLOOKUP($L59,Vloersoorten[],3,FALSE)*VLOOKUP($S59,Frequenties[],3,FALSE)*VLOOKUP($A59,Locaties[],3,FALSE),0)</f>
        <v>0</v>
      </c>
      <c r="V59" s="111">
        <f>Ruimtestaat[[#This Row],[Uitvoeringen werkdagen]]*Ruimtestaat[[#This Row],[Oppervlak (netto)]]</f>
        <v>9400</v>
      </c>
      <c r="W59" s="112">
        <f>IF(U59&gt;0,Ruimtestaat[[#This Row],[Prest. (m2 /jaar) werkdagen]]/Ruimtestaat[[#This Row],[Norm (m2/uur) werkdagen]],0)</f>
        <v>0</v>
      </c>
      <c r="X59" s="113">
        <f>Ruimtestaat[[#This Row],[uren / jaar werkdagen]]*Tariefsopbouw!$E$35</f>
        <v>0</v>
      </c>
      <c r="Y59" s="110"/>
      <c r="Z59" s="114">
        <f>IF(Ruimtestaat[[#This Row],[Frequentie weekend]]&gt;0,VALUE(LEFT(Y59,1))*R59,0)</f>
        <v>0</v>
      </c>
      <c r="AA59" s="110">
        <f>IF($Z59&gt;0,VLOOKUP($J59,Ruimtegroepen[],3,FALSE)*VLOOKUP($L59,Vloersoorten[],3,FALSE)*VLOOKUP($Y59,Frequenties[],3,FALSE)*VLOOKUP(#REF!,Locaties[],3,FALSE),0)</f>
        <v>0</v>
      </c>
      <c r="AB59" s="112">
        <f>Ruimtestaat[[#This Row],[Uitvoeringen weekend]]*Ruimtestaat[[#This Row],[Oppervlak (netto)]]</f>
        <v>0</v>
      </c>
      <c r="AC59" s="115">
        <f>IF(AB59&gt;0,Ruimtestaat[[#This Row],[Prest. (m2 /jaar) weekend]]/Ruimtestaat[[#This Row],[Norm (m2/uur) weekend]],0)</f>
        <v>0</v>
      </c>
      <c r="AD59" s="116">
        <f>Ruimtestaat[[#This Row],[uren / jaar weekend]]*Tariefsopbouw!$D$40</f>
        <v>0</v>
      </c>
      <c r="AE59" s="82">
        <f>Ruimtestaat[[#This Row],[Prest. (m2 /jaar) weekend]]+Ruimtestaat[[#This Row],[Prest. (m2 /jaar) werkdagen]]</f>
        <v>9400</v>
      </c>
      <c r="AF59" s="82">
        <f>Ruimtestaat[[#This Row],[uren / jaar weekend]]+Ruimtestaat[[#This Row],[uren / jaar werkdagen]]</f>
        <v>0</v>
      </c>
      <c r="AG59" s="83">
        <f>Ruimtestaat[[#This Row],[kosten / jaar weekend]]+Ruimtestaat[[#This Row],[kosten / jaar werkdagen]]</f>
        <v>0</v>
      </c>
      <c r="AH59" s="117"/>
      <c r="HL59" s="87"/>
    </row>
    <row r="60" spans="1:220" ht="15" customHeight="1">
      <c r="A60" s="136">
        <v>1</v>
      </c>
      <c r="B60" s="27" t="str">
        <f>VLOOKUP(Ruimtestaat[[#This Row],[Code]],Locaties[#All],2,FALSE)</f>
        <v>Hoornbeeck College Gouda</v>
      </c>
      <c r="C60" s="27" t="str">
        <f>VLOOKUP(Ruimtestaat[[#This Row],[Code]],Locaties[#All],4,FALSE)</f>
        <v>Noordelijk Halfrond 10</v>
      </c>
      <c r="D60" s="27" t="str">
        <f>VLOOKUP(Ruimtestaat[[#This Row],[Code]],Locaties[#All],5,FALSE)</f>
        <v>2801 DE</v>
      </c>
      <c r="E60" s="27" t="str">
        <f>VLOOKUP(Ruimtestaat[[#This Row],[Code]],Locaties[#All],6,FALSE)</f>
        <v>Gouda</v>
      </c>
      <c r="F60" s="74" t="s">
        <v>465</v>
      </c>
      <c r="G60" s="285" t="s">
        <v>505</v>
      </c>
      <c r="H60" s="286" t="s">
        <v>659</v>
      </c>
      <c r="I60" s="287" t="s">
        <v>632</v>
      </c>
      <c r="J60" s="288">
        <v>6</v>
      </c>
      <c r="K60" s="74" t="str">
        <f>VLOOKUP(J60,Ruimtegroepen[],2,FALSE)</f>
        <v>Gangen/hallen</v>
      </c>
      <c r="L60" s="285" t="s">
        <v>110</v>
      </c>
      <c r="M60" s="287" t="s">
        <v>38</v>
      </c>
      <c r="N60" s="289">
        <v>31.24</v>
      </c>
      <c r="O60" s="290"/>
      <c r="P60" s="118" t="str">
        <f>LEFT(VLOOKUP(Ruimtestaat[[#This Row],[Ruimte code]],Ruimtegroepen[#All],4,1),2)</f>
        <v>Ve</v>
      </c>
      <c r="Q60" s="107"/>
      <c r="R60" s="108">
        <v>40</v>
      </c>
      <c r="S60" s="109" t="s">
        <v>2</v>
      </c>
      <c r="T60" s="110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" s="110">
        <f>IF(T60&gt;0,VLOOKUP($J60,Ruimtegroepen[],3,FALSE)*VLOOKUP($L60,Vloersoorten[],3,FALSE)*VLOOKUP($S60,Frequenties[],3,FALSE)*VLOOKUP($A60,Locaties[],3,FALSE),0)</f>
        <v>0</v>
      </c>
      <c r="V60" s="111">
        <f>Ruimtestaat[[#This Row],[Uitvoeringen werkdagen]]*Ruimtestaat[[#This Row],[Oppervlak (netto)]]</f>
        <v>6248</v>
      </c>
      <c r="W60" s="112">
        <f>IF(U60&gt;0,Ruimtestaat[[#This Row],[Prest. (m2 /jaar) werkdagen]]/Ruimtestaat[[#This Row],[Norm (m2/uur) werkdagen]],0)</f>
        <v>0</v>
      </c>
      <c r="X60" s="113">
        <f>Ruimtestaat[[#This Row],[uren / jaar werkdagen]]*Tariefsopbouw!$E$35</f>
        <v>0</v>
      </c>
      <c r="Y60" s="110"/>
      <c r="Z60" s="114">
        <f>IF(Ruimtestaat[[#This Row],[Frequentie weekend]]&gt;0,VALUE(LEFT(Y60,1))*R60,0)</f>
        <v>0</v>
      </c>
      <c r="AA60" s="110">
        <f>IF($Z60&gt;0,VLOOKUP($J60,Ruimtegroepen[],3,FALSE)*VLOOKUP($L60,Vloersoorten[],3,FALSE)*VLOOKUP($Y60,Frequenties[],3,FALSE)*VLOOKUP($A51,Locaties[],3,FALSE),0)</f>
        <v>0</v>
      </c>
      <c r="AB60" s="112">
        <f>Ruimtestaat[[#This Row],[Uitvoeringen weekend]]*Ruimtestaat[[#This Row],[Oppervlak (netto)]]</f>
        <v>0</v>
      </c>
      <c r="AC60" s="115">
        <f>IF(AB60&gt;0,Ruimtestaat[[#This Row],[Prest. (m2 /jaar) weekend]]/Ruimtestaat[[#This Row],[Norm (m2/uur) weekend]],0)</f>
        <v>0</v>
      </c>
      <c r="AD60" s="116">
        <f>Ruimtestaat[[#This Row],[uren / jaar weekend]]*Tariefsopbouw!$D$40</f>
        <v>0</v>
      </c>
      <c r="AE60" s="82">
        <f>Ruimtestaat[[#This Row],[Prest. (m2 /jaar) weekend]]+Ruimtestaat[[#This Row],[Prest. (m2 /jaar) werkdagen]]</f>
        <v>6248</v>
      </c>
      <c r="AF60" s="82">
        <f>Ruimtestaat[[#This Row],[uren / jaar weekend]]+Ruimtestaat[[#This Row],[uren / jaar werkdagen]]</f>
        <v>0</v>
      </c>
      <c r="AG60" s="83">
        <f>Ruimtestaat[[#This Row],[kosten / jaar weekend]]+Ruimtestaat[[#This Row],[kosten / jaar werkdagen]]</f>
        <v>0</v>
      </c>
      <c r="AH60" s="117"/>
      <c r="HL60" s="87"/>
    </row>
    <row r="61" spans="1:220" ht="15" customHeight="1">
      <c r="A61" s="136">
        <v>1</v>
      </c>
      <c r="B61" s="27" t="str">
        <f>VLOOKUP(Ruimtestaat[[#This Row],[Code]],Locaties[#All],2,FALSE)</f>
        <v>Hoornbeeck College Gouda</v>
      </c>
      <c r="C61" s="27" t="str">
        <f>VLOOKUP(Ruimtestaat[[#This Row],[Code]],Locaties[#All],4,FALSE)</f>
        <v>Noordelijk Halfrond 10</v>
      </c>
      <c r="D61" s="27" t="str">
        <f>VLOOKUP(Ruimtestaat[[#This Row],[Code]],Locaties[#All],5,FALSE)</f>
        <v>2801 DE</v>
      </c>
      <c r="E61" s="27" t="str">
        <f>VLOOKUP(Ruimtestaat[[#This Row],[Code]],Locaties[#All],6,FALSE)</f>
        <v>Gouda</v>
      </c>
      <c r="F61" s="74" t="s">
        <v>465</v>
      </c>
      <c r="G61" s="285" t="s">
        <v>505</v>
      </c>
      <c r="H61" s="286" t="s">
        <v>502</v>
      </c>
      <c r="I61" s="287" t="s">
        <v>470</v>
      </c>
      <c r="J61" s="288">
        <v>10</v>
      </c>
      <c r="K61" s="74" t="str">
        <f>VLOOKUP(J61,Ruimtegroepen[],2,FALSE)</f>
        <v>Trappenhuizen/lift</v>
      </c>
      <c r="L61" s="285" t="s">
        <v>110</v>
      </c>
      <c r="M61" s="287" t="s">
        <v>38</v>
      </c>
      <c r="N61" s="289">
        <v>15</v>
      </c>
      <c r="O61" s="290"/>
      <c r="P61" s="118" t="str">
        <f>LEFT(VLOOKUP(Ruimtestaat[[#This Row],[Ruimte code]],Ruimtegroepen[#All],4,1),2)</f>
        <v>Ve</v>
      </c>
      <c r="Q61" s="107"/>
      <c r="R61" s="108">
        <v>40</v>
      </c>
      <c r="S61" s="109" t="s">
        <v>2</v>
      </c>
      <c r="T61" s="110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110">
        <f>IF(T61&gt;0,VLOOKUP($J61,Ruimtegroepen[],3,FALSE)*VLOOKUP($L61,Vloersoorten[],3,FALSE)*VLOOKUP($S61,Frequenties[],3,FALSE)*VLOOKUP($A61,Locaties[],3,FALSE),0)</f>
        <v>0</v>
      </c>
      <c r="V61" s="111">
        <f>Ruimtestaat[[#This Row],[Uitvoeringen werkdagen]]*Ruimtestaat[[#This Row],[Oppervlak (netto)]]</f>
        <v>3000</v>
      </c>
      <c r="W61" s="112">
        <f>IF(U61&gt;0,Ruimtestaat[[#This Row],[Prest. (m2 /jaar) werkdagen]]/Ruimtestaat[[#This Row],[Norm (m2/uur) werkdagen]],0)</f>
        <v>0</v>
      </c>
      <c r="X61" s="113">
        <f>Ruimtestaat[[#This Row],[uren / jaar werkdagen]]*Tariefsopbouw!$E$35</f>
        <v>0</v>
      </c>
      <c r="Y61" s="110"/>
      <c r="Z61" s="114">
        <f>IF(Ruimtestaat[[#This Row],[Frequentie weekend]]&gt;0,VALUE(LEFT(Y61,1))*R61,0)</f>
        <v>0</v>
      </c>
      <c r="AA61" s="110">
        <f>IF($Z61&gt;0,VLOOKUP($J61,Ruimtegroepen[],3,FALSE)*VLOOKUP($L61,Vloersoorten[],3,FALSE)*VLOOKUP($Y61,Frequenties[],3,FALSE)*VLOOKUP($A52,Locaties[],3,FALSE),0)</f>
        <v>0</v>
      </c>
      <c r="AB61" s="112">
        <f>Ruimtestaat[[#This Row],[Uitvoeringen weekend]]*Ruimtestaat[[#This Row],[Oppervlak (netto)]]</f>
        <v>0</v>
      </c>
      <c r="AC61" s="115">
        <f>IF(AB61&gt;0,Ruimtestaat[[#This Row],[Prest. (m2 /jaar) weekend]]/Ruimtestaat[[#This Row],[Norm (m2/uur) weekend]],0)</f>
        <v>0</v>
      </c>
      <c r="AD61" s="116">
        <f>Ruimtestaat[[#This Row],[uren / jaar weekend]]*Tariefsopbouw!$D$40</f>
        <v>0</v>
      </c>
      <c r="AE61" s="82">
        <f>Ruimtestaat[[#This Row],[Prest. (m2 /jaar) weekend]]+Ruimtestaat[[#This Row],[Prest. (m2 /jaar) werkdagen]]</f>
        <v>3000</v>
      </c>
      <c r="AF61" s="82">
        <f>Ruimtestaat[[#This Row],[uren / jaar weekend]]+Ruimtestaat[[#This Row],[uren / jaar werkdagen]]</f>
        <v>0</v>
      </c>
      <c r="AG61" s="83">
        <f>Ruimtestaat[[#This Row],[kosten / jaar weekend]]+Ruimtestaat[[#This Row],[kosten / jaar werkdagen]]</f>
        <v>0</v>
      </c>
      <c r="AH61" s="117"/>
      <c r="HL61" s="87"/>
    </row>
    <row r="62" spans="1:220" ht="15" customHeight="1">
      <c r="A62" s="136">
        <v>1</v>
      </c>
      <c r="B62" s="27" t="str">
        <f>VLOOKUP(Ruimtestaat[[#This Row],[Code]],Locaties[#All],2,FALSE)</f>
        <v>Hoornbeeck College Gouda</v>
      </c>
      <c r="C62" s="27" t="str">
        <f>VLOOKUP(Ruimtestaat[[#This Row],[Code]],Locaties[#All],4,FALSE)</f>
        <v>Noordelijk Halfrond 10</v>
      </c>
      <c r="D62" s="27" t="str">
        <f>VLOOKUP(Ruimtestaat[[#This Row],[Code]],Locaties[#All],5,FALSE)</f>
        <v>2801 DE</v>
      </c>
      <c r="E62" s="27" t="str">
        <f>VLOOKUP(Ruimtestaat[[#This Row],[Code]],Locaties[#All],6,FALSE)</f>
        <v>Gouda</v>
      </c>
      <c r="F62" s="74" t="s">
        <v>465</v>
      </c>
      <c r="G62" s="285" t="s">
        <v>505</v>
      </c>
      <c r="H62" s="286" t="s">
        <v>503</v>
      </c>
      <c r="I62" s="287" t="s">
        <v>639</v>
      </c>
      <c r="J62" s="288">
        <v>5</v>
      </c>
      <c r="K62" s="74" t="str">
        <f>VLOOKUP(J62,Ruimtegroepen[],2,FALSE)</f>
        <v>Sanitair</v>
      </c>
      <c r="L62" s="285" t="s">
        <v>112</v>
      </c>
      <c r="M62" s="287" t="s">
        <v>469</v>
      </c>
      <c r="N62" s="289">
        <v>5.6</v>
      </c>
      <c r="O62" s="285"/>
      <c r="P62" s="118" t="str">
        <f>LEFT(VLOOKUP(Ruimtestaat[[#This Row],[Ruimte code]],Ruimtegroepen[#All],4,1),2)</f>
        <v>Sa</v>
      </c>
      <c r="Q62" s="107"/>
      <c r="R62" s="108">
        <v>40</v>
      </c>
      <c r="S62" s="109" t="s">
        <v>2</v>
      </c>
      <c r="T62" s="110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" s="110">
        <f>IF(T62&gt;0,VLOOKUP($J62,Ruimtegroepen[],3,FALSE)*VLOOKUP($L62,Vloersoorten[],3,FALSE)*VLOOKUP($S62,Frequenties[],3,FALSE)*VLOOKUP($A62,Locaties[],3,FALSE),0)</f>
        <v>0</v>
      </c>
      <c r="V62" s="111">
        <f>Ruimtestaat[[#This Row],[Uitvoeringen werkdagen]]*Ruimtestaat[[#This Row],[Oppervlak (netto)]]</f>
        <v>1120</v>
      </c>
      <c r="W62" s="112">
        <f>IF(U62&gt;0,Ruimtestaat[[#This Row],[Prest. (m2 /jaar) werkdagen]]/Ruimtestaat[[#This Row],[Norm (m2/uur) werkdagen]],0)</f>
        <v>0</v>
      </c>
      <c r="X62" s="113">
        <f>Ruimtestaat[[#This Row],[uren / jaar werkdagen]]*Tariefsopbouw!$E$35</f>
        <v>0</v>
      </c>
      <c r="Y62" s="110"/>
      <c r="Z62" s="114">
        <f>IF(Ruimtestaat[[#This Row],[Frequentie weekend]]&gt;0,VALUE(LEFT(Y62,1))*R62,0)</f>
        <v>0</v>
      </c>
      <c r="AA62" s="110">
        <f>IF($Z62&gt;0,VLOOKUP($J62,Ruimtegroepen[],3,FALSE)*VLOOKUP($L62,Vloersoorten[],3,FALSE)*VLOOKUP($Y62,Frequenties[],3,FALSE)*VLOOKUP($A53,Locaties[],3,FALSE),0)</f>
        <v>0</v>
      </c>
      <c r="AB62" s="112">
        <f>Ruimtestaat[[#This Row],[Uitvoeringen weekend]]*Ruimtestaat[[#This Row],[Oppervlak (netto)]]</f>
        <v>0</v>
      </c>
      <c r="AC62" s="115">
        <f>IF(AB62&gt;0,Ruimtestaat[[#This Row],[Prest. (m2 /jaar) weekend]]/Ruimtestaat[[#This Row],[Norm (m2/uur) weekend]],0)</f>
        <v>0</v>
      </c>
      <c r="AD62" s="116">
        <f>Ruimtestaat[[#This Row],[uren / jaar weekend]]*Tariefsopbouw!$D$40</f>
        <v>0</v>
      </c>
      <c r="AE62" s="82">
        <f>Ruimtestaat[[#This Row],[Prest. (m2 /jaar) weekend]]+Ruimtestaat[[#This Row],[Prest. (m2 /jaar) werkdagen]]</f>
        <v>1120</v>
      </c>
      <c r="AF62" s="82">
        <f>Ruimtestaat[[#This Row],[uren / jaar weekend]]+Ruimtestaat[[#This Row],[uren / jaar werkdagen]]</f>
        <v>0</v>
      </c>
      <c r="AG62" s="83">
        <f>Ruimtestaat[[#This Row],[kosten / jaar weekend]]+Ruimtestaat[[#This Row],[kosten / jaar werkdagen]]</f>
        <v>0</v>
      </c>
      <c r="AH62" s="117"/>
      <c r="HL62" s="87"/>
    </row>
    <row r="63" spans="1:220" ht="15" customHeight="1">
      <c r="A63" s="136">
        <v>1</v>
      </c>
      <c r="B63" s="27" t="str">
        <f>VLOOKUP(Ruimtestaat[[#This Row],[Code]],Locaties[#All],2,FALSE)</f>
        <v>Hoornbeeck College Gouda</v>
      </c>
      <c r="C63" s="27" t="str">
        <f>VLOOKUP(Ruimtestaat[[#This Row],[Code]],Locaties[#All],4,FALSE)</f>
        <v>Noordelijk Halfrond 10</v>
      </c>
      <c r="D63" s="27" t="str">
        <f>VLOOKUP(Ruimtestaat[[#This Row],[Code]],Locaties[#All],5,FALSE)</f>
        <v>2801 DE</v>
      </c>
      <c r="E63" s="27" t="str">
        <f>VLOOKUP(Ruimtestaat[[#This Row],[Code]],Locaties[#All],6,FALSE)</f>
        <v>Gouda</v>
      </c>
      <c r="F63" s="74" t="s">
        <v>465</v>
      </c>
      <c r="G63" s="285" t="s">
        <v>505</v>
      </c>
      <c r="H63" s="286" t="s">
        <v>504</v>
      </c>
      <c r="I63" s="287" t="s">
        <v>639</v>
      </c>
      <c r="J63" s="288">
        <v>5</v>
      </c>
      <c r="K63" s="74" t="str">
        <f>VLOOKUP(J63,Ruimtegroepen[],2,FALSE)</f>
        <v>Sanitair</v>
      </c>
      <c r="L63" s="285" t="s">
        <v>112</v>
      </c>
      <c r="M63" s="287" t="s">
        <v>469</v>
      </c>
      <c r="N63" s="289">
        <v>5.6</v>
      </c>
      <c r="O63" s="290"/>
      <c r="P63" s="118" t="str">
        <f>LEFT(VLOOKUP(Ruimtestaat[[#This Row],[Ruimte code]],Ruimtegroepen[#All],4,1),2)</f>
        <v>Sa</v>
      </c>
      <c r="Q63" s="107"/>
      <c r="R63" s="108">
        <v>40</v>
      </c>
      <c r="S63" s="109" t="s">
        <v>2</v>
      </c>
      <c r="T63" s="110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" s="110">
        <f>IF(T63&gt;0,VLOOKUP($J63,Ruimtegroepen[],3,FALSE)*VLOOKUP($L63,Vloersoorten[],3,FALSE)*VLOOKUP($S63,Frequenties[],3,FALSE)*VLOOKUP($A63,Locaties[],3,FALSE),0)</f>
        <v>0</v>
      </c>
      <c r="V63" s="111">
        <f>Ruimtestaat[[#This Row],[Uitvoeringen werkdagen]]*Ruimtestaat[[#This Row],[Oppervlak (netto)]]</f>
        <v>1120</v>
      </c>
      <c r="W63" s="112">
        <f>IF(U63&gt;0,Ruimtestaat[[#This Row],[Prest. (m2 /jaar) werkdagen]]/Ruimtestaat[[#This Row],[Norm (m2/uur) werkdagen]],0)</f>
        <v>0</v>
      </c>
      <c r="X63" s="113">
        <f>Ruimtestaat[[#This Row],[uren / jaar werkdagen]]*Tariefsopbouw!$E$35</f>
        <v>0</v>
      </c>
      <c r="Y63" s="110"/>
      <c r="Z63" s="114">
        <f>IF(Ruimtestaat[[#This Row],[Frequentie weekend]]&gt;0,VALUE(LEFT(Y63,1))*R63,0)</f>
        <v>0</v>
      </c>
      <c r="AA63" s="110">
        <f>IF($Z63&gt;0,VLOOKUP($J63,Ruimtegroepen[],3,FALSE)*VLOOKUP($L63,Vloersoorten[],3,FALSE)*VLOOKUP($Y63,Frequenties[],3,FALSE)*VLOOKUP($A54,Locaties[],3,FALSE),0)</f>
        <v>0</v>
      </c>
      <c r="AB63" s="112">
        <f>Ruimtestaat[[#This Row],[Uitvoeringen weekend]]*Ruimtestaat[[#This Row],[Oppervlak (netto)]]</f>
        <v>0</v>
      </c>
      <c r="AC63" s="115">
        <f>IF(AB63&gt;0,Ruimtestaat[[#This Row],[Prest. (m2 /jaar) weekend]]/Ruimtestaat[[#This Row],[Norm (m2/uur) weekend]],0)</f>
        <v>0</v>
      </c>
      <c r="AD63" s="116">
        <f>Ruimtestaat[[#This Row],[uren / jaar weekend]]*Tariefsopbouw!$D$40</f>
        <v>0</v>
      </c>
      <c r="AE63" s="82">
        <f>Ruimtestaat[[#This Row],[Prest. (m2 /jaar) weekend]]+Ruimtestaat[[#This Row],[Prest. (m2 /jaar) werkdagen]]</f>
        <v>1120</v>
      </c>
      <c r="AF63" s="82">
        <f>Ruimtestaat[[#This Row],[uren / jaar weekend]]+Ruimtestaat[[#This Row],[uren / jaar werkdagen]]</f>
        <v>0</v>
      </c>
      <c r="AG63" s="83">
        <f>Ruimtestaat[[#This Row],[kosten / jaar weekend]]+Ruimtestaat[[#This Row],[kosten / jaar werkdagen]]</f>
        <v>0</v>
      </c>
      <c r="AH63" s="117"/>
      <c r="HL63" s="87"/>
    </row>
    <row r="64" spans="1:220" ht="15" customHeight="1">
      <c r="A64" s="136">
        <v>1</v>
      </c>
      <c r="B64" s="27" t="str">
        <f>VLOOKUP(Ruimtestaat[[#This Row],[Code]],Locaties[#All],2,FALSE)</f>
        <v>Hoornbeeck College Gouda</v>
      </c>
      <c r="C64" s="27" t="str">
        <f>VLOOKUP(Ruimtestaat[[#This Row],[Code]],Locaties[#All],4,FALSE)</f>
        <v>Noordelijk Halfrond 10</v>
      </c>
      <c r="D64" s="27" t="str">
        <f>VLOOKUP(Ruimtestaat[[#This Row],[Code]],Locaties[#All],5,FALSE)</f>
        <v>2801 DE</v>
      </c>
      <c r="E64" s="27" t="str">
        <f>VLOOKUP(Ruimtestaat[[#This Row],[Code]],Locaties[#All],6,FALSE)</f>
        <v>Gouda</v>
      </c>
      <c r="F64" s="74" t="s">
        <v>484</v>
      </c>
      <c r="G64" s="285" t="s">
        <v>505</v>
      </c>
      <c r="H64" s="286" t="s">
        <v>506</v>
      </c>
      <c r="I64" s="287" t="s">
        <v>660</v>
      </c>
      <c r="J64" s="288">
        <v>1</v>
      </c>
      <c r="K64" s="74" t="str">
        <f>VLOOKUP(J64,Ruimtegroepen[],2,FALSE)</f>
        <v>Magazijnen/bergingen</v>
      </c>
      <c r="L64" s="285" t="s">
        <v>111</v>
      </c>
      <c r="M64" s="287" t="s">
        <v>467</v>
      </c>
      <c r="N64" s="289">
        <v>18.600000000000001</v>
      </c>
      <c r="O64" s="290"/>
      <c r="P64" s="118" t="str">
        <f>LEFT(VLOOKUP(Ruimtestaat[[#This Row],[Ruimte code]],Ruimtegroepen[#All],4,1),2)</f>
        <v>Ve</v>
      </c>
      <c r="Q64" s="107"/>
      <c r="R64" s="108">
        <v>40</v>
      </c>
      <c r="S64" s="109" t="s">
        <v>16</v>
      </c>
      <c r="T64" s="110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64" s="110">
        <f>IF(T64&gt;0,VLOOKUP($J64,Ruimtegroepen[],3,FALSE)*VLOOKUP($L64,Vloersoorten[],3,FALSE)*VLOOKUP($S64,Frequenties[],3,FALSE)*VLOOKUP($A64,Locaties[],3,FALSE),0)</f>
        <v>0</v>
      </c>
      <c r="V64" s="111">
        <f>Ruimtestaat[[#This Row],[Uitvoeringen werkdagen]]*Ruimtestaat[[#This Row],[Oppervlak (netto)]]</f>
        <v>223.20000000000002</v>
      </c>
      <c r="W64" s="112">
        <f>IF(U64&gt;0,Ruimtestaat[[#This Row],[Prest. (m2 /jaar) werkdagen]]/Ruimtestaat[[#This Row],[Norm (m2/uur) werkdagen]],0)</f>
        <v>0</v>
      </c>
      <c r="X64" s="113">
        <f>Ruimtestaat[[#This Row],[uren / jaar werkdagen]]*Tariefsopbouw!$E$35</f>
        <v>0</v>
      </c>
      <c r="Y64" s="110"/>
      <c r="Z64" s="114">
        <f>IF(Ruimtestaat[[#This Row],[Frequentie weekend]]&gt;0,VALUE(LEFT(Y64,1))*R64,0)</f>
        <v>0</v>
      </c>
      <c r="AA64" s="110">
        <f>IF($Z64&gt;0,VLOOKUP($J64,Ruimtegroepen[],3,FALSE)*VLOOKUP($L64,Vloersoorten[],3,FALSE)*VLOOKUP($Y64,Frequenties[],3,FALSE)*VLOOKUP($A54,Locaties[],3,FALSE),0)</f>
        <v>0</v>
      </c>
      <c r="AB64" s="112">
        <f>Ruimtestaat[[#This Row],[Uitvoeringen weekend]]*Ruimtestaat[[#This Row],[Oppervlak (netto)]]</f>
        <v>0</v>
      </c>
      <c r="AC64" s="115">
        <f>IF(AB64&gt;0,Ruimtestaat[[#This Row],[Prest. (m2 /jaar) weekend]]/Ruimtestaat[[#This Row],[Norm (m2/uur) weekend]],0)</f>
        <v>0</v>
      </c>
      <c r="AD64" s="116">
        <f>Ruimtestaat[[#This Row],[uren / jaar weekend]]*Tariefsopbouw!$D$40</f>
        <v>0</v>
      </c>
      <c r="AE64" s="82">
        <f>Ruimtestaat[[#This Row],[Prest. (m2 /jaar) weekend]]+Ruimtestaat[[#This Row],[Prest. (m2 /jaar) werkdagen]]</f>
        <v>223.20000000000002</v>
      </c>
      <c r="AF64" s="82">
        <f>Ruimtestaat[[#This Row],[uren / jaar weekend]]+Ruimtestaat[[#This Row],[uren / jaar werkdagen]]</f>
        <v>0</v>
      </c>
      <c r="AG64" s="83">
        <f>Ruimtestaat[[#This Row],[kosten / jaar weekend]]+Ruimtestaat[[#This Row],[kosten / jaar werkdagen]]</f>
        <v>0</v>
      </c>
      <c r="AH64" s="117"/>
      <c r="HL64" s="87"/>
    </row>
    <row r="65" spans="1:220" ht="15" customHeight="1">
      <c r="A65" s="136">
        <v>1</v>
      </c>
      <c r="B65" s="27" t="str">
        <f>VLOOKUP(Ruimtestaat[[#This Row],[Code]],Locaties[#All],2,FALSE)</f>
        <v>Hoornbeeck College Gouda</v>
      </c>
      <c r="C65" s="27" t="str">
        <f>VLOOKUP(Ruimtestaat[[#This Row],[Code]],Locaties[#All],4,FALSE)</f>
        <v>Noordelijk Halfrond 10</v>
      </c>
      <c r="D65" s="27" t="str">
        <f>VLOOKUP(Ruimtestaat[[#This Row],[Code]],Locaties[#All],5,FALSE)</f>
        <v>2801 DE</v>
      </c>
      <c r="E65" s="27" t="str">
        <f>VLOOKUP(Ruimtestaat[[#This Row],[Code]],Locaties[#All],6,FALSE)</f>
        <v>Gouda</v>
      </c>
      <c r="F65" s="74" t="s">
        <v>484</v>
      </c>
      <c r="G65" s="285" t="s">
        <v>505</v>
      </c>
      <c r="H65" s="286" t="s">
        <v>507</v>
      </c>
      <c r="I65" s="287" t="s">
        <v>647</v>
      </c>
      <c r="J65" s="288">
        <v>1</v>
      </c>
      <c r="K65" s="74" t="str">
        <f>VLOOKUP(J65,Ruimtegroepen[],2,FALSE)</f>
        <v>Magazijnen/bergingen</v>
      </c>
      <c r="L65" s="285" t="s">
        <v>111</v>
      </c>
      <c r="M65" s="287" t="s">
        <v>467</v>
      </c>
      <c r="N65" s="289">
        <v>17.100000000000001</v>
      </c>
      <c r="O65" s="285"/>
      <c r="P65" s="118" t="str">
        <f>LEFT(VLOOKUP(Ruimtestaat[[#This Row],[Ruimte code]],Ruimtegroepen[#All],4,1),2)</f>
        <v>Ve</v>
      </c>
      <c r="Q65" s="107"/>
      <c r="R65" s="108">
        <v>40</v>
      </c>
      <c r="S65" s="109" t="s">
        <v>16</v>
      </c>
      <c r="T65" s="110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65" s="110">
        <f>IF(T65&gt;0,VLOOKUP($J65,Ruimtegroepen[],3,FALSE)*VLOOKUP($L65,Vloersoorten[],3,FALSE)*VLOOKUP($S65,Frequenties[],3,FALSE)*VLOOKUP($A65,Locaties[],3,FALSE),0)</f>
        <v>0</v>
      </c>
      <c r="V65" s="111">
        <f>Ruimtestaat[[#This Row],[Uitvoeringen werkdagen]]*Ruimtestaat[[#This Row],[Oppervlak (netto)]]</f>
        <v>205.20000000000002</v>
      </c>
      <c r="W65" s="112">
        <f>IF(U65&gt;0,Ruimtestaat[[#This Row],[Prest. (m2 /jaar) werkdagen]]/Ruimtestaat[[#This Row],[Norm (m2/uur) werkdagen]],0)</f>
        <v>0</v>
      </c>
      <c r="X65" s="113">
        <f>Ruimtestaat[[#This Row],[uren / jaar werkdagen]]*Tariefsopbouw!$E$35</f>
        <v>0</v>
      </c>
      <c r="Y65" s="110"/>
      <c r="Z65" s="114">
        <f>IF(Ruimtestaat[[#This Row],[Frequentie weekend]]&gt;0,VALUE(LEFT(Y65,1))*R65,0)</f>
        <v>0</v>
      </c>
      <c r="AA65" s="110">
        <f>IF($Z65&gt;0,VLOOKUP($J65,Ruimtegroepen[],3,FALSE)*VLOOKUP($L65,Vloersoorten[],3,FALSE)*VLOOKUP($Y65,Frequenties[],3,FALSE)*VLOOKUP($A55,Locaties[],3,FALSE),0)</f>
        <v>0</v>
      </c>
      <c r="AB65" s="112">
        <f>Ruimtestaat[[#This Row],[Uitvoeringen weekend]]*Ruimtestaat[[#This Row],[Oppervlak (netto)]]</f>
        <v>0</v>
      </c>
      <c r="AC65" s="115">
        <f>IF(AB65&gt;0,Ruimtestaat[[#This Row],[Prest. (m2 /jaar) weekend]]/Ruimtestaat[[#This Row],[Norm (m2/uur) weekend]],0)</f>
        <v>0</v>
      </c>
      <c r="AD65" s="116">
        <f>Ruimtestaat[[#This Row],[uren / jaar weekend]]*Tariefsopbouw!$D$40</f>
        <v>0</v>
      </c>
      <c r="AE65" s="82">
        <f>Ruimtestaat[[#This Row],[Prest. (m2 /jaar) weekend]]+Ruimtestaat[[#This Row],[Prest. (m2 /jaar) werkdagen]]</f>
        <v>205.20000000000002</v>
      </c>
      <c r="AF65" s="82">
        <f>Ruimtestaat[[#This Row],[uren / jaar weekend]]+Ruimtestaat[[#This Row],[uren / jaar werkdagen]]</f>
        <v>0</v>
      </c>
      <c r="AG65" s="83">
        <f>Ruimtestaat[[#This Row],[kosten / jaar weekend]]+Ruimtestaat[[#This Row],[kosten / jaar werkdagen]]</f>
        <v>0</v>
      </c>
      <c r="AH65" s="117"/>
      <c r="HL65" s="87"/>
    </row>
    <row r="66" spans="1:220" ht="15" customHeight="1">
      <c r="A66" s="136">
        <v>1</v>
      </c>
      <c r="B66" s="27" t="str">
        <f>VLOOKUP(Ruimtestaat[[#This Row],[Code]],Locaties[#All],2,FALSE)</f>
        <v>Hoornbeeck College Gouda</v>
      </c>
      <c r="C66" s="27" t="str">
        <f>VLOOKUP(Ruimtestaat[[#This Row],[Code]],Locaties[#All],4,FALSE)</f>
        <v>Noordelijk Halfrond 10</v>
      </c>
      <c r="D66" s="27" t="str">
        <f>VLOOKUP(Ruimtestaat[[#This Row],[Code]],Locaties[#All],5,FALSE)</f>
        <v>2801 DE</v>
      </c>
      <c r="E66" s="27" t="str">
        <f>VLOOKUP(Ruimtestaat[[#This Row],[Code]],Locaties[#All],6,FALSE)</f>
        <v>Gouda</v>
      </c>
      <c r="F66" s="74" t="s">
        <v>484</v>
      </c>
      <c r="G66" s="285" t="s">
        <v>505</v>
      </c>
      <c r="H66" s="286" t="s">
        <v>508</v>
      </c>
      <c r="I66" s="287" t="s">
        <v>661</v>
      </c>
      <c r="J66" s="288">
        <v>14</v>
      </c>
      <c r="K66" s="74" t="str">
        <f>VLOOKUP(J66,Ruimtegroepen[],2,FALSE)</f>
        <v>Praktijklokalen</v>
      </c>
      <c r="L66" s="285" t="s">
        <v>111</v>
      </c>
      <c r="M66" s="287" t="s">
        <v>467</v>
      </c>
      <c r="N66" s="289">
        <v>84.2</v>
      </c>
      <c r="O66" s="290"/>
      <c r="P66" s="118" t="str">
        <f>LEFT(VLOOKUP(Ruimtestaat[[#This Row],[Ruimte code]],Ruimtegroepen[#All],4,1),2)</f>
        <v>Le</v>
      </c>
      <c r="Q66" s="107"/>
      <c r="R66" s="108">
        <v>40</v>
      </c>
      <c r="S66" s="109" t="s">
        <v>2</v>
      </c>
      <c r="T66" s="110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110">
        <f>IF(T66&gt;0,VLOOKUP($J66,Ruimtegroepen[],3,FALSE)*VLOOKUP($L66,Vloersoorten[],3,FALSE)*VLOOKUP($S66,Frequenties[],3,FALSE)*VLOOKUP($A66,Locaties[],3,FALSE),0)</f>
        <v>0</v>
      </c>
      <c r="V66" s="111">
        <f>Ruimtestaat[[#This Row],[Uitvoeringen werkdagen]]*Ruimtestaat[[#This Row],[Oppervlak (netto)]]</f>
        <v>16840</v>
      </c>
      <c r="W66" s="112">
        <f>IF(U66&gt;0,Ruimtestaat[[#This Row],[Prest. (m2 /jaar) werkdagen]]/Ruimtestaat[[#This Row],[Norm (m2/uur) werkdagen]],0)</f>
        <v>0</v>
      </c>
      <c r="X66" s="113">
        <f>Ruimtestaat[[#This Row],[uren / jaar werkdagen]]*Tariefsopbouw!$E$35</f>
        <v>0</v>
      </c>
      <c r="Y66" s="110"/>
      <c r="Z66" s="114">
        <f>IF(Ruimtestaat[[#This Row],[Frequentie weekend]]&gt;0,VALUE(LEFT(Y66,1))*R66,0)</f>
        <v>0</v>
      </c>
      <c r="AA66" s="110">
        <f>IF($Z66&gt;0,VLOOKUP($J66,Ruimtegroepen[],3,FALSE)*VLOOKUP($L66,Vloersoorten[],3,FALSE)*VLOOKUP($Y66,Frequenties[],3,FALSE)*VLOOKUP($A57,Locaties[],3,FALSE),0)</f>
        <v>0</v>
      </c>
      <c r="AB66" s="112">
        <f>Ruimtestaat[[#This Row],[Uitvoeringen weekend]]*Ruimtestaat[[#This Row],[Oppervlak (netto)]]</f>
        <v>0</v>
      </c>
      <c r="AC66" s="115">
        <f>IF(AB66&gt;0,Ruimtestaat[[#This Row],[Prest. (m2 /jaar) weekend]]/Ruimtestaat[[#This Row],[Norm (m2/uur) weekend]],0)</f>
        <v>0</v>
      </c>
      <c r="AD66" s="116">
        <f>Ruimtestaat[[#This Row],[uren / jaar weekend]]*Tariefsopbouw!$D$40</f>
        <v>0</v>
      </c>
      <c r="AE66" s="82">
        <f>Ruimtestaat[[#This Row],[Prest. (m2 /jaar) weekend]]+Ruimtestaat[[#This Row],[Prest. (m2 /jaar) werkdagen]]</f>
        <v>16840</v>
      </c>
      <c r="AF66" s="82">
        <f>Ruimtestaat[[#This Row],[uren / jaar weekend]]+Ruimtestaat[[#This Row],[uren / jaar werkdagen]]</f>
        <v>0</v>
      </c>
      <c r="AG66" s="83">
        <f>Ruimtestaat[[#This Row],[kosten / jaar weekend]]+Ruimtestaat[[#This Row],[kosten / jaar werkdagen]]</f>
        <v>0</v>
      </c>
      <c r="AH66" s="117"/>
      <c r="HL66" s="87"/>
    </row>
    <row r="67" spans="1:220" ht="15" customHeight="1">
      <c r="A67" s="136">
        <v>1</v>
      </c>
      <c r="B67" s="27" t="str">
        <f>VLOOKUP(Ruimtestaat[[#This Row],[Code]],Locaties[#All],2,FALSE)</f>
        <v>Hoornbeeck College Gouda</v>
      </c>
      <c r="C67" s="27" t="str">
        <f>VLOOKUP(Ruimtestaat[[#This Row],[Code]],Locaties[#All],4,FALSE)</f>
        <v>Noordelijk Halfrond 10</v>
      </c>
      <c r="D67" s="27" t="str">
        <f>VLOOKUP(Ruimtestaat[[#This Row],[Code]],Locaties[#All],5,FALSE)</f>
        <v>2801 DE</v>
      </c>
      <c r="E67" s="27" t="str">
        <f>VLOOKUP(Ruimtestaat[[#This Row],[Code]],Locaties[#All],6,FALSE)</f>
        <v>Gouda</v>
      </c>
      <c r="F67" s="74" t="s">
        <v>484</v>
      </c>
      <c r="G67" s="285" t="s">
        <v>505</v>
      </c>
      <c r="H67" s="286" t="s">
        <v>509</v>
      </c>
      <c r="I67" s="287" t="s">
        <v>662</v>
      </c>
      <c r="J67" s="288">
        <v>14</v>
      </c>
      <c r="K67" s="74" t="str">
        <f>VLOOKUP(J67,Ruimtegroepen[],2,FALSE)</f>
        <v>Praktijklokalen</v>
      </c>
      <c r="L67" s="285" t="s">
        <v>111</v>
      </c>
      <c r="M67" s="287" t="s">
        <v>467</v>
      </c>
      <c r="N67" s="289">
        <v>99.1</v>
      </c>
      <c r="O67" s="290"/>
      <c r="P67" s="118" t="str">
        <f>LEFT(VLOOKUP(Ruimtestaat[[#This Row],[Ruimte code]],Ruimtegroepen[#All],4,1),2)</f>
        <v>Le</v>
      </c>
      <c r="Q67" s="107"/>
      <c r="R67" s="108">
        <v>40</v>
      </c>
      <c r="S67" s="109" t="s">
        <v>2</v>
      </c>
      <c r="T67" s="110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110">
        <f>IF(T67&gt;0,VLOOKUP($J67,Ruimtegroepen[],3,FALSE)*VLOOKUP($L67,Vloersoorten[],3,FALSE)*VLOOKUP($S67,Frequenties[],3,FALSE)*VLOOKUP($A67,Locaties[],3,FALSE),0)</f>
        <v>0</v>
      </c>
      <c r="V67" s="111">
        <f>Ruimtestaat[[#This Row],[Uitvoeringen werkdagen]]*Ruimtestaat[[#This Row],[Oppervlak (netto)]]</f>
        <v>19820</v>
      </c>
      <c r="W67" s="112">
        <f>IF(U67&gt;0,Ruimtestaat[[#This Row],[Prest. (m2 /jaar) werkdagen]]/Ruimtestaat[[#This Row],[Norm (m2/uur) werkdagen]],0)</f>
        <v>0</v>
      </c>
      <c r="X67" s="113">
        <f>Ruimtestaat[[#This Row],[uren / jaar werkdagen]]*Tariefsopbouw!$E$35</f>
        <v>0</v>
      </c>
      <c r="Y67" s="110"/>
      <c r="Z67" s="114">
        <f>IF(Ruimtestaat[[#This Row],[Frequentie weekend]]&gt;0,VALUE(LEFT(Y67,1))*R67,0)</f>
        <v>0</v>
      </c>
      <c r="AA67" s="110">
        <f>IF($Z67&gt;0,VLOOKUP($J67,Ruimtegroepen[],3,FALSE)*VLOOKUP($L67,Vloersoorten[],3,FALSE)*VLOOKUP($Y67,Frequenties[],3,FALSE)*VLOOKUP($A58,Locaties[],3,FALSE),0)</f>
        <v>0</v>
      </c>
      <c r="AB67" s="112">
        <f>Ruimtestaat[[#This Row],[Uitvoeringen weekend]]*Ruimtestaat[[#This Row],[Oppervlak (netto)]]</f>
        <v>0</v>
      </c>
      <c r="AC67" s="115">
        <f>IF(AB67&gt;0,Ruimtestaat[[#This Row],[Prest. (m2 /jaar) weekend]]/Ruimtestaat[[#This Row],[Norm (m2/uur) weekend]],0)</f>
        <v>0</v>
      </c>
      <c r="AD67" s="116">
        <f>Ruimtestaat[[#This Row],[uren / jaar weekend]]*Tariefsopbouw!$D$40</f>
        <v>0</v>
      </c>
      <c r="AE67" s="82">
        <f>Ruimtestaat[[#This Row],[Prest. (m2 /jaar) weekend]]+Ruimtestaat[[#This Row],[Prest. (m2 /jaar) werkdagen]]</f>
        <v>19820</v>
      </c>
      <c r="AF67" s="82">
        <f>Ruimtestaat[[#This Row],[uren / jaar weekend]]+Ruimtestaat[[#This Row],[uren / jaar werkdagen]]</f>
        <v>0</v>
      </c>
      <c r="AG67" s="83">
        <f>Ruimtestaat[[#This Row],[kosten / jaar weekend]]+Ruimtestaat[[#This Row],[kosten / jaar werkdagen]]</f>
        <v>0</v>
      </c>
      <c r="AH67" s="117"/>
      <c r="HL67" s="87"/>
    </row>
    <row r="68" spans="1:220" ht="15" customHeight="1">
      <c r="A68" s="136">
        <v>1</v>
      </c>
      <c r="B68" s="27" t="str">
        <f>VLOOKUP(Ruimtestaat[[#This Row],[Code]],Locaties[#All],2,FALSE)</f>
        <v>Hoornbeeck College Gouda</v>
      </c>
      <c r="C68" s="27" t="str">
        <f>VLOOKUP(Ruimtestaat[[#This Row],[Code]],Locaties[#All],4,FALSE)</f>
        <v>Noordelijk Halfrond 10</v>
      </c>
      <c r="D68" s="27" t="str">
        <f>VLOOKUP(Ruimtestaat[[#This Row],[Code]],Locaties[#All],5,FALSE)</f>
        <v>2801 DE</v>
      </c>
      <c r="E68" s="27" t="str">
        <f>VLOOKUP(Ruimtestaat[[#This Row],[Code]],Locaties[#All],6,FALSE)</f>
        <v>Gouda</v>
      </c>
      <c r="F68" s="74" t="s">
        <v>484</v>
      </c>
      <c r="G68" s="285" t="s">
        <v>505</v>
      </c>
      <c r="H68" s="286" t="s">
        <v>510</v>
      </c>
      <c r="I68" s="287" t="s">
        <v>632</v>
      </c>
      <c r="J68" s="288">
        <v>6</v>
      </c>
      <c r="K68" s="74" t="str">
        <f>VLOOKUP(J68,Ruimtegroepen[],2,FALSE)</f>
        <v>Gangen/hallen</v>
      </c>
      <c r="L68" s="285" t="s">
        <v>110</v>
      </c>
      <c r="M68" s="287" t="s">
        <v>38</v>
      </c>
      <c r="N68" s="289">
        <v>65.02</v>
      </c>
      <c r="O68" s="285"/>
      <c r="P68" s="118" t="str">
        <f>LEFT(VLOOKUP(Ruimtestaat[[#This Row],[Ruimte code]],Ruimtegroepen[#All],4,1),2)</f>
        <v>Ve</v>
      </c>
      <c r="Q68" s="107"/>
      <c r="R68" s="108">
        <v>40</v>
      </c>
      <c r="S68" s="109" t="s">
        <v>2</v>
      </c>
      <c r="T68" s="110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110">
        <f>IF(T68&gt;0,VLOOKUP($J68,Ruimtegroepen[],3,FALSE)*VLOOKUP($L68,Vloersoorten[],3,FALSE)*VLOOKUP($S68,Frequenties[],3,FALSE)*VLOOKUP($A68,Locaties[],3,FALSE),0)</f>
        <v>0</v>
      </c>
      <c r="V68" s="111">
        <f>Ruimtestaat[[#This Row],[Uitvoeringen werkdagen]]*Ruimtestaat[[#This Row],[Oppervlak (netto)]]</f>
        <v>13004</v>
      </c>
      <c r="W68" s="112">
        <f>IF(U68&gt;0,Ruimtestaat[[#This Row],[Prest. (m2 /jaar) werkdagen]]/Ruimtestaat[[#This Row],[Norm (m2/uur) werkdagen]],0)</f>
        <v>0</v>
      </c>
      <c r="X68" s="113">
        <f>Ruimtestaat[[#This Row],[uren / jaar werkdagen]]*Tariefsopbouw!$E$35</f>
        <v>0</v>
      </c>
      <c r="Y68" s="110"/>
      <c r="Z68" s="114">
        <f>IF(Ruimtestaat[[#This Row],[Frequentie weekend]]&gt;0,VALUE(LEFT(Y68,1))*R68,0)</f>
        <v>0</v>
      </c>
      <c r="AA68" s="110">
        <f>IF($Z68&gt;0,VLOOKUP($J68,Ruimtegroepen[],3,FALSE)*VLOOKUP($L68,Vloersoorten[],3,FALSE)*VLOOKUP($Y68,Frequenties[],3,FALSE)*VLOOKUP($A64,Locaties[],3,FALSE),0)</f>
        <v>0</v>
      </c>
      <c r="AB68" s="112">
        <f>Ruimtestaat[[#This Row],[Uitvoeringen weekend]]*Ruimtestaat[[#This Row],[Oppervlak (netto)]]</f>
        <v>0</v>
      </c>
      <c r="AC68" s="115">
        <f>IF(AB68&gt;0,Ruimtestaat[[#This Row],[Prest. (m2 /jaar) weekend]]/Ruimtestaat[[#This Row],[Norm (m2/uur) weekend]],0)</f>
        <v>0</v>
      </c>
      <c r="AD68" s="116">
        <f>Ruimtestaat[[#This Row],[uren / jaar weekend]]*Tariefsopbouw!$D$40</f>
        <v>0</v>
      </c>
      <c r="AE68" s="82">
        <f>Ruimtestaat[[#This Row],[Prest. (m2 /jaar) weekend]]+Ruimtestaat[[#This Row],[Prest. (m2 /jaar) werkdagen]]</f>
        <v>13004</v>
      </c>
      <c r="AF68" s="82">
        <f>Ruimtestaat[[#This Row],[uren / jaar weekend]]+Ruimtestaat[[#This Row],[uren / jaar werkdagen]]</f>
        <v>0</v>
      </c>
      <c r="AG68" s="83">
        <f>Ruimtestaat[[#This Row],[kosten / jaar weekend]]+Ruimtestaat[[#This Row],[kosten / jaar werkdagen]]</f>
        <v>0</v>
      </c>
      <c r="AH68" s="117"/>
      <c r="HL68" s="87"/>
    </row>
    <row r="69" spans="1:220" ht="15" customHeight="1">
      <c r="A69" s="136">
        <v>1</v>
      </c>
      <c r="B69" s="27" t="str">
        <f>VLOOKUP(Ruimtestaat[[#This Row],[Code]],Locaties[#All],2,FALSE)</f>
        <v>Hoornbeeck College Gouda</v>
      </c>
      <c r="C69" s="27" t="str">
        <f>VLOOKUP(Ruimtestaat[[#This Row],[Code]],Locaties[#All],4,FALSE)</f>
        <v>Noordelijk Halfrond 10</v>
      </c>
      <c r="D69" s="27" t="str">
        <f>VLOOKUP(Ruimtestaat[[#This Row],[Code]],Locaties[#All],5,FALSE)</f>
        <v>2801 DE</v>
      </c>
      <c r="E69" s="27" t="str">
        <f>VLOOKUP(Ruimtestaat[[#This Row],[Code]],Locaties[#All],6,FALSE)</f>
        <v>Gouda</v>
      </c>
      <c r="F69" s="74" t="s">
        <v>484</v>
      </c>
      <c r="G69" s="285" t="s">
        <v>505</v>
      </c>
      <c r="H69" s="286" t="s">
        <v>511</v>
      </c>
      <c r="I69" s="287" t="s">
        <v>632</v>
      </c>
      <c r="J69" s="288">
        <v>6</v>
      </c>
      <c r="K69" s="74" t="str">
        <f>VLOOKUP(J69,Ruimtegroepen[],2,FALSE)</f>
        <v>Gangen/hallen</v>
      </c>
      <c r="L69" s="285" t="s">
        <v>110</v>
      </c>
      <c r="M69" s="287" t="s">
        <v>38</v>
      </c>
      <c r="N69" s="289">
        <v>113.38</v>
      </c>
      <c r="O69" s="290"/>
      <c r="P69" s="118" t="str">
        <f>LEFT(VLOOKUP(Ruimtestaat[[#This Row],[Ruimte code]],Ruimtegroepen[#All],4,1),2)</f>
        <v>Ve</v>
      </c>
      <c r="Q69" s="107"/>
      <c r="R69" s="108">
        <v>40</v>
      </c>
      <c r="S69" s="109" t="s">
        <v>2</v>
      </c>
      <c r="T69" s="110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" s="110">
        <f>IF(T69&gt;0,VLOOKUP($J69,Ruimtegroepen[],3,FALSE)*VLOOKUP($L69,Vloersoorten[],3,FALSE)*VLOOKUP($S69,Frequenties[],3,FALSE)*VLOOKUP($A69,Locaties[],3,FALSE),0)</f>
        <v>0</v>
      </c>
      <c r="V69" s="111">
        <f>Ruimtestaat[[#This Row],[Uitvoeringen werkdagen]]*Ruimtestaat[[#This Row],[Oppervlak (netto)]]</f>
        <v>22676</v>
      </c>
      <c r="W69" s="112">
        <f>IF(U69&gt;0,Ruimtestaat[[#This Row],[Prest. (m2 /jaar) werkdagen]]/Ruimtestaat[[#This Row],[Norm (m2/uur) werkdagen]],0)</f>
        <v>0</v>
      </c>
      <c r="X69" s="113">
        <f>Ruimtestaat[[#This Row],[uren / jaar werkdagen]]*Tariefsopbouw!$E$35</f>
        <v>0</v>
      </c>
      <c r="Y69" s="110"/>
      <c r="Z69" s="114">
        <f>IF(Ruimtestaat[[#This Row],[Frequentie weekend]]&gt;0,VALUE(LEFT(Y69,1))*R69,0)</f>
        <v>0</v>
      </c>
      <c r="AA69" s="110">
        <f>IF($Z69&gt;0,VLOOKUP($J69,Ruimtegroepen[],3,FALSE)*VLOOKUP($L69,Vloersoorten[],3,FALSE)*VLOOKUP($Y69,Frequenties[],3,FALSE)*VLOOKUP($A65,Locaties[],3,FALSE),0)</f>
        <v>0</v>
      </c>
      <c r="AB69" s="112">
        <f>Ruimtestaat[[#This Row],[Uitvoeringen weekend]]*Ruimtestaat[[#This Row],[Oppervlak (netto)]]</f>
        <v>0</v>
      </c>
      <c r="AC69" s="115">
        <f>IF(AB69&gt;0,Ruimtestaat[[#This Row],[Prest. (m2 /jaar) weekend]]/Ruimtestaat[[#This Row],[Norm (m2/uur) weekend]],0)</f>
        <v>0</v>
      </c>
      <c r="AD69" s="116">
        <f>Ruimtestaat[[#This Row],[uren / jaar weekend]]*Tariefsopbouw!$D$40</f>
        <v>0</v>
      </c>
      <c r="AE69" s="82">
        <f>Ruimtestaat[[#This Row],[Prest. (m2 /jaar) weekend]]+Ruimtestaat[[#This Row],[Prest. (m2 /jaar) werkdagen]]</f>
        <v>22676</v>
      </c>
      <c r="AF69" s="82">
        <f>Ruimtestaat[[#This Row],[uren / jaar weekend]]+Ruimtestaat[[#This Row],[uren / jaar werkdagen]]</f>
        <v>0</v>
      </c>
      <c r="AG69" s="83">
        <f>Ruimtestaat[[#This Row],[kosten / jaar weekend]]+Ruimtestaat[[#This Row],[kosten / jaar werkdagen]]</f>
        <v>0</v>
      </c>
      <c r="AH69" s="117"/>
      <c r="HL69" s="87"/>
    </row>
    <row r="70" spans="1:220" ht="15" customHeight="1">
      <c r="A70" s="136">
        <v>1</v>
      </c>
      <c r="B70" s="27" t="str">
        <f>VLOOKUP(Ruimtestaat[[#This Row],[Code]],Locaties[#All],2,FALSE)</f>
        <v>Hoornbeeck College Gouda</v>
      </c>
      <c r="C70" s="27" t="str">
        <f>VLOOKUP(Ruimtestaat[[#This Row],[Code]],Locaties[#All],4,FALSE)</f>
        <v>Noordelijk Halfrond 10</v>
      </c>
      <c r="D70" s="27" t="str">
        <f>VLOOKUP(Ruimtestaat[[#This Row],[Code]],Locaties[#All],5,FALSE)</f>
        <v>2801 DE</v>
      </c>
      <c r="E70" s="27" t="str">
        <f>VLOOKUP(Ruimtestaat[[#This Row],[Code]],Locaties[#All],6,FALSE)</f>
        <v>Gouda</v>
      </c>
      <c r="F70" s="74" t="s">
        <v>484</v>
      </c>
      <c r="G70" s="285" t="s">
        <v>505</v>
      </c>
      <c r="H70" s="286" t="s">
        <v>512</v>
      </c>
      <c r="I70" s="287" t="s">
        <v>663</v>
      </c>
      <c r="J70" s="288">
        <v>1</v>
      </c>
      <c r="K70" s="74" t="str">
        <f>VLOOKUP(J70,Ruimtegroepen[],2,FALSE)</f>
        <v>Magazijnen/bergingen</v>
      </c>
      <c r="L70" s="285" t="s">
        <v>110</v>
      </c>
      <c r="M70" s="287" t="s">
        <v>38</v>
      </c>
      <c r="N70" s="289">
        <v>7.8</v>
      </c>
      <c r="O70" s="290"/>
      <c r="P70" s="118" t="str">
        <f>LEFT(VLOOKUP(Ruimtestaat[[#This Row],[Ruimte code]],Ruimtegroepen[#All],4,1),2)</f>
        <v>Ve</v>
      </c>
      <c r="Q70" s="107"/>
      <c r="R70" s="108">
        <v>40</v>
      </c>
      <c r="S70" s="109" t="s">
        <v>16</v>
      </c>
      <c r="T70" s="110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0" s="110">
        <f>IF(T70&gt;0,VLOOKUP($J70,Ruimtegroepen[],3,FALSE)*VLOOKUP($L70,Vloersoorten[],3,FALSE)*VLOOKUP($S70,Frequenties[],3,FALSE)*VLOOKUP($A70,Locaties[],3,FALSE),0)</f>
        <v>0</v>
      </c>
      <c r="V70" s="111">
        <f>Ruimtestaat[[#This Row],[Uitvoeringen werkdagen]]*Ruimtestaat[[#This Row],[Oppervlak (netto)]]</f>
        <v>93.6</v>
      </c>
      <c r="W70" s="112">
        <f>IF(U70&gt;0,Ruimtestaat[[#This Row],[Prest. (m2 /jaar) werkdagen]]/Ruimtestaat[[#This Row],[Norm (m2/uur) werkdagen]],0)</f>
        <v>0</v>
      </c>
      <c r="X70" s="113">
        <f>Ruimtestaat[[#This Row],[uren / jaar werkdagen]]*Tariefsopbouw!$E$35</f>
        <v>0</v>
      </c>
      <c r="Y70" s="110"/>
      <c r="Z70" s="114">
        <f>IF(Ruimtestaat[[#This Row],[Frequentie weekend]]&gt;0,VALUE(LEFT(Y70,1))*R70,0)</f>
        <v>0</v>
      </c>
      <c r="AA70" s="110">
        <f>IF($Z70&gt;0,VLOOKUP($J70,Ruimtegroepen[],3,FALSE)*VLOOKUP($L70,Vloersoorten[],3,FALSE)*VLOOKUP($Y70,Frequenties[],3,FALSE)*VLOOKUP($A66,Locaties[],3,FALSE),0)</f>
        <v>0</v>
      </c>
      <c r="AB70" s="112">
        <f>Ruimtestaat[[#This Row],[Uitvoeringen weekend]]*Ruimtestaat[[#This Row],[Oppervlak (netto)]]</f>
        <v>0</v>
      </c>
      <c r="AC70" s="115">
        <f>IF(AB70&gt;0,Ruimtestaat[[#This Row],[Prest. (m2 /jaar) weekend]]/Ruimtestaat[[#This Row],[Norm (m2/uur) weekend]],0)</f>
        <v>0</v>
      </c>
      <c r="AD70" s="116">
        <f>Ruimtestaat[[#This Row],[uren / jaar weekend]]*Tariefsopbouw!$D$40</f>
        <v>0</v>
      </c>
      <c r="AE70" s="82">
        <f>Ruimtestaat[[#This Row],[Prest. (m2 /jaar) weekend]]+Ruimtestaat[[#This Row],[Prest. (m2 /jaar) werkdagen]]</f>
        <v>93.6</v>
      </c>
      <c r="AF70" s="82">
        <f>Ruimtestaat[[#This Row],[uren / jaar weekend]]+Ruimtestaat[[#This Row],[uren / jaar werkdagen]]</f>
        <v>0</v>
      </c>
      <c r="AG70" s="83">
        <f>Ruimtestaat[[#This Row],[kosten / jaar weekend]]+Ruimtestaat[[#This Row],[kosten / jaar werkdagen]]</f>
        <v>0</v>
      </c>
      <c r="AH70" s="117"/>
      <c r="HL70" s="87"/>
    </row>
    <row r="71" spans="1:220" ht="15" customHeight="1">
      <c r="A71" s="136">
        <v>1</v>
      </c>
      <c r="B71" s="27" t="str">
        <f>VLOOKUP(Ruimtestaat[[#This Row],[Code]],Locaties[#All],2,FALSE)</f>
        <v>Hoornbeeck College Gouda</v>
      </c>
      <c r="C71" s="27" t="str">
        <f>VLOOKUP(Ruimtestaat[[#This Row],[Code]],Locaties[#All],4,FALSE)</f>
        <v>Noordelijk Halfrond 10</v>
      </c>
      <c r="D71" s="27" t="str">
        <f>VLOOKUP(Ruimtestaat[[#This Row],[Code]],Locaties[#All],5,FALSE)</f>
        <v>2801 DE</v>
      </c>
      <c r="E71" s="27" t="str">
        <f>VLOOKUP(Ruimtestaat[[#This Row],[Code]],Locaties[#All],6,FALSE)</f>
        <v>Gouda</v>
      </c>
      <c r="F71" s="74" t="s">
        <v>484</v>
      </c>
      <c r="G71" s="285" t="s">
        <v>505</v>
      </c>
      <c r="H71" s="286" t="s">
        <v>513</v>
      </c>
      <c r="I71" s="287" t="s">
        <v>648</v>
      </c>
      <c r="J71" s="288">
        <v>1</v>
      </c>
      <c r="K71" s="74" t="str">
        <f>VLOOKUP(J71,Ruimtegroepen[],2,FALSE)</f>
        <v>Magazijnen/bergingen</v>
      </c>
      <c r="L71" s="285" t="s">
        <v>110</v>
      </c>
      <c r="M71" s="287" t="s">
        <v>38</v>
      </c>
      <c r="N71" s="289">
        <v>4.3899999999999997</v>
      </c>
      <c r="O71" s="285"/>
      <c r="P71" s="118" t="str">
        <f>LEFT(VLOOKUP(Ruimtestaat[[#This Row],[Ruimte code]],Ruimtegroepen[#All],4,1),2)</f>
        <v>Ve</v>
      </c>
      <c r="Q71" s="107"/>
      <c r="R71" s="108">
        <v>40</v>
      </c>
      <c r="S71" s="109" t="s">
        <v>16</v>
      </c>
      <c r="T71" s="110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1" s="110">
        <f>IF(T71&gt;0,VLOOKUP($J71,Ruimtegroepen[],3,FALSE)*VLOOKUP($L71,Vloersoorten[],3,FALSE)*VLOOKUP($S71,Frequenties[],3,FALSE)*VLOOKUP($A71,Locaties[],3,FALSE),0)</f>
        <v>0</v>
      </c>
      <c r="V71" s="111">
        <f>Ruimtestaat[[#This Row],[Uitvoeringen werkdagen]]*Ruimtestaat[[#This Row],[Oppervlak (netto)]]</f>
        <v>52.679999999999993</v>
      </c>
      <c r="W71" s="112">
        <f>IF(U71&gt;0,Ruimtestaat[[#This Row],[Prest. (m2 /jaar) werkdagen]]/Ruimtestaat[[#This Row],[Norm (m2/uur) werkdagen]],0)</f>
        <v>0</v>
      </c>
      <c r="X71" s="113">
        <f>Ruimtestaat[[#This Row],[uren / jaar werkdagen]]*Tariefsopbouw!$E$35</f>
        <v>0</v>
      </c>
      <c r="Y71" s="110"/>
      <c r="Z71" s="114">
        <f>IF(Ruimtestaat[[#This Row],[Frequentie weekend]]&gt;0,VALUE(LEFT(Y71,1))*R71,0)</f>
        <v>0</v>
      </c>
      <c r="AA71" s="110">
        <f>IF($Z71&gt;0,VLOOKUP($J71,Ruimtegroepen[],3,FALSE)*VLOOKUP($L71,Vloersoorten[],3,FALSE)*VLOOKUP($Y71,Frequenties[],3,FALSE)*VLOOKUP($A67,Locaties[],3,FALSE),0)</f>
        <v>0</v>
      </c>
      <c r="AB71" s="112">
        <f>Ruimtestaat[[#This Row],[Uitvoeringen weekend]]*Ruimtestaat[[#This Row],[Oppervlak (netto)]]</f>
        <v>0</v>
      </c>
      <c r="AC71" s="115">
        <f>IF(AB71&gt;0,Ruimtestaat[[#This Row],[Prest. (m2 /jaar) weekend]]/Ruimtestaat[[#This Row],[Norm (m2/uur) weekend]],0)</f>
        <v>0</v>
      </c>
      <c r="AD71" s="116">
        <f>Ruimtestaat[[#This Row],[uren / jaar weekend]]*Tariefsopbouw!$D$40</f>
        <v>0</v>
      </c>
      <c r="AE71" s="82">
        <f>Ruimtestaat[[#This Row],[Prest. (m2 /jaar) weekend]]+Ruimtestaat[[#This Row],[Prest. (m2 /jaar) werkdagen]]</f>
        <v>52.679999999999993</v>
      </c>
      <c r="AF71" s="82">
        <f>Ruimtestaat[[#This Row],[uren / jaar weekend]]+Ruimtestaat[[#This Row],[uren / jaar werkdagen]]</f>
        <v>0</v>
      </c>
      <c r="AG71" s="83">
        <f>Ruimtestaat[[#This Row],[kosten / jaar weekend]]+Ruimtestaat[[#This Row],[kosten / jaar werkdagen]]</f>
        <v>0</v>
      </c>
      <c r="AH71" s="117"/>
      <c r="HL71" s="87"/>
    </row>
    <row r="72" spans="1:220" ht="15" customHeight="1">
      <c r="A72" s="136">
        <v>1</v>
      </c>
      <c r="B72" s="27" t="str">
        <f>VLOOKUP(Ruimtestaat[[#This Row],[Code]],Locaties[#All],2,FALSE)</f>
        <v>Hoornbeeck College Gouda</v>
      </c>
      <c r="C72" s="27" t="str">
        <f>VLOOKUP(Ruimtestaat[[#This Row],[Code]],Locaties[#All],4,FALSE)</f>
        <v>Noordelijk Halfrond 10</v>
      </c>
      <c r="D72" s="27" t="str">
        <f>VLOOKUP(Ruimtestaat[[#This Row],[Code]],Locaties[#All],5,FALSE)</f>
        <v>2801 DE</v>
      </c>
      <c r="E72" s="27" t="str">
        <f>VLOOKUP(Ruimtestaat[[#This Row],[Code]],Locaties[#All],6,FALSE)</f>
        <v>Gouda</v>
      </c>
      <c r="F72" s="74" t="s">
        <v>484</v>
      </c>
      <c r="G72" s="285" t="s">
        <v>505</v>
      </c>
      <c r="H72" s="286" t="s">
        <v>664</v>
      </c>
      <c r="I72" s="287" t="s">
        <v>666</v>
      </c>
      <c r="J72" s="288">
        <v>12</v>
      </c>
      <c r="K72" s="74" t="str">
        <f>VLOOKUP(J72,Ruimtegroepen[],2,FALSE)</f>
        <v>Kantine/Aula</v>
      </c>
      <c r="L72" s="285" t="s">
        <v>110</v>
      </c>
      <c r="M72" s="287" t="s">
        <v>38</v>
      </c>
      <c r="N72" s="289">
        <v>63.7</v>
      </c>
      <c r="O72" s="290"/>
      <c r="P72" s="118" t="str">
        <f>LEFT(VLOOKUP(Ruimtestaat[[#This Row],[Ruimte code]],Ruimtegroepen[#All],4,1),2)</f>
        <v>Ve</v>
      </c>
      <c r="Q72" s="107"/>
      <c r="R72" s="108">
        <v>40</v>
      </c>
      <c r="S72" s="109" t="s">
        <v>2</v>
      </c>
      <c r="T72" s="110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" s="110">
        <f>IF(T72&gt;0,VLOOKUP($J72,Ruimtegroepen[],3,FALSE)*VLOOKUP($L72,Vloersoorten[],3,FALSE)*VLOOKUP($S72,Frequenties[],3,FALSE)*VLOOKUP($A72,Locaties[],3,FALSE),0)</f>
        <v>0</v>
      </c>
      <c r="V72" s="111">
        <f>Ruimtestaat[[#This Row],[Uitvoeringen werkdagen]]*Ruimtestaat[[#This Row],[Oppervlak (netto)]]</f>
        <v>12740</v>
      </c>
      <c r="W72" s="112">
        <f>IF(U72&gt;0,Ruimtestaat[[#This Row],[Prest. (m2 /jaar) werkdagen]]/Ruimtestaat[[#This Row],[Norm (m2/uur) werkdagen]],0)</f>
        <v>0</v>
      </c>
      <c r="X72" s="113">
        <f>Ruimtestaat[[#This Row],[uren / jaar werkdagen]]*Tariefsopbouw!$E$35</f>
        <v>0</v>
      </c>
      <c r="Y72" s="110"/>
      <c r="Z72" s="114">
        <f>IF(Ruimtestaat[[#This Row],[Frequentie weekend]]&gt;0,VALUE(LEFT(Y72,1))*R72,0)</f>
        <v>0</v>
      </c>
      <c r="AA72" s="110">
        <f>IF($Z72&gt;0,VLOOKUP($J72,Ruimtegroepen[],3,FALSE)*VLOOKUP($L72,Vloersoorten[],3,FALSE)*VLOOKUP($Y72,Frequenties[],3,FALSE)*VLOOKUP($A66,Locaties[],3,FALSE),0)</f>
        <v>0</v>
      </c>
      <c r="AB72" s="112">
        <f>Ruimtestaat[[#This Row],[Uitvoeringen weekend]]*Ruimtestaat[[#This Row],[Oppervlak (netto)]]</f>
        <v>0</v>
      </c>
      <c r="AC72" s="115">
        <f>IF(AB72&gt;0,Ruimtestaat[[#This Row],[Prest. (m2 /jaar) weekend]]/Ruimtestaat[[#This Row],[Norm (m2/uur) weekend]],0)</f>
        <v>0</v>
      </c>
      <c r="AD72" s="116">
        <f>Ruimtestaat[[#This Row],[uren / jaar weekend]]*Tariefsopbouw!$D$40</f>
        <v>0</v>
      </c>
      <c r="AE72" s="82">
        <f>Ruimtestaat[[#This Row],[Prest. (m2 /jaar) weekend]]+Ruimtestaat[[#This Row],[Prest. (m2 /jaar) werkdagen]]</f>
        <v>12740</v>
      </c>
      <c r="AF72" s="82">
        <f>Ruimtestaat[[#This Row],[uren / jaar weekend]]+Ruimtestaat[[#This Row],[uren / jaar werkdagen]]</f>
        <v>0</v>
      </c>
      <c r="AG72" s="83">
        <f>Ruimtestaat[[#This Row],[kosten / jaar weekend]]+Ruimtestaat[[#This Row],[kosten / jaar werkdagen]]</f>
        <v>0</v>
      </c>
      <c r="AH72" s="117"/>
      <c r="HL72" s="87"/>
    </row>
    <row r="73" spans="1:220" ht="15" customHeight="1">
      <c r="A73" s="136">
        <v>1</v>
      </c>
      <c r="B73" s="27" t="str">
        <f>VLOOKUP(Ruimtestaat[[#This Row],[Code]],Locaties[#All],2,FALSE)</f>
        <v>Hoornbeeck College Gouda</v>
      </c>
      <c r="C73" s="27" t="str">
        <f>VLOOKUP(Ruimtestaat[[#This Row],[Code]],Locaties[#All],4,FALSE)</f>
        <v>Noordelijk Halfrond 10</v>
      </c>
      <c r="D73" s="27" t="str">
        <f>VLOOKUP(Ruimtestaat[[#This Row],[Code]],Locaties[#All],5,FALSE)</f>
        <v>2801 DE</v>
      </c>
      <c r="E73" s="27" t="str">
        <f>VLOOKUP(Ruimtestaat[[#This Row],[Code]],Locaties[#All],6,FALSE)</f>
        <v>Gouda</v>
      </c>
      <c r="F73" s="74" t="s">
        <v>484</v>
      </c>
      <c r="G73" s="285" t="s">
        <v>505</v>
      </c>
      <c r="H73" s="286" t="s">
        <v>665</v>
      </c>
      <c r="I73" s="287" t="s">
        <v>635</v>
      </c>
      <c r="J73" s="288">
        <v>11</v>
      </c>
      <c r="K73" s="74" t="str">
        <f>VLOOKUP(J73,Ruimtegroepen[],2,FALSE)</f>
        <v>Garderobes</v>
      </c>
      <c r="L73" s="285" t="s">
        <v>110</v>
      </c>
      <c r="M73" s="287" t="s">
        <v>38</v>
      </c>
      <c r="N73" s="289">
        <v>4.2</v>
      </c>
      <c r="O73" s="290"/>
      <c r="P73" s="118" t="str">
        <f>LEFT(VLOOKUP(Ruimtestaat[[#This Row],[Ruimte code]],Ruimtegroepen[#All],4,1),2)</f>
        <v>Ve</v>
      </c>
      <c r="Q73" s="107"/>
      <c r="R73" s="108">
        <v>40</v>
      </c>
      <c r="S73" s="109" t="s">
        <v>2</v>
      </c>
      <c r="T73" s="110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110">
        <f>IF(T73&gt;0,VLOOKUP($J73,Ruimtegroepen[],3,FALSE)*VLOOKUP($L73,Vloersoorten[],3,FALSE)*VLOOKUP($S73,Frequenties[],3,FALSE)*VLOOKUP($A73,Locaties[],3,FALSE),0)</f>
        <v>0</v>
      </c>
      <c r="V73" s="111">
        <f>Ruimtestaat[[#This Row],[Uitvoeringen werkdagen]]*Ruimtestaat[[#This Row],[Oppervlak (netto)]]</f>
        <v>840</v>
      </c>
      <c r="W73" s="112">
        <f>IF(U73&gt;0,Ruimtestaat[[#This Row],[Prest. (m2 /jaar) werkdagen]]/Ruimtestaat[[#This Row],[Norm (m2/uur) werkdagen]],0)</f>
        <v>0</v>
      </c>
      <c r="X73" s="113">
        <f>Ruimtestaat[[#This Row],[uren / jaar werkdagen]]*Tariefsopbouw!$E$35</f>
        <v>0</v>
      </c>
      <c r="Y73" s="110"/>
      <c r="Z73" s="114">
        <f>IF(Ruimtestaat[[#This Row],[Frequentie weekend]]&gt;0,VALUE(LEFT(Y73,1))*R73,0)</f>
        <v>0</v>
      </c>
      <c r="AA73" s="110">
        <f>IF($Z73&gt;0,VLOOKUP($J73,Ruimtegroepen[],3,FALSE)*VLOOKUP($L73,Vloersoorten[],3,FALSE)*VLOOKUP($Y73,Frequenties[],3,FALSE)*VLOOKUP($A67,Locaties[],3,FALSE),0)</f>
        <v>0</v>
      </c>
      <c r="AB73" s="112">
        <f>Ruimtestaat[[#This Row],[Uitvoeringen weekend]]*Ruimtestaat[[#This Row],[Oppervlak (netto)]]</f>
        <v>0</v>
      </c>
      <c r="AC73" s="115">
        <f>IF(AB73&gt;0,Ruimtestaat[[#This Row],[Prest. (m2 /jaar) weekend]]/Ruimtestaat[[#This Row],[Norm (m2/uur) weekend]],0)</f>
        <v>0</v>
      </c>
      <c r="AD73" s="116">
        <f>Ruimtestaat[[#This Row],[uren / jaar weekend]]*Tariefsopbouw!$D$40</f>
        <v>0</v>
      </c>
      <c r="AE73" s="82">
        <f>Ruimtestaat[[#This Row],[Prest. (m2 /jaar) weekend]]+Ruimtestaat[[#This Row],[Prest. (m2 /jaar) werkdagen]]</f>
        <v>840</v>
      </c>
      <c r="AF73" s="82">
        <f>Ruimtestaat[[#This Row],[uren / jaar weekend]]+Ruimtestaat[[#This Row],[uren / jaar werkdagen]]</f>
        <v>0</v>
      </c>
      <c r="AG73" s="83">
        <f>Ruimtestaat[[#This Row],[kosten / jaar weekend]]+Ruimtestaat[[#This Row],[kosten / jaar werkdagen]]</f>
        <v>0</v>
      </c>
      <c r="AH73" s="117"/>
      <c r="HL73" s="87"/>
    </row>
    <row r="74" spans="1:220" ht="15" customHeight="1">
      <c r="A74" s="136">
        <v>1</v>
      </c>
      <c r="B74" s="27" t="str">
        <f>VLOOKUP(Ruimtestaat[[#This Row],[Code]],Locaties[#All],2,FALSE)</f>
        <v>Hoornbeeck College Gouda</v>
      </c>
      <c r="C74" s="27" t="str">
        <f>VLOOKUP(Ruimtestaat[[#This Row],[Code]],Locaties[#All],4,FALSE)</f>
        <v>Noordelijk Halfrond 10</v>
      </c>
      <c r="D74" s="27" t="str">
        <f>VLOOKUP(Ruimtestaat[[#This Row],[Code]],Locaties[#All],5,FALSE)</f>
        <v>2801 DE</v>
      </c>
      <c r="E74" s="27" t="str">
        <f>VLOOKUP(Ruimtestaat[[#This Row],[Code]],Locaties[#All],6,FALSE)</f>
        <v>Gouda</v>
      </c>
      <c r="F74" s="74" t="s">
        <v>484</v>
      </c>
      <c r="G74" s="285" t="s">
        <v>505</v>
      </c>
      <c r="H74" s="286" t="s">
        <v>514</v>
      </c>
      <c r="I74" s="287" t="s">
        <v>470</v>
      </c>
      <c r="J74" s="288">
        <v>10</v>
      </c>
      <c r="K74" s="74" t="str">
        <f>VLOOKUP(J74,Ruimtegroepen[],2,FALSE)</f>
        <v>Trappenhuizen/lift</v>
      </c>
      <c r="L74" s="285" t="s">
        <v>110</v>
      </c>
      <c r="M74" s="287" t="s">
        <v>38</v>
      </c>
      <c r="N74" s="289">
        <v>15</v>
      </c>
      <c r="O74" s="290"/>
      <c r="P74" s="118" t="str">
        <f>LEFT(VLOOKUP(Ruimtestaat[[#This Row],[Ruimte code]],Ruimtegroepen[#All],4,1),2)</f>
        <v>Ve</v>
      </c>
      <c r="Q74" s="107"/>
      <c r="R74" s="108">
        <v>40</v>
      </c>
      <c r="S74" s="109" t="s">
        <v>2</v>
      </c>
      <c r="T74" s="110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110">
        <f>IF(T74&gt;0,VLOOKUP($J74,Ruimtegroepen[],3,FALSE)*VLOOKUP($L74,Vloersoorten[],3,FALSE)*VLOOKUP($S74,Frequenties[],3,FALSE)*VLOOKUP($A74,Locaties[],3,FALSE),0)</f>
        <v>0</v>
      </c>
      <c r="V74" s="111">
        <f>Ruimtestaat[[#This Row],[Uitvoeringen werkdagen]]*Ruimtestaat[[#This Row],[Oppervlak (netto)]]</f>
        <v>3000</v>
      </c>
      <c r="W74" s="112">
        <f>IF(U74&gt;0,Ruimtestaat[[#This Row],[Prest. (m2 /jaar) werkdagen]]/Ruimtestaat[[#This Row],[Norm (m2/uur) werkdagen]],0)</f>
        <v>0</v>
      </c>
      <c r="X74" s="113">
        <f>Ruimtestaat[[#This Row],[uren / jaar werkdagen]]*Tariefsopbouw!$E$35</f>
        <v>0</v>
      </c>
      <c r="Y74" s="110"/>
      <c r="Z74" s="114">
        <f>IF(Ruimtestaat[[#This Row],[Frequentie weekend]]&gt;0,VALUE(LEFT(Y74,1))*R74,0)</f>
        <v>0</v>
      </c>
      <c r="AA74" s="110">
        <f>IF($Z74&gt;0,VLOOKUP($J74,Ruimtegroepen[],3,FALSE)*VLOOKUP($L74,Vloersoorten[],3,FALSE)*VLOOKUP($Y74,Frequenties[],3,FALSE)*VLOOKUP($A69,Locaties[],3,FALSE),0)</f>
        <v>0</v>
      </c>
      <c r="AB74" s="112">
        <f>Ruimtestaat[[#This Row],[Uitvoeringen weekend]]*Ruimtestaat[[#This Row],[Oppervlak (netto)]]</f>
        <v>0</v>
      </c>
      <c r="AC74" s="115">
        <f>IF(AB74&gt;0,Ruimtestaat[[#This Row],[Prest. (m2 /jaar) weekend]]/Ruimtestaat[[#This Row],[Norm (m2/uur) weekend]],0)</f>
        <v>0</v>
      </c>
      <c r="AD74" s="116">
        <f>Ruimtestaat[[#This Row],[uren / jaar weekend]]*Tariefsopbouw!$D$40</f>
        <v>0</v>
      </c>
      <c r="AE74" s="82">
        <f>Ruimtestaat[[#This Row],[Prest. (m2 /jaar) weekend]]+Ruimtestaat[[#This Row],[Prest. (m2 /jaar) werkdagen]]</f>
        <v>3000</v>
      </c>
      <c r="AF74" s="82">
        <f>Ruimtestaat[[#This Row],[uren / jaar weekend]]+Ruimtestaat[[#This Row],[uren / jaar werkdagen]]</f>
        <v>0</v>
      </c>
      <c r="AG74" s="83">
        <f>Ruimtestaat[[#This Row],[kosten / jaar weekend]]+Ruimtestaat[[#This Row],[kosten / jaar werkdagen]]</f>
        <v>0</v>
      </c>
      <c r="AH74" s="117"/>
      <c r="HL74" s="87"/>
    </row>
    <row r="75" spans="1:220" ht="15" customHeight="1">
      <c r="A75" s="136">
        <v>1</v>
      </c>
      <c r="B75" s="27" t="str">
        <f>VLOOKUP(Ruimtestaat[[#This Row],[Code]],Locaties[#All],2,FALSE)</f>
        <v>Hoornbeeck College Gouda</v>
      </c>
      <c r="C75" s="27" t="str">
        <f>VLOOKUP(Ruimtestaat[[#This Row],[Code]],Locaties[#All],4,FALSE)</f>
        <v>Noordelijk Halfrond 10</v>
      </c>
      <c r="D75" s="27" t="str">
        <f>VLOOKUP(Ruimtestaat[[#This Row],[Code]],Locaties[#All],5,FALSE)</f>
        <v>2801 DE</v>
      </c>
      <c r="E75" s="27" t="str">
        <f>VLOOKUP(Ruimtestaat[[#This Row],[Code]],Locaties[#All],6,FALSE)</f>
        <v>Gouda</v>
      </c>
      <c r="F75" s="74" t="s">
        <v>484</v>
      </c>
      <c r="G75" s="285" t="s">
        <v>505</v>
      </c>
      <c r="H75" s="286" t="s">
        <v>515</v>
      </c>
      <c r="I75" s="287" t="s">
        <v>639</v>
      </c>
      <c r="J75" s="288">
        <v>5</v>
      </c>
      <c r="K75" s="74" t="str">
        <f>VLOOKUP(J75,Ruimtegroepen[],2,FALSE)</f>
        <v>Sanitair</v>
      </c>
      <c r="L75" s="285" t="s">
        <v>112</v>
      </c>
      <c r="M75" s="287" t="s">
        <v>469</v>
      </c>
      <c r="N75" s="289">
        <v>5.6</v>
      </c>
      <c r="O75" s="285"/>
      <c r="P75" s="118" t="str">
        <f>LEFT(VLOOKUP(Ruimtestaat[[#This Row],[Ruimte code]],Ruimtegroepen[#All],4,1),2)</f>
        <v>Sa</v>
      </c>
      <c r="Q75" s="107"/>
      <c r="R75" s="108">
        <v>40</v>
      </c>
      <c r="S75" s="109" t="s">
        <v>2</v>
      </c>
      <c r="T75" s="110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110">
        <f>IF(T75&gt;0,VLOOKUP($J75,Ruimtegroepen[],3,FALSE)*VLOOKUP($L75,Vloersoorten[],3,FALSE)*VLOOKUP($S75,Frequenties[],3,FALSE)*VLOOKUP($A75,Locaties[],3,FALSE),0)</f>
        <v>0</v>
      </c>
      <c r="V75" s="111">
        <f>Ruimtestaat[[#This Row],[Uitvoeringen werkdagen]]*Ruimtestaat[[#This Row],[Oppervlak (netto)]]</f>
        <v>1120</v>
      </c>
      <c r="W75" s="112">
        <f>IF(U75&gt;0,Ruimtestaat[[#This Row],[Prest. (m2 /jaar) werkdagen]]/Ruimtestaat[[#This Row],[Norm (m2/uur) werkdagen]],0)</f>
        <v>0</v>
      </c>
      <c r="X75" s="113">
        <f>Ruimtestaat[[#This Row],[uren / jaar werkdagen]]*Tariefsopbouw!$E$35</f>
        <v>0</v>
      </c>
      <c r="Y75" s="110"/>
      <c r="Z75" s="114">
        <f>IF(Ruimtestaat[[#This Row],[Frequentie weekend]]&gt;0,VALUE(LEFT(Y75,1))*R75,0)</f>
        <v>0</v>
      </c>
      <c r="AA75" s="110">
        <f>IF($Z75&gt;0,VLOOKUP($J75,Ruimtegroepen[],3,FALSE)*VLOOKUP($L75,Vloersoorten[],3,FALSE)*VLOOKUP($Y75,Frequenties[],3,FALSE)*VLOOKUP($A70,Locaties[],3,FALSE),0)</f>
        <v>0</v>
      </c>
      <c r="AB75" s="112">
        <f>Ruimtestaat[[#This Row],[Uitvoeringen weekend]]*Ruimtestaat[[#This Row],[Oppervlak (netto)]]</f>
        <v>0</v>
      </c>
      <c r="AC75" s="115">
        <f>IF(AB75&gt;0,Ruimtestaat[[#This Row],[Prest. (m2 /jaar) weekend]]/Ruimtestaat[[#This Row],[Norm (m2/uur) weekend]],0)</f>
        <v>0</v>
      </c>
      <c r="AD75" s="116">
        <f>Ruimtestaat[[#This Row],[uren / jaar weekend]]*Tariefsopbouw!$D$40</f>
        <v>0</v>
      </c>
      <c r="AE75" s="82">
        <f>Ruimtestaat[[#This Row],[Prest. (m2 /jaar) weekend]]+Ruimtestaat[[#This Row],[Prest. (m2 /jaar) werkdagen]]</f>
        <v>1120</v>
      </c>
      <c r="AF75" s="82">
        <f>Ruimtestaat[[#This Row],[uren / jaar weekend]]+Ruimtestaat[[#This Row],[uren / jaar werkdagen]]</f>
        <v>0</v>
      </c>
      <c r="AG75" s="83">
        <f>Ruimtestaat[[#This Row],[kosten / jaar weekend]]+Ruimtestaat[[#This Row],[kosten / jaar werkdagen]]</f>
        <v>0</v>
      </c>
      <c r="AH75" s="117"/>
      <c r="HL75" s="87"/>
    </row>
    <row r="76" spans="1:220" ht="15" customHeight="1">
      <c r="A76" s="136">
        <v>1</v>
      </c>
      <c r="B76" s="27" t="str">
        <f>VLOOKUP(Ruimtestaat[[#This Row],[Code]],Locaties[#All],2,FALSE)</f>
        <v>Hoornbeeck College Gouda</v>
      </c>
      <c r="C76" s="27" t="str">
        <f>VLOOKUP(Ruimtestaat[[#This Row],[Code]],Locaties[#All],4,FALSE)</f>
        <v>Noordelijk Halfrond 10</v>
      </c>
      <c r="D76" s="27" t="str">
        <f>VLOOKUP(Ruimtestaat[[#This Row],[Code]],Locaties[#All],5,FALSE)</f>
        <v>2801 DE</v>
      </c>
      <c r="E76" s="27" t="str">
        <f>VLOOKUP(Ruimtestaat[[#This Row],[Code]],Locaties[#All],6,FALSE)</f>
        <v>Gouda</v>
      </c>
      <c r="F76" s="74" t="s">
        <v>484</v>
      </c>
      <c r="G76" s="285" t="s">
        <v>505</v>
      </c>
      <c r="H76" s="286" t="s">
        <v>516</v>
      </c>
      <c r="I76" s="287" t="s">
        <v>639</v>
      </c>
      <c r="J76" s="288">
        <v>5</v>
      </c>
      <c r="K76" s="74" t="str">
        <f>VLOOKUP(J76,Ruimtegroepen[],2,FALSE)</f>
        <v>Sanitair</v>
      </c>
      <c r="L76" s="285" t="s">
        <v>112</v>
      </c>
      <c r="M76" s="287" t="s">
        <v>469</v>
      </c>
      <c r="N76" s="289">
        <v>5.6</v>
      </c>
      <c r="O76" s="290"/>
      <c r="P76" s="118" t="str">
        <f>LEFT(VLOOKUP(Ruimtestaat[[#This Row],[Ruimte code]],Ruimtegroepen[#All],4,1),2)</f>
        <v>Sa</v>
      </c>
      <c r="Q76" s="107"/>
      <c r="R76" s="108">
        <v>40</v>
      </c>
      <c r="S76" s="109" t="s">
        <v>2</v>
      </c>
      <c r="T76" s="110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110">
        <f>IF(T76&gt;0,VLOOKUP($J76,Ruimtegroepen[],3,FALSE)*VLOOKUP($L76,Vloersoorten[],3,FALSE)*VLOOKUP($S76,Frequenties[],3,FALSE)*VLOOKUP($A76,Locaties[],3,FALSE),0)</f>
        <v>0</v>
      </c>
      <c r="V76" s="111">
        <f>Ruimtestaat[[#This Row],[Uitvoeringen werkdagen]]*Ruimtestaat[[#This Row],[Oppervlak (netto)]]</f>
        <v>1120</v>
      </c>
      <c r="W76" s="112">
        <f>IF(U76&gt;0,Ruimtestaat[[#This Row],[Prest. (m2 /jaar) werkdagen]]/Ruimtestaat[[#This Row],[Norm (m2/uur) werkdagen]],0)</f>
        <v>0</v>
      </c>
      <c r="X76" s="113">
        <f>Ruimtestaat[[#This Row],[uren / jaar werkdagen]]*Tariefsopbouw!$E$35</f>
        <v>0</v>
      </c>
      <c r="Y76" s="110"/>
      <c r="Z76" s="114">
        <f>IF(Ruimtestaat[[#This Row],[Frequentie weekend]]&gt;0,VALUE(LEFT(Y76,1))*R76,0)</f>
        <v>0</v>
      </c>
      <c r="AA76" s="110">
        <f>IF($Z76&gt;0,VLOOKUP($J76,Ruimtegroepen[],3,FALSE)*VLOOKUP($L76,Vloersoorten[],3,FALSE)*VLOOKUP($Y76,Frequenties[],3,FALSE)*VLOOKUP($A71,Locaties[],3,FALSE),0)</f>
        <v>0</v>
      </c>
      <c r="AB76" s="112">
        <f>Ruimtestaat[[#This Row],[Uitvoeringen weekend]]*Ruimtestaat[[#This Row],[Oppervlak (netto)]]</f>
        <v>0</v>
      </c>
      <c r="AC76" s="115">
        <f>IF(AB76&gt;0,Ruimtestaat[[#This Row],[Prest. (m2 /jaar) weekend]]/Ruimtestaat[[#This Row],[Norm (m2/uur) weekend]],0)</f>
        <v>0</v>
      </c>
      <c r="AD76" s="116">
        <f>Ruimtestaat[[#This Row],[uren / jaar weekend]]*Tariefsopbouw!$D$40</f>
        <v>0</v>
      </c>
      <c r="AE76" s="82">
        <f>Ruimtestaat[[#This Row],[Prest. (m2 /jaar) weekend]]+Ruimtestaat[[#This Row],[Prest. (m2 /jaar) werkdagen]]</f>
        <v>1120</v>
      </c>
      <c r="AF76" s="82">
        <f>Ruimtestaat[[#This Row],[uren / jaar weekend]]+Ruimtestaat[[#This Row],[uren / jaar werkdagen]]</f>
        <v>0</v>
      </c>
      <c r="AG76" s="83">
        <f>Ruimtestaat[[#This Row],[kosten / jaar weekend]]+Ruimtestaat[[#This Row],[kosten / jaar werkdagen]]</f>
        <v>0</v>
      </c>
      <c r="AH76" s="117"/>
      <c r="HL76" s="87"/>
    </row>
    <row r="77" spans="1:220" ht="15" customHeight="1">
      <c r="A77" s="136">
        <v>1</v>
      </c>
      <c r="B77" s="27" t="str">
        <f>VLOOKUP(Ruimtestaat[[#This Row],[Code]],Locaties[#All],2,FALSE)</f>
        <v>Hoornbeeck College Gouda</v>
      </c>
      <c r="C77" s="27" t="str">
        <f>VLOOKUP(Ruimtestaat[[#This Row],[Code]],Locaties[#All],4,FALSE)</f>
        <v>Noordelijk Halfrond 10</v>
      </c>
      <c r="D77" s="27" t="str">
        <f>VLOOKUP(Ruimtestaat[[#This Row],[Code]],Locaties[#All],5,FALSE)</f>
        <v>2801 DE</v>
      </c>
      <c r="E77" s="27" t="str">
        <f>VLOOKUP(Ruimtestaat[[#This Row],[Code]],Locaties[#All],6,FALSE)</f>
        <v>Gouda</v>
      </c>
      <c r="F77" s="74" t="s">
        <v>484</v>
      </c>
      <c r="G77" s="285" t="s">
        <v>505</v>
      </c>
      <c r="H77" s="286" t="s">
        <v>517</v>
      </c>
      <c r="I77" s="287" t="s">
        <v>624</v>
      </c>
      <c r="J77" s="288">
        <v>20</v>
      </c>
      <c r="K77" s="74" t="str">
        <f>VLOOKUP(J77,Ruimtegroepen[],2,FALSE)</f>
        <v>Niet in onderhoud</v>
      </c>
      <c r="L77" s="285"/>
      <c r="M77" s="287"/>
      <c r="N77" s="289"/>
      <c r="O77" s="290">
        <v>4.9000000000000004</v>
      </c>
      <c r="P77" s="118" t="str">
        <f>LEFT(VLOOKUP(Ruimtestaat[[#This Row],[Ruimte code]],Ruimtegroepen[#All],4,1),2)</f>
        <v/>
      </c>
      <c r="Q77" s="107"/>
      <c r="R77" s="108"/>
      <c r="S77" s="109"/>
      <c r="T77" s="110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" s="110">
        <f>IF(T77&gt;0,VLOOKUP($J77,Ruimtegroepen[],3,FALSE)*VLOOKUP($L77,Vloersoorten[],3,FALSE)*VLOOKUP($S77,Frequenties[],3,FALSE)*VLOOKUP($A77,Locaties[],3,FALSE),0)</f>
        <v>0</v>
      </c>
      <c r="V77" s="111">
        <f>Ruimtestaat[[#This Row],[Uitvoeringen werkdagen]]*Ruimtestaat[[#This Row],[Oppervlak (netto)]]</f>
        <v>0</v>
      </c>
      <c r="W77" s="112">
        <f>IF(U77&gt;0,Ruimtestaat[[#This Row],[Prest. (m2 /jaar) werkdagen]]/Ruimtestaat[[#This Row],[Norm (m2/uur) werkdagen]],0)</f>
        <v>0</v>
      </c>
      <c r="X77" s="113">
        <f>Ruimtestaat[[#This Row],[uren / jaar werkdagen]]*Tariefsopbouw!$E$35</f>
        <v>0</v>
      </c>
      <c r="Y77" s="110"/>
      <c r="Z77" s="114">
        <f>IF(Ruimtestaat[[#This Row],[Frequentie weekend]]&gt;0,VALUE(LEFT(Y77,1))*R77,0)</f>
        <v>0</v>
      </c>
      <c r="AA77" s="110">
        <f>IF($Z77&gt;0,VLOOKUP($J77,Ruimtegroepen[],3,FALSE)*VLOOKUP($L77,Vloersoorten[],3,FALSE)*VLOOKUP($Y77,Frequenties[],3,FALSE)*VLOOKUP(#REF!,Locaties[],3,FALSE),0)</f>
        <v>0</v>
      </c>
      <c r="AB77" s="112">
        <f>Ruimtestaat[[#This Row],[Uitvoeringen weekend]]*Ruimtestaat[[#This Row],[Oppervlak (netto)]]</f>
        <v>0</v>
      </c>
      <c r="AC77" s="115">
        <f>IF(AB77&gt;0,Ruimtestaat[[#This Row],[Prest. (m2 /jaar) weekend]]/Ruimtestaat[[#This Row],[Norm (m2/uur) weekend]],0)</f>
        <v>0</v>
      </c>
      <c r="AD77" s="116">
        <f>Ruimtestaat[[#This Row],[uren / jaar weekend]]*Tariefsopbouw!$D$40</f>
        <v>0</v>
      </c>
      <c r="AE77" s="82">
        <f>Ruimtestaat[[#This Row],[Prest. (m2 /jaar) weekend]]+Ruimtestaat[[#This Row],[Prest. (m2 /jaar) werkdagen]]</f>
        <v>0</v>
      </c>
      <c r="AF77" s="82">
        <f>Ruimtestaat[[#This Row],[uren / jaar weekend]]+Ruimtestaat[[#This Row],[uren / jaar werkdagen]]</f>
        <v>0</v>
      </c>
      <c r="AG77" s="83">
        <f>Ruimtestaat[[#This Row],[kosten / jaar weekend]]+Ruimtestaat[[#This Row],[kosten / jaar werkdagen]]</f>
        <v>0</v>
      </c>
      <c r="AH77" s="117"/>
      <c r="HL77" s="87"/>
    </row>
    <row r="78" spans="1:220" ht="15" customHeight="1">
      <c r="A78" s="136">
        <v>1</v>
      </c>
      <c r="B78" s="27" t="str">
        <f>VLOOKUP(Ruimtestaat[[#This Row],[Code]],Locaties[#All],2,FALSE)</f>
        <v>Hoornbeeck College Gouda</v>
      </c>
      <c r="C78" s="27" t="str">
        <f>VLOOKUP(Ruimtestaat[[#This Row],[Code]],Locaties[#All],4,FALSE)</f>
        <v>Noordelijk Halfrond 10</v>
      </c>
      <c r="D78" s="27" t="str">
        <f>VLOOKUP(Ruimtestaat[[#This Row],[Code]],Locaties[#All],5,FALSE)</f>
        <v>2801 DE</v>
      </c>
      <c r="E78" s="27" t="str">
        <f>VLOOKUP(Ruimtestaat[[#This Row],[Code]],Locaties[#All],6,FALSE)</f>
        <v>Gouda</v>
      </c>
      <c r="F78" s="74" t="s">
        <v>465</v>
      </c>
      <c r="G78" s="285" t="s">
        <v>530</v>
      </c>
      <c r="H78" s="286" t="s">
        <v>518</v>
      </c>
      <c r="I78" s="287" t="s">
        <v>650</v>
      </c>
      <c r="J78" s="288">
        <v>2</v>
      </c>
      <c r="K78" s="74" t="str">
        <f>VLOOKUP(J78,Ruimtegroepen[],2,FALSE)</f>
        <v>Kantoren</v>
      </c>
      <c r="L78" s="285" t="s">
        <v>110</v>
      </c>
      <c r="M78" s="287" t="s">
        <v>38</v>
      </c>
      <c r="N78" s="289">
        <v>42.6</v>
      </c>
      <c r="O78" s="285"/>
      <c r="P78" s="118" t="str">
        <f>LEFT(VLOOKUP(Ruimtestaat[[#This Row],[Ruimte code]],Ruimtegroepen[#All],4,1),2)</f>
        <v>Bu</v>
      </c>
      <c r="Q78" s="107"/>
      <c r="R78" s="108">
        <v>40</v>
      </c>
      <c r="S78" s="109" t="s">
        <v>17</v>
      </c>
      <c r="T78" s="110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78" s="110">
        <f>IF(T78&gt;0,VLOOKUP($J78,Ruimtegroepen[],3,FALSE)*VLOOKUP($L78,Vloersoorten[],3,FALSE)*VLOOKUP($S78,Frequenties[],3,FALSE)*VLOOKUP($A78,Locaties[],3,FALSE),0)</f>
        <v>0</v>
      </c>
      <c r="V78" s="111">
        <f>Ruimtestaat[[#This Row],[Uitvoeringen werkdagen]]*Ruimtestaat[[#This Row],[Oppervlak (netto)]]</f>
        <v>3408</v>
      </c>
      <c r="W78" s="112">
        <f>IF(U78&gt;0,Ruimtestaat[[#This Row],[Prest. (m2 /jaar) werkdagen]]/Ruimtestaat[[#This Row],[Norm (m2/uur) werkdagen]],0)</f>
        <v>0</v>
      </c>
      <c r="X78" s="113">
        <f>Ruimtestaat[[#This Row],[uren / jaar werkdagen]]*Tariefsopbouw!$E$35</f>
        <v>0</v>
      </c>
      <c r="Y78" s="110"/>
      <c r="Z78" s="114">
        <f>IF(Ruimtestaat[[#This Row],[Frequentie weekend]]&gt;0,VALUE(LEFT(Y78,1))*R78,0)</f>
        <v>0</v>
      </c>
      <c r="AA78" s="110">
        <f>IF($Z78&gt;0,VLOOKUP($J78,Ruimtegroepen[],3,FALSE)*VLOOKUP($L78,Vloersoorten[],3,FALSE)*VLOOKUP($Y78,Frequenties[],3,FALSE)*VLOOKUP(#REF!,Locaties[],3,FALSE),0)</f>
        <v>0</v>
      </c>
      <c r="AB78" s="112">
        <f>Ruimtestaat[[#This Row],[Uitvoeringen weekend]]*Ruimtestaat[[#This Row],[Oppervlak (netto)]]</f>
        <v>0</v>
      </c>
      <c r="AC78" s="115">
        <f>IF(AB78&gt;0,Ruimtestaat[[#This Row],[Prest. (m2 /jaar) weekend]]/Ruimtestaat[[#This Row],[Norm (m2/uur) weekend]],0)</f>
        <v>0</v>
      </c>
      <c r="AD78" s="116">
        <f>Ruimtestaat[[#This Row],[uren / jaar weekend]]*Tariefsopbouw!$D$40</f>
        <v>0</v>
      </c>
      <c r="AE78" s="82">
        <f>Ruimtestaat[[#This Row],[Prest. (m2 /jaar) weekend]]+Ruimtestaat[[#This Row],[Prest. (m2 /jaar) werkdagen]]</f>
        <v>3408</v>
      </c>
      <c r="AF78" s="82">
        <f>Ruimtestaat[[#This Row],[uren / jaar weekend]]+Ruimtestaat[[#This Row],[uren / jaar werkdagen]]</f>
        <v>0</v>
      </c>
      <c r="AG78" s="83">
        <f>Ruimtestaat[[#This Row],[kosten / jaar weekend]]+Ruimtestaat[[#This Row],[kosten / jaar werkdagen]]</f>
        <v>0</v>
      </c>
      <c r="AH78" s="117"/>
      <c r="HL78" s="87"/>
    </row>
    <row r="79" spans="1:220" ht="15" customHeight="1">
      <c r="A79" s="136">
        <v>1</v>
      </c>
      <c r="B79" s="27" t="str">
        <f>VLOOKUP(Ruimtestaat[[#This Row],[Code]],Locaties[#All],2,FALSE)</f>
        <v>Hoornbeeck College Gouda</v>
      </c>
      <c r="C79" s="27" t="str">
        <f>VLOOKUP(Ruimtestaat[[#This Row],[Code]],Locaties[#All],4,FALSE)</f>
        <v>Noordelijk Halfrond 10</v>
      </c>
      <c r="D79" s="27" t="str">
        <f>VLOOKUP(Ruimtestaat[[#This Row],[Code]],Locaties[#All],5,FALSE)</f>
        <v>2801 DE</v>
      </c>
      <c r="E79" s="27" t="str">
        <f>VLOOKUP(Ruimtestaat[[#This Row],[Code]],Locaties[#All],6,FALSE)</f>
        <v>Gouda</v>
      </c>
      <c r="F79" s="74" t="s">
        <v>465</v>
      </c>
      <c r="G79" s="285" t="s">
        <v>530</v>
      </c>
      <c r="H79" s="286" t="s">
        <v>519</v>
      </c>
      <c r="I79" s="287" t="s">
        <v>667</v>
      </c>
      <c r="J79" s="288">
        <v>2</v>
      </c>
      <c r="K79" s="74" t="str">
        <f>VLOOKUP(J79,Ruimtegroepen[],2,FALSE)</f>
        <v>Kantoren</v>
      </c>
      <c r="L79" s="285" t="s">
        <v>110</v>
      </c>
      <c r="M79" s="287" t="s">
        <v>38</v>
      </c>
      <c r="N79" s="289">
        <v>27.5</v>
      </c>
      <c r="O79" s="285"/>
      <c r="P79" s="118" t="str">
        <f>LEFT(VLOOKUP(Ruimtestaat[[#This Row],[Ruimte code]],Ruimtegroepen[#All],4,1),2)</f>
        <v>Bu</v>
      </c>
      <c r="Q79" s="107"/>
      <c r="R79" s="108">
        <v>40</v>
      </c>
      <c r="S79" s="109" t="s">
        <v>17</v>
      </c>
      <c r="T79" s="110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79" s="110">
        <f>IF(T79&gt;0,VLOOKUP($J79,Ruimtegroepen[],3,FALSE)*VLOOKUP($L79,Vloersoorten[],3,FALSE)*VLOOKUP($S79,Frequenties[],3,FALSE)*VLOOKUP($A79,Locaties[],3,FALSE),0)</f>
        <v>0</v>
      </c>
      <c r="V79" s="111">
        <f>Ruimtestaat[[#This Row],[Uitvoeringen werkdagen]]*Ruimtestaat[[#This Row],[Oppervlak (netto)]]</f>
        <v>2200</v>
      </c>
      <c r="W79" s="112">
        <f>IF(U79&gt;0,Ruimtestaat[[#This Row],[Prest. (m2 /jaar) werkdagen]]/Ruimtestaat[[#This Row],[Norm (m2/uur) werkdagen]],0)</f>
        <v>0</v>
      </c>
      <c r="X79" s="113">
        <f>Ruimtestaat[[#This Row],[uren / jaar werkdagen]]*Tariefsopbouw!$E$35</f>
        <v>0</v>
      </c>
      <c r="Y79" s="110"/>
      <c r="Z79" s="114">
        <f>IF(Ruimtestaat[[#This Row],[Frequentie weekend]]&gt;0,VALUE(LEFT(Y79,1))*R79,0)</f>
        <v>0</v>
      </c>
      <c r="AA79" s="110">
        <f>IF($Z79&gt;0,VLOOKUP($J79,Ruimtegroepen[],3,FALSE)*VLOOKUP($L79,Vloersoorten[],3,FALSE)*VLOOKUP($Y79,Frequenties[],3,FALSE)*VLOOKUP(#REF!,Locaties[],3,FALSE),0)</f>
        <v>0</v>
      </c>
      <c r="AB79" s="112">
        <f>Ruimtestaat[[#This Row],[Uitvoeringen weekend]]*Ruimtestaat[[#This Row],[Oppervlak (netto)]]</f>
        <v>0</v>
      </c>
      <c r="AC79" s="115">
        <f>IF(AB79&gt;0,Ruimtestaat[[#This Row],[Prest. (m2 /jaar) weekend]]/Ruimtestaat[[#This Row],[Norm (m2/uur) weekend]],0)</f>
        <v>0</v>
      </c>
      <c r="AD79" s="116">
        <f>Ruimtestaat[[#This Row],[uren / jaar weekend]]*Tariefsopbouw!$D$40</f>
        <v>0</v>
      </c>
      <c r="AE79" s="82">
        <f>Ruimtestaat[[#This Row],[Prest. (m2 /jaar) weekend]]+Ruimtestaat[[#This Row],[Prest. (m2 /jaar) werkdagen]]</f>
        <v>2200</v>
      </c>
      <c r="AF79" s="82">
        <f>Ruimtestaat[[#This Row],[uren / jaar weekend]]+Ruimtestaat[[#This Row],[uren / jaar werkdagen]]</f>
        <v>0</v>
      </c>
      <c r="AG79" s="83">
        <f>Ruimtestaat[[#This Row],[kosten / jaar weekend]]+Ruimtestaat[[#This Row],[kosten / jaar werkdagen]]</f>
        <v>0</v>
      </c>
      <c r="AH79" s="117"/>
      <c r="HL79" s="87"/>
    </row>
    <row r="80" spans="1:220" ht="15" customHeight="1">
      <c r="A80" s="136">
        <v>1</v>
      </c>
      <c r="B80" s="27" t="str">
        <f>VLOOKUP(Ruimtestaat[[#This Row],[Code]],Locaties[#All],2,FALSE)</f>
        <v>Hoornbeeck College Gouda</v>
      </c>
      <c r="C80" s="27" t="str">
        <f>VLOOKUP(Ruimtestaat[[#This Row],[Code]],Locaties[#All],4,FALSE)</f>
        <v>Noordelijk Halfrond 10</v>
      </c>
      <c r="D80" s="27" t="str">
        <f>VLOOKUP(Ruimtestaat[[#This Row],[Code]],Locaties[#All],5,FALSE)</f>
        <v>2801 DE</v>
      </c>
      <c r="E80" s="27" t="str">
        <f>VLOOKUP(Ruimtestaat[[#This Row],[Code]],Locaties[#All],6,FALSE)</f>
        <v>Gouda</v>
      </c>
      <c r="F80" s="74" t="s">
        <v>465</v>
      </c>
      <c r="G80" s="285" t="s">
        <v>530</v>
      </c>
      <c r="H80" s="286" t="s">
        <v>520</v>
      </c>
      <c r="I80" s="287" t="s">
        <v>668</v>
      </c>
      <c r="J80" s="288">
        <v>16</v>
      </c>
      <c r="K80" s="74" t="str">
        <f>VLOOKUP(J80,Ruimtegroepen[],2,FALSE)</f>
        <v>Leslokalen</v>
      </c>
      <c r="L80" s="285" t="s">
        <v>110</v>
      </c>
      <c r="M80" s="287" t="s">
        <v>38</v>
      </c>
      <c r="N80" s="289">
        <v>64.8</v>
      </c>
      <c r="O80" s="285"/>
      <c r="P80" s="118" t="str">
        <f>LEFT(VLOOKUP(Ruimtestaat[[#This Row],[Ruimte code]],Ruimtegroepen[#All],4,1),2)</f>
        <v>Le</v>
      </c>
      <c r="Q80" s="107"/>
      <c r="R80" s="108">
        <v>40</v>
      </c>
      <c r="S80" s="109" t="s">
        <v>2</v>
      </c>
      <c r="T80" s="110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110">
        <f>IF(T80&gt;0,VLOOKUP($J80,Ruimtegroepen[],3,FALSE)*VLOOKUP($L80,Vloersoorten[],3,FALSE)*VLOOKUP($S80,Frequenties[],3,FALSE)*VLOOKUP($A80,Locaties[],3,FALSE),0)</f>
        <v>0</v>
      </c>
      <c r="V80" s="111">
        <f>Ruimtestaat[[#This Row],[Uitvoeringen werkdagen]]*Ruimtestaat[[#This Row],[Oppervlak (netto)]]</f>
        <v>12960</v>
      </c>
      <c r="W80" s="112">
        <f>IF(U80&gt;0,Ruimtestaat[[#This Row],[Prest. (m2 /jaar) werkdagen]]/Ruimtestaat[[#This Row],[Norm (m2/uur) werkdagen]],0)</f>
        <v>0</v>
      </c>
      <c r="X80" s="113">
        <f>Ruimtestaat[[#This Row],[uren / jaar werkdagen]]*Tariefsopbouw!$E$35</f>
        <v>0</v>
      </c>
      <c r="Y80" s="110"/>
      <c r="Z80" s="114">
        <f>IF(Ruimtestaat[[#This Row],[Frequentie weekend]]&gt;0,VALUE(LEFT(Y80,1))*R80,0)</f>
        <v>0</v>
      </c>
      <c r="AA80" s="110">
        <f>IF($Z80&gt;0,VLOOKUP($J80,Ruimtegroepen[],3,FALSE)*VLOOKUP($L80,Vloersoorten[],3,FALSE)*VLOOKUP($Y80,Frequenties[],3,FALSE)*VLOOKUP(#REF!,Locaties[],3,FALSE),0)</f>
        <v>0</v>
      </c>
      <c r="AB80" s="112">
        <f>Ruimtestaat[[#This Row],[Uitvoeringen weekend]]*Ruimtestaat[[#This Row],[Oppervlak (netto)]]</f>
        <v>0</v>
      </c>
      <c r="AC80" s="115">
        <f>IF(AB80&gt;0,Ruimtestaat[[#This Row],[Prest. (m2 /jaar) weekend]]/Ruimtestaat[[#This Row],[Norm (m2/uur) weekend]],0)</f>
        <v>0</v>
      </c>
      <c r="AD80" s="116">
        <f>Ruimtestaat[[#This Row],[uren / jaar weekend]]*Tariefsopbouw!$D$40</f>
        <v>0</v>
      </c>
      <c r="AE80" s="82">
        <f>Ruimtestaat[[#This Row],[Prest. (m2 /jaar) weekend]]+Ruimtestaat[[#This Row],[Prest. (m2 /jaar) werkdagen]]</f>
        <v>12960</v>
      </c>
      <c r="AF80" s="82">
        <f>Ruimtestaat[[#This Row],[uren / jaar weekend]]+Ruimtestaat[[#This Row],[uren / jaar werkdagen]]</f>
        <v>0</v>
      </c>
      <c r="AG80" s="83">
        <f>Ruimtestaat[[#This Row],[kosten / jaar weekend]]+Ruimtestaat[[#This Row],[kosten / jaar werkdagen]]</f>
        <v>0</v>
      </c>
      <c r="AH80" s="117"/>
      <c r="HL80" s="87"/>
    </row>
    <row r="81" spans="1:220" ht="15" customHeight="1">
      <c r="A81" s="136">
        <v>1</v>
      </c>
      <c r="B81" s="27" t="str">
        <f>VLOOKUP(Ruimtestaat[[#This Row],[Code]],Locaties[#All],2,FALSE)</f>
        <v>Hoornbeeck College Gouda</v>
      </c>
      <c r="C81" s="27" t="str">
        <f>VLOOKUP(Ruimtestaat[[#This Row],[Code]],Locaties[#All],4,FALSE)</f>
        <v>Noordelijk Halfrond 10</v>
      </c>
      <c r="D81" s="27" t="str">
        <f>VLOOKUP(Ruimtestaat[[#This Row],[Code]],Locaties[#All],5,FALSE)</f>
        <v>2801 DE</v>
      </c>
      <c r="E81" s="27" t="str">
        <f>VLOOKUP(Ruimtestaat[[#This Row],[Code]],Locaties[#All],6,FALSE)</f>
        <v>Gouda</v>
      </c>
      <c r="F81" s="74" t="s">
        <v>465</v>
      </c>
      <c r="G81" s="285" t="s">
        <v>530</v>
      </c>
      <c r="H81" s="286" t="s">
        <v>521</v>
      </c>
      <c r="I81" s="287" t="s">
        <v>668</v>
      </c>
      <c r="J81" s="288">
        <v>16</v>
      </c>
      <c r="K81" s="74" t="str">
        <f>VLOOKUP(J81,Ruimtegroepen[],2,FALSE)</f>
        <v>Leslokalen</v>
      </c>
      <c r="L81" s="285" t="s">
        <v>110</v>
      </c>
      <c r="M81" s="287" t="s">
        <v>38</v>
      </c>
      <c r="N81" s="289">
        <v>78.7</v>
      </c>
      <c r="O81" s="285"/>
      <c r="P81" s="118" t="str">
        <f>LEFT(VLOOKUP(Ruimtestaat[[#This Row],[Ruimte code]],Ruimtegroepen[#All],4,1),2)</f>
        <v>Le</v>
      </c>
      <c r="Q81" s="107"/>
      <c r="R81" s="108">
        <v>40</v>
      </c>
      <c r="S81" s="109" t="s">
        <v>2</v>
      </c>
      <c r="T81" s="110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" s="110">
        <f>IF(T81&gt;0,VLOOKUP($J81,Ruimtegroepen[],3,FALSE)*VLOOKUP($L81,Vloersoorten[],3,FALSE)*VLOOKUP($S81,Frequenties[],3,FALSE)*VLOOKUP($A81,Locaties[],3,FALSE),0)</f>
        <v>0</v>
      </c>
      <c r="V81" s="111">
        <f>Ruimtestaat[[#This Row],[Uitvoeringen werkdagen]]*Ruimtestaat[[#This Row],[Oppervlak (netto)]]</f>
        <v>15740</v>
      </c>
      <c r="W81" s="112">
        <f>IF(U81&gt;0,Ruimtestaat[[#This Row],[Prest. (m2 /jaar) werkdagen]]/Ruimtestaat[[#This Row],[Norm (m2/uur) werkdagen]],0)</f>
        <v>0</v>
      </c>
      <c r="X81" s="113">
        <f>Ruimtestaat[[#This Row],[uren / jaar werkdagen]]*Tariefsopbouw!$E$35</f>
        <v>0</v>
      </c>
      <c r="Y81" s="110"/>
      <c r="Z81" s="114">
        <f>IF(Ruimtestaat[[#This Row],[Frequentie weekend]]&gt;0,VALUE(LEFT(Y81,1))*R81,0)</f>
        <v>0</v>
      </c>
      <c r="AA81" s="110">
        <f>IF($Z81&gt;0,VLOOKUP($J81,Ruimtegroepen[],3,FALSE)*VLOOKUP($L81,Vloersoorten[],3,FALSE)*VLOOKUP($Y81,Frequenties[],3,FALSE)*VLOOKUP(#REF!,Locaties[],3,FALSE),0)</f>
        <v>0</v>
      </c>
      <c r="AB81" s="112">
        <f>Ruimtestaat[[#This Row],[Uitvoeringen weekend]]*Ruimtestaat[[#This Row],[Oppervlak (netto)]]</f>
        <v>0</v>
      </c>
      <c r="AC81" s="115">
        <f>IF(AB81&gt;0,Ruimtestaat[[#This Row],[Prest. (m2 /jaar) weekend]]/Ruimtestaat[[#This Row],[Norm (m2/uur) weekend]],0)</f>
        <v>0</v>
      </c>
      <c r="AD81" s="116">
        <f>Ruimtestaat[[#This Row],[uren / jaar weekend]]*Tariefsopbouw!$D$40</f>
        <v>0</v>
      </c>
      <c r="AE81" s="82">
        <f>Ruimtestaat[[#This Row],[Prest. (m2 /jaar) weekend]]+Ruimtestaat[[#This Row],[Prest. (m2 /jaar) werkdagen]]</f>
        <v>15740</v>
      </c>
      <c r="AF81" s="82">
        <f>Ruimtestaat[[#This Row],[uren / jaar weekend]]+Ruimtestaat[[#This Row],[uren / jaar werkdagen]]</f>
        <v>0</v>
      </c>
      <c r="AG81" s="83">
        <f>Ruimtestaat[[#This Row],[kosten / jaar weekend]]+Ruimtestaat[[#This Row],[kosten / jaar werkdagen]]</f>
        <v>0</v>
      </c>
      <c r="AH81" s="117"/>
      <c r="HL81" s="87"/>
    </row>
    <row r="82" spans="1:220" ht="15" customHeight="1">
      <c r="A82" s="136">
        <v>1</v>
      </c>
      <c r="B82" s="27" t="str">
        <f>VLOOKUP(Ruimtestaat[[#This Row],[Code]],Locaties[#All],2,FALSE)</f>
        <v>Hoornbeeck College Gouda</v>
      </c>
      <c r="C82" s="27" t="str">
        <f>VLOOKUP(Ruimtestaat[[#This Row],[Code]],Locaties[#All],4,FALSE)</f>
        <v>Noordelijk Halfrond 10</v>
      </c>
      <c r="D82" s="27" t="str">
        <f>VLOOKUP(Ruimtestaat[[#This Row],[Code]],Locaties[#All],5,FALSE)</f>
        <v>2801 DE</v>
      </c>
      <c r="E82" s="27" t="str">
        <f>VLOOKUP(Ruimtestaat[[#This Row],[Code]],Locaties[#All],6,FALSE)</f>
        <v>Gouda</v>
      </c>
      <c r="F82" s="74" t="s">
        <v>465</v>
      </c>
      <c r="G82" s="285" t="s">
        <v>530</v>
      </c>
      <c r="H82" s="286" t="s">
        <v>522</v>
      </c>
      <c r="I82" s="287" t="s">
        <v>653</v>
      </c>
      <c r="J82" s="288">
        <v>16</v>
      </c>
      <c r="K82" s="74" t="str">
        <f>VLOOKUP(J82,Ruimtegroepen[],2,FALSE)</f>
        <v>Leslokalen</v>
      </c>
      <c r="L82" s="285" t="s">
        <v>110</v>
      </c>
      <c r="M82" s="287" t="s">
        <v>38</v>
      </c>
      <c r="N82" s="289">
        <v>65.3</v>
      </c>
      <c r="O82" s="285"/>
      <c r="P82" s="118" t="str">
        <f>LEFT(VLOOKUP(Ruimtestaat[[#This Row],[Ruimte code]],Ruimtegroepen[#All],4,1),2)</f>
        <v>Le</v>
      </c>
      <c r="Q82" s="107"/>
      <c r="R82" s="108">
        <v>40</v>
      </c>
      <c r="S82" s="109" t="s">
        <v>2</v>
      </c>
      <c r="T82" s="110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110">
        <f>IF(T82&gt;0,VLOOKUP($J82,Ruimtegroepen[],3,FALSE)*VLOOKUP($L82,Vloersoorten[],3,FALSE)*VLOOKUP($S82,Frequenties[],3,FALSE)*VLOOKUP($A82,Locaties[],3,FALSE),0)</f>
        <v>0</v>
      </c>
      <c r="V82" s="111">
        <f>Ruimtestaat[[#This Row],[Uitvoeringen werkdagen]]*Ruimtestaat[[#This Row],[Oppervlak (netto)]]</f>
        <v>13060</v>
      </c>
      <c r="W82" s="112">
        <f>IF(U82&gt;0,Ruimtestaat[[#This Row],[Prest. (m2 /jaar) werkdagen]]/Ruimtestaat[[#This Row],[Norm (m2/uur) werkdagen]],0)</f>
        <v>0</v>
      </c>
      <c r="X82" s="113">
        <f>Ruimtestaat[[#This Row],[uren / jaar werkdagen]]*Tariefsopbouw!$E$35</f>
        <v>0</v>
      </c>
      <c r="Y82" s="110"/>
      <c r="Z82" s="114">
        <f>IF(Ruimtestaat[[#This Row],[Frequentie weekend]]&gt;0,VALUE(LEFT(Y82,1))*R82,0)</f>
        <v>0</v>
      </c>
      <c r="AA82" s="110">
        <f>IF($Z82&gt;0,VLOOKUP($J82,Ruimtegroepen[],3,FALSE)*VLOOKUP($L82,Vloersoorten[],3,FALSE)*VLOOKUP($Y82,Frequenties[],3,FALSE)*VLOOKUP(#REF!,Locaties[],3,FALSE),0)</f>
        <v>0</v>
      </c>
      <c r="AB82" s="112">
        <f>Ruimtestaat[[#This Row],[Uitvoeringen weekend]]*Ruimtestaat[[#This Row],[Oppervlak (netto)]]</f>
        <v>0</v>
      </c>
      <c r="AC82" s="115">
        <f>IF(AB82&gt;0,Ruimtestaat[[#This Row],[Prest. (m2 /jaar) weekend]]/Ruimtestaat[[#This Row],[Norm (m2/uur) weekend]],0)</f>
        <v>0</v>
      </c>
      <c r="AD82" s="116">
        <f>Ruimtestaat[[#This Row],[uren / jaar weekend]]*Tariefsopbouw!$D$40</f>
        <v>0</v>
      </c>
      <c r="AE82" s="82">
        <f>Ruimtestaat[[#This Row],[Prest. (m2 /jaar) weekend]]+Ruimtestaat[[#This Row],[Prest. (m2 /jaar) werkdagen]]</f>
        <v>13060</v>
      </c>
      <c r="AF82" s="82">
        <f>Ruimtestaat[[#This Row],[uren / jaar weekend]]+Ruimtestaat[[#This Row],[uren / jaar werkdagen]]</f>
        <v>0</v>
      </c>
      <c r="AG82" s="83">
        <f>Ruimtestaat[[#This Row],[kosten / jaar weekend]]+Ruimtestaat[[#This Row],[kosten / jaar werkdagen]]</f>
        <v>0</v>
      </c>
      <c r="AH82" s="117"/>
      <c r="HL82" s="87"/>
    </row>
    <row r="83" spans="1:220" ht="15" customHeight="1">
      <c r="A83" s="136">
        <v>1</v>
      </c>
      <c r="B83" s="27" t="str">
        <f>VLOOKUP(Ruimtestaat[[#This Row],[Code]],Locaties[#All],2,FALSE)</f>
        <v>Hoornbeeck College Gouda</v>
      </c>
      <c r="C83" s="27" t="str">
        <f>VLOOKUP(Ruimtestaat[[#This Row],[Code]],Locaties[#All],4,FALSE)</f>
        <v>Noordelijk Halfrond 10</v>
      </c>
      <c r="D83" s="27" t="str">
        <f>VLOOKUP(Ruimtestaat[[#This Row],[Code]],Locaties[#All],5,FALSE)</f>
        <v>2801 DE</v>
      </c>
      <c r="E83" s="27" t="str">
        <f>VLOOKUP(Ruimtestaat[[#This Row],[Code]],Locaties[#All],6,FALSE)</f>
        <v>Gouda</v>
      </c>
      <c r="F83" s="74" t="s">
        <v>465</v>
      </c>
      <c r="G83" s="285" t="s">
        <v>530</v>
      </c>
      <c r="H83" s="286" t="s">
        <v>523</v>
      </c>
      <c r="I83" s="287" t="s">
        <v>668</v>
      </c>
      <c r="J83" s="288">
        <v>16</v>
      </c>
      <c r="K83" s="74" t="str">
        <f>VLOOKUP(J83,Ruimtegroepen[],2,FALSE)</f>
        <v>Leslokalen</v>
      </c>
      <c r="L83" s="285" t="s">
        <v>110</v>
      </c>
      <c r="M83" s="287" t="s">
        <v>38</v>
      </c>
      <c r="N83" s="289">
        <v>101.1</v>
      </c>
      <c r="O83" s="285"/>
      <c r="P83" s="118" t="str">
        <f>LEFT(VLOOKUP(Ruimtestaat[[#This Row],[Ruimte code]],Ruimtegroepen[#All],4,1),2)</f>
        <v>Le</v>
      </c>
      <c r="Q83" s="107"/>
      <c r="R83" s="108">
        <v>40</v>
      </c>
      <c r="S83" s="109" t="s">
        <v>2</v>
      </c>
      <c r="T83" s="110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110">
        <f>IF(T83&gt;0,VLOOKUP($J83,Ruimtegroepen[],3,FALSE)*VLOOKUP($L83,Vloersoorten[],3,FALSE)*VLOOKUP($S83,Frequenties[],3,FALSE)*VLOOKUP($A83,Locaties[],3,FALSE),0)</f>
        <v>0</v>
      </c>
      <c r="V83" s="111">
        <f>Ruimtestaat[[#This Row],[Uitvoeringen werkdagen]]*Ruimtestaat[[#This Row],[Oppervlak (netto)]]</f>
        <v>20220</v>
      </c>
      <c r="W83" s="112">
        <f>IF(U83&gt;0,Ruimtestaat[[#This Row],[Prest. (m2 /jaar) werkdagen]]/Ruimtestaat[[#This Row],[Norm (m2/uur) werkdagen]],0)</f>
        <v>0</v>
      </c>
      <c r="X83" s="113">
        <f>Ruimtestaat[[#This Row],[uren / jaar werkdagen]]*Tariefsopbouw!$E$35</f>
        <v>0</v>
      </c>
      <c r="Y83" s="110"/>
      <c r="Z83" s="114">
        <f>IF(Ruimtestaat[[#This Row],[Frequentie weekend]]&gt;0,VALUE(LEFT(Y83,1))*R83,0)</f>
        <v>0</v>
      </c>
      <c r="AA83" s="110">
        <f>IF($Z83&gt;0,VLOOKUP($J83,Ruimtegroepen[],3,FALSE)*VLOOKUP($L83,Vloersoorten[],3,FALSE)*VLOOKUP($Y83,Frequenties[],3,FALSE)*VLOOKUP(#REF!,Locaties[],3,FALSE),0)</f>
        <v>0</v>
      </c>
      <c r="AB83" s="112">
        <f>Ruimtestaat[[#This Row],[Uitvoeringen weekend]]*Ruimtestaat[[#This Row],[Oppervlak (netto)]]</f>
        <v>0</v>
      </c>
      <c r="AC83" s="115">
        <f>IF(AB83&gt;0,Ruimtestaat[[#This Row],[Prest. (m2 /jaar) weekend]]/Ruimtestaat[[#This Row],[Norm (m2/uur) weekend]],0)</f>
        <v>0</v>
      </c>
      <c r="AD83" s="116">
        <f>Ruimtestaat[[#This Row],[uren / jaar weekend]]*Tariefsopbouw!$D$40</f>
        <v>0</v>
      </c>
      <c r="AE83" s="82">
        <f>Ruimtestaat[[#This Row],[Prest. (m2 /jaar) weekend]]+Ruimtestaat[[#This Row],[Prest. (m2 /jaar) werkdagen]]</f>
        <v>20220</v>
      </c>
      <c r="AF83" s="82">
        <f>Ruimtestaat[[#This Row],[uren / jaar weekend]]+Ruimtestaat[[#This Row],[uren / jaar werkdagen]]</f>
        <v>0</v>
      </c>
      <c r="AG83" s="83">
        <f>Ruimtestaat[[#This Row],[kosten / jaar weekend]]+Ruimtestaat[[#This Row],[kosten / jaar werkdagen]]</f>
        <v>0</v>
      </c>
      <c r="AH83" s="117"/>
      <c r="HL83" s="87"/>
    </row>
    <row r="84" spans="1:220" ht="15" customHeight="1">
      <c r="A84" s="136">
        <v>1</v>
      </c>
      <c r="B84" s="27" t="str">
        <f>VLOOKUP(Ruimtestaat[[#This Row],[Code]],Locaties[#All],2,FALSE)</f>
        <v>Hoornbeeck College Gouda</v>
      </c>
      <c r="C84" s="27" t="str">
        <f>VLOOKUP(Ruimtestaat[[#This Row],[Code]],Locaties[#All],4,FALSE)</f>
        <v>Noordelijk Halfrond 10</v>
      </c>
      <c r="D84" s="27" t="str">
        <f>VLOOKUP(Ruimtestaat[[#This Row],[Code]],Locaties[#All],5,FALSE)</f>
        <v>2801 DE</v>
      </c>
      <c r="E84" s="27" t="str">
        <f>VLOOKUP(Ruimtestaat[[#This Row],[Code]],Locaties[#All],6,FALSE)</f>
        <v>Gouda</v>
      </c>
      <c r="F84" s="74" t="s">
        <v>465</v>
      </c>
      <c r="G84" s="285" t="s">
        <v>530</v>
      </c>
      <c r="H84" s="286" t="s">
        <v>669</v>
      </c>
      <c r="I84" s="287" t="s">
        <v>632</v>
      </c>
      <c r="J84" s="288">
        <v>6</v>
      </c>
      <c r="K84" s="74" t="str">
        <f>VLOOKUP(J84,Ruimtegroepen[],2,FALSE)</f>
        <v>Gangen/hallen</v>
      </c>
      <c r="L84" s="285" t="s">
        <v>110</v>
      </c>
      <c r="M84" s="287" t="s">
        <v>38</v>
      </c>
      <c r="N84" s="289">
        <v>93.95</v>
      </c>
      <c r="O84" s="285"/>
      <c r="P84" s="118" t="str">
        <f>LEFT(VLOOKUP(Ruimtestaat[[#This Row],[Ruimte code]],Ruimtegroepen[#All],4,1),2)</f>
        <v>Ve</v>
      </c>
      <c r="Q84" s="107"/>
      <c r="R84" s="108">
        <v>40</v>
      </c>
      <c r="S84" s="109" t="s">
        <v>2</v>
      </c>
      <c r="T84" s="110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110">
        <f>IF(T84&gt;0,VLOOKUP($J84,Ruimtegroepen[],3,FALSE)*VLOOKUP($L84,Vloersoorten[],3,FALSE)*VLOOKUP($S84,Frequenties[],3,FALSE)*VLOOKUP($A84,Locaties[],3,FALSE),0)</f>
        <v>0</v>
      </c>
      <c r="V84" s="111">
        <f>Ruimtestaat[[#This Row],[Uitvoeringen werkdagen]]*Ruimtestaat[[#This Row],[Oppervlak (netto)]]</f>
        <v>18790</v>
      </c>
      <c r="W84" s="112">
        <f>IF(U84&gt;0,Ruimtestaat[[#This Row],[Prest. (m2 /jaar) werkdagen]]/Ruimtestaat[[#This Row],[Norm (m2/uur) werkdagen]],0)</f>
        <v>0</v>
      </c>
      <c r="X84" s="113">
        <f>Ruimtestaat[[#This Row],[uren / jaar werkdagen]]*Tariefsopbouw!$E$35</f>
        <v>0</v>
      </c>
      <c r="Y84" s="110"/>
      <c r="Z84" s="114">
        <f>IF(Ruimtestaat[[#This Row],[Frequentie weekend]]&gt;0,VALUE(LEFT(Y84,1))*R84,0)</f>
        <v>0</v>
      </c>
      <c r="AA84" s="110">
        <f>IF($Z84&gt;0,VLOOKUP($J84,Ruimtegroepen[],3,FALSE)*VLOOKUP($L84,Vloersoorten[],3,FALSE)*VLOOKUP($Y84,Frequenties[],3,FALSE)*VLOOKUP(#REF!,Locaties[],3,FALSE),0)</f>
        <v>0</v>
      </c>
      <c r="AB84" s="112">
        <f>Ruimtestaat[[#This Row],[Uitvoeringen weekend]]*Ruimtestaat[[#This Row],[Oppervlak (netto)]]</f>
        <v>0</v>
      </c>
      <c r="AC84" s="115">
        <f>IF(AB84&gt;0,Ruimtestaat[[#This Row],[Prest. (m2 /jaar) weekend]]/Ruimtestaat[[#This Row],[Norm (m2/uur) weekend]],0)</f>
        <v>0</v>
      </c>
      <c r="AD84" s="116">
        <f>Ruimtestaat[[#This Row],[uren / jaar weekend]]*Tariefsopbouw!$D$40</f>
        <v>0</v>
      </c>
      <c r="AE84" s="82">
        <f>Ruimtestaat[[#This Row],[Prest. (m2 /jaar) weekend]]+Ruimtestaat[[#This Row],[Prest. (m2 /jaar) werkdagen]]</f>
        <v>18790</v>
      </c>
      <c r="AF84" s="82">
        <f>Ruimtestaat[[#This Row],[uren / jaar weekend]]+Ruimtestaat[[#This Row],[uren / jaar werkdagen]]</f>
        <v>0</v>
      </c>
      <c r="AG84" s="83">
        <f>Ruimtestaat[[#This Row],[kosten / jaar weekend]]+Ruimtestaat[[#This Row],[kosten / jaar werkdagen]]</f>
        <v>0</v>
      </c>
      <c r="AH84" s="117"/>
      <c r="HL84" s="87"/>
    </row>
    <row r="85" spans="1:220" ht="15" customHeight="1">
      <c r="A85" s="136">
        <v>1</v>
      </c>
      <c r="B85" s="27" t="str">
        <f>VLOOKUP(Ruimtestaat[[#This Row],[Code]],Locaties[#All],2,FALSE)</f>
        <v>Hoornbeeck College Gouda</v>
      </c>
      <c r="C85" s="27" t="str">
        <f>VLOOKUP(Ruimtestaat[[#This Row],[Code]],Locaties[#All],4,FALSE)</f>
        <v>Noordelijk Halfrond 10</v>
      </c>
      <c r="D85" s="27" t="str">
        <f>VLOOKUP(Ruimtestaat[[#This Row],[Code]],Locaties[#All],5,FALSE)</f>
        <v>2801 DE</v>
      </c>
      <c r="E85" s="27" t="str">
        <f>VLOOKUP(Ruimtestaat[[#This Row],[Code]],Locaties[#All],6,FALSE)</f>
        <v>Gouda</v>
      </c>
      <c r="F85" s="74" t="s">
        <v>465</v>
      </c>
      <c r="G85" s="285" t="s">
        <v>530</v>
      </c>
      <c r="H85" s="286" t="s">
        <v>524</v>
      </c>
      <c r="I85" s="287" t="s">
        <v>628</v>
      </c>
      <c r="J85" s="288">
        <v>4</v>
      </c>
      <c r="K85" s="74" t="str">
        <f>VLOOKUP(J85,Ruimtegroepen[],2,FALSE)</f>
        <v>Vergader/spreekkamers</v>
      </c>
      <c r="L85" s="285" t="s">
        <v>110</v>
      </c>
      <c r="M85" s="287" t="s">
        <v>38</v>
      </c>
      <c r="N85" s="289">
        <v>16</v>
      </c>
      <c r="O85" s="285"/>
      <c r="P85" s="118" t="str">
        <f>LEFT(VLOOKUP(Ruimtestaat[[#This Row],[Ruimte code]],Ruimtegroepen[#All],4,1),2)</f>
        <v>Bu</v>
      </c>
      <c r="Q85" s="107"/>
      <c r="R85" s="108">
        <v>40</v>
      </c>
      <c r="S85" s="109" t="s">
        <v>2</v>
      </c>
      <c r="T85" s="110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110">
        <f>IF(T85&gt;0,VLOOKUP($J85,Ruimtegroepen[],3,FALSE)*VLOOKUP($L85,Vloersoorten[],3,FALSE)*VLOOKUP($S85,Frequenties[],3,FALSE)*VLOOKUP($A85,Locaties[],3,FALSE),0)</f>
        <v>0</v>
      </c>
      <c r="V85" s="111">
        <f>Ruimtestaat[[#This Row],[Uitvoeringen werkdagen]]*Ruimtestaat[[#This Row],[Oppervlak (netto)]]</f>
        <v>3200</v>
      </c>
      <c r="W85" s="112">
        <f>IF(U85&gt;0,Ruimtestaat[[#This Row],[Prest. (m2 /jaar) werkdagen]]/Ruimtestaat[[#This Row],[Norm (m2/uur) werkdagen]],0)</f>
        <v>0</v>
      </c>
      <c r="X85" s="113">
        <f>Ruimtestaat[[#This Row],[uren / jaar werkdagen]]*Tariefsopbouw!$E$35</f>
        <v>0</v>
      </c>
      <c r="Y85" s="110"/>
      <c r="Z85" s="114">
        <f>IF(Ruimtestaat[[#This Row],[Frequentie weekend]]&gt;0,VALUE(LEFT(Y85,1))*R85,0)</f>
        <v>0</v>
      </c>
      <c r="AA85" s="110">
        <f>IF($Z85&gt;0,VLOOKUP($J85,Ruimtegroepen[],3,FALSE)*VLOOKUP($L85,Vloersoorten[],3,FALSE)*VLOOKUP($Y85,Frequenties[],3,FALSE)*VLOOKUP(#REF!,Locaties[],3,FALSE),0)</f>
        <v>0</v>
      </c>
      <c r="AB85" s="112">
        <f>Ruimtestaat[[#This Row],[Uitvoeringen weekend]]*Ruimtestaat[[#This Row],[Oppervlak (netto)]]</f>
        <v>0</v>
      </c>
      <c r="AC85" s="115">
        <f>IF(AB85&gt;0,Ruimtestaat[[#This Row],[Prest. (m2 /jaar) weekend]]/Ruimtestaat[[#This Row],[Norm (m2/uur) weekend]],0)</f>
        <v>0</v>
      </c>
      <c r="AD85" s="116">
        <f>Ruimtestaat[[#This Row],[uren / jaar weekend]]*Tariefsopbouw!$D$40</f>
        <v>0</v>
      </c>
      <c r="AE85" s="82">
        <f>Ruimtestaat[[#This Row],[Prest. (m2 /jaar) weekend]]+Ruimtestaat[[#This Row],[Prest. (m2 /jaar) werkdagen]]</f>
        <v>3200</v>
      </c>
      <c r="AF85" s="82">
        <f>Ruimtestaat[[#This Row],[uren / jaar weekend]]+Ruimtestaat[[#This Row],[uren / jaar werkdagen]]</f>
        <v>0</v>
      </c>
      <c r="AG85" s="83">
        <f>Ruimtestaat[[#This Row],[kosten / jaar weekend]]+Ruimtestaat[[#This Row],[kosten / jaar werkdagen]]</f>
        <v>0</v>
      </c>
      <c r="AH85" s="117"/>
      <c r="HL85" s="87"/>
    </row>
    <row r="86" spans="1:220" ht="15" customHeight="1">
      <c r="A86" s="136">
        <v>1</v>
      </c>
      <c r="B86" s="27" t="str">
        <f>VLOOKUP(Ruimtestaat[[#This Row],[Code]],Locaties[#All],2,FALSE)</f>
        <v>Hoornbeeck College Gouda</v>
      </c>
      <c r="C86" s="27" t="str">
        <f>VLOOKUP(Ruimtestaat[[#This Row],[Code]],Locaties[#All],4,FALSE)</f>
        <v>Noordelijk Halfrond 10</v>
      </c>
      <c r="D86" s="27" t="str">
        <f>VLOOKUP(Ruimtestaat[[#This Row],[Code]],Locaties[#All],5,FALSE)</f>
        <v>2801 DE</v>
      </c>
      <c r="E86" s="27" t="str">
        <f>VLOOKUP(Ruimtestaat[[#This Row],[Code]],Locaties[#All],6,FALSE)</f>
        <v>Gouda</v>
      </c>
      <c r="F86" s="74" t="s">
        <v>465</v>
      </c>
      <c r="G86" s="285" t="s">
        <v>530</v>
      </c>
      <c r="H86" s="286" t="s">
        <v>670</v>
      </c>
      <c r="I86" s="287" t="s">
        <v>632</v>
      </c>
      <c r="J86" s="288">
        <v>6</v>
      </c>
      <c r="K86" s="74" t="str">
        <f>VLOOKUP(J86,Ruimtegroepen[],2,FALSE)</f>
        <v>Gangen/hallen</v>
      </c>
      <c r="L86" s="285" t="s">
        <v>110</v>
      </c>
      <c r="M86" s="287" t="s">
        <v>38</v>
      </c>
      <c r="N86" s="289">
        <v>47</v>
      </c>
      <c r="O86" s="285"/>
      <c r="P86" s="118" t="str">
        <f>LEFT(VLOOKUP(Ruimtestaat[[#This Row],[Ruimte code]],Ruimtegroepen[#All],4,1),2)</f>
        <v>Ve</v>
      </c>
      <c r="Q86" s="107"/>
      <c r="R86" s="108">
        <v>40</v>
      </c>
      <c r="S86" s="109" t="s">
        <v>2</v>
      </c>
      <c r="T86" s="110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110">
        <f>IF(T86&gt;0,VLOOKUP($J86,Ruimtegroepen[],3,FALSE)*VLOOKUP($L86,Vloersoorten[],3,FALSE)*VLOOKUP($S86,Frequenties[],3,FALSE)*VLOOKUP($A86,Locaties[],3,FALSE),0)</f>
        <v>0</v>
      </c>
      <c r="V86" s="111">
        <f>Ruimtestaat[[#This Row],[Uitvoeringen werkdagen]]*Ruimtestaat[[#This Row],[Oppervlak (netto)]]</f>
        <v>9400</v>
      </c>
      <c r="W86" s="112">
        <f>IF(U86&gt;0,Ruimtestaat[[#This Row],[Prest. (m2 /jaar) werkdagen]]/Ruimtestaat[[#This Row],[Norm (m2/uur) werkdagen]],0)</f>
        <v>0</v>
      </c>
      <c r="X86" s="113">
        <f>Ruimtestaat[[#This Row],[uren / jaar werkdagen]]*Tariefsopbouw!$E$35</f>
        <v>0</v>
      </c>
      <c r="Y86" s="110"/>
      <c r="Z86" s="114">
        <f>IF(Ruimtestaat[[#This Row],[Frequentie weekend]]&gt;0,VALUE(LEFT(Y86,1))*R86,0)</f>
        <v>0</v>
      </c>
      <c r="AA86" s="110">
        <f>IF($Z86&gt;0,VLOOKUP($J86,Ruimtegroepen[],3,FALSE)*VLOOKUP($L86,Vloersoorten[],3,FALSE)*VLOOKUP($Y86,Frequenties[],3,FALSE)*VLOOKUP(#REF!,Locaties[],3,FALSE),0)</f>
        <v>0</v>
      </c>
      <c r="AB86" s="112">
        <f>Ruimtestaat[[#This Row],[Uitvoeringen weekend]]*Ruimtestaat[[#This Row],[Oppervlak (netto)]]</f>
        <v>0</v>
      </c>
      <c r="AC86" s="115">
        <f>IF(AB86&gt;0,Ruimtestaat[[#This Row],[Prest. (m2 /jaar) weekend]]/Ruimtestaat[[#This Row],[Norm (m2/uur) weekend]],0)</f>
        <v>0</v>
      </c>
      <c r="AD86" s="116">
        <f>Ruimtestaat[[#This Row],[uren / jaar weekend]]*Tariefsopbouw!$D$40</f>
        <v>0</v>
      </c>
      <c r="AE86" s="82">
        <f>Ruimtestaat[[#This Row],[Prest. (m2 /jaar) weekend]]+Ruimtestaat[[#This Row],[Prest. (m2 /jaar) werkdagen]]</f>
        <v>9400</v>
      </c>
      <c r="AF86" s="82">
        <f>Ruimtestaat[[#This Row],[uren / jaar weekend]]+Ruimtestaat[[#This Row],[uren / jaar werkdagen]]</f>
        <v>0</v>
      </c>
      <c r="AG86" s="83">
        <f>Ruimtestaat[[#This Row],[kosten / jaar weekend]]+Ruimtestaat[[#This Row],[kosten / jaar werkdagen]]</f>
        <v>0</v>
      </c>
      <c r="AH86" s="117"/>
      <c r="HL86" s="87"/>
    </row>
    <row r="87" spans="1:220" ht="15" customHeight="1">
      <c r="A87" s="136">
        <v>1</v>
      </c>
      <c r="B87" s="27" t="str">
        <f>VLOOKUP(Ruimtestaat[[#This Row],[Code]],Locaties[#All],2,FALSE)</f>
        <v>Hoornbeeck College Gouda</v>
      </c>
      <c r="C87" s="27" t="str">
        <f>VLOOKUP(Ruimtestaat[[#This Row],[Code]],Locaties[#All],4,FALSE)</f>
        <v>Noordelijk Halfrond 10</v>
      </c>
      <c r="D87" s="27" t="str">
        <f>VLOOKUP(Ruimtestaat[[#This Row],[Code]],Locaties[#All],5,FALSE)</f>
        <v>2801 DE</v>
      </c>
      <c r="E87" s="27" t="str">
        <f>VLOOKUP(Ruimtestaat[[#This Row],[Code]],Locaties[#All],6,FALSE)</f>
        <v>Gouda</v>
      </c>
      <c r="F87" s="74" t="s">
        <v>465</v>
      </c>
      <c r="G87" s="285" t="s">
        <v>530</v>
      </c>
      <c r="H87" s="286" t="s">
        <v>671</v>
      </c>
      <c r="I87" s="287" t="s">
        <v>531</v>
      </c>
      <c r="J87" s="288">
        <v>10</v>
      </c>
      <c r="K87" s="74" t="str">
        <f>VLOOKUP(J87,Ruimtegroepen[],2,FALSE)</f>
        <v>Trappenhuizen/lift</v>
      </c>
      <c r="L87" s="285" t="s">
        <v>111</v>
      </c>
      <c r="M87" s="287" t="s">
        <v>467</v>
      </c>
      <c r="N87" s="289">
        <v>15</v>
      </c>
      <c r="O87" s="285"/>
      <c r="P87" s="118" t="str">
        <f>LEFT(VLOOKUP(Ruimtestaat[[#This Row],[Ruimte code]],Ruimtegroepen[#All],4,1),2)</f>
        <v>Ve</v>
      </c>
      <c r="Q87" s="107"/>
      <c r="R87" s="108">
        <v>40</v>
      </c>
      <c r="S87" s="109" t="s">
        <v>2</v>
      </c>
      <c r="T87" s="110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" s="110">
        <f>IF(T87&gt;0,VLOOKUP($J87,Ruimtegroepen[],3,FALSE)*VLOOKUP($L87,Vloersoorten[],3,FALSE)*VLOOKUP($S87,Frequenties[],3,FALSE)*VLOOKUP($A87,Locaties[],3,FALSE),0)</f>
        <v>0</v>
      </c>
      <c r="V87" s="111">
        <f>Ruimtestaat[[#This Row],[Uitvoeringen werkdagen]]*Ruimtestaat[[#This Row],[Oppervlak (netto)]]</f>
        <v>3000</v>
      </c>
      <c r="W87" s="112">
        <f>IF(U87&gt;0,Ruimtestaat[[#This Row],[Prest. (m2 /jaar) werkdagen]]/Ruimtestaat[[#This Row],[Norm (m2/uur) werkdagen]],0)</f>
        <v>0</v>
      </c>
      <c r="X87" s="113">
        <f>Ruimtestaat[[#This Row],[uren / jaar werkdagen]]*Tariefsopbouw!$E$35</f>
        <v>0</v>
      </c>
      <c r="Y87" s="110"/>
      <c r="Z87" s="114">
        <f>IF(Ruimtestaat[[#This Row],[Frequentie weekend]]&gt;0,VALUE(LEFT(Y87,1))*R87,0)</f>
        <v>0</v>
      </c>
      <c r="AA87" s="110">
        <f>IF($Z87&gt;0,VLOOKUP($J87,Ruimtegroepen[],3,FALSE)*VLOOKUP($L87,Vloersoorten[],3,FALSE)*VLOOKUP($Y87,Frequenties[],3,FALSE)*VLOOKUP(#REF!,Locaties[],3,FALSE),0)</f>
        <v>0</v>
      </c>
      <c r="AB87" s="112">
        <f>Ruimtestaat[[#This Row],[Uitvoeringen weekend]]*Ruimtestaat[[#This Row],[Oppervlak (netto)]]</f>
        <v>0</v>
      </c>
      <c r="AC87" s="115">
        <f>IF(AB87&gt;0,Ruimtestaat[[#This Row],[Prest. (m2 /jaar) weekend]]/Ruimtestaat[[#This Row],[Norm (m2/uur) weekend]],0)</f>
        <v>0</v>
      </c>
      <c r="AD87" s="116">
        <f>Ruimtestaat[[#This Row],[uren / jaar weekend]]*Tariefsopbouw!$D$40</f>
        <v>0</v>
      </c>
      <c r="AE87" s="82">
        <f>Ruimtestaat[[#This Row],[Prest. (m2 /jaar) weekend]]+Ruimtestaat[[#This Row],[Prest. (m2 /jaar) werkdagen]]</f>
        <v>3000</v>
      </c>
      <c r="AF87" s="82">
        <f>Ruimtestaat[[#This Row],[uren / jaar weekend]]+Ruimtestaat[[#This Row],[uren / jaar werkdagen]]</f>
        <v>0</v>
      </c>
      <c r="AG87" s="83">
        <f>Ruimtestaat[[#This Row],[kosten / jaar weekend]]+Ruimtestaat[[#This Row],[kosten / jaar werkdagen]]</f>
        <v>0</v>
      </c>
      <c r="AH87" s="117"/>
      <c r="HL87" s="87"/>
    </row>
    <row r="88" spans="1:220" ht="15" customHeight="1">
      <c r="A88" s="136">
        <v>1</v>
      </c>
      <c r="B88" s="27" t="str">
        <f>VLOOKUP(Ruimtestaat[[#This Row],[Code]],Locaties[#All],2,FALSE)</f>
        <v>Hoornbeeck College Gouda</v>
      </c>
      <c r="C88" s="27" t="str">
        <f>VLOOKUP(Ruimtestaat[[#This Row],[Code]],Locaties[#All],4,FALSE)</f>
        <v>Noordelijk Halfrond 10</v>
      </c>
      <c r="D88" s="27" t="str">
        <f>VLOOKUP(Ruimtestaat[[#This Row],[Code]],Locaties[#All],5,FALSE)</f>
        <v>2801 DE</v>
      </c>
      <c r="E88" s="27" t="str">
        <f>VLOOKUP(Ruimtestaat[[#This Row],[Code]],Locaties[#All],6,FALSE)</f>
        <v>Gouda</v>
      </c>
      <c r="F88" s="74" t="s">
        <v>465</v>
      </c>
      <c r="G88" s="285" t="s">
        <v>530</v>
      </c>
      <c r="H88" s="286" t="s">
        <v>525</v>
      </c>
      <c r="I88" s="287" t="s">
        <v>632</v>
      </c>
      <c r="J88" s="288">
        <v>6</v>
      </c>
      <c r="K88" s="74" t="str">
        <f>VLOOKUP(J88,Ruimtegroepen[],2,FALSE)</f>
        <v>Gangen/hallen</v>
      </c>
      <c r="L88" s="285" t="s">
        <v>110</v>
      </c>
      <c r="M88" s="287" t="s">
        <v>38</v>
      </c>
      <c r="N88" s="289">
        <v>22.77</v>
      </c>
      <c r="O88" s="285"/>
      <c r="P88" s="118" t="str">
        <f>LEFT(VLOOKUP(Ruimtestaat[[#This Row],[Ruimte code]],Ruimtegroepen[#All],4,1),2)</f>
        <v>Ve</v>
      </c>
      <c r="Q88" s="107"/>
      <c r="R88" s="108">
        <v>40</v>
      </c>
      <c r="S88" s="109" t="s">
        <v>2</v>
      </c>
      <c r="T88" s="110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110">
        <f>IF(T88&gt;0,VLOOKUP($J88,Ruimtegroepen[],3,FALSE)*VLOOKUP($L88,Vloersoorten[],3,FALSE)*VLOOKUP($S88,Frequenties[],3,FALSE)*VLOOKUP($A88,Locaties[],3,FALSE),0)</f>
        <v>0</v>
      </c>
      <c r="V88" s="111">
        <f>Ruimtestaat[[#This Row],[Uitvoeringen werkdagen]]*Ruimtestaat[[#This Row],[Oppervlak (netto)]]</f>
        <v>4554</v>
      </c>
      <c r="W88" s="112">
        <f>IF(U88&gt;0,Ruimtestaat[[#This Row],[Prest. (m2 /jaar) werkdagen]]/Ruimtestaat[[#This Row],[Norm (m2/uur) werkdagen]],0)</f>
        <v>0</v>
      </c>
      <c r="X88" s="113">
        <f>Ruimtestaat[[#This Row],[uren / jaar werkdagen]]*Tariefsopbouw!$E$35</f>
        <v>0</v>
      </c>
      <c r="Y88" s="110"/>
      <c r="Z88" s="114">
        <f>IF(Ruimtestaat[[#This Row],[Frequentie weekend]]&gt;0,VALUE(LEFT(Y88,1))*R88,0)</f>
        <v>0</v>
      </c>
      <c r="AA88" s="110">
        <f>IF($Z88&gt;0,VLOOKUP($J88,Ruimtegroepen[],3,FALSE)*VLOOKUP($L88,Vloersoorten[],3,FALSE)*VLOOKUP($Y88,Frequenties[],3,FALSE)*VLOOKUP(#REF!,Locaties[],3,FALSE),0)</f>
        <v>0</v>
      </c>
      <c r="AB88" s="112">
        <f>Ruimtestaat[[#This Row],[Uitvoeringen weekend]]*Ruimtestaat[[#This Row],[Oppervlak (netto)]]</f>
        <v>0</v>
      </c>
      <c r="AC88" s="115">
        <f>IF(AB88&gt;0,Ruimtestaat[[#This Row],[Prest. (m2 /jaar) weekend]]/Ruimtestaat[[#This Row],[Norm (m2/uur) weekend]],0)</f>
        <v>0</v>
      </c>
      <c r="AD88" s="116">
        <f>Ruimtestaat[[#This Row],[uren / jaar weekend]]*Tariefsopbouw!$D$40</f>
        <v>0</v>
      </c>
      <c r="AE88" s="82">
        <f>Ruimtestaat[[#This Row],[Prest. (m2 /jaar) weekend]]+Ruimtestaat[[#This Row],[Prest. (m2 /jaar) werkdagen]]</f>
        <v>4554</v>
      </c>
      <c r="AF88" s="82">
        <f>Ruimtestaat[[#This Row],[uren / jaar weekend]]+Ruimtestaat[[#This Row],[uren / jaar werkdagen]]</f>
        <v>0</v>
      </c>
      <c r="AG88" s="83">
        <f>Ruimtestaat[[#This Row],[kosten / jaar weekend]]+Ruimtestaat[[#This Row],[kosten / jaar werkdagen]]</f>
        <v>0</v>
      </c>
      <c r="AH88" s="117"/>
      <c r="HL88" s="87"/>
    </row>
    <row r="89" spans="1:220" ht="15" customHeight="1">
      <c r="A89" s="136">
        <v>1</v>
      </c>
      <c r="B89" s="27" t="str">
        <f>VLOOKUP(Ruimtestaat[[#This Row],[Code]],Locaties[#All],2,FALSE)</f>
        <v>Hoornbeeck College Gouda</v>
      </c>
      <c r="C89" s="27" t="str">
        <f>VLOOKUP(Ruimtestaat[[#This Row],[Code]],Locaties[#All],4,FALSE)</f>
        <v>Noordelijk Halfrond 10</v>
      </c>
      <c r="D89" s="27" t="str">
        <f>VLOOKUP(Ruimtestaat[[#This Row],[Code]],Locaties[#All],5,FALSE)</f>
        <v>2801 DE</v>
      </c>
      <c r="E89" s="27" t="str">
        <f>VLOOKUP(Ruimtestaat[[#This Row],[Code]],Locaties[#All],6,FALSE)</f>
        <v>Gouda</v>
      </c>
      <c r="F89" s="74" t="s">
        <v>465</v>
      </c>
      <c r="G89" s="285" t="s">
        <v>530</v>
      </c>
      <c r="H89" s="286" t="s">
        <v>526</v>
      </c>
      <c r="I89" s="287" t="s">
        <v>632</v>
      </c>
      <c r="J89" s="288">
        <v>6</v>
      </c>
      <c r="K89" s="74" t="str">
        <f>VLOOKUP(J89,Ruimtegroepen[],2,FALSE)</f>
        <v>Gangen/hallen</v>
      </c>
      <c r="L89" s="285" t="s">
        <v>110</v>
      </c>
      <c r="M89" s="287" t="s">
        <v>38</v>
      </c>
      <c r="N89" s="289">
        <v>3.33</v>
      </c>
      <c r="O89" s="285"/>
      <c r="P89" s="118" t="str">
        <f>LEFT(VLOOKUP(Ruimtestaat[[#This Row],[Ruimte code]],Ruimtegroepen[#All],4,1),2)</f>
        <v>Ve</v>
      </c>
      <c r="Q89" s="107"/>
      <c r="R89" s="108">
        <v>40</v>
      </c>
      <c r="S89" s="109" t="s">
        <v>2</v>
      </c>
      <c r="T89" s="110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110">
        <f>IF(T89&gt;0,VLOOKUP($J89,Ruimtegroepen[],3,FALSE)*VLOOKUP($L89,Vloersoorten[],3,FALSE)*VLOOKUP($S89,Frequenties[],3,FALSE)*VLOOKUP($A89,Locaties[],3,FALSE),0)</f>
        <v>0</v>
      </c>
      <c r="V89" s="111">
        <f>Ruimtestaat[[#This Row],[Uitvoeringen werkdagen]]*Ruimtestaat[[#This Row],[Oppervlak (netto)]]</f>
        <v>666</v>
      </c>
      <c r="W89" s="112">
        <f>IF(U89&gt;0,Ruimtestaat[[#This Row],[Prest. (m2 /jaar) werkdagen]]/Ruimtestaat[[#This Row],[Norm (m2/uur) werkdagen]],0)</f>
        <v>0</v>
      </c>
      <c r="X89" s="113">
        <f>Ruimtestaat[[#This Row],[uren / jaar werkdagen]]*Tariefsopbouw!$E$35</f>
        <v>0</v>
      </c>
      <c r="Y89" s="110"/>
      <c r="Z89" s="114">
        <f>IF(Ruimtestaat[[#This Row],[Frequentie weekend]]&gt;0,VALUE(LEFT(Y89,1))*R89,0)</f>
        <v>0</v>
      </c>
      <c r="AA89" s="110">
        <f>IF($Z89&gt;0,VLOOKUP($J89,Ruimtegroepen[],3,FALSE)*VLOOKUP($L89,Vloersoorten[],3,FALSE)*VLOOKUP($Y89,Frequenties[],3,FALSE)*VLOOKUP(#REF!,Locaties[],3,FALSE),0)</f>
        <v>0</v>
      </c>
      <c r="AB89" s="112">
        <f>Ruimtestaat[[#This Row],[Uitvoeringen weekend]]*Ruimtestaat[[#This Row],[Oppervlak (netto)]]</f>
        <v>0</v>
      </c>
      <c r="AC89" s="115">
        <f>IF(AB89&gt;0,Ruimtestaat[[#This Row],[Prest. (m2 /jaar) weekend]]/Ruimtestaat[[#This Row],[Norm (m2/uur) weekend]],0)</f>
        <v>0</v>
      </c>
      <c r="AD89" s="116">
        <f>Ruimtestaat[[#This Row],[uren / jaar weekend]]*Tariefsopbouw!$D$40</f>
        <v>0</v>
      </c>
      <c r="AE89" s="82">
        <f>Ruimtestaat[[#This Row],[Prest. (m2 /jaar) weekend]]+Ruimtestaat[[#This Row],[Prest. (m2 /jaar) werkdagen]]</f>
        <v>666</v>
      </c>
      <c r="AF89" s="82">
        <f>Ruimtestaat[[#This Row],[uren / jaar weekend]]+Ruimtestaat[[#This Row],[uren / jaar werkdagen]]</f>
        <v>0</v>
      </c>
      <c r="AG89" s="83">
        <f>Ruimtestaat[[#This Row],[kosten / jaar weekend]]+Ruimtestaat[[#This Row],[kosten / jaar werkdagen]]</f>
        <v>0</v>
      </c>
      <c r="AH89" s="117"/>
      <c r="HL89" s="87"/>
    </row>
    <row r="90" spans="1:220" ht="15" customHeight="1">
      <c r="A90" s="136">
        <v>1</v>
      </c>
      <c r="B90" s="27" t="str">
        <f>VLOOKUP(Ruimtestaat[[#This Row],[Code]],Locaties[#All],2,FALSE)</f>
        <v>Hoornbeeck College Gouda</v>
      </c>
      <c r="C90" s="27" t="str">
        <f>VLOOKUP(Ruimtestaat[[#This Row],[Code]],Locaties[#All],4,FALSE)</f>
        <v>Noordelijk Halfrond 10</v>
      </c>
      <c r="D90" s="27" t="str">
        <f>VLOOKUP(Ruimtestaat[[#This Row],[Code]],Locaties[#All],5,FALSE)</f>
        <v>2801 DE</v>
      </c>
      <c r="E90" s="27" t="str">
        <f>VLOOKUP(Ruimtestaat[[#This Row],[Code]],Locaties[#All],6,FALSE)</f>
        <v>Gouda</v>
      </c>
      <c r="F90" s="74" t="s">
        <v>465</v>
      </c>
      <c r="G90" s="285" t="s">
        <v>530</v>
      </c>
      <c r="H90" s="286" t="s">
        <v>672</v>
      </c>
      <c r="I90" s="287" t="s">
        <v>632</v>
      </c>
      <c r="J90" s="288">
        <v>6</v>
      </c>
      <c r="K90" s="74" t="str">
        <f>VLOOKUP(J90,Ruimtegroepen[],2,FALSE)</f>
        <v>Gangen/hallen</v>
      </c>
      <c r="L90" s="285" t="s">
        <v>110</v>
      </c>
      <c r="M90" s="287" t="s">
        <v>38</v>
      </c>
      <c r="N90" s="289">
        <v>30.88</v>
      </c>
      <c r="O90" s="285"/>
      <c r="P90" s="118" t="str">
        <f>LEFT(VLOOKUP(Ruimtestaat[[#This Row],[Ruimte code]],Ruimtegroepen[#All],4,1),2)</f>
        <v>Ve</v>
      </c>
      <c r="Q90" s="107"/>
      <c r="R90" s="108">
        <v>40</v>
      </c>
      <c r="S90" s="109" t="s">
        <v>2</v>
      </c>
      <c r="T90" s="110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110">
        <f>IF(T90&gt;0,VLOOKUP($J90,Ruimtegroepen[],3,FALSE)*VLOOKUP($L90,Vloersoorten[],3,FALSE)*VLOOKUP($S90,Frequenties[],3,FALSE)*VLOOKUP($A90,Locaties[],3,FALSE),0)</f>
        <v>0</v>
      </c>
      <c r="V90" s="111">
        <f>Ruimtestaat[[#This Row],[Uitvoeringen werkdagen]]*Ruimtestaat[[#This Row],[Oppervlak (netto)]]</f>
        <v>6176</v>
      </c>
      <c r="W90" s="112">
        <f>IF(U90&gt;0,Ruimtestaat[[#This Row],[Prest. (m2 /jaar) werkdagen]]/Ruimtestaat[[#This Row],[Norm (m2/uur) werkdagen]],0)</f>
        <v>0</v>
      </c>
      <c r="X90" s="113">
        <f>Ruimtestaat[[#This Row],[uren / jaar werkdagen]]*Tariefsopbouw!$E$35</f>
        <v>0</v>
      </c>
      <c r="Y90" s="110"/>
      <c r="Z90" s="114">
        <f>IF(Ruimtestaat[[#This Row],[Frequentie weekend]]&gt;0,VALUE(LEFT(Y90,1))*R90,0)</f>
        <v>0</v>
      </c>
      <c r="AA90" s="110">
        <f>IF($Z90&gt;0,VLOOKUP($J90,Ruimtegroepen[],3,FALSE)*VLOOKUP($L90,Vloersoorten[],3,FALSE)*VLOOKUP($Y90,Frequenties[],3,FALSE)*VLOOKUP(#REF!,Locaties[],3,FALSE),0)</f>
        <v>0</v>
      </c>
      <c r="AB90" s="112">
        <f>Ruimtestaat[[#This Row],[Uitvoeringen weekend]]*Ruimtestaat[[#This Row],[Oppervlak (netto)]]</f>
        <v>0</v>
      </c>
      <c r="AC90" s="115">
        <f>IF(AB90&gt;0,Ruimtestaat[[#This Row],[Prest. (m2 /jaar) weekend]]/Ruimtestaat[[#This Row],[Norm (m2/uur) weekend]],0)</f>
        <v>0</v>
      </c>
      <c r="AD90" s="116">
        <f>Ruimtestaat[[#This Row],[uren / jaar weekend]]*Tariefsopbouw!$D$40</f>
        <v>0</v>
      </c>
      <c r="AE90" s="82">
        <f>Ruimtestaat[[#This Row],[Prest. (m2 /jaar) weekend]]+Ruimtestaat[[#This Row],[Prest. (m2 /jaar) werkdagen]]</f>
        <v>6176</v>
      </c>
      <c r="AF90" s="82">
        <f>Ruimtestaat[[#This Row],[uren / jaar weekend]]+Ruimtestaat[[#This Row],[uren / jaar werkdagen]]</f>
        <v>0</v>
      </c>
      <c r="AG90" s="83">
        <f>Ruimtestaat[[#This Row],[kosten / jaar weekend]]+Ruimtestaat[[#This Row],[kosten / jaar werkdagen]]</f>
        <v>0</v>
      </c>
      <c r="AH90" s="117"/>
      <c r="HL90" s="87"/>
    </row>
    <row r="91" spans="1:220" ht="15" customHeight="1">
      <c r="A91" s="136">
        <v>1</v>
      </c>
      <c r="B91" s="27" t="str">
        <f>VLOOKUP(Ruimtestaat[[#This Row],[Code]],Locaties[#All],2,FALSE)</f>
        <v>Hoornbeeck College Gouda</v>
      </c>
      <c r="C91" s="27" t="str">
        <f>VLOOKUP(Ruimtestaat[[#This Row],[Code]],Locaties[#All],4,FALSE)</f>
        <v>Noordelijk Halfrond 10</v>
      </c>
      <c r="D91" s="27" t="str">
        <f>VLOOKUP(Ruimtestaat[[#This Row],[Code]],Locaties[#All],5,FALSE)</f>
        <v>2801 DE</v>
      </c>
      <c r="E91" s="27" t="str">
        <f>VLOOKUP(Ruimtestaat[[#This Row],[Code]],Locaties[#All],6,FALSE)</f>
        <v>Gouda</v>
      </c>
      <c r="F91" s="74" t="s">
        <v>465</v>
      </c>
      <c r="G91" s="285" t="s">
        <v>530</v>
      </c>
      <c r="H91" s="286" t="s">
        <v>527</v>
      </c>
      <c r="I91" s="287" t="s">
        <v>470</v>
      </c>
      <c r="J91" s="288">
        <v>10</v>
      </c>
      <c r="K91" s="74" t="str">
        <f>VLOOKUP(J91,Ruimtegroepen[],2,FALSE)</f>
        <v>Trappenhuizen/lift</v>
      </c>
      <c r="L91" s="285" t="s">
        <v>110</v>
      </c>
      <c r="M91" s="287" t="s">
        <v>38</v>
      </c>
      <c r="N91" s="289">
        <v>15</v>
      </c>
      <c r="O91" s="285"/>
      <c r="P91" s="118" t="str">
        <f>LEFT(VLOOKUP(Ruimtestaat[[#This Row],[Ruimte code]],Ruimtegroepen[#All],4,1),2)</f>
        <v>Ve</v>
      </c>
      <c r="Q91" s="107"/>
      <c r="R91" s="108">
        <v>40</v>
      </c>
      <c r="S91" s="109" t="s">
        <v>2</v>
      </c>
      <c r="T91" s="110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110">
        <f>IF(T91&gt;0,VLOOKUP($J91,Ruimtegroepen[],3,FALSE)*VLOOKUP($L91,Vloersoorten[],3,FALSE)*VLOOKUP($S91,Frequenties[],3,FALSE)*VLOOKUP($A91,Locaties[],3,FALSE),0)</f>
        <v>0</v>
      </c>
      <c r="V91" s="111">
        <f>Ruimtestaat[[#This Row],[Uitvoeringen werkdagen]]*Ruimtestaat[[#This Row],[Oppervlak (netto)]]</f>
        <v>3000</v>
      </c>
      <c r="W91" s="112">
        <f>IF(U91&gt;0,Ruimtestaat[[#This Row],[Prest. (m2 /jaar) werkdagen]]/Ruimtestaat[[#This Row],[Norm (m2/uur) werkdagen]],0)</f>
        <v>0</v>
      </c>
      <c r="X91" s="113">
        <f>Ruimtestaat[[#This Row],[uren / jaar werkdagen]]*Tariefsopbouw!$E$35</f>
        <v>0</v>
      </c>
      <c r="Y91" s="110"/>
      <c r="Z91" s="114">
        <f>IF(Ruimtestaat[[#This Row],[Frequentie weekend]]&gt;0,VALUE(LEFT(Y91,1))*R91,0)</f>
        <v>0</v>
      </c>
      <c r="AA91" s="110">
        <f>IF($Z91&gt;0,VLOOKUP($J91,Ruimtegroepen[],3,FALSE)*VLOOKUP($L91,Vloersoorten[],3,FALSE)*VLOOKUP($Y91,Frequenties[],3,FALSE)*VLOOKUP(#REF!,Locaties[],3,FALSE),0)</f>
        <v>0</v>
      </c>
      <c r="AB91" s="112">
        <f>Ruimtestaat[[#This Row],[Uitvoeringen weekend]]*Ruimtestaat[[#This Row],[Oppervlak (netto)]]</f>
        <v>0</v>
      </c>
      <c r="AC91" s="115">
        <f>IF(AB91&gt;0,Ruimtestaat[[#This Row],[Prest. (m2 /jaar) weekend]]/Ruimtestaat[[#This Row],[Norm (m2/uur) weekend]],0)</f>
        <v>0</v>
      </c>
      <c r="AD91" s="116">
        <f>Ruimtestaat[[#This Row],[uren / jaar weekend]]*Tariefsopbouw!$D$40</f>
        <v>0</v>
      </c>
      <c r="AE91" s="82">
        <f>Ruimtestaat[[#This Row],[Prest. (m2 /jaar) weekend]]+Ruimtestaat[[#This Row],[Prest. (m2 /jaar) werkdagen]]</f>
        <v>3000</v>
      </c>
      <c r="AF91" s="82">
        <f>Ruimtestaat[[#This Row],[uren / jaar weekend]]+Ruimtestaat[[#This Row],[uren / jaar werkdagen]]</f>
        <v>0</v>
      </c>
      <c r="AG91" s="83">
        <f>Ruimtestaat[[#This Row],[kosten / jaar weekend]]+Ruimtestaat[[#This Row],[kosten / jaar werkdagen]]</f>
        <v>0</v>
      </c>
      <c r="AH91" s="117"/>
      <c r="HL91" s="87"/>
    </row>
    <row r="92" spans="1:220" ht="15" customHeight="1">
      <c r="A92" s="136">
        <v>1</v>
      </c>
      <c r="B92" s="27" t="str">
        <f>VLOOKUP(Ruimtestaat[[#This Row],[Code]],Locaties[#All],2,FALSE)</f>
        <v>Hoornbeeck College Gouda</v>
      </c>
      <c r="C92" s="27" t="str">
        <f>VLOOKUP(Ruimtestaat[[#This Row],[Code]],Locaties[#All],4,FALSE)</f>
        <v>Noordelijk Halfrond 10</v>
      </c>
      <c r="D92" s="27" t="str">
        <f>VLOOKUP(Ruimtestaat[[#This Row],[Code]],Locaties[#All],5,FALSE)</f>
        <v>2801 DE</v>
      </c>
      <c r="E92" s="27" t="str">
        <f>VLOOKUP(Ruimtestaat[[#This Row],[Code]],Locaties[#All],6,FALSE)</f>
        <v>Gouda</v>
      </c>
      <c r="F92" s="74" t="s">
        <v>465</v>
      </c>
      <c r="G92" s="285" t="s">
        <v>530</v>
      </c>
      <c r="H92" s="286" t="s">
        <v>528</v>
      </c>
      <c r="I92" s="287" t="s">
        <v>639</v>
      </c>
      <c r="J92" s="288">
        <v>5</v>
      </c>
      <c r="K92" s="74" t="str">
        <f>VLOOKUP(J92,Ruimtegroepen[],2,FALSE)</f>
        <v>Sanitair</v>
      </c>
      <c r="L92" s="285" t="s">
        <v>112</v>
      </c>
      <c r="M92" s="287" t="s">
        <v>469</v>
      </c>
      <c r="N92" s="289">
        <v>5.6</v>
      </c>
      <c r="O92" s="285"/>
      <c r="P92" s="118" t="str">
        <f>LEFT(VLOOKUP(Ruimtestaat[[#This Row],[Ruimte code]],Ruimtegroepen[#All],4,1),2)</f>
        <v>Sa</v>
      </c>
      <c r="Q92" s="107"/>
      <c r="R92" s="108">
        <v>40</v>
      </c>
      <c r="S92" s="109" t="s">
        <v>2</v>
      </c>
      <c r="T92" s="110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110">
        <f>IF(T92&gt;0,VLOOKUP($J92,Ruimtegroepen[],3,FALSE)*VLOOKUP($L92,Vloersoorten[],3,FALSE)*VLOOKUP($S92,Frequenties[],3,FALSE)*VLOOKUP($A92,Locaties[],3,FALSE),0)</f>
        <v>0</v>
      </c>
      <c r="V92" s="111">
        <f>Ruimtestaat[[#This Row],[Uitvoeringen werkdagen]]*Ruimtestaat[[#This Row],[Oppervlak (netto)]]</f>
        <v>1120</v>
      </c>
      <c r="W92" s="112">
        <f>IF(U92&gt;0,Ruimtestaat[[#This Row],[Prest. (m2 /jaar) werkdagen]]/Ruimtestaat[[#This Row],[Norm (m2/uur) werkdagen]],0)</f>
        <v>0</v>
      </c>
      <c r="X92" s="113">
        <f>Ruimtestaat[[#This Row],[uren / jaar werkdagen]]*Tariefsopbouw!$E$35</f>
        <v>0</v>
      </c>
      <c r="Y92" s="110"/>
      <c r="Z92" s="114">
        <f>IF(Ruimtestaat[[#This Row],[Frequentie weekend]]&gt;0,VALUE(LEFT(Y92,1))*R92,0)</f>
        <v>0</v>
      </c>
      <c r="AA92" s="110">
        <f>IF($Z92&gt;0,VLOOKUP($J92,Ruimtegroepen[],3,FALSE)*VLOOKUP($L92,Vloersoorten[],3,FALSE)*VLOOKUP($Y92,Frequenties[],3,FALSE)*VLOOKUP(#REF!,Locaties[],3,FALSE),0)</f>
        <v>0</v>
      </c>
      <c r="AB92" s="112">
        <f>Ruimtestaat[[#This Row],[Uitvoeringen weekend]]*Ruimtestaat[[#This Row],[Oppervlak (netto)]]</f>
        <v>0</v>
      </c>
      <c r="AC92" s="115">
        <f>IF(AB92&gt;0,Ruimtestaat[[#This Row],[Prest. (m2 /jaar) weekend]]/Ruimtestaat[[#This Row],[Norm (m2/uur) weekend]],0)</f>
        <v>0</v>
      </c>
      <c r="AD92" s="116">
        <f>Ruimtestaat[[#This Row],[uren / jaar weekend]]*Tariefsopbouw!$D$40</f>
        <v>0</v>
      </c>
      <c r="AE92" s="82">
        <f>Ruimtestaat[[#This Row],[Prest. (m2 /jaar) weekend]]+Ruimtestaat[[#This Row],[Prest. (m2 /jaar) werkdagen]]</f>
        <v>1120</v>
      </c>
      <c r="AF92" s="82">
        <f>Ruimtestaat[[#This Row],[uren / jaar weekend]]+Ruimtestaat[[#This Row],[uren / jaar werkdagen]]</f>
        <v>0</v>
      </c>
      <c r="AG92" s="83">
        <f>Ruimtestaat[[#This Row],[kosten / jaar weekend]]+Ruimtestaat[[#This Row],[kosten / jaar werkdagen]]</f>
        <v>0</v>
      </c>
      <c r="AH92" s="117"/>
      <c r="HL92" s="87"/>
    </row>
    <row r="93" spans="1:220" ht="15" customHeight="1">
      <c r="A93" s="136">
        <v>1</v>
      </c>
      <c r="B93" s="27" t="str">
        <f>VLOOKUP(Ruimtestaat[[#This Row],[Code]],Locaties[#All],2,FALSE)</f>
        <v>Hoornbeeck College Gouda</v>
      </c>
      <c r="C93" s="27" t="str">
        <f>VLOOKUP(Ruimtestaat[[#This Row],[Code]],Locaties[#All],4,FALSE)</f>
        <v>Noordelijk Halfrond 10</v>
      </c>
      <c r="D93" s="27" t="str">
        <f>VLOOKUP(Ruimtestaat[[#This Row],[Code]],Locaties[#All],5,FALSE)</f>
        <v>2801 DE</v>
      </c>
      <c r="E93" s="27" t="str">
        <f>VLOOKUP(Ruimtestaat[[#This Row],[Code]],Locaties[#All],6,FALSE)</f>
        <v>Gouda</v>
      </c>
      <c r="F93" s="74" t="s">
        <v>465</v>
      </c>
      <c r="G93" s="285" t="s">
        <v>530</v>
      </c>
      <c r="H93" s="286" t="s">
        <v>529</v>
      </c>
      <c r="I93" s="287" t="s">
        <v>639</v>
      </c>
      <c r="J93" s="288">
        <v>5</v>
      </c>
      <c r="K93" s="74" t="str">
        <f>VLOOKUP(J93,Ruimtegroepen[],2,FALSE)</f>
        <v>Sanitair</v>
      </c>
      <c r="L93" s="285" t="s">
        <v>112</v>
      </c>
      <c r="M93" s="287" t="s">
        <v>469</v>
      </c>
      <c r="N93" s="289">
        <v>5.6</v>
      </c>
      <c r="O93" s="285"/>
      <c r="P93" s="118" t="str">
        <f>LEFT(VLOOKUP(Ruimtestaat[[#This Row],[Ruimte code]],Ruimtegroepen[#All],4,1),2)</f>
        <v>Sa</v>
      </c>
      <c r="Q93" s="107"/>
      <c r="R93" s="108">
        <v>40</v>
      </c>
      <c r="S93" s="109" t="s">
        <v>2</v>
      </c>
      <c r="T93" s="110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110">
        <f>IF(T93&gt;0,VLOOKUP($J93,Ruimtegroepen[],3,FALSE)*VLOOKUP($L93,Vloersoorten[],3,FALSE)*VLOOKUP($S93,Frequenties[],3,FALSE)*VLOOKUP($A93,Locaties[],3,FALSE),0)</f>
        <v>0</v>
      </c>
      <c r="V93" s="111">
        <f>Ruimtestaat[[#This Row],[Uitvoeringen werkdagen]]*Ruimtestaat[[#This Row],[Oppervlak (netto)]]</f>
        <v>1120</v>
      </c>
      <c r="W93" s="112">
        <f>IF(U93&gt;0,Ruimtestaat[[#This Row],[Prest. (m2 /jaar) werkdagen]]/Ruimtestaat[[#This Row],[Norm (m2/uur) werkdagen]],0)</f>
        <v>0</v>
      </c>
      <c r="X93" s="113">
        <f>Ruimtestaat[[#This Row],[uren / jaar werkdagen]]*Tariefsopbouw!$E$35</f>
        <v>0</v>
      </c>
      <c r="Y93" s="110"/>
      <c r="Z93" s="114">
        <f>IF(Ruimtestaat[[#This Row],[Frequentie weekend]]&gt;0,VALUE(LEFT(Y93,1))*R93,0)</f>
        <v>0</v>
      </c>
      <c r="AA93" s="110">
        <f>IF($Z93&gt;0,VLOOKUP($J93,Ruimtegroepen[],3,FALSE)*VLOOKUP($L93,Vloersoorten[],3,FALSE)*VLOOKUP($Y93,Frequenties[],3,FALSE)*VLOOKUP(#REF!,Locaties[],3,FALSE),0)</f>
        <v>0</v>
      </c>
      <c r="AB93" s="112">
        <f>Ruimtestaat[[#This Row],[Uitvoeringen weekend]]*Ruimtestaat[[#This Row],[Oppervlak (netto)]]</f>
        <v>0</v>
      </c>
      <c r="AC93" s="115">
        <f>IF(AB93&gt;0,Ruimtestaat[[#This Row],[Prest. (m2 /jaar) weekend]]/Ruimtestaat[[#This Row],[Norm (m2/uur) weekend]],0)</f>
        <v>0</v>
      </c>
      <c r="AD93" s="116">
        <f>Ruimtestaat[[#This Row],[uren / jaar weekend]]*Tariefsopbouw!$D$40</f>
        <v>0</v>
      </c>
      <c r="AE93" s="82">
        <f>Ruimtestaat[[#This Row],[Prest. (m2 /jaar) weekend]]+Ruimtestaat[[#This Row],[Prest. (m2 /jaar) werkdagen]]</f>
        <v>1120</v>
      </c>
      <c r="AF93" s="82">
        <f>Ruimtestaat[[#This Row],[uren / jaar weekend]]+Ruimtestaat[[#This Row],[uren / jaar werkdagen]]</f>
        <v>0</v>
      </c>
      <c r="AG93" s="83">
        <f>Ruimtestaat[[#This Row],[kosten / jaar weekend]]+Ruimtestaat[[#This Row],[kosten / jaar werkdagen]]</f>
        <v>0</v>
      </c>
      <c r="AH93" s="117"/>
      <c r="HL93" s="87"/>
    </row>
    <row r="94" spans="1:220" ht="15" customHeight="1">
      <c r="A94" s="136">
        <v>1</v>
      </c>
      <c r="B94" s="27" t="str">
        <f>VLOOKUP(Ruimtestaat[[#This Row],[Code]],Locaties[#All],2,FALSE)</f>
        <v>Hoornbeeck College Gouda</v>
      </c>
      <c r="C94" s="27" t="str">
        <f>VLOOKUP(Ruimtestaat[[#This Row],[Code]],Locaties[#All],4,FALSE)</f>
        <v>Noordelijk Halfrond 10</v>
      </c>
      <c r="D94" s="27" t="str">
        <f>VLOOKUP(Ruimtestaat[[#This Row],[Code]],Locaties[#All],5,FALSE)</f>
        <v>2801 DE</v>
      </c>
      <c r="E94" s="27" t="str">
        <f>VLOOKUP(Ruimtestaat[[#This Row],[Code]],Locaties[#All],6,FALSE)</f>
        <v>Gouda</v>
      </c>
      <c r="F94" s="74" t="s">
        <v>484</v>
      </c>
      <c r="G94" s="285" t="s">
        <v>530</v>
      </c>
      <c r="H94" s="286" t="s">
        <v>532</v>
      </c>
      <c r="I94" s="287" t="s">
        <v>647</v>
      </c>
      <c r="J94" s="288">
        <v>1</v>
      </c>
      <c r="K94" s="74" t="str">
        <f>VLOOKUP(J94,Ruimtegroepen[],2,FALSE)</f>
        <v>Magazijnen/bergingen</v>
      </c>
      <c r="L94" s="285" t="s">
        <v>111</v>
      </c>
      <c r="M94" s="287" t="s">
        <v>467</v>
      </c>
      <c r="N94" s="289">
        <v>19.100000000000001</v>
      </c>
      <c r="O94" s="285"/>
      <c r="P94" s="118" t="str">
        <f>LEFT(VLOOKUP(Ruimtestaat[[#This Row],[Ruimte code]],Ruimtegroepen[#All],4,1),2)</f>
        <v>Ve</v>
      </c>
      <c r="Q94" s="107"/>
      <c r="R94" s="108">
        <v>40</v>
      </c>
      <c r="S94" s="109" t="s">
        <v>16</v>
      </c>
      <c r="T94" s="110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94" s="110">
        <f>IF(T94&gt;0,VLOOKUP($J94,Ruimtegroepen[],3,FALSE)*VLOOKUP($L94,Vloersoorten[],3,FALSE)*VLOOKUP($S94,Frequenties[],3,FALSE)*VLOOKUP($A94,Locaties[],3,FALSE),0)</f>
        <v>0</v>
      </c>
      <c r="V94" s="111">
        <f>Ruimtestaat[[#This Row],[Uitvoeringen werkdagen]]*Ruimtestaat[[#This Row],[Oppervlak (netto)]]</f>
        <v>229.20000000000002</v>
      </c>
      <c r="W94" s="112">
        <f>IF(U94&gt;0,Ruimtestaat[[#This Row],[Prest. (m2 /jaar) werkdagen]]/Ruimtestaat[[#This Row],[Norm (m2/uur) werkdagen]],0)</f>
        <v>0</v>
      </c>
      <c r="X94" s="113">
        <f>Ruimtestaat[[#This Row],[uren / jaar werkdagen]]*Tariefsopbouw!$E$35</f>
        <v>0</v>
      </c>
      <c r="Y94" s="110"/>
      <c r="Z94" s="114">
        <f>IF(Ruimtestaat[[#This Row],[Frequentie weekend]]&gt;0,VALUE(LEFT(Y94,1))*R94,0)</f>
        <v>0</v>
      </c>
      <c r="AA94" s="110">
        <f>IF($Z94&gt;0,VLOOKUP($J94,Ruimtegroepen[],3,FALSE)*VLOOKUP($L94,Vloersoorten[],3,FALSE)*VLOOKUP($Y94,Frequenties[],3,FALSE)*VLOOKUP(#REF!,Locaties[],3,FALSE),0)</f>
        <v>0</v>
      </c>
      <c r="AB94" s="112">
        <f>Ruimtestaat[[#This Row],[Uitvoeringen weekend]]*Ruimtestaat[[#This Row],[Oppervlak (netto)]]</f>
        <v>0</v>
      </c>
      <c r="AC94" s="115">
        <f>IF(AB94&gt;0,Ruimtestaat[[#This Row],[Prest. (m2 /jaar) weekend]]/Ruimtestaat[[#This Row],[Norm (m2/uur) weekend]],0)</f>
        <v>0</v>
      </c>
      <c r="AD94" s="116">
        <f>Ruimtestaat[[#This Row],[uren / jaar weekend]]*Tariefsopbouw!$D$40</f>
        <v>0</v>
      </c>
      <c r="AE94" s="82">
        <f>Ruimtestaat[[#This Row],[Prest. (m2 /jaar) weekend]]+Ruimtestaat[[#This Row],[Prest. (m2 /jaar) werkdagen]]</f>
        <v>229.20000000000002</v>
      </c>
      <c r="AF94" s="82">
        <f>Ruimtestaat[[#This Row],[uren / jaar weekend]]+Ruimtestaat[[#This Row],[uren / jaar werkdagen]]</f>
        <v>0</v>
      </c>
      <c r="AG94" s="83">
        <f>Ruimtestaat[[#This Row],[kosten / jaar weekend]]+Ruimtestaat[[#This Row],[kosten / jaar werkdagen]]</f>
        <v>0</v>
      </c>
      <c r="AH94" s="117"/>
      <c r="HL94" s="87"/>
    </row>
    <row r="95" spans="1:220" ht="15" customHeight="1">
      <c r="A95" s="136">
        <v>1</v>
      </c>
      <c r="B95" s="27" t="str">
        <f>VLOOKUP(Ruimtestaat[[#This Row],[Code]],Locaties[#All],2,FALSE)</f>
        <v>Hoornbeeck College Gouda</v>
      </c>
      <c r="C95" s="27" t="str">
        <f>VLOOKUP(Ruimtestaat[[#This Row],[Code]],Locaties[#All],4,FALSE)</f>
        <v>Noordelijk Halfrond 10</v>
      </c>
      <c r="D95" s="27" t="str">
        <f>VLOOKUP(Ruimtestaat[[#This Row],[Code]],Locaties[#All],5,FALSE)</f>
        <v>2801 DE</v>
      </c>
      <c r="E95" s="27" t="str">
        <f>VLOOKUP(Ruimtestaat[[#This Row],[Code]],Locaties[#All],6,FALSE)</f>
        <v>Gouda</v>
      </c>
      <c r="F95" s="74" t="s">
        <v>484</v>
      </c>
      <c r="G95" s="285" t="s">
        <v>530</v>
      </c>
      <c r="H95" s="286" t="s">
        <v>533</v>
      </c>
      <c r="I95" s="287" t="s">
        <v>673</v>
      </c>
      <c r="J95" s="288">
        <v>2</v>
      </c>
      <c r="K95" s="74" t="str">
        <f>VLOOKUP(J95,Ruimtegroepen[],2,FALSE)</f>
        <v>Kantoren</v>
      </c>
      <c r="L95" s="285" t="s">
        <v>110</v>
      </c>
      <c r="M95" s="287" t="s">
        <v>38</v>
      </c>
      <c r="N95" s="289">
        <v>16.899999999999999</v>
      </c>
      <c r="O95" s="285"/>
      <c r="P95" s="118" t="str">
        <f>LEFT(VLOOKUP(Ruimtestaat[[#This Row],[Ruimte code]],Ruimtegroepen[#All],4,1),2)</f>
        <v>Bu</v>
      </c>
      <c r="Q95" s="107"/>
      <c r="R95" s="108">
        <v>40</v>
      </c>
      <c r="S95" s="109" t="s">
        <v>17</v>
      </c>
      <c r="T95" s="110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5" s="110">
        <f>IF(T95&gt;0,VLOOKUP($J95,Ruimtegroepen[],3,FALSE)*VLOOKUP($L95,Vloersoorten[],3,FALSE)*VLOOKUP($S95,Frequenties[],3,FALSE)*VLOOKUP($A95,Locaties[],3,FALSE),0)</f>
        <v>0</v>
      </c>
      <c r="V95" s="111">
        <f>Ruimtestaat[[#This Row],[Uitvoeringen werkdagen]]*Ruimtestaat[[#This Row],[Oppervlak (netto)]]</f>
        <v>1352</v>
      </c>
      <c r="W95" s="112">
        <f>IF(U95&gt;0,Ruimtestaat[[#This Row],[Prest. (m2 /jaar) werkdagen]]/Ruimtestaat[[#This Row],[Norm (m2/uur) werkdagen]],0)</f>
        <v>0</v>
      </c>
      <c r="X95" s="113">
        <f>Ruimtestaat[[#This Row],[uren / jaar werkdagen]]*Tariefsopbouw!$E$35</f>
        <v>0</v>
      </c>
      <c r="Y95" s="110"/>
      <c r="Z95" s="114">
        <f>IF(Ruimtestaat[[#This Row],[Frequentie weekend]]&gt;0,VALUE(LEFT(Y95,1))*R95,0)</f>
        <v>0</v>
      </c>
      <c r="AA95" s="110">
        <f>IF($Z95&gt;0,VLOOKUP($J95,Ruimtegroepen[],3,FALSE)*VLOOKUP($L95,Vloersoorten[],3,FALSE)*VLOOKUP($Y95,Frequenties[],3,FALSE)*VLOOKUP(#REF!,Locaties[],3,FALSE),0)</f>
        <v>0</v>
      </c>
      <c r="AB95" s="112">
        <f>Ruimtestaat[[#This Row],[Uitvoeringen weekend]]*Ruimtestaat[[#This Row],[Oppervlak (netto)]]</f>
        <v>0</v>
      </c>
      <c r="AC95" s="115">
        <f>IF(AB95&gt;0,Ruimtestaat[[#This Row],[Prest. (m2 /jaar) weekend]]/Ruimtestaat[[#This Row],[Norm (m2/uur) weekend]],0)</f>
        <v>0</v>
      </c>
      <c r="AD95" s="116">
        <f>Ruimtestaat[[#This Row],[uren / jaar weekend]]*Tariefsopbouw!$D$40</f>
        <v>0</v>
      </c>
      <c r="AE95" s="82">
        <f>Ruimtestaat[[#This Row],[Prest. (m2 /jaar) weekend]]+Ruimtestaat[[#This Row],[Prest. (m2 /jaar) werkdagen]]</f>
        <v>1352</v>
      </c>
      <c r="AF95" s="82">
        <f>Ruimtestaat[[#This Row],[uren / jaar weekend]]+Ruimtestaat[[#This Row],[uren / jaar werkdagen]]</f>
        <v>0</v>
      </c>
      <c r="AG95" s="83">
        <f>Ruimtestaat[[#This Row],[kosten / jaar weekend]]+Ruimtestaat[[#This Row],[kosten / jaar werkdagen]]</f>
        <v>0</v>
      </c>
      <c r="AH95" s="117"/>
      <c r="HL95" s="87"/>
    </row>
    <row r="96" spans="1:220" ht="15" customHeight="1">
      <c r="A96" s="136">
        <v>1</v>
      </c>
      <c r="B96" s="27" t="str">
        <f>VLOOKUP(Ruimtestaat[[#This Row],[Code]],Locaties[#All],2,FALSE)</f>
        <v>Hoornbeeck College Gouda</v>
      </c>
      <c r="C96" s="27" t="str">
        <f>VLOOKUP(Ruimtestaat[[#This Row],[Code]],Locaties[#All],4,FALSE)</f>
        <v>Noordelijk Halfrond 10</v>
      </c>
      <c r="D96" s="27" t="str">
        <f>VLOOKUP(Ruimtestaat[[#This Row],[Code]],Locaties[#All],5,FALSE)</f>
        <v>2801 DE</v>
      </c>
      <c r="E96" s="27" t="str">
        <f>VLOOKUP(Ruimtestaat[[#This Row],[Code]],Locaties[#All],6,FALSE)</f>
        <v>Gouda</v>
      </c>
      <c r="F96" s="74" t="s">
        <v>484</v>
      </c>
      <c r="G96" s="285" t="s">
        <v>530</v>
      </c>
      <c r="H96" s="286" t="s">
        <v>534</v>
      </c>
      <c r="I96" s="287" t="s">
        <v>667</v>
      </c>
      <c r="J96" s="288">
        <v>2</v>
      </c>
      <c r="K96" s="74" t="str">
        <f>VLOOKUP(J96,Ruimtegroepen[],2,FALSE)</f>
        <v>Kantoren</v>
      </c>
      <c r="L96" s="285" t="s">
        <v>110</v>
      </c>
      <c r="M96" s="287" t="s">
        <v>38</v>
      </c>
      <c r="N96" s="289">
        <v>15.9</v>
      </c>
      <c r="O96" s="285"/>
      <c r="P96" s="118" t="str">
        <f>LEFT(VLOOKUP(Ruimtestaat[[#This Row],[Ruimte code]],Ruimtegroepen[#All],4,1),2)</f>
        <v>Bu</v>
      </c>
      <c r="Q96" s="107"/>
      <c r="R96" s="108">
        <v>40</v>
      </c>
      <c r="S96" s="109" t="s">
        <v>17</v>
      </c>
      <c r="T96" s="110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6" s="110">
        <f>IF(T96&gt;0,VLOOKUP($J96,Ruimtegroepen[],3,FALSE)*VLOOKUP($L96,Vloersoorten[],3,FALSE)*VLOOKUP($S96,Frequenties[],3,FALSE)*VLOOKUP($A96,Locaties[],3,FALSE),0)</f>
        <v>0</v>
      </c>
      <c r="V96" s="111">
        <f>Ruimtestaat[[#This Row],[Uitvoeringen werkdagen]]*Ruimtestaat[[#This Row],[Oppervlak (netto)]]</f>
        <v>1272</v>
      </c>
      <c r="W96" s="112">
        <f>IF(U96&gt;0,Ruimtestaat[[#This Row],[Prest. (m2 /jaar) werkdagen]]/Ruimtestaat[[#This Row],[Norm (m2/uur) werkdagen]],0)</f>
        <v>0</v>
      </c>
      <c r="X96" s="113">
        <f>Ruimtestaat[[#This Row],[uren / jaar werkdagen]]*Tariefsopbouw!$E$35</f>
        <v>0</v>
      </c>
      <c r="Y96" s="110"/>
      <c r="Z96" s="114">
        <f>IF(Ruimtestaat[[#This Row],[Frequentie weekend]]&gt;0,VALUE(LEFT(Y96,1))*R96,0)</f>
        <v>0</v>
      </c>
      <c r="AA96" s="110">
        <f>IF($Z96&gt;0,VLOOKUP($J96,Ruimtegroepen[],3,FALSE)*VLOOKUP($L96,Vloersoorten[],3,FALSE)*VLOOKUP($Y96,Frequenties[],3,FALSE)*VLOOKUP(#REF!,Locaties[],3,FALSE),0)</f>
        <v>0</v>
      </c>
      <c r="AB96" s="112">
        <f>Ruimtestaat[[#This Row],[Uitvoeringen weekend]]*Ruimtestaat[[#This Row],[Oppervlak (netto)]]</f>
        <v>0</v>
      </c>
      <c r="AC96" s="115">
        <f>IF(AB96&gt;0,Ruimtestaat[[#This Row],[Prest. (m2 /jaar) weekend]]/Ruimtestaat[[#This Row],[Norm (m2/uur) weekend]],0)</f>
        <v>0</v>
      </c>
      <c r="AD96" s="116">
        <f>Ruimtestaat[[#This Row],[uren / jaar weekend]]*Tariefsopbouw!$D$40</f>
        <v>0</v>
      </c>
      <c r="AE96" s="82">
        <f>Ruimtestaat[[#This Row],[Prest. (m2 /jaar) weekend]]+Ruimtestaat[[#This Row],[Prest. (m2 /jaar) werkdagen]]</f>
        <v>1272</v>
      </c>
      <c r="AF96" s="82">
        <f>Ruimtestaat[[#This Row],[uren / jaar weekend]]+Ruimtestaat[[#This Row],[uren / jaar werkdagen]]</f>
        <v>0</v>
      </c>
      <c r="AG96" s="83">
        <f>Ruimtestaat[[#This Row],[kosten / jaar weekend]]+Ruimtestaat[[#This Row],[kosten / jaar werkdagen]]</f>
        <v>0</v>
      </c>
      <c r="AH96" s="117"/>
      <c r="HL96" s="87"/>
    </row>
    <row r="97" spans="1:220" ht="15" customHeight="1">
      <c r="A97" s="136">
        <v>1</v>
      </c>
      <c r="B97" s="27" t="str">
        <f>VLOOKUP(Ruimtestaat[[#This Row],[Code]],Locaties[#All],2,FALSE)</f>
        <v>Hoornbeeck College Gouda</v>
      </c>
      <c r="C97" s="27" t="str">
        <f>VLOOKUP(Ruimtestaat[[#This Row],[Code]],Locaties[#All],4,FALSE)</f>
        <v>Noordelijk Halfrond 10</v>
      </c>
      <c r="D97" s="27" t="str">
        <f>VLOOKUP(Ruimtestaat[[#This Row],[Code]],Locaties[#All],5,FALSE)</f>
        <v>2801 DE</v>
      </c>
      <c r="E97" s="27" t="str">
        <f>VLOOKUP(Ruimtestaat[[#This Row],[Code]],Locaties[#All],6,FALSE)</f>
        <v>Gouda</v>
      </c>
      <c r="F97" s="74" t="s">
        <v>484</v>
      </c>
      <c r="G97" s="285" t="s">
        <v>530</v>
      </c>
      <c r="H97" s="286" t="s">
        <v>535</v>
      </c>
      <c r="I97" s="287" t="s">
        <v>650</v>
      </c>
      <c r="J97" s="288">
        <v>2</v>
      </c>
      <c r="K97" s="74" t="str">
        <f>VLOOKUP(J97,Ruimtegroepen[],2,FALSE)</f>
        <v>Kantoren</v>
      </c>
      <c r="L97" s="285" t="s">
        <v>110</v>
      </c>
      <c r="M97" s="287" t="s">
        <v>38</v>
      </c>
      <c r="N97" s="289">
        <v>34.200000000000003</v>
      </c>
      <c r="O97" s="285"/>
      <c r="P97" s="118" t="str">
        <f>LEFT(VLOOKUP(Ruimtestaat[[#This Row],[Ruimte code]],Ruimtegroepen[#All],4,1),2)</f>
        <v>Bu</v>
      </c>
      <c r="Q97" s="107"/>
      <c r="R97" s="108">
        <v>40</v>
      </c>
      <c r="S97" s="109" t="s">
        <v>17</v>
      </c>
      <c r="T97" s="110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7" s="110">
        <f>IF(T97&gt;0,VLOOKUP($J97,Ruimtegroepen[],3,FALSE)*VLOOKUP($L97,Vloersoorten[],3,FALSE)*VLOOKUP($S97,Frequenties[],3,FALSE)*VLOOKUP($A97,Locaties[],3,FALSE),0)</f>
        <v>0</v>
      </c>
      <c r="V97" s="111">
        <f>Ruimtestaat[[#This Row],[Uitvoeringen werkdagen]]*Ruimtestaat[[#This Row],[Oppervlak (netto)]]</f>
        <v>2736</v>
      </c>
      <c r="W97" s="112">
        <f>IF(U97&gt;0,Ruimtestaat[[#This Row],[Prest. (m2 /jaar) werkdagen]]/Ruimtestaat[[#This Row],[Norm (m2/uur) werkdagen]],0)</f>
        <v>0</v>
      </c>
      <c r="X97" s="113">
        <f>Ruimtestaat[[#This Row],[uren / jaar werkdagen]]*Tariefsopbouw!$E$35</f>
        <v>0</v>
      </c>
      <c r="Y97" s="110"/>
      <c r="Z97" s="114">
        <f>IF(Ruimtestaat[[#This Row],[Frequentie weekend]]&gt;0,VALUE(LEFT(Y97,1))*R97,0)</f>
        <v>0</v>
      </c>
      <c r="AA97" s="110">
        <f>IF($Z97&gt;0,VLOOKUP($J97,Ruimtegroepen[],3,FALSE)*VLOOKUP($L97,Vloersoorten[],3,FALSE)*VLOOKUP($Y97,Frequenties[],3,FALSE)*VLOOKUP(#REF!,Locaties[],3,FALSE),0)</f>
        <v>0</v>
      </c>
      <c r="AB97" s="112">
        <f>Ruimtestaat[[#This Row],[Uitvoeringen weekend]]*Ruimtestaat[[#This Row],[Oppervlak (netto)]]</f>
        <v>0</v>
      </c>
      <c r="AC97" s="115">
        <f>IF(AB97&gt;0,Ruimtestaat[[#This Row],[Prest. (m2 /jaar) weekend]]/Ruimtestaat[[#This Row],[Norm (m2/uur) weekend]],0)</f>
        <v>0</v>
      </c>
      <c r="AD97" s="116">
        <f>Ruimtestaat[[#This Row],[uren / jaar weekend]]*Tariefsopbouw!$D$40</f>
        <v>0</v>
      </c>
      <c r="AE97" s="82">
        <f>Ruimtestaat[[#This Row],[Prest. (m2 /jaar) weekend]]+Ruimtestaat[[#This Row],[Prest. (m2 /jaar) werkdagen]]</f>
        <v>2736</v>
      </c>
      <c r="AF97" s="82">
        <f>Ruimtestaat[[#This Row],[uren / jaar weekend]]+Ruimtestaat[[#This Row],[uren / jaar werkdagen]]</f>
        <v>0</v>
      </c>
      <c r="AG97" s="83">
        <f>Ruimtestaat[[#This Row],[kosten / jaar weekend]]+Ruimtestaat[[#This Row],[kosten / jaar werkdagen]]</f>
        <v>0</v>
      </c>
      <c r="AH97" s="117"/>
      <c r="HL97" s="87"/>
    </row>
    <row r="98" spans="1:220" ht="15" customHeight="1">
      <c r="A98" s="136">
        <v>1</v>
      </c>
      <c r="B98" s="27" t="str">
        <f>VLOOKUP(Ruimtestaat[[#This Row],[Code]],Locaties[#All],2,FALSE)</f>
        <v>Hoornbeeck College Gouda</v>
      </c>
      <c r="C98" s="27" t="str">
        <f>VLOOKUP(Ruimtestaat[[#This Row],[Code]],Locaties[#All],4,FALSE)</f>
        <v>Noordelijk Halfrond 10</v>
      </c>
      <c r="D98" s="27" t="str">
        <f>VLOOKUP(Ruimtestaat[[#This Row],[Code]],Locaties[#All],5,FALSE)</f>
        <v>2801 DE</v>
      </c>
      <c r="E98" s="27" t="str">
        <f>VLOOKUP(Ruimtestaat[[#This Row],[Code]],Locaties[#All],6,FALSE)</f>
        <v>Gouda</v>
      </c>
      <c r="F98" s="74" t="s">
        <v>484</v>
      </c>
      <c r="G98" s="285" t="s">
        <v>530</v>
      </c>
      <c r="H98" s="286" t="s">
        <v>536</v>
      </c>
      <c r="I98" s="287" t="s">
        <v>674</v>
      </c>
      <c r="J98" s="288">
        <v>14</v>
      </c>
      <c r="K98" s="74" t="str">
        <f>VLOOKUP(J98,Ruimtegroepen[],2,FALSE)</f>
        <v>Praktijklokalen</v>
      </c>
      <c r="L98" s="285" t="s">
        <v>111</v>
      </c>
      <c r="M98" s="287" t="s">
        <v>467</v>
      </c>
      <c r="N98" s="289">
        <v>52.1</v>
      </c>
      <c r="O98" s="285"/>
      <c r="P98" s="118" t="str">
        <f>LEFT(VLOOKUP(Ruimtestaat[[#This Row],[Ruimte code]],Ruimtegroepen[#All],4,1),2)</f>
        <v>Le</v>
      </c>
      <c r="Q98" s="107"/>
      <c r="R98" s="108">
        <v>40</v>
      </c>
      <c r="S98" s="109" t="s">
        <v>2</v>
      </c>
      <c r="T98" s="110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" s="110">
        <f>IF(T98&gt;0,VLOOKUP($J98,Ruimtegroepen[],3,FALSE)*VLOOKUP($L98,Vloersoorten[],3,FALSE)*VLOOKUP($S98,Frequenties[],3,FALSE)*VLOOKUP($A98,Locaties[],3,FALSE),0)</f>
        <v>0</v>
      </c>
      <c r="V98" s="111">
        <f>Ruimtestaat[[#This Row],[Uitvoeringen werkdagen]]*Ruimtestaat[[#This Row],[Oppervlak (netto)]]</f>
        <v>10420</v>
      </c>
      <c r="W98" s="112">
        <f>IF(U98&gt;0,Ruimtestaat[[#This Row],[Prest. (m2 /jaar) werkdagen]]/Ruimtestaat[[#This Row],[Norm (m2/uur) werkdagen]],0)</f>
        <v>0</v>
      </c>
      <c r="X98" s="113">
        <f>Ruimtestaat[[#This Row],[uren / jaar werkdagen]]*Tariefsopbouw!$E$35</f>
        <v>0</v>
      </c>
      <c r="Y98" s="110"/>
      <c r="Z98" s="114">
        <f>IF(Ruimtestaat[[#This Row],[Frequentie weekend]]&gt;0,VALUE(LEFT(Y98,1))*R98,0)</f>
        <v>0</v>
      </c>
      <c r="AA98" s="110">
        <f>IF($Z98&gt;0,VLOOKUP($J98,Ruimtegroepen[],3,FALSE)*VLOOKUP($L98,Vloersoorten[],3,FALSE)*VLOOKUP($Y98,Frequenties[],3,FALSE)*VLOOKUP(#REF!,Locaties[],3,FALSE),0)</f>
        <v>0</v>
      </c>
      <c r="AB98" s="112">
        <f>Ruimtestaat[[#This Row],[Uitvoeringen weekend]]*Ruimtestaat[[#This Row],[Oppervlak (netto)]]</f>
        <v>0</v>
      </c>
      <c r="AC98" s="115">
        <f>IF(AB98&gt;0,Ruimtestaat[[#This Row],[Prest. (m2 /jaar) weekend]]/Ruimtestaat[[#This Row],[Norm (m2/uur) weekend]],0)</f>
        <v>0</v>
      </c>
      <c r="AD98" s="116">
        <f>Ruimtestaat[[#This Row],[uren / jaar weekend]]*Tariefsopbouw!$D$40</f>
        <v>0</v>
      </c>
      <c r="AE98" s="82">
        <f>Ruimtestaat[[#This Row],[Prest. (m2 /jaar) weekend]]+Ruimtestaat[[#This Row],[Prest. (m2 /jaar) werkdagen]]</f>
        <v>10420</v>
      </c>
      <c r="AF98" s="82">
        <f>Ruimtestaat[[#This Row],[uren / jaar weekend]]+Ruimtestaat[[#This Row],[uren / jaar werkdagen]]</f>
        <v>0</v>
      </c>
      <c r="AG98" s="83">
        <f>Ruimtestaat[[#This Row],[kosten / jaar weekend]]+Ruimtestaat[[#This Row],[kosten / jaar werkdagen]]</f>
        <v>0</v>
      </c>
      <c r="AH98" s="117"/>
      <c r="HL98" s="87"/>
    </row>
    <row r="99" spans="1:220" ht="15" customHeight="1">
      <c r="A99" s="136">
        <v>1</v>
      </c>
      <c r="B99" s="27" t="str">
        <f>VLOOKUP(Ruimtestaat[[#This Row],[Code]],Locaties[#All],2,FALSE)</f>
        <v>Hoornbeeck College Gouda</v>
      </c>
      <c r="C99" s="27" t="str">
        <f>VLOOKUP(Ruimtestaat[[#This Row],[Code]],Locaties[#All],4,FALSE)</f>
        <v>Noordelijk Halfrond 10</v>
      </c>
      <c r="D99" s="27" t="str">
        <f>VLOOKUP(Ruimtestaat[[#This Row],[Code]],Locaties[#All],5,FALSE)</f>
        <v>2801 DE</v>
      </c>
      <c r="E99" s="27" t="str">
        <f>VLOOKUP(Ruimtestaat[[#This Row],[Code]],Locaties[#All],6,FALSE)</f>
        <v>Gouda</v>
      </c>
      <c r="F99" s="74" t="s">
        <v>484</v>
      </c>
      <c r="G99" s="285" t="s">
        <v>530</v>
      </c>
      <c r="H99" s="286" t="s">
        <v>537</v>
      </c>
      <c r="I99" s="287" t="s">
        <v>674</v>
      </c>
      <c r="J99" s="288">
        <v>14</v>
      </c>
      <c r="K99" s="74" t="str">
        <f>VLOOKUP(J99,Ruimtegroepen[],2,FALSE)</f>
        <v>Praktijklokalen</v>
      </c>
      <c r="L99" s="285" t="s">
        <v>111</v>
      </c>
      <c r="M99" s="287" t="s">
        <v>467</v>
      </c>
      <c r="N99" s="289">
        <v>90.5</v>
      </c>
      <c r="O99" s="285"/>
      <c r="P99" s="118" t="str">
        <f>LEFT(VLOOKUP(Ruimtestaat[[#This Row],[Ruimte code]],Ruimtegroepen[#All],4,1),2)</f>
        <v>Le</v>
      </c>
      <c r="Q99" s="107"/>
      <c r="R99" s="108">
        <v>40</v>
      </c>
      <c r="S99" s="109" t="s">
        <v>2</v>
      </c>
      <c r="T99" s="110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" s="110">
        <f>IF(T99&gt;0,VLOOKUP($J99,Ruimtegroepen[],3,FALSE)*VLOOKUP($L99,Vloersoorten[],3,FALSE)*VLOOKUP($S99,Frequenties[],3,FALSE)*VLOOKUP($A99,Locaties[],3,FALSE),0)</f>
        <v>0</v>
      </c>
      <c r="V99" s="111">
        <f>Ruimtestaat[[#This Row],[Uitvoeringen werkdagen]]*Ruimtestaat[[#This Row],[Oppervlak (netto)]]</f>
        <v>18100</v>
      </c>
      <c r="W99" s="112">
        <f>IF(U99&gt;0,Ruimtestaat[[#This Row],[Prest. (m2 /jaar) werkdagen]]/Ruimtestaat[[#This Row],[Norm (m2/uur) werkdagen]],0)</f>
        <v>0</v>
      </c>
      <c r="X99" s="113">
        <f>Ruimtestaat[[#This Row],[uren / jaar werkdagen]]*Tariefsopbouw!$E$35</f>
        <v>0</v>
      </c>
      <c r="Y99" s="110"/>
      <c r="Z99" s="114">
        <f>IF(Ruimtestaat[[#This Row],[Frequentie weekend]]&gt;0,VALUE(LEFT(Y99,1))*R99,0)</f>
        <v>0</v>
      </c>
      <c r="AA99" s="110">
        <f>IF($Z99&gt;0,VLOOKUP($J99,Ruimtegroepen[],3,FALSE)*VLOOKUP($L99,Vloersoorten[],3,FALSE)*VLOOKUP($Y99,Frequenties[],3,FALSE)*VLOOKUP(#REF!,Locaties[],3,FALSE),0)</f>
        <v>0</v>
      </c>
      <c r="AB99" s="112">
        <f>Ruimtestaat[[#This Row],[Uitvoeringen weekend]]*Ruimtestaat[[#This Row],[Oppervlak (netto)]]</f>
        <v>0</v>
      </c>
      <c r="AC99" s="115">
        <f>IF(AB99&gt;0,Ruimtestaat[[#This Row],[Prest. (m2 /jaar) weekend]]/Ruimtestaat[[#This Row],[Norm (m2/uur) weekend]],0)</f>
        <v>0</v>
      </c>
      <c r="AD99" s="116">
        <f>Ruimtestaat[[#This Row],[uren / jaar weekend]]*Tariefsopbouw!$D$40</f>
        <v>0</v>
      </c>
      <c r="AE99" s="82">
        <f>Ruimtestaat[[#This Row],[Prest. (m2 /jaar) weekend]]+Ruimtestaat[[#This Row],[Prest. (m2 /jaar) werkdagen]]</f>
        <v>18100</v>
      </c>
      <c r="AF99" s="82">
        <f>Ruimtestaat[[#This Row],[uren / jaar weekend]]+Ruimtestaat[[#This Row],[uren / jaar werkdagen]]</f>
        <v>0</v>
      </c>
      <c r="AG99" s="83">
        <f>Ruimtestaat[[#This Row],[kosten / jaar weekend]]+Ruimtestaat[[#This Row],[kosten / jaar werkdagen]]</f>
        <v>0</v>
      </c>
      <c r="AH99" s="117"/>
      <c r="HL99" s="87"/>
    </row>
    <row r="100" spans="1:220" ht="15" customHeight="1">
      <c r="A100" s="136">
        <v>1</v>
      </c>
      <c r="B100" s="27" t="str">
        <f>VLOOKUP(Ruimtestaat[[#This Row],[Code]],Locaties[#All],2,FALSE)</f>
        <v>Hoornbeeck College Gouda</v>
      </c>
      <c r="C100" s="27" t="str">
        <f>VLOOKUP(Ruimtestaat[[#This Row],[Code]],Locaties[#All],4,FALSE)</f>
        <v>Noordelijk Halfrond 10</v>
      </c>
      <c r="D100" s="27" t="str">
        <f>VLOOKUP(Ruimtestaat[[#This Row],[Code]],Locaties[#All],5,FALSE)</f>
        <v>2801 DE</v>
      </c>
      <c r="E100" s="27" t="str">
        <f>VLOOKUP(Ruimtestaat[[#This Row],[Code]],Locaties[#All],6,FALSE)</f>
        <v>Gouda</v>
      </c>
      <c r="F100" s="74" t="s">
        <v>484</v>
      </c>
      <c r="G100" s="285" t="s">
        <v>530</v>
      </c>
      <c r="H100" s="286" t="s">
        <v>538</v>
      </c>
      <c r="I100" s="287" t="s">
        <v>674</v>
      </c>
      <c r="J100" s="288">
        <v>14</v>
      </c>
      <c r="K100" s="74" t="str">
        <f>VLOOKUP(J100,Ruimtegroepen[],2,FALSE)</f>
        <v>Praktijklokalen</v>
      </c>
      <c r="L100" s="285" t="s">
        <v>111</v>
      </c>
      <c r="M100" s="287" t="s">
        <v>467</v>
      </c>
      <c r="N100" s="289">
        <v>94.4</v>
      </c>
      <c r="O100" s="285"/>
      <c r="P100" s="118" t="str">
        <f>LEFT(VLOOKUP(Ruimtestaat[[#This Row],[Ruimte code]],Ruimtegroepen[#All],4,1),2)</f>
        <v>Le</v>
      </c>
      <c r="Q100" s="107"/>
      <c r="R100" s="108">
        <v>40</v>
      </c>
      <c r="S100" s="109" t="s">
        <v>2</v>
      </c>
      <c r="T100" s="110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" s="110">
        <f>IF(T100&gt;0,VLOOKUP($J100,Ruimtegroepen[],3,FALSE)*VLOOKUP($L100,Vloersoorten[],3,FALSE)*VLOOKUP($S100,Frequenties[],3,FALSE)*VLOOKUP($A100,Locaties[],3,FALSE),0)</f>
        <v>0</v>
      </c>
      <c r="V100" s="111">
        <f>Ruimtestaat[[#This Row],[Uitvoeringen werkdagen]]*Ruimtestaat[[#This Row],[Oppervlak (netto)]]</f>
        <v>18880</v>
      </c>
      <c r="W100" s="112">
        <f>IF(U100&gt;0,Ruimtestaat[[#This Row],[Prest. (m2 /jaar) werkdagen]]/Ruimtestaat[[#This Row],[Norm (m2/uur) werkdagen]],0)</f>
        <v>0</v>
      </c>
      <c r="X100" s="113">
        <f>Ruimtestaat[[#This Row],[uren / jaar werkdagen]]*Tariefsopbouw!$E$35</f>
        <v>0</v>
      </c>
      <c r="Y100" s="110"/>
      <c r="Z100" s="114">
        <f>IF(Ruimtestaat[[#This Row],[Frequentie weekend]]&gt;0,VALUE(LEFT(Y100,1))*R100,0)</f>
        <v>0</v>
      </c>
      <c r="AA100" s="110">
        <f>IF($Z100&gt;0,VLOOKUP($J100,Ruimtegroepen[],3,FALSE)*VLOOKUP($L100,Vloersoorten[],3,FALSE)*VLOOKUP($Y100,Frequenties[],3,FALSE)*VLOOKUP(#REF!,Locaties[],3,FALSE),0)</f>
        <v>0</v>
      </c>
      <c r="AB100" s="112">
        <f>Ruimtestaat[[#This Row],[Uitvoeringen weekend]]*Ruimtestaat[[#This Row],[Oppervlak (netto)]]</f>
        <v>0</v>
      </c>
      <c r="AC100" s="115">
        <f>IF(AB100&gt;0,Ruimtestaat[[#This Row],[Prest. (m2 /jaar) weekend]]/Ruimtestaat[[#This Row],[Norm (m2/uur) weekend]],0)</f>
        <v>0</v>
      </c>
      <c r="AD100" s="116">
        <f>Ruimtestaat[[#This Row],[uren / jaar weekend]]*Tariefsopbouw!$D$40</f>
        <v>0</v>
      </c>
      <c r="AE100" s="82">
        <f>Ruimtestaat[[#This Row],[Prest. (m2 /jaar) weekend]]+Ruimtestaat[[#This Row],[Prest. (m2 /jaar) werkdagen]]</f>
        <v>18880</v>
      </c>
      <c r="AF100" s="82">
        <f>Ruimtestaat[[#This Row],[uren / jaar weekend]]+Ruimtestaat[[#This Row],[uren / jaar werkdagen]]</f>
        <v>0</v>
      </c>
      <c r="AG100" s="83">
        <f>Ruimtestaat[[#This Row],[kosten / jaar weekend]]+Ruimtestaat[[#This Row],[kosten / jaar werkdagen]]</f>
        <v>0</v>
      </c>
      <c r="AH100" s="117"/>
      <c r="HL100" s="87"/>
    </row>
    <row r="101" spans="1:220" ht="15" customHeight="1">
      <c r="A101" s="136">
        <v>1</v>
      </c>
      <c r="B101" s="27" t="str">
        <f>VLOOKUP(Ruimtestaat[[#This Row],[Code]],Locaties[#All],2,FALSE)</f>
        <v>Hoornbeeck College Gouda</v>
      </c>
      <c r="C101" s="27" t="str">
        <f>VLOOKUP(Ruimtestaat[[#This Row],[Code]],Locaties[#All],4,FALSE)</f>
        <v>Noordelijk Halfrond 10</v>
      </c>
      <c r="D101" s="27" t="str">
        <f>VLOOKUP(Ruimtestaat[[#This Row],[Code]],Locaties[#All],5,FALSE)</f>
        <v>2801 DE</v>
      </c>
      <c r="E101" s="27" t="str">
        <f>VLOOKUP(Ruimtestaat[[#This Row],[Code]],Locaties[#All],6,FALSE)</f>
        <v>Gouda</v>
      </c>
      <c r="F101" s="74" t="s">
        <v>484</v>
      </c>
      <c r="G101" s="285" t="s">
        <v>530</v>
      </c>
      <c r="H101" s="286" t="s">
        <v>539</v>
      </c>
      <c r="I101" s="287" t="s">
        <v>628</v>
      </c>
      <c r="J101" s="288">
        <v>4</v>
      </c>
      <c r="K101" s="74" t="str">
        <f>VLOOKUP(J101,Ruimtegroepen[],2,FALSE)</f>
        <v>Vergader/spreekkamers</v>
      </c>
      <c r="L101" s="285" t="s">
        <v>110</v>
      </c>
      <c r="M101" s="287" t="s">
        <v>38</v>
      </c>
      <c r="N101" s="289">
        <v>18.100000000000001</v>
      </c>
      <c r="O101" s="285"/>
      <c r="P101" s="118" t="str">
        <f>LEFT(VLOOKUP(Ruimtestaat[[#This Row],[Ruimte code]],Ruimtegroepen[#All],4,1),2)</f>
        <v>Bu</v>
      </c>
      <c r="Q101" s="107"/>
      <c r="R101" s="108">
        <v>40</v>
      </c>
      <c r="S101" s="109" t="s">
        <v>17</v>
      </c>
      <c r="T101" s="110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01" s="110">
        <f>IF(T101&gt;0,VLOOKUP($J101,Ruimtegroepen[],3,FALSE)*VLOOKUP($L101,Vloersoorten[],3,FALSE)*VLOOKUP($S101,Frequenties[],3,FALSE)*VLOOKUP($A101,Locaties[],3,FALSE),0)</f>
        <v>0</v>
      </c>
      <c r="V101" s="111">
        <f>Ruimtestaat[[#This Row],[Uitvoeringen werkdagen]]*Ruimtestaat[[#This Row],[Oppervlak (netto)]]</f>
        <v>1448</v>
      </c>
      <c r="W101" s="112">
        <f>IF(U101&gt;0,Ruimtestaat[[#This Row],[Prest. (m2 /jaar) werkdagen]]/Ruimtestaat[[#This Row],[Norm (m2/uur) werkdagen]],0)</f>
        <v>0</v>
      </c>
      <c r="X101" s="113">
        <f>Ruimtestaat[[#This Row],[uren / jaar werkdagen]]*Tariefsopbouw!$E$35</f>
        <v>0</v>
      </c>
      <c r="Y101" s="110"/>
      <c r="Z101" s="114">
        <f>IF(Ruimtestaat[[#This Row],[Frequentie weekend]]&gt;0,VALUE(LEFT(Y101,1))*R101,0)</f>
        <v>0</v>
      </c>
      <c r="AA101" s="110">
        <f>IF($Z101&gt;0,VLOOKUP($J101,Ruimtegroepen[],3,FALSE)*VLOOKUP($L101,Vloersoorten[],3,FALSE)*VLOOKUP($Y101,Frequenties[],3,FALSE)*VLOOKUP(#REF!,Locaties[],3,FALSE),0)</f>
        <v>0</v>
      </c>
      <c r="AB101" s="112">
        <f>Ruimtestaat[[#This Row],[Uitvoeringen weekend]]*Ruimtestaat[[#This Row],[Oppervlak (netto)]]</f>
        <v>0</v>
      </c>
      <c r="AC101" s="115">
        <f>IF(AB101&gt;0,Ruimtestaat[[#This Row],[Prest. (m2 /jaar) weekend]]/Ruimtestaat[[#This Row],[Norm (m2/uur) weekend]],0)</f>
        <v>0</v>
      </c>
      <c r="AD101" s="116">
        <f>Ruimtestaat[[#This Row],[uren / jaar weekend]]*Tariefsopbouw!$D$40</f>
        <v>0</v>
      </c>
      <c r="AE101" s="82">
        <f>Ruimtestaat[[#This Row],[Prest. (m2 /jaar) weekend]]+Ruimtestaat[[#This Row],[Prest. (m2 /jaar) werkdagen]]</f>
        <v>1448</v>
      </c>
      <c r="AF101" s="82">
        <f>Ruimtestaat[[#This Row],[uren / jaar weekend]]+Ruimtestaat[[#This Row],[uren / jaar werkdagen]]</f>
        <v>0</v>
      </c>
      <c r="AG101" s="83">
        <f>Ruimtestaat[[#This Row],[kosten / jaar weekend]]+Ruimtestaat[[#This Row],[kosten / jaar werkdagen]]</f>
        <v>0</v>
      </c>
      <c r="AH101" s="117"/>
      <c r="HL101" s="87"/>
    </row>
    <row r="102" spans="1:220" ht="15" customHeight="1">
      <c r="A102" s="136">
        <v>1</v>
      </c>
      <c r="B102" s="27" t="str">
        <f>VLOOKUP(Ruimtestaat[[#This Row],[Code]],Locaties[#All],2,FALSE)</f>
        <v>Hoornbeeck College Gouda</v>
      </c>
      <c r="C102" s="27" t="str">
        <f>VLOOKUP(Ruimtestaat[[#This Row],[Code]],Locaties[#All],4,FALSE)</f>
        <v>Noordelijk Halfrond 10</v>
      </c>
      <c r="D102" s="27" t="str">
        <f>VLOOKUP(Ruimtestaat[[#This Row],[Code]],Locaties[#All],5,FALSE)</f>
        <v>2801 DE</v>
      </c>
      <c r="E102" s="27" t="str">
        <f>VLOOKUP(Ruimtestaat[[#This Row],[Code]],Locaties[#All],6,FALSE)</f>
        <v>Gouda</v>
      </c>
      <c r="F102" s="74" t="s">
        <v>484</v>
      </c>
      <c r="G102" s="285" t="s">
        <v>530</v>
      </c>
      <c r="H102" s="286" t="s">
        <v>675</v>
      </c>
      <c r="I102" s="287" t="s">
        <v>674</v>
      </c>
      <c r="J102" s="288">
        <v>14</v>
      </c>
      <c r="K102" s="74" t="str">
        <f>VLOOKUP(J102,Ruimtegroepen[],2,FALSE)</f>
        <v>Praktijklokalen</v>
      </c>
      <c r="L102" s="285" t="s">
        <v>110</v>
      </c>
      <c r="M102" s="287" t="s">
        <v>38</v>
      </c>
      <c r="N102" s="289">
        <v>124.03</v>
      </c>
      <c r="O102" s="285"/>
      <c r="P102" s="118" t="str">
        <f>LEFT(VLOOKUP(Ruimtestaat[[#This Row],[Ruimte code]],Ruimtegroepen[#All],4,1),2)</f>
        <v>Le</v>
      </c>
      <c r="Q102" s="107"/>
      <c r="R102" s="108">
        <v>40</v>
      </c>
      <c r="S102" s="109" t="s">
        <v>2</v>
      </c>
      <c r="T102" s="110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" s="110">
        <f>IF(T102&gt;0,VLOOKUP($J102,Ruimtegroepen[],3,FALSE)*VLOOKUP($L102,Vloersoorten[],3,FALSE)*VLOOKUP($S102,Frequenties[],3,FALSE)*VLOOKUP($A102,Locaties[],3,FALSE),0)</f>
        <v>0</v>
      </c>
      <c r="V102" s="111">
        <f>Ruimtestaat[[#This Row],[Uitvoeringen werkdagen]]*Ruimtestaat[[#This Row],[Oppervlak (netto)]]</f>
        <v>24806</v>
      </c>
      <c r="W102" s="112">
        <f>IF(U102&gt;0,Ruimtestaat[[#This Row],[Prest. (m2 /jaar) werkdagen]]/Ruimtestaat[[#This Row],[Norm (m2/uur) werkdagen]],0)</f>
        <v>0</v>
      </c>
      <c r="X102" s="113">
        <f>Ruimtestaat[[#This Row],[uren / jaar werkdagen]]*Tariefsopbouw!$E$35</f>
        <v>0</v>
      </c>
      <c r="Y102" s="110"/>
      <c r="Z102" s="114">
        <f>IF(Ruimtestaat[[#This Row],[Frequentie weekend]]&gt;0,VALUE(LEFT(Y102,1))*R102,0)</f>
        <v>0</v>
      </c>
      <c r="AA102" s="110">
        <f>IF($Z102&gt;0,VLOOKUP($J102,Ruimtegroepen[],3,FALSE)*VLOOKUP($L102,Vloersoorten[],3,FALSE)*VLOOKUP($Y102,Frequenties[],3,FALSE)*VLOOKUP(#REF!,Locaties[],3,FALSE),0)</f>
        <v>0</v>
      </c>
      <c r="AB102" s="112">
        <f>Ruimtestaat[[#This Row],[Uitvoeringen weekend]]*Ruimtestaat[[#This Row],[Oppervlak (netto)]]</f>
        <v>0</v>
      </c>
      <c r="AC102" s="115">
        <f>IF(AB102&gt;0,Ruimtestaat[[#This Row],[Prest. (m2 /jaar) weekend]]/Ruimtestaat[[#This Row],[Norm (m2/uur) weekend]],0)</f>
        <v>0</v>
      </c>
      <c r="AD102" s="116">
        <f>Ruimtestaat[[#This Row],[uren / jaar weekend]]*Tariefsopbouw!$D$40</f>
        <v>0</v>
      </c>
      <c r="AE102" s="82">
        <f>Ruimtestaat[[#This Row],[Prest. (m2 /jaar) weekend]]+Ruimtestaat[[#This Row],[Prest. (m2 /jaar) werkdagen]]</f>
        <v>24806</v>
      </c>
      <c r="AF102" s="82">
        <f>Ruimtestaat[[#This Row],[uren / jaar weekend]]+Ruimtestaat[[#This Row],[uren / jaar werkdagen]]</f>
        <v>0</v>
      </c>
      <c r="AG102" s="83">
        <f>Ruimtestaat[[#This Row],[kosten / jaar weekend]]+Ruimtestaat[[#This Row],[kosten / jaar werkdagen]]</f>
        <v>0</v>
      </c>
      <c r="AH102" s="117"/>
      <c r="HL102" s="87"/>
    </row>
    <row r="103" spans="1:220" ht="15" customHeight="1">
      <c r="A103" s="136">
        <v>1</v>
      </c>
      <c r="B103" s="27" t="str">
        <f>VLOOKUP(Ruimtestaat[[#This Row],[Code]],Locaties[#All],2,FALSE)</f>
        <v>Hoornbeeck College Gouda</v>
      </c>
      <c r="C103" s="27" t="str">
        <f>VLOOKUP(Ruimtestaat[[#This Row],[Code]],Locaties[#All],4,FALSE)</f>
        <v>Noordelijk Halfrond 10</v>
      </c>
      <c r="D103" s="27" t="str">
        <f>VLOOKUP(Ruimtestaat[[#This Row],[Code]],Locaties[#All],5,FALSE)</f>
        <v>2801 DE</v>
      </c>
      <c r="E103" s="27" t="str">
        <f>VLOOKUP(Ruimtestaat[[#This Row],[Code]],Locaties[#All],6,FALSE)</f>
        <v>Gouda</v>
      </c>
      <c r="F103" s="74" t="s">
        <v>484</v>
      </c>
      <c r="G103" s="285" t="s">
        <v>530</v>
      </c>
      <c r="H103" s="286" t="s">
        <v>676</v>
      </c>
      <c r="I103" s="287" t="s">
        <v>677</v>
      </c>
      <c r="J103" s="288">
        <v>9</v>
      </c>
      <c r="K103" s="74" t="str">
        <f>VLOOKUP(J103,Ruimtegroepen[],2,FALSE)</f>
        <v>Bibliotheek/OLC</v>
      </c>
      <c r="L103" s="285" t="s">
        <v>110</v>
      </c>
      <c r="M103" s="287" t="s">
        <v>38</v>
      </c>
      <c r="N103" s="289">
        <v>144.30000000000001</v>
      </c>
      <c r="O103" s="285"/>
      <c r="P103" s="118" t="str">
        <f>LEFT(VLOOKUP(Ruimtestaat[[#This Row],[Ruimte code]],Ruimtegroepen[#All],4,1),2)</f>
        <v>Le</v>
      </c>
      <c r="Q103" s="107"/>
      <c r="R103" s="108">
        <v>40</v>
      </c>
      <c r="S103" s="109" t="s">
        <v>2</v>
      </c>
      <c r="T103" s="110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110">
        <f>IF(T103&gt;0,VLOOKUP($J103,Ruimtegroepen[],3,FALSE)*VLOOKUP($L103,Vloersoorten[],3,FALSE)*VLOOKUP($S103,Frequenties[],3,FALSE)*VLOOKUP($A103,Locaties[],3,FALSE),0)</f>
        <v>0</v>
      </c>
      <c r="V103" s="111">
        <f>Ruimtestaat[[#This Row],[Uitvoeringen werkdagen]]*Ruimtestaat[[#This Row],[Oppervlak (netto)]]</f>
        <v>28860.000000000004</v>
      </c>
      <c r="W103" s="112">
        <f>IF(U103&gt;0,Ruimtestaat[[#This Row],[Prest. (m2 /jaar) werkdagen]]/Ruimtestaat[[#This Row],[Norm (m2/uur) werkdagen]],0)</f>
        <v>0</v>
      </c>
      <c r="X103" s="113">
        <f>Ruimtestaat[[#This Row],[uren / jaar werkdagen]]*Tariefsopbouw!$E$35</f>
        <v>0</v>
      </c>
      <c r="Y103" s="110"/>
      <c r="Z103" s="114">
        <f>IF(Ruimtestaat[[#This Row],[Frequentie weekend]]&gt;0,VALUE(LEFT(Y103,1))*R103,0)</f>
        <v>0</v>
      </c>
      <c r="AA103" s="110">
        <f>IF($Z103&gt;0,VLOOKUP($J103,Ruimtegroepen[],3,FALSE)*VLOOKUP($L103,Vloersoorten[],3,FALSE)*VLOOKUP($Y103,Frequenties[],3,FALSE)*VLOOKUP(#REF!,Locaties[],3,FALSE),0)</f>
        <v>0</v>
      </c>
      <c r="AB103" s="112">
        <f>Ruimtestaat[[#This Row],[Uitvoeringen weekend]]*Ruimtestaat[[#This Row],[Oppervlak (netto)]]</f>
        <v>0</v>
      </c>
      <c r="AC103" s="115">
        <f>IF(AB103&gt;0,Ruimtestaat[[#This Row],[Prest. (m2 /jaar) weekend]]/Ruimtestaat[[#This Row],[Norm (m2/uur) weekend]],0)</f>
        <v>0</v>
      </c>
      <c r="AD103" s="116">
        <f>Ruimtestaat[[#This Row],[uren / jaar weekend]]*Tariefsopbouw!$D$40</f>
        <v>0</v>
      </c>
      <c r="AE103" s="82">
        <f>Ruimtestaat[[#This Row],[Prest. (m2 /jaar) weekend]]+Ruimtestaat[[#This Row],[Prest. (m2 /jaar) werkdagen]]</f>
        <v>28860.000000000004</v>
      </c>
      <c r="AF103" s="82">
        <f>Ruimtestaat[[#This Row],[uren / jaar weekend]]+Ruimtestaat[[#This Row],[uren / jaar werkdagen]]</f>
        <v>0</v>
      </c>
      <c r="AG103" s="83">
        <f>Ruimtestaat[[#This Row],[kosten / jaar weekend]]+Ruimtestaat[[#This Row],[kosten / jaar werkdagen]]</f>
        <v>0</v>
      </c>
      <c r="AH103" s="117"/>
      <c r="HL103" s="87"/>
    </row>
    <row r="104" spans="1:220" ht="15" customHeight="1">
      <c r="A104" s="136">
        <v>1</v>
      </c>
      <c r="B104" s="27" t="str">
        <f>VLOOKUP(Ruimtestaat[[#This Row],[Code]],Locaties[#All],2,FALSE)</f>
        <v>Hoornbeeck College Gouda</v>
      </c>
      <c r="C104" s="27" t="str">
        <f>VLOOKUP(Ruimtestaat[[#This Row],[Code]],Locaties[#All],4,FALSE)</f>
        <v>Noordelijk Halfrond 10</v>
      </c>
      <c r="D104" s="27" t="str">
        <f>VLOOKUP(Ruimtestaat[[#This Row],[Code]],Locaties[#All],5,FALSE)</f>
        <v>2801 DE</v>
      </c>
      <c r="E104" s="27" t="str">
        <f>VLOOKUP(Ruimtestaat[[#This Row],[Code]],Locaties[#All],6,FALSE)</f>
        <v>Gouda</v>
      </c>
      <c r="F104" s="74" t="s">
        <v>484</v>
      </c>
      <c r="G104" s="285" t="s">
        <v>530</v>
      </c>
      <c r="H104" s="286" t="s">
        <v>680</v>
      </c>
      <c r="I104" s="287" t="s">
        <v>648</v>
      </c>
      <c r="J104" s="288">
        <v>1</v>
      </c>
      <c r="K104" s="74" t="str">
        <f>VLOOKUP(J104,Ruimtegroepen[],2,FALSE)</f>
        <v>Magazijnen/bergingen</v>
      </c>
      <c r="L104" s="285" t="s">
        <v>110</v>
      </c>
      <c r="M104" s="287" t="s">
        <v>38</v>
      </c>
      <c r="N104" s="289">
        <v>4.3</v>
      </c>
      <c r="O104" s="285"/>
      <c r="P104" s="118" t="str">
        <f>LEFT(VLOOKUP(Ruimtestaat[[#This Row],[Ruimte code]],Ruimtegroepen[#All],4,1),2)</f>
        <v>Ve</v>
      </c>
      <c r="Q104" s="107"/>
      <c r="R104" s="108">
        <v>40</v>
      </c>
      <c r="S104" s="109" t="s">
        <v>16</v>
      </c>
      <c r="T104" s="110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04" s="110">
        <f>IF(T104&gt;0,VLOOKUP($J104,Ruimtegroepen[],3,FALSE)*VLOOKUP($L104,Vloersoorten[],3,FALSE)*VLOOKUP($S104,Frequenties[],3,FALSE)*VLOOKUP($A104,Locaties[],3,FALSE),0)</f>
        <v>0</v>
      </c>
      <c r="V104" s="111">
        <f>Ruimtestaat[[#This Row],[Uitvoeringen werkdagen]]*Ruimtestaat[[#This Row],[Oppervlak (netto)]]</f>
        <v>51.599999999999994</v>
      </c>
      <c r="W104" s="112">
        <f>IF(U104&gt;0,Ruimtestaat[[#This Row],[Prest. (m2 /jaar) werkdagen]]/Ruimtestaat[[#This Row],[Norm (m2/uur) werkdagen]],0)</f>
        <v>0</v>
      </c>
      <c r="X104" s="113">
        <f>Ruimtestaat[[#This Row],[uren / jaar werkdagen]]*Tariefsopbouw!$E$35</f>
        <v>0</v>
      </c>
      <c r="Y104" s="110"/>
      <c r="Z104" s="114">
        <f>IF(Ruimtestaat[[#This Row],[Frequentie weekend]]&gt;0,VALUE(LEFT(Y104,1))*R104,0)</f>
        <v>0</v>
      </c>
      <c r="AA104" s="110">
        <f>IF($Z104&gt;0,VLOOKUP($J104,Ruimtegroepen[],3,FALSE)*VLOOKUP($L104,Vloersoorten[],3,FALSE)*VLOOKUP($Y104,Frequenties[],3,FALSE)*VLOOKUP(#REF!,Locaties[],3,FALSE),0)</f>
        <v>0</v>
      </c>
      <c r="AB104" s="112">
        <f>Ruimtestaat[[#This Row],[Uitvoeringen weekend]]*Ruimtestaat[[#This Row],[Oppervlak (netto)]]</f>
        <v>0</v>
      </c>
      <c r="AC104" s="115">
        <f>IF(AB104&gt;0,Ruimtestaat[[#This Row],[Prest. (m2 /jaar) weekend]]/Ruimtestaat[[#This Row],[Norm (m2/uur) weekend]],0)</f>
        <v>0</v>
      </c>
      <c r="AD104" s="116">
        <f>Ruimtestaat[[#This Row],[uren / jaar weekend]]*Tariefsopbouw!$D$40</f>
        <v>0</v>
      </c>
      <c r="AE104" s="82">
        <f>Ruimtestaat[[#This Row],[Prest. (m2 /jaar) weekend]]+Ruimtestaat[[#This Row],[Prest. (m2 /jaar) werkdagen]]</f>
        <v>51.599999999999994</v>
      </c>
      <c r="AF104" s="82">
        <f>Ruimtestaat[[#This Row],[uren / jaar weekend]]+Ruimtestaat[[#This Row],[uren / jaar werkdagen]]</f>
        <v>0</v>
      </c>
      <c r="AG104" s="83">
        <f>Ruimtestaat[[#This Row],[kosten / jaar weekend]]+Ruimtestaat[[#This Row],[kosten / jaar werkdagen]]</f>
        <v>0</v>
      </c>
      <c r="AH104" s="117"/>
      <c r="HL104" s="87"/>
    </row>
    <row r="105" spans="1:220" ht="15" customHeight="1">
      <c r="A105" s="136">
        <v>1</v>
      </c>
      <c r="B105" s="27" t="str">
        <f>VLOOKUP(Ruimtestaat[[#This Row],[Code]],Locaties[#All],2,FALSE)</f>
        <v>Hoornbeeck College Gouda</v>
      </c>
      <c r="C105" s="27" t="str">
        <f>VLOOKUP(Ruimtestaat[[#This Row],[Code]],Locaties[#All],4,FALSE)</f>
        <v>Noordelijk Halfrond 10</v>
      </c>
      <c r="D105" s="27" t="str">
        <f>VLOOKUP(Ruimtestaat[[#This Row],[Code]],Locaties[#All],5,FALSE)</f>
        <v>2801 DE</v>
      </c>
      <c r="E105" s="27" t="str">
        <f>VLOOKUP(Ruimtestaat[[#This Row],[Code]],Locaties[#All],6,FALSE)</f>
        <v>Gouda</v>
      </c>
      <c r="F105" s="74" t="s">
        <v>484</v>
      </c>
      <c r="G105" s="285" t="s">
        <v>530</v>
      </c>
      <c r="H105" s="286" t="s">
        <v>679</v>
      </c>
      <c r="I105" s="287" t="s">
        <v>635</v>
      </c>
      <c r="J105" s="288">
        <v>11</v>
      </c>
      <c r="K105" s="74" t="str">
        <f>VLOOKUP(J105,Ruimtegroepen[],2,FALSE)</f>
        <v>Garderobes</v>
      </c>
      <c r="L105" s="285" t="s">
        <v>110</v>
      </c>
      <c r="M105" s="287" t="s">
        <v>38</v>
      </c>
      <c r="N105" s="289">
        <v>4.3</v>
      </c>
      <c r="O105" s="285"/>
      <c r="P105" s="118" t="str">
        <f>LEFT(VLOOKUP(Ruimtestaat[[#This Row],[Ruimte code]],Ruimtegroepen[#All],4,1),2)</f>
        <v>Ve</v>
      </c>
      <c r="Q105" s="107"/>
      <c r="R105" s="108">
        <v>40</v>
      </c>
      <c r="S105" s="109" t="s">
        <v>2</v>
      </c>
      <c r="T105" s="110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" s="110">
        <f>IF(T105&gt;0,VLOOKUP($J105,Ruimtegroepen[],3,FALSE)*VLOOKUP($L105,Vloersoorten[],3,FALSE)*VLOOKUP($S105,Frequenties[],3,FALSE)*VLOOKUP($A105,Locaties[],3,FALSE),0)</f>
        <v>0</v>
      </c>
      <c r="V105" s="111">
        <f>Ruimtestaat[[#This Row],[Uitvoeringen werkdagen]]*Ruimtestaat[[#This Row],[Oppervlak (netto)]]</f>
        <v>860</v>
      </c>
      <c r="W105" s="112">
        <f>IF(U105&gt;0,Ruimtestaat[[#This Row],[Prest. (m2 /jaar) werkdagen]]/Ruimtestaat[[#This Row],[Norm (m2/uur) werkdagen]],0)</f>
        <v>0</v>
      </c>
      <c r="X105" s="113">
        <f>Ruimtestaat[[#This Row],[uren / jaar werkdagen]]*Tariefsopbouw!$E$35</f>
        <v>0</v>
      </c>
      <c r="Y105" s="110"/>
      <c r="Z105" s="114">
        <f>IF(Ruimtestaat[[#This Row],[Frequentie weekend]]&gt;0,VALUE(LEFT(Y105,1))*R105,0)</f>
        <v>0</v>
      </c>
      <c r="AA105" s="110">
        <f>IF($Z105&gt;0,VLOOKUP($J105,Ruimtegroepen[],3,FALSE)*VLOOKUP($L105,Vloersoorten[],3,FALSE)*VLOOKUP($Y105,Frequenties[],3,FALSE)*VLOOKUP(#REF!,Locaties[],3,FALSE),0)</f>
        <v>0</v>
      </c>
      <c r="AB105" s="112">
        <f>Ruimtestaat[[#This Row],[Uitvoeringen weekend]]*Ruimtestaat[[#This Row],[Oppervlak (netto)]]</f>
        <v>0</v>
      </c>
      <c r="AC105" s="115">
        <f>IF(AB105&gt;0,Ruimtestaat[[#This Row],[Prest. (m2 /jaar) weekend]]/Ruimtestaat[[#This Row],[Norm (m2/uur) weekend]],0)</f>
        <v>0</v>
      </c>
      <c r="AD105" s="116">
        <f>Ruimtestaat[[#This Row],[uren / jaar weekend]]*Tariefsopbouw!$D$40</f>
        <v>0</v>
      </c>
      <c r="AE105" s="82">
        <f>Ruimtestaat[[#This Row],[Prest. (m2 /jaar) weekend]]+Ruimtestaat[[#This Row],[Prest. (m2 /jaar) werkdagen]]</f>
        <v>860</v>
      </c>
      <c r="AF105" s="82">
        <f>Ruimtestaat[[#This Row],[uren / jaar weekend]]+Ruimtestaat[[#This Row],[uren / jaar werkdagen]]</f>
        <v>0</v>
      </c>
      <c r="AG105" s="83">
        <f>Ruimtestaat[[#This Row],[kosten / jaar weekend]]+Ruimtestaat[[#This Row],[kosten / jaar werkdagen]]</f>
        <v>0</v>
      </c>
      <c r="AH105" s="117"/>
      <c r="HL105" s="87"/>
    </row>
    <row r="106" spans="1:220" ht="15" customHeight="1">
      <c r="A106" s="136">
        <v>1</v>
      </c>
      <c r="B106" s="27" t="str">
        <f>VLOOKUP(Ruimtestaat[[#This Row],[Code]],Locaties[#All],2,FALSE)</f>
        <v>Hoornbeeck College Gouda</v>
      </c>
      <c r="C106" s="27" t="str">
        <f>VLOOKUP(Ruimtestaat[[#This Row],[Code]],Locaties[#All],4,FALSE)</f>
        <v>Noordelijk Halfrond 10</v>
      </c>
      <c r="D106" s="27" t="str">
        <f>VLOOKUP(Ruimtestaat[[#This Row],[Code]],Locaties[#All],5,FALSE)</f>
        <v>2801 DE</v>
      </c>
      <c r="E106" s="27" t="str">
        <f>VLOOKUP(Ruimtestaat[[#This Row],[Code]],Locaties[#All],6,FALSE)</f>
        <v>Gouda</v>
      </c>
      <c r="F106" s="74" t="s">
        <v>484</v>
      </c>
      <c r="G106" s="285" t="s">
        <v>530</v>
      </c>
      <c r="H106" s="286" t="s">
        <v>678</v>
      </c>
      <c r="I106" s="287" t="s">
        <v>674</v>
      </c>
      <c r="J106" s="288">
        <v>14</v>
      </c>
      <c r="K106" s="74" t="str">
        <f>VLOOKUP(J106,Ruimtegroepen[],2,FALSE)</f>
        <v>Praktijklokalen</v>
      </c>
      <c r="L106" s="285" t="s">
        <v>110</v>
      </c>
      <c r="M106" s="287" t="s">
        <v>38</v>
      </c>
      <c r="N106" s="289">
        <v>20.7</v>
      </c>
      <c r="O106" s="285"/>
      <c r="P106" s="118" t="str">
        <f>LEFT(VLOOKUP(Ruimtestaat[[#This Row],[Ruimte code]],Ruimtegroepen[#All],4,1),2)</f>
        <v>Le</v>
      </c>
      <c r="Q106" s="107"/>
      <c r="R106" s="108">
        <v>40</v>
      </c>
      <c r="S106" s="109" t="s">
        <v>2</v>
      </c>
      <c r="T106" s="110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" s="110">
        <f>IF(T106&gt;0,VLOOKUP($J106,Ruimtegroepen[],3,FALSE)*VLOOKUP($L106,Vloersoorten[],3,FALSE)*VLOOKUP($S106,Frequenties[],3,FALSE)*VLOOKUP($A106,Locaties[],3,FALSE),0)</f>
        <v>0</v>
      </c>
      <c r="V106" s="111">
        <f>Ruimtestaat[[#This Row],[Uitvoeringen werkdagen]]*Ruimtestaat[[#This Row],[Oppervlak (netto)]]</f>
        <v>4140</v>
      </c>
      <c r="W106" s="112">
        <f>IF(U106&gt;0,Ruimtestaat[[#This Row],[Prest. (m2 /jaar) werkdagen]]/Ruimtestaat[[#This Row],[Norm (m2/uur) werkdagen]],0)</f>
        <v>0</v>
      </c>
      <c r="X106" s="113">
        <f>Ruimtestaat[[#This Row],[uren / jaar werkdagen]]*Tariefsopbouw!$E$35</f>
        <v>0</v>
      </c>
      <c r="Y106" s="110"/>
      <c r="Z106" s="114">
        <f>IF(Ruimtestaat[[#This Row],[Frequentie weekend]]&gt;0,VALUE(LEFT(Y106,1))*R106,0)</f>
        <v>0</v>
      </c>
      <c r="AA106" s="110">
        <f>IF($Z106&gt;0,VLOOKUP($J106,Ruimtegroepen[],3,FALSE)*VLOOKUP($L106,Vloersoorten[],3,FALSE)*VLOOKUP($Y106,Frequenties[],3,FALSE)*VLOOKUP(#REF!,Locaties[],3,FALSE),0)</f>
        <v>0</v>
      </c>
      <c r="AB106" s="112">
        <f>Ruimtestaat[[#This Row],[Uitvoeringen weekend]]*Ruimtestaat[[#This Row],[Oppervlak (netto)]]</f>
        <v>0</v>
      </c>
      <c r="AC106" s="115">
        <f>IF(AB106&gt;0,Ruimtestaat[[#This Row],[Prest. (m2 /jaar) weekend]]/Ruimtestaat[[#This Row],[Norm (m2/uur) weekend]],0)</f>
        <v>0</v>
      </c>
      <c r="AD106" s="116">
        <f>Ruimtestaat[[#This Row],[uren / jaar weekend]]*Tariefsopbouw!$D$40</f>
        <v>0</v>
      </c>
      <c r="AE106" s="82">
        <f>Ruimtestaat[[#This Row],[Prest. (m2 /jaar) weekend]]+Ruimtestaat[[#This Row],[Prest. (m2 /jaar) werkdagen]]</f>
        <v>4140</v>
      </c>
      <c r="AF106" s="82">
        <f>Ruimtestaat[[#This Row],[uren / jaar weekend]]+Ruimtestaat[[#This Row],[uren / jaar werkdagen]]</f>
        <v>0</v>
      </c>
      <c r="AG106" s="83">
        <f>Ruimtestaat[[#This Row],[kosten / jaar weekend]]+Ruimtestaat[[#This Row],[kosten / jaar werkdagen]]</f>
        <v>0</v>
      </c>
      <c r="AH106" s="117"/>
      <c r="HL106" s="87"/>
    </row>
    <row r="107" spans="1:220" ht="15" customHeight="1">
      <c r="A107" s="136">
        <v>1</v>
      </c>
      <c r="B107" s="27" t="str">
        <f>VLOOKUP(Ruimtestaat[[#This Row],[Code]],Locaties[#All],2,FALSE)</f>
        <v>Hoornbeeck College Gouda</v>
      </c>
      <c r="C107" s="27" t="str">
        <f>VLOOKUP(Ruimtestaat[[#This Row],[Code]],Locaties[#All],4,FALSE)</f>
        <v>Noordelijk Halfrond 10</v>
      </c>
      <c r="D107" s="27" t="str">
        <f>VLOOKUP(Ruimtestaat[[#This Row],[Code]],Locaties[#All],5,FALSE)</f>
        <v>2801 DE</v>
      </c>
      <c r="E107" s="27" t="str">
        <f>VLOOKUP(Ruimtestaat[[#This Row],[Code]],Locaties[#All],6,FALSE)</f>
        <v>Gouda</v>
      </c>
      <c r="F107" s="74" t="s">
        <v>484</v>
      </c>
      <c r="G107" s="285" t="s">
        <v>530</v>
      </c>
      <c r="H107" s="286"/>
      <c r="I107" s="287" t="s">
        <v>470</v>
      </c>
      <c r="J107" s="288">
        <v>10</v>
      </c>
      <c r="K107" s="74" t="str">
        <f>VLOOKUP(J107,Ruimtegroepen[],2,FALSE)</f>
        <v>Trappenhuizen/lift</v>
      </c>
      <c r="L107" s="285" t="s">
        <v>110</v>
      </c>
      <c r="M107" s="287" t="s">
        <v>38</v>
      </c>
      <c r="N107" s="289">
        <v>15</v>
      </c>
      <c r="O107" s="285"/>
      <c r="P107" s="118" t="str">
        <f>LEFT(VLOOKUP(Ruimtestaat[[#This Row],[Ruimte code]],Ruimtegroepen[#All],4,1),2)</f>
        <v>Ve</v>
      </c>
      <c r="Q107" s="107"/>
      <c r="R107" s="108">
        <v>40</v>
      </c>
      <c r="S107" s="109" t="s">
        <v>2</v>
      </c>
      <c r="T107" s="110">
        <f>IF(R107&gt;0,IF(RIGHT(Ruimtestaat[[#This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" s="110">
        <f>IF(T107&gt;0,VLOOKUP($J107,Ruimtegroepen[],3,FALSE)*VLOOKUP($L107,Vloersoorten[],3,FALSE)*VLOOKUP($S107,Frequenties[],3,FALSE)*VLOOKUP($A107,Locaties[],3,FALSE),0)</f>
        <v>0</v>
      </c>
      <c r="V107" s="111">
        <f>Ruimtestaat[[#This Row],[Uitvoeringen werkdagen]]*Ruimtestaat[[#This Row],[Oppervlak (netto)]]</f>
        <v>3000</v>
      </c>
      <c r="W107" s="112">
        <f>IF(U107&gt;0,Ruimtestaat[[#This Row],[Prest. (m2 /jaar) werkdagen]]/Ruimtestaat[[#This Row],[Norm (m2/uur) werkdagen]],0)</f>
        <v>0</v>
      </c>
      <c r="X107" s="113">
        <f>Ruimtestaat[[#This Row],[uren / jaar werkdagen]]*Tariefsopbouw!$E$35</f>
        <v>0</v>
      </c>
      <c r="Y107" s="110"/>
      <c r="Z107" s="114">
        <f>IF(Ruimtestaat[[#This Row],[Frequentie weekend]]&gt;0,VALUE(LEFT(Y107,1))*R107,0)</f>
        <v>0</v>
      </c>
      <c r="AA107" s="110">
        <f>IF($Z107&gt;0,VLOOKUP($J107,Ruimtegroepen[],3,FALSE)*VLOOKUP($L107,Vloersoorten[],3,FALSE)*VLOOKUP($Y107,Frequenties[],3,FALSE)*VLOOKUP(#REF!,Locaties[],3,FALSE),0)</f>
        <v>0</v>
      </c>
      <c r="AB107" s="112">
        <f>Ruimtestaat[[#This Row],[Uitvoeringen weekend]]*Ruimtestaat[[#This Row],[Oppervlak (netto)]]</f>
        <v>0</v>
      </c>
      <c r="AC107" s="115">
        <f>IF(AB107&gt;0,Ruimtestaat[[#This Row],[Prest. (m2 /jaar) weekend]]/Ruimtestaat[[#This Row],[Norm (m2/uur) weekend]],0)</f>
        <v>0</v>
      </c>
      <c r="AD107" s="116">
        <f>Ruimtestaat[[#This Row],[uren / jaar weekend]]*Tariefsopbouw!$D$40</f>
        <v>0</v>
      </c>
      <c r="AE107" s="82">
        <f>Ruimtestaat[[#This Row],[Prest. (m2 /jaar) weekend]]+Ruimtestaat[[#This Row],[Prest. (m2 /jaar) werkdagen]]</f>
        <v>3000</v>
      </c>
      <c r="AF107" s="82">
        <f>Ruimtestaat[[#This Row],[uren / jaar weekend]]+Ruimtestaat[[#This Row],[uren / jaar werkdagen]]</f>
        <v>0</v>
      </c>
      <c r="AG107" s="83">
        <f>Ruimtestaat[[#This Row],[kosten / jaar weekend]]+Ruimtestaat[[#This Row],[kosten / jaar werkdagen]]</f>
        <v>0</v>
      </c>
      <c r="AH107" s="117"/>
      <c r="HL107" s="87"/>
    </row>
    <row r="108" spans="1:220" ht="15" customHeight="1">
      <c r="A108" s="136">
        <v>1</v>
      </c>
      <c r="B108" s="27" t="str">
        <f>VLOOKUP(Ruimtestaat[[#This Row],[Code]],Locaties[#All],2,FALSE)</f>
        <v>Hoornbeeck College Gouda</v>
      </c>
      <c r="C108" s="27" t="str">
        <f>VLOOKUP(Ruimtestaat[[#This Row],[Code]],Locaties[#All],4,FALSE)</f>
        <v>Noordelijk Halfrond 10</v>
      </c>
      <c r="D108" s="27" t="str">
        <f>VLOOKUP(Ruimtestaat[[#This Row],[Code]],Locaties[#All],5,FALSE)</f>
        <v>2801 DE</v>
      </c>
      <c r="E108" s="27" t="str">
        <f>VLOOKUP(Ruimtestaat[[#This Row],[Code]],Locaties[#All],6,FALSE)</f>
        <v>Gouda</v>
      </c>
      <c r="F108" s="74" t="s">
        <v>484</v>
      </c>
      <c r="G108" s="285" t="s">
        <v>530</v>
      </c>
      <c r="H108" s="286" t="s">
        <v>540</v>
      </c>
      <c r="I108" s="287" t="s">
        <v>639</v>
      </c>
      <c r="J108" s="288">
        <v>5</v>
      </c>
      <c r="K108" s="74" t="str">
        <f>VLOOKUP(J108,Ruimtegroepen[],2,FALSE)</f>
        <v>Sanitair</v>
      </c>
      <c r="L108" s="285" t="s">
        <v>112</v>
      </c>
      <c r="M108" s="287" t="s">
        <v>469</v>
      </c>
      <c r="N108" s="289">
        <v>5.6</v>
      </c>
      <c r="O108" s="285"/>
      <c r="P108" s="118" t="str">
        <f>LEFT(VLOOKUP(Ruimtestaat[[#This Row],[Ruimte code]],Ruimtegroepen[#All],4,1),2)</f>
        <v>Sa</v>
      </c>
      <c r="Q108" s="107"/>
      <c r="R108" s="108">
        <v>40</v>
      </c>
      <c r="S108" s="109" t="s">
        <v>2</v>
      </c>
      <c r="T108" s="110">
        <f>IF(R108&gt;0,IF(RIGHT(Ruimtestaat[[#This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" s="110">
        <f>IF(T108&gt;0,VLOOKUP($J108,Ruimtegroepen[],3,FALSE)*VLOOKUP($L108,Vloersoorten[],3,FALSE)*VLOOKUP($S108,Frequenties[],3,FALSE)*VLOOKUP($A108,Locaties[],3,FALSE),0)</f>
        <v>0</v>
      </c>
      <c r="V108" s="111">
        <f>Ruimtestaat[[#This Row],[Uitvoeringen werkdagen]]*Ruimtestaat[[#This Row],[Oppervlak (netto)]]</f>
        <v>1120</v>
      </c>
      <c r="W108" s="112">
        <f>IF(U108&gt;0,Ruimtestaat[[#This Row],[Prest. (m2 /jaar) werkdagen]]/Ruimtestaat[[#This Row],[Norm (m2/uur) werkdagen]],0)</f>
        <v>0</v>
      </c>
      <c r="X108" s="113">
        <f>Ruimtestaat[[#This Row],[uren / jaar werkdagen]]*Tariefsopbouw!$E$35</f>
        <v>0</v>
      </c>
      <c r="Y108" s="110"/>
      <c r="Z108" s="114">
        <f>IF(Ruimtestaat[[#This Row],[Frequentie weekend]]&gt;0,VALUE(LEFT(Y108,1))*R108,0)</f>
        <v>0</v>
      </c>
      <c r="AA108" s="110">
        <f>IF($Z108&gt;0,VLOOKUP($J108,Ruimtegroepen[],3,FALSE)*VLOOKUP($L108,Vloersoorten[],3,FALSE)*VLOOKUP($Y108,Frequenties[],3,FALSE)*VLOOKUP(#REF!,Locaties[],3,FALSE),0)</f>
        <v>0</v>
      </c>
      <c r="AB108" s="112">
        <f>Ruimtestaat[[#This Row],[Uitvoeringen weekend]]*Ruimtestaat[[#This Row],[Oppervlak (netto)]]</f>
        <v>0</v>
      </c>
      <c r="AC108" s="115">
        <f>IF(AB108&gt;0,Ruimtestaat[[#This Row],[Prest. (m2 /jaar) weekend]]/Ruimtestaat[[#This Row],[Norm (m2/uur) weekend]],0)</f>
        <v>0</v>
      </c>
      <c r="AD108" s="116">
        <f>Ruimtestaat[[#This Row],[uren / jaar weekend]]*Tariefsopbouw!$D$40</f>
        <v>0</v>
      </c>
      <c r="AE108" s="82">
        <f>Ruimtestaat[[#This Row],[Prest. (m2 /jaar) weekend]]+Ruimtestaat[[#This Row],[Prest. (m2 /jaar) werkdagen]]</f>
        <v>1120</v>
      </c>
      <c r="AF108" s="82">
        <f>Ruimtestaat[[#This Row],[uren / jaar weekend]]+Ruimtestaat[[#This Row],[uren / jaar werkdagen]]</f>
        <v>0</v>
      </c>
      <c r="AG108" s="83">
        <f>Ruimtestaat[[#This Row],[kosten / jaar weekend]]+Ruimtestaat[[#This Row],[kosten / jaar werkdagen]]</f>
        <v>0</v>
      </c>
      <c r="AH108" s="117"/>
      <c r="HL108" s="87"/>
    </row>
    <row r="109" spans="1:220" ht="15" customHeight="1">
      <c r="A109" s="136">
        <v>1</v>
      </c>
      <c r="B109" s="27" t="str">
        <f>VLOOKUP(Ruimtestaat[[#This Row],[Code]],Locaties[#All],2,FALSE)</f>
        <v>Hoornbeeck College Gouda</v>
      </c>
      <c r="C109" s="27" t="str">
        <f>VLOOKUP(Ruimtestaat[[#This Row],[Code]],Locaties[#All],4,FALSE)</f>
        <v>Noordelijk Halfrond 10</v>
      </c>
      <c r="D109" s="27" t="str">
        <f>VLOOKUP(Ruimtestaat[[#This Row],[Code]],Locaties[#All],5,FALSE)</f>
        <v>2801 DE</v>
      </c>
      <c r="E109" s="27" t="str">
        <f>VLOOKUP(Ruimtestaat[[#This Row],[Code]],Locaties[#All],6,FALSE)</f>
        <v>Gouda</v>
      </c>
      <c r="F109" s="74" t="s">
        <v>484</v>
      </c>
      <c r="G109" s="285" t="s">
        <v>530</v>
      </c>
      <c r="H109" s="286" t="s">
        <v>541</v>
      </c>
      <c r="I109" s="287" t="s">
        <v>639</v>
      </c>
      <c r="J109" s="288">
        <v>5</v>
      </c>
      <c r="K109" s="74" t="str">
        <f>VLOOKUP(J109,Ruimtegroepen[],2,FALSE)</f>
        <v>Sanitair</v>
      </c>
      <c r="L109" s="285" t="s">
        <v>112</v>
      </c>
      <c r="M109" s="287" t="s">
        <v>469</v>
      </c>
      <c r="N109" s="289">
        <v>5.6</v>
      </c>
      <c r="O109" s="285"/>
      <c r="P109" s="118" t="str">
        <f>LEFT(VLOOKUP(Ruimtestaat[[#This Row],[Ruimte code]],Ruimtegroepen[#All],4,1),2)</f>
        <v>Sa</v>
      </c>
      <c r="Q109" s="107"/>
      <c r="R109" s="108">
        <v>40</v>
      </c>
      <c r="S109" s="109" t="s">
        <v>2</v>
      </c>
      <c r="T109" s="110">
        <f>IF(R109&gt;0,IF(RIGHT(Ruimtestaat[[#This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" s="110">
        <f>IF(T109&gt;0,VLOOKUP($J109,Ruimtegroepen[],3,FALSE)*VLOOKUP($L109,Vloersoorten[],3,FALSE)*VLOOKUP($S109,Frequenties[],3,FALSE)*VLOOKUP($A109,Locaties[],3,FALSE),0)</f>
        <v>0</v>
      </c>
      <c r="V109" s="111">
        <f>Ruimtestaat[[#This Row],[Uitvoeringen werkdagen]]*Ruimtestaat[[#This Row],[Oppervlak (netto)]]</f>
        <v>1120</v>
      </c>
      <c r="W109" s="112">
        <f>IF(U109&gt;0,Ruimtestaat[[#This Row],[Prest. (m2 /jaar) werkdagen]]/Ruimtestaat[[#This Row],[Norm (m2/uur) werkdagen]],0)</f>
        <v>0</v>
      </c>
      <c r="X109" s="113">
        <f>Ruimtestaat[[#This Row],[uren / jaar werkdagen]]*Tariefsopbouw!$E$35</f>
        <v>0</v>
      </c>
      <c r="Y109" s="110"/>
      <c r="Z109" s="114">
        <f>IF(Ruimtestaat[[#This Row],[Frequentie weekend]]&gt;0,VALUE(LEFT(Y109,1))*R109,0)</f>
        <v>0</v>
      </c>
      <c r="AA109" s="110">
        <f>IF($Z109&gt;0,VLOOKUP($J109,Ruimtegroepen[],3,FALSE)*VLOOKUP($L109,Vloersoorten[],3,FALSE)*VLOOKUP($Y109,Frequenties[],3,FALSE)*VLOOKUP(#REF!,Locaties[],3,FALSE),0)</f>
        <v>0</v>
      </c>
      <c r="AB109" s="112">
        <f>Ruimtestaat[[#This Row],[Uitvoeringen weekend]]*Ruimtestaat[[#This Row],[Oppervlak (netto)]]</f>
        <v>0</v>
      </c>
      <c r="AC109" s="115">
        <f>IF(AB109&gt;0,Ruimtestaat[[#This Row],[Prest. (m2 /jaar) weekend]]/Ruimtestaat[[#This Row],[Norm (m2/uur) weekend]],0)</f>
        <v>0</v>
      </c>
      <c r="AD109" s="116">
        <f>Ruimtestaat[[#This Row],[uren / jaar weekend]]*Tariefsopbouw!$D$40</f>
        <v>0</v>
      </c>
      <c r="AE109" s="82">
        <f>Ruimtestaat[[#This Row],[Prest. (m2 /jaar) weekend]]+Ruimtestaat[[#This Row],[Prest. (m2 /jaar) werkdagen]]</f>
        <v>1120</v>
      </c>
      <c r="AF109" s="82">
        <f>Ruimtestaat[[#This Row],[uren / jaar weekend]]+Ruimtestaat[[#This Row],[uren / jaar werkdagen]]</f>
        <v>0</v>
      </c>
      <c r="AG109" s="83">
        <f>Ruimtestaat[[#This Row],[kosten / jaar weekend]]+Ruimtestaat[[#This Row],[kosten / jaar werkdagen]]</f>
        <v>0</v>
      </c>
      <c r="AH109" s="117"/>
      <c r="HL109" s="87"/>
    </row>
    <row r="110" spans="1:220" ht="15" customHeight="1">
      <c r="A110" s="136">
        <v>1</v>
      </c>
      <c r="B110" s="27" t="str">
        <f>VLOOKUP(Ruimtestaat[[#This Row],[Code]],Locaties[#All],2,FALSE)</f>
        <v>Hoornbeeck College Gouda</v>
      </c>
      <c r="C110" s="27" t="str">
        <f>VLOOKUP(Ruimtestaat[[#This Row],[Code]],Locaties[#All],4,FALSE)</f>
        <v>Noordelijk Halfrond 10</v>
      </c>
      <c r="D110" s="27" t="str">
        <f>VLOOKUP(Ruimtestaat[[#This Row],[Code]],Locaties[#All],5,FALSE)</f>
        <v>2801 DE</v>
      </c>
      <c r="E110" s="27" t="str">
        <f>VLOOKUP(Ruimtestaat[[#This Row],[Code]],Locaties[#All],6,FALSE)</f>
        <v>Gouda</v>
      </c>
      <c r="F110" s="74" t="s">
        <v>484</v>
      </c>
      <c r="G110" s="285" t="s">
        <v>530</v>
      </c>
      <c r="H110" s="286" t="s">
        <v>542</v>
      </c>
      <c r="I110" s="287" t="s">
        <v>624</v>
      </c>
      <c r="J110" s="288">
        <v>20</v>
      </c>
      <c r="K110" s="74" t="str">
        <f>VLOOKUP(J110,Ruimtegroepen[],2,FALSE)</f>
        <v>Niet in onderhoud</v>
      </c>
      <c r="L110" s="285"/>
      <c r="M110" s="287"/>
      <c r="N110" s="289"/>
      <c r="O110" s="289">
        <v>4.9000000000000004</v>
      </c>
      <c r="P110" s="118" t="str">
        <f>LEFT(VLOOKUP(Ruimtestaat[[#This Row],[Ruimte code]],Ruimtegroepen[#All],4,1),2)</f>
        <v/>
      </c>
      <c r="Q110" s="107"/>
      <c r="R110" s="108"/>
      <c r="S110" s="109"/>
      <c r="T110" s="110">
        <f>IF(R110&gt;0,IF(RIGHT(Ruimtestaat[[#This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" s="110">
        <f>IF(T110&gt;0,VLOOKUP($J110,Ruimtegroepen[],3,FALSE)*VLOOKUP($L110,Vloersoorten[],3,FALSE)*VLOOKUP($S110,Frequenties[],3,FALSE)*VLOOKUP($A110,Locaties[],3,FALSE),0)</f>
        <v>0</v>
      </c>
      <c r="V110" s="111">
        <f>Ruimtestaat[[#This Row],[Uitvoeringen werkdagen]]*Ruimtestaat[[#This Row],[Oppervlak (netto)]]</f>
        <v>0</v>
      </c>
      <c r="W110" s="112">
        <f>IF(U110&gt;0,Ruimtestaat[[#This Row],[Prest. (m2 /jaar) werkdagen]]/Ruimtestaat[[#This Row],[Norm (m2/uur) werkdagen]],0)</f>
        <v>0</v>
      </c>
      <c r="X110" s="113">
        <f>Ruimtestaat[[#This Row],[uren / jaar werkdagen]]*Tariefsopbouw!$E$35</f>
        <v>0</v>
      </c>
      <c r="Y110" s="110"/>
      <c r="Z110" s="114">
        <f>IF(Ruimtestaat[[#This Row],[Frequentie weekend]]&gt;0,VALUE(LEFT(Y110,1))*R110,0)</f>
        <v>0</v>
      </c>
      <c r="AA110" s="110">
        <f>IF($Z110&gt;0,VLOOKUP($J110,Ruimtegroepen[],3,FALSE)*VLOOKUP($L110,Vloersoorten[],3,FALSE)*VLOOKUP($Y110,Frequenties[],3,FALSE)*VLOOKUP(#REF!,Locaties[],3,FALSE),0)</f>
        <v>0</v>
      </c>
      <c r="AB110" s="112">
        <f>Ruimtestaat[[#This Row],[Uitvoeringen weekend]]*Ruimtestaat[[#This Row],[Oppervlak (netto)]]</f>
        <v>0</v>
      </c>
      <c r="AC110" s="115">
        <f>IF(AB110&gt;0,Ruimtestaat[[#This Row],[Prest. (m2 /jaar) weekend]]/Ruimtestaat[[#This Row],[Norm (m2/uur) weekend]],0)</f>
        <v>0</v>
      </c>
      <c r="AD110" s="116">
        <f>Ruimtestaat[[#This Row],[uren / jaar weekend]]*Tariefsopbouw!$D$40</f>
        <v>0</v>
      </c>
      <c r="AE110" s="82">
        <f>Ruimtestaat[[#This Row],[Prest. (m2 /jaar) weekend]]+Ruimtestaat[[#This Row],[Prest. (m2 /jaar) werkdagen]]</f>
        <v>0</v>
      </c>
      <c r="AF110" s="82">
        <f>Ruimtestaat[[#This Row],[uren / jaar weekend]]+Ruimtestaat[[#This Row],[uren / jaar werkdagen]]</f>
        <v>0</v>
      </c>
      <c r="AG110" s="83">
        <f>Ruimtestaat[[#This Row],[kosten / jaar weekend]]+Ruimtestaat[[#This Row],[kosten / jaar werkdagen]]</f>
        <v>0</v>
      </c>
      <c r="AH110" s="117"/>
      <c r="HL110" s="87"/>
    </row>
    <row r="111" spans="1:220" ht="15" customHeight="1">
      <c r="A111" s="136">
        <v>1</v>
      </c>
      <c r="B111" s="27" t="str">
        <f>VLOOKUP(Ruimtestaat[[#This Row],[Code]],Locaties[#All],2,FALSE)</f>
        <v>Hoornbeeck College Gouda</v>
      </c>
      <c r="C111" s="27" t="str">
        <f>VLOOKUP(Ruimtestaat[[#This Row],[Code]],Locaties[#All],4,FALSE)</f>
        <v>Noordelijk Halfrond 10</v>
      </c>
      <c r="D111" s="27" t="str">
        <f>VLOOKUP(Ruimtestaat[[#This Row],[Code]],Locaties[#All],5,FALSE)</f>
        <v>2801 DE</v>
      </c>
      <c r="E111" s="27" t="str">
        <f>VLOOKUP(Ruimtestaat[[#This Row],[Code]],Locaties[#All],6,FALSE)</f>
        <v>Gouda</v>
      </c>
      <c r="F111" s="74" t="s">
        <v>465</v>
      </c>
      <c r="G111" s="285" t="s">
        <v>543</v>
      </c>
      <c r="H111" s="286" t="s">
        <v>544</v>
      </c>
      <c r="I111" s="287" t="s">
        <v>653</v>
      </c>
      <c r="J111" s="288">
        <v>16</v>
      </c>
      <c r="K111" s="74" t="str">
        <f>VLOOKUP(J111,Ruimtegroepen[],2,FALSE)</f>
        <v>Leslokalen</v>
      </c>
      <c r="L111" s="285" t="s">
        <v>110</v>
      </c>
      <c r="M111" s="287" t="s">
        <v>38</v>
      </c>
      <c r="N111" s="289">
        <v>52</v>
      </c>
      <c r="O111" s="285"/>
      <c r="P111" s="118" t="str">
        <f>LEFT(VLOOKUP(Ruimtestaat[[#This Row],[Ruimte code]],Ruimtegroepen[#All],4,1),2)</f>
        <v>Le</v>
      </c>
      <c r="Q111" s="107"/>
      <c r="R111" s="108">
        <v>40</v>
      </c>
      <c r="S111" s="109" t="s">
        <v>2</v>
      </c>
      <c r="T111" s="110">
        <f>IF(R111&gt;0,IF(RIGHT(Ruimtestaat[[#This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" s="110">
        <f>IF(T111&gt;0,VLOOKUP($J111,Ruimtegroepen[],3,FALSE)*VLOOKUP($L111,Vloersoorten[],3,FALSE)*VLOOKUP($S111,Frequenties[],3,FALSE)*VLOOKUP($A111,Locaties[],3,FALSE),0)</f>
        <v>0</v>
      </c>
      <c r="V111" s="111">
        <f>Ruimtestaat[[#This Row],[Uitvoeringen werkdagen]]*Ruimtestaat[[#This Row],[Oppervlak (netto)]]</f>
        <v>10400</v>
      </c>
      <c r="W111" s="112">
        <f>IF(U111&gt;0,Ruimtestaat[[#This Row],[Prest. (m2 /jaar) werkdagen]]/Ruimtestaat[[#This Row],[Norm (m2/uur) werkdagen]],0)</f>
        <v>0</v>
      </c>
      <c r="X111" s="113">
        <f>Ruimtestaat[[#This Row],[uren / jaar werkdagen]]*Tariefsopbouw!$E$35</f>
        <v>0</v>
      </c>
      <c r="Y111" s="110"/>
      <c r="Z111" s="114">
        <f>IF(Ruimtestaat[[#This Row],[Frequentie weekend]]&gt;0,VALUE(LEFT(Y111,1))*R111,0)</f>
        <v>0</v>
      </c>
      <c r="AA111" s="110">
        <f>IF($Z111&gt;0,VLOOKUP($J111,Ruimtegroepen[],3,FALSE)*VLOOKUP($L111,Vloersoorten[],3,FALSE)*VLOOKUP($Y111,Frequenties[],3,FALSE)*VLOOKUP(#REF!,Locaties[],3,FALSE),0)</f>
        <v>0</v>
      </c>
      <c r="AB111" s="112">
        <f>Ruimtestaat[[#This Row],[Uitvoeringen weekend]]*Ruimtestaat[[#This Row],[Oppervlak (netto)]]</f>
        <v>0</v>
      </c>
      <c r="AC111" s="115">
        <f>IF(AB111&gt;0,Ruimtestaat[[#This Row],[Prest. (m2 /jaar) weekend]]/Ruimtestaat[[#This Row],[Norm (m2/uur) weekend]],0)</f>
        <v>0</v>
      </c>
      <c r="AD111" s="116">
        <f>Ruimtestaat[[#This Row],[uren / jaar weekend]]*Tariefsopbouw!$D$40</f>
        <v>0</v>
      </c>
      <c r="AE111" s="82">
        <f>Ruimtestaat[[#This Row],[Prest. (m2 /jaar) weekend]]+Ruimtestaat[[#This Row],[Prest. (m2 /jaar) werkdagen]]</f>
        <v>10400</v>
      </c>
      <c r="AF111" s="82">
        <f>Ruimtestaat[[#This Row],[uren / jaar weekend]]+Ruimtestaat[[#This Row],[uren / jaar werkdagen]]</f>
        <v>0</v>
      </c>
      <c r="AG111" s="83">
        <f>Ruimtestaat[[#This Row],[kosten / jaar weekend]]+Ruimtestaat[[#This Row],[kosten / jaar werkdagen]]</f>
        <v>0</v>
      </c>
      <c r="AH111" s="117"/>
      <c r="HL111" s="87"/>
    </row>
    <row r="112" spans="1:220" ht="15" customHeight="1">
      <c r="A112" s="136">
        <v>1</v>
      </c>
      <c r="B112" s="27" t="str">
        <f>VLOOKUP(Ruimtestaat[[#This Row],[Code]],Locaties[#All],2,FALSE)</f>
        <v>Hoornbeeck College Gouda</v>
      </c>
      <c r="C112" s="27" t="str">
        <f>VLOOKUP(Ruimtestaat[[#This Row],[Code]],Locaties[#All],4,FALSE)</f>
        <v>Noordelijk Halfrond 10</v>
      </c>
      <c r="D112" s="27" t="str">
        <f>VLOOKUP(Ruimtestaat[[#This Row],[Code]],Locaties[#All],5,FALSE)</f>
        <v>2801 DE</v>
      </c>
      <c r="E112" s="27" t="str">
        <f>VLOOKUP(Ruimtestaat[[#This Row],[Code]],Locaties[#All],6,FALSE)</f>
        <v>Gouda</v>
      </c>
      <c r="F112" s="74" t="s">
        <v>465</v>
      </c>
      <c r="G112" s="285" t="s">
        <v>543</v>
      </c>
      <c r="H112" s="286" t="s">
        <v>545</v>
      </c>
      <c r="I112" s="287" t="s">
        <v>628</v>
      </c>
      <c r="J112" s="288">
        <v>4</v>
      </c>
      <c r="K112" s="74" t="str">
        <f>VLOOKUP(J112,Ruimtegroepen[],2,FALSE)</f>
        <v>Vergader/spreekkamers</v>
      </c>
      <c r="L112" s="285" t="s">
        <v>110</v>
      </c>
      <c r="M112" s="287" t="s">
        <v>38</v>
      </c>
      <c r="N112" s="289">
        <v>18.100000000000001</v>
      </c>
      <c r="O112" s="285"/>
      <c r="P112" s="118" t="str">
        <f>LEFT(VLOOKUP(Ruimtestaat[[#This Row],[Ruimte code]],Ruimtegroepen[#All],4,1),2)</f>
        <v>Bu</v>
      </c>
      <c r="Q112" s="107"/>
      <c r="R112" s="108">
        <v>40</v>
      </c>
      <c r="S112" s="109" t="s">
        <v>17</v>
      </c>
      <c r="T112" s="110">
        <f>IF(R112&gt;0,IF(RIGHT(Ruimtestaat[[#This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12" s="110">
        <f>IF(T112&gt;0,VLOOKUP($J112,Ruimtegroepen[],3,FALSE)*VLOOKUP($L112,Vloersoorten[],3,FALSE)*VLOOKUP($S112,Frequenties[],3,FALSE)*VLOOKUP($A112,Locaties[],3,FALSE),0)</f>
        <v>0</v>
      </c>
      <c r="V112" s="111">
        <f>Ruimtestaat[[#This Row],[Uitvoeringen werkdagen]]*Ruimtestaat[[#This Row],[Oppervlak (netto)]]</f>
        <v>1448</v>
      </c>
      <c r="W112" s="112">
        <f>IF(U112&gt;0,Ruimtestaat[[#This Row],[Prest. (m2 /jaar) werkdagen]]/Ruimtestaat[[#This Row],[Norm (m2/uur) werkdagen]],0)</f>
        <v>0</v>
      </c>
      <c r="X112" s="113">
        <f>Ruimtestaat[[#This Row],[uren / jaar werkdagen]]*Tariefsopbouw!$E$35</f>
        <v>0</v>
      </c>
      <c r="Y112" s="110"/>
      <c r="Z112" s="114">
        <f>IF(Ruimtestaat[[#This Row],[Frequentie weekend]]&gt;0,VALUE(LEFT(Y112,1))*R112,0)</f>
        <v>0</v>
      </c>
      <c r="AA112" s="110">
        <f>IF($Z112&gt;0,VLOOKUP($J112,Ruimtegroepen[],3,FALSE)*VLOOKUP($L112,Vloersoorten[],3,FALSE)*VLOOKUP($Y112,Frequenties[],3,FALSE)*VLOOKUP(#REF!,Locaties[],3,FALSE),0)</f>
        <v>0</v>
      </c>
      <c r="AB112" s="112">
        <f>Ruimtestaat[[#This Row],[Uitvoeringen weekend]]*Ruimtestaat[[#This Row],[Oppervlak (netto)]]</f>
        <v>0</v>
      </c>
      <c r="AC112" s="115">
        <f>IF(AB112&gt;0,Ruimtestaat[[#This Row],[Prest. (m2 /jaar) weekend]]/Ruimtestaat[[#This Row],[Norm (m2/uur) weekend]],0)</f>
        <v>0</v>
      </c>
      <c r="AD112" s="116">
        <f>Ruimtestaat[[#This Row],[uren / jaar weekend]]*Tariefsopbouw!$D$40</f>
        <v>0</v>
      </c>
      <c r="AE112" s="82">
        <f>Ruimtestaat[[#This Row],[Prest. (m2 /jaar) weekend]]+Ruimtestaat[[#This Row],[Prest. (m2 /jaar) werkdagen]]</f>
        <v>1448</v>
      </c>
      <c r="AF112" s="82">
        <f>Ruimtestaat[[#This Row],[uren / jaar weekend]]+Ruimtestaat[[#This Row],[uren / jaar werkdagen]]</f>
        <v>0</v>
      </c>
      <c r="AG112" s="83">
        <f>Ruimtestaat[[#This Row],[kosten / jaar weekend]]+Ruimtestaat[[#This Row],[kosten / jaar werkdagen]]</f>
        <v>0</v>
      </c>
      <c r="AH112" s="117"/>
      <c r="HL112" s="87"/>
    </row>
    <row r="113" spans="1:220" ht="15" customHeight="1">
      <c r="A113" s="136">
        <v>1</v>
      </c>
      <c r="B113" s="27" t="str">
        <f>VLOOKUP(Ruimtestaat[[#This Row],[Code]],Locaties[#All],2,FALSE)</f>
        <v>Hoornbeeck College Gouda</v>
      </c>
      <c r="C113" s="27" t="str">
        <f>VLOOKUP(Ruimtestaat[[#This Row],[Code]],Locaties[#All],4,FALSE)</f>
        <v>Noordelijk Halfrond 10</v>
      </c>
      <c r="D113" s="27" t="str">
        <f>VLOOKUP(Ruimtestaat[[#This Row],[Code]],Locaties[#All],5,FALSE)</f>
        <v>2801 DE</v>
      </c>
      <c r="E113" s="27" t="str">
        <f>VLOOKUP(Ruimtestaat[[#This Row],[Code]],Locaties[#All],6,FALSE)</f>
        <v>Gouda</v>
      </c>
      <c r="F113" s="74" t="s">
        <v>465</v>
      </c>
      <c r="G113" s="285" t="s">
        <v>543</v>
      </c>
      <c r="H113" s="286" t="s">
        <v>546</v>
      </c>
      <c r="I113" s="287" t="s">
        <v>653</v>
      </c>
      <c r="J113" s="288">
        <v>16</v>
      </c>
      <c r="K113" s="74" t="str">
        <f>VLOOKUP(J113,Ruimtegroepen[],2,FALSE)</f>
        <v>Leslokalen</v>
      </c>
      <c r="L113" s="285" t="s">
        <v>110</v>
      </c>
      <c r="M113" s="287" t="s">
        <v>38</v>
      </c>
      <c r="N113" s="289">
        <v>61.3</v>
      </c>
      <c r="O113" s="285"/>
      <c r="P113" s="118" t="str">
        <f>LEFT(VLOOKUP(Ruimtestaat[[#This Row],[Ruimte code]],Ruimtegroepen[#All],4,1),2)</f>
        <v>Le</v>
      </c>
      <c r="Q113" s="107"/>
      <c r="R113" s="108">
        <v>40</v>
      </c>
      <c r="S113" s="109" t="s">
        <v>2</v>
      </c>
      <c r="T113" s="110">
        <f>IF(R113&gt;0,IF(RIGHT(Ruimtestaat[[#This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" s="110">
        <f>IF(T113&gt;0,VLOOKUP($J113,Ruimtegroepen[],3,FALSE)*VLOOKUP($L113,Vloersoorten[],3,FALSE)*VLOOKUP($S113,Frequenties[],3,FALSE)*VLOOKUP($A113,Locaties[],3,FALSE),0)</f>
        <v>0</v>
      </c>
      <c r="V113" s="111">
        <f>Ruimtestaat[[#This Row],[Uitvoeringen werkdagen]]*Ruimtestaat[[#This Row],[Oppervlak (netto)]]</f>
        <v>12260</v>
      </c>
      <c r="W113" s="112">
        <f>IF(U113&gt;0,Ruimtestaat[[#This Row],[Prest. (m2 /jaar) werkdagen]]/Ruimtestaat[[#This Row],[Norm (m2/uur) werkdagen]],0)</f>
        <v>0</v>
      </c>
      <c r="X113" s="113">
        <f>Ruimtestaat[[#This Row],[uren / jaar werkdagen]]*Tariefsopbouw!$E$35</f>
        <v>0</v>
      </c>
      <c r="Y113" s="110"/>
      <c r="Z113" s="114">
        <f>IF(Ruimtestaat[[#This Row],[Frequentie weekend]]&gt;0,VALUE(LEFT(Y113,1))*R113,0)</f>
        <v>0</v>
      </c>
      <c r="AA113" s="110">
        <f>IF($Z113&gt;0,VLOOKUP($J113,Ruimtegroepen[],3,FALSE)*VLOOKUP($L113,Vloersoorten[],3,FALSE)*VLOOKUP($Y113,Frequenties[],3,FALSE)*VLOOKUP(#REF!,Locaties[],3,FALSE),0)</f>
        <v>0</v>
      </c>
      <c r="AB113" s="112">
        <f>Ruimtestaat[[#This Row],[Uitvoeringen weekend]]*Ruimtestaat[[#This Row],[Oppervlak (netto)]]</f>
        <v>0</v>
      </c>
      <c r="AC113" s="115">
        <f>IF(AB113&gt;0,Ruimtestaat[[#This Row],[Prest. (m2 /jaar) weekend]]/Ruimtestaat[[#This Row],[Norm (m2/uur) weekend]],0)</f>
        <v>0</v>
      </c>
      <c r="AD113" s="116">
        <f>Ruimtestaat[[#This Row],[uren / jaar weekend]]*Tariefsopbouw!$D$40</f>
        <v>0</v>
      </c>
      <c r="AE113" s="82">
        <f>Ruimtestaat[[#This Row],[Prest. (m2 /jaar) weekend]]+Ruimtestaat[[#This Row],[Prest. (m2 /jaar) werkdagen]]</f>
        <v>12260</v>
      </c>
      <c r="AF113" s="82">
        <f>Ruimtestaat[[#This Row],[uren / jaar weekend]]+Ruimtestaat[[#This Row],[uren / jaar werkdagen]]</f>
        <v>0</v>
      </c>
      <c r="AG113" s="83">
        <f>Ruimtestaat[[#This Row],[kosten / jaar weekend]]+Ruimtestaat[[#This Row],[kosten / jaar werkdagen]]</f>
        <v>0</v>
      </c>
      <c r="AH113" s="117"/>
      <c r="HL113" s="87"/>
    </row>
    <row r="114" spans="1:220" ht="15" customHeight="1">
      <c r="A114" s="136">
        <v>1</v>
      </c>
      <c r="B114" s="27" t="str">
        <f>VLOOKUP(Ruimtestaat[[#This Row],[Code]],Locaties[#All],2,FALSE)</f>
        <v>Hoornbeeck College Gouda</v>
      </c>
      <c r="C114" s="27" t="str">
        <f>VLOOKUP(Ruimtestaat[[#This Row],[Code]],Locaties[#All],4,FALSE)</f>
        <v>Noordelijk Halfrond 10</v>
      </c>
      <c r="D114" s="27" t="str">
        <f>VLOOKUP(Ruimtestaat[[#This Row],[Code]],Locaties[#All],5,FALSE)</f>
        <v>2801 DE</v>
      </c>
      <c r="E114" s="27" t="str">
        <f>VLOOKUP(Ruimtestaat[[#This Row],[Code]],Locaties[#All],6,FALSE)</f>
        <v>Gouda</v>
      </c>
      <c r="F114" s="74" t="s">
        <v>465</v>
      </c>
      <c r="G114" s="285" t="s">
        <v>543</v>
      </c>
      <c r="H114" s="286" t="s">
        <v>547</v>
      </c>
      <c r="I114" s="287" t="s">
        <v>681</v>
      </c>
      <c r="J114" s="288">
        <v>16</v>
      </c>
      <c r="K114" s="74" t="str">
        <f>VLOOKUP(J114,Ruimtegroepen[],2,FALSE)</f>
        <v>Leslokalen</v>
      </c>
      <c r="L114" s="285" t="s">
        <v>110</v>
      </c>
      <c r="M114" s="287" t="s">
        <v>38</v>
      </c>
      <c r="N114" s="289">
        <v>55.8</v>
      </c>
      <c r="O114" s="285"/>
      <c r="P114" s="118" t="str">
        <f>LEFT(VLOOKUP(Ruimtestaat[[#This Row],[Ruimte code]],Ruimtegroepen[#All],4,1),2)</f>
        <v>Le</v>
      </c>
      <c r="Q114" s="107"/>
      <c r="R114" s="108">
        <v>40</v>
      </c>
      <c r="S114" s="109" t="s">
        <v>2</v>
      </c>
      <c r="T114" s="110">
        <f>IF(R114&gt;0,IF(RIGHT(Ruimtestaat[[#This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" s="110">
        <f>IF(T114&gt;0,VLOOKUP($J114,Ruimtegroepen[],3,FALSE)*VLOOKUP($L114,Vloersoorten[],3,FALSE)*VLOOKUP($S114,Frequenties[],3,FALSE)*VLOOKUP($A114,Locaties[],3,FALSE),0)</f>
        <v>0</v>
      </c>
      <c r="V114" s="111">
        <f>Ruimtestaat[[#This Row],[Uitvoeringen werkdagen]]*Ruimtestaat[[#This Row],[Oppervlak (netto)]]</f>
        <v>11160</v>
      </c>
      <c r="W114" s="112">
        <f>IF(U114&gt;0,Ruimtestaat[[#This Row],[Prest. (m2 /jaar) werkdagen]]/Ruimtestaat[[#This Row],[Norm (m2/uur) werkdagen]],0)</f>
        <v>0</v>
      </c>
      <c r="X114" s="113">
        <f>Ruimtestaat[[#This Row],[uren / jaar werkdagen]]*Tariefsopbouw!$E$35</f>
        <v>0</v>
      </c>
      <c r="Y114" s="110"/>
      <c r="Z114" s="114">
        <f>IF(Ruimtestaat[[#This Row],[Frequentie weekend]]&gt;0,VALUE(LEFT(Y114,1))*R114,0)</f>
        <v>0</v>
      </c>
      <c r="AA114" s="110">
        <f>IF($Z114&gt;0,VLOOKUP($J114,Ruimtegroepen[],3,FALSE)*VLOOKUP($L114,Vloersoorten[],3,FALSE)*VLOOKUP($Y114,Frequenties[],3,FALSE)*VLOOKUP(#REF!,Locaties[],3,FALSE),0)</f>
        <v>0</v>
      </c>
      <c r="AB114" s="112">
        <f>Ruimtestaat[[#This Row],[Uitvoeringen weekend]]*Ruimtestaat[[#This Row],[Oppervlak (netto)]]</f>
        <v>0</v>
      </c>
      <c r="AC114" s="115">
        <f>IF(AB114&gt;0,Ruimtestaat[[#This Row],[Prest. (m2 /jaar) weekend]]/Ruimtestaat[[#This Row],[Norm (m2/uur) weekend]],0)</f>
        <v>0</v>
      </c>
      <c r="AD114" s="116">
        <f>Ruimtestaat[[#This Row],[uren / jaar weekend]]*Tariefsopbouw!$D$40</f>
        <v>0</v>
      </c>
      <c r="AE114" s="82">
        <f>Ruimtestaat[[#This Row],[Prest. (m2 /jaar) weekend]]+Ruimtestaat[[#This Row],[Prest. (m2 /jaar) werkdagen]]</f>
        <v>11160</v>
      </c>
      <c r="AF114" s="82">
        <f>Ruimtestaat[[#This Row],[uren / jaar weekend]]+Ruimtestaat[[#This Row],[uren / jaar werkdagen]]</f>
        <v>0</v>
      </c>
      <c r="AG114" s="83">
        <f>Ruimtestaat[[#This Row],[kosten / jaar weekend]]+Ruimtestaat[[#This Row],[kosten / jaar werkdagen]]</f>
        <v>0</v>
      </c>
      <c r="AH114" s="117"/>
      <c r="HL114" s="87"/>
    </row>
    <row r="115" spans="1:220" ht="15" customHeight="1">
      <c r="A115" s="136">
        <v>1</v>
      </c>
      <c r="B115" s="27" t="str">
        <f>VLOOKUP(Ruimtestaat[[#This Row],[Code]],Locaties[#All],2,FALSE)</f>
        <v>Hoornbeeck College Gouda</v>
      </c>
      <c r="C115" s="27" t="str">
        <f>VLOOKUP(Ruimtestaat[[#This Row],[Code]],Locaties[#All],4,FALSE)</f>
        <v>Noordelijk Halfrond 10</v>
      </c>
      <c r="D115" s="27" t="str">
        <f>VLOOKUP(Ruimtestaat[[#This Row],[Code]],Locaties[#All],5,FALSE)</f>
        <v>2801 DE</v>
      </c>
      <c r="E115" s="27" t="str">
        <f>VLOOKUP(Ruimtestaat[[#This Row],[Code]],Locaties[#All],6,FALSE)</f>
        <v>Gouda</v>
      </c>
      <c r="F115" s="74" t="s">
        <v>465</v>
      </c>
      <c r="G115" s="285" t="s">
        <v>543</v>
      </c>
      <c r="H115" s="286" t="s">
        <v>548</v>
      </c>
      <c r="I115" s="287" t="s">
        <v>653</v>
      </c>
      <c r="J115" s="288">
        <v>16</v>
      </c>
      <c r="K115" s="74" t="str">
        <f>VLOOKUP(J115,Ruimtegroepen[],2,FALSE)</f>
        <v>Leslokalen</v>
      </c>
      <c r="L115" s="285" t="s">
        <v>110</v>
      </c>
      <c r="M115" s="287" t="s">
        <v>38</v>
      </c>
      <c r="N115" s="289">
        <v>52.1</v>
      </c>
      <c r="O115" s="285"/>
      <c r="P115" s="118" t="str">
        <f>LEFT(VLOOKUP(Ruimtestaat[[#This Row],[Ruimte code]],Ruimtegroepen[#All],4,1),2)</f>
        <v>Le</v>
      </c>
      <c r="Q115" s="107"/>
      <c r="R115" s="108">
        <v>40</v>
      </c>
      <c r="S115" s="109" t="s">
        <v>2</v>
      </c>
      <c r="T115" s="110">
        <f>IF(R115&gt;0,IF(RIGHT(Ruimtestaat[[#This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" s="110">
        <f>IF(T115&gt;0,VLOOKUP($J115,Ruimtegroepen[],3,FALSE)*VLOOKUP($L115,Vloersoorten[],3,FALSE)*VLOOKUP($S115,Frequenties[],3,FALSE)*VLOOKUP($A115,Locaties[],3,FALSE),0)</f>
        <v>0</v>
      </c>
      <c r="V115" s="111">
        <f>Ruimtestaat[[#This Row],[Uitvoeringen werkdagen]]*Ruimtestaat[[#This Row],[Oppervlak (netto)]]</f>
        <v>10420</v>
      </c>
      <c r="W115" s="112">
        <f>IF(U115&gt;0,Ruimtestaat[[#This Row],[Prest. (m2 /jaar) werkdagen]]/Ruimtestaat[[#This Row],[Norm (m2/uur) werkdagen]],0)</f>
        <v>0</v>
      </c>
      <c r="X115" s="113">
        <f>Ruimtestaat[[#This Row],[uren / jaar werkdagen]]*Tariefsopbouw!$E$35</f>
        <v>0</v>
      </c>
      <c r="Y115" s="110"/>
      <c r="Z115" s="114">
        <f>IF(Ruimtestaat[[#This Row],[Frequentie weekend]]&gt;0,VALUE(LEFT(Y115,1))*R115,0)</f>
        <v>0</v>
      </c>
      <c r="AA115" s="110">
        <f>IF($Z115&gt;0,VLOOKUP($J115,Ruimtegroepen[],3,FALSE)*VLOOKUP($L115,Vloersoorten[],3,FALSE)*VLOOKUP($Y115,Frequenties[],3,FALSE)*VLOOKUP(#REF!,Locaties[],3,FALSE),0)</f>
        <v>0</v>
      </c>
      <c r="AB115" s="112">
        <f>Ruimtestaat[[#This Row],[Uitvoeringen weekend]]*Ruimtestaat[[#This Row],[Oppervlak (netto)]]</f>
        <v>0</v>
      </c>
      <c r="AC115" s="115">
        <f>IF(AB115&gt;0,Ruimtestaat[[#This Row],[Prest. (m2 /jaar) weekend]]/Ruimtestaat[[#This Row],[Norm (m2/uur) weekend]],0)</f>
        <v>0</v>
      </c>
      <c r="AD115" s="116">
        <f>Ruimtestaat[[#This Row],[uren / jaar weekend]]*Tariefsopbouw!$D$40</f>
        <v>0</v>
      </c>
      <c r="AE115" s="82">
        <f>Ruimtestaat[[#This Row],[Prest. (m2 /jaar) weekend]]+Ruimtestaat[[#This Row],[Prest. (m2 /jaar) werkdagen]]</f>
        <v>10420</v>
      </c>
      <c r="AF115" s="82">
        <f>Ruimtestaat[[#This Row],[uren / jaar weekend]]+Ruimtestaat[[#This Row],[uren / jaar werkdagen]]</f>
        <v>0</v>
      </c>
      <c r="AG115" s="83">
        <f>Ruimtestaat[[#This Row],[kosten / jaar weekend]]+Ruimtestaat[[#This Row],[kosten / jaar werkdagen]]</f>
        <v>0</v>
      </c>
      <c r="AH115" s="117"/>
      <c r="HL115" s="87"/>
    </row>
    <row r="116" spans="1:220" ht="15" customHeight="1">
      <c r="A116" s="136">
        <v>1</v>
      </c>
      <c r="B116" s="27" t="str">
        <f>VLOOKUP(Ruimtestaat[[#This Row],[Code]],Locaties[#All],2,FALSE)</f>
        <v>Hoornbeeck College Gouda</v>
      </c>
      <c r="C116" s="27" t="str">
        <f>VLOOKUP(Ruimtestaat[[#This Row],[Code]],Locaties[#All],4,FALSE)</f>
        <v>Noordelijk Halfrond 10</v>
      </c>
      <c r="D116" s="27" t="str">
        <f>VLOOKUP(Ruimtestaat[[#This Row],[Code]],Locaties[#All],5,FALSE)</f>
        <v>2801 DE</v>
      </c>
      <c r="E116" s="27" t="str">
        <f>VLOOKUP(Ruimtestaat[[#This Row],[Code]],Locaties[#All],6,FALSE)</f>
        <v>Gouda</v>
      </c>
      <c r="F116" s="74" t="s">
        <v>465</v>
      </c>
      <c r="G116" s="285" t="s">
        <v>543</v>
      </c>
      <c r="H116" s="286" t="s">
        <v>549</v>
      </c>
      <c r="I116" s="287" t="s">
        <v>682</v>
      </c>
      <c r="J116" s="288">
        <v>16</v>
      </c>
      <c r="K116" s="74" t="str">
        <f>VLOOKUP(J116,Ruimtegroepen[],2,FALSE)</f>
        <v>Leslokalen</v>
      </c>
      <c r="L116" s="285" t="s">
        <v>110</v>
      </c>
      <c r="M116" s="287" t="s">
        <v>38</v>
      </c>
      <c r="N116" s="289">
        <v>80.3</v>
      </c>
      <c r="O116" s="285"/>
      <c r="P116" s="118" t="str">
        <f>LEFT(VLOOKUP(Ruimtestaat[[#This Row],[Ruimte code]],Ruimtegroepen[#All],4,1),2)</f>
        <v>Le</v>
      </c>
      <c r="Q116" s="107"/>
      <c r="R116" s="108">
        <v>40</v>
      </c>
      <c r="S116" s="109" t="s">
        <v>2</v>
      </c>
      <c r="T116" s="110">
        <f>IF(R116&gt;0,IF(RIGHT(Ruimtestaat[[#This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" s="110">
        <f>IF(T116&gt;0,VLOOKUP($J116,Ruimtegroepen[],3,FALSE)*VLOOKUP($L116,Vloersoorten[],3,FALSE)*VLOOKUP($S116,Frequenties[],3,FALSE)*VLOOKUP($A116,Locaties[],3,FALSE),0)</f>
        <v>0</v>
      </c>
      <c r="V116" s="111">
        <f>Ruimtestaat[[#This Row],[Uitvoeringen werkdagen]]*Ruimtestaat[[#This Row],[Oppervlak (netto)]]</f>
        <v>16060</v>
      </c>
      <c r="W116" s="112">
        <f>IF(U116&gt;0,Ruimtestaat[[#This Row],[Prest. (m2 /jaar) werkdagen]]/Ruimtestaat[[#This Row],[Norm (m2/uur) werkdagen]],0)</f>
        <v>0</v>
      </c>
      <c r="X116" s="113">
        <f>Ruimtestaat[[#This Row],[uren / jaar werkdagen]]*Tariefsopbouw!$E$35</f>
        <v>0</v>
      </c>
      <c r="Y116" s="110"/>
      <c r="Z116" s="114">
        <f>IF(Ruimtestaat[[#This Row],[Frequentie weekend]]&gt;0,VALUE(LEFT(Y116,1))*R116,0)</f>
        <v>0</v>
      </c>
      <c r="AA116" s="110">
        <f>IF($Z116&gt;0,VLOOKUP($J116,Ruimtegroepen[],3,FALSE)*VLOOKUP($L116,Vloersoorten[],3,FALSE)*VLOOKUP($Y116,Frequenties[],3,FALSE)*VLOOKUP(#REF!,Locaties[],3,FALSE),0)</f>
        <v>0</v>
      </c>
      <c r="AB116" s="112">
        <f>Ruimtestaat[[#This Row],[Uitvoeringen weekend]]*Ruimtestaat[[#This Row],[Oppervlak (netto)]]</f>
        <v>0</v>
      </c>
      <c r="AC116" s="115">
        <f>IF(AB116&gt;0,Ruimtestaat[[#This Row],[Prest. (m2 /jaar) weekend]]/Ruimtestaat[[#This Row],[Norm (m2/uur) weekend]],0)</f>
        <v>0</v>
      </c>
      <c r="AD116" s="116">
        <f>Ruimtestaat[[#This Row],[uren / jaar weekend]]*Tariefsopbouw!$D$40</f>
        <v>0</v>
      </c>
      <c r="AE116" s="82">
        <f>Ruimtestaat[[#This Row],[Prest. (m2 /jaar) weekend]]+Ruimtestaat[[#This Row],[Prest. (m2 /jaar) werkdagen]]</f>
        <v>16060</v>
      </c>
      <c r="AF116" s="82">
        <f>Ruimtestaat[[#This Row],[uren / jaar weekend]]+Ruimtestaat[[#This Row],[uren / jaar werkdagen]]</f>
        <v>0</v>
      </c>
      <c r="AG116" s="83">
        <f>Ruimtestaat[[#This Row],[kosten / jaar weekend]]+Ruimtestaat[[#This Row],[kosten / jaar werkdagen]]</f>
        <v>0</v>
      </c>
      <c r="AH116" s="117"/>
      <c r="HL116" s="87"/>
    </row>
    <row r="117" spans="1:220" ht="15" customHeight="1">
      <c r="A117" s="136">
        <v>1</v>
      </c>
      <c r="B117" s="27" t="str">
        <f>VLOOKUP(Ruimtestaat[[#This Row],[Code]],Locaties[#All],2,FALSE)</f>
        <v>Hoornbeeck College Gouda</v>
      </c>
      <c r="C117" s="27" t="str">
        <f>VLOOKUP(Ruimtestaat[[#This Row],[Code]],Locaties[#All],4,FALSE)</f>
        <v>Noordelijk Halfrond 10</v>
      </c>
      <c r="D117" s="27" t="str">
        <f>VLOOKUP(Ruimtestaat[[#This Row],[Code]],Locaties[#All],5,FALSE)</f>
        <v>2801 DE</v>
      </c>
      <c r="E117" s="27" t="str">
        <f>VLOOKUP(Ruimtestaat[[#This Row],[Code]],Locaties[#All],6,FALSE)</f>
        <v>Gouda</v>
      </c>
      <c r="F117" s="74" t="s">
        <v>465</v>
      </c>
      <c r="G117" s="285" t="s">
        <v>543</v>
      </c>
      <c r="H117" s="286" t="s">
        <v>550</v>
      </c>
      <c r="I117" s="287" t="s">
        <v>653</v>
      </c>
      <c r="J117" s="288">
        <v>16</v>
      </c>
      <c r="K117" s="74" t="str">
        <f>VLOOKUP(J117,Ruimtegroepen[],2,FALSE)</f>
        <v>Leslokalen</v>
      </c>
      <c r="L117" s="285" t="s">
        <v>110</v>
      </c>
      <c r="M117" s="287" t="s">
        <v>38</v>
      </c>
      <c r="N117" s="289">
        <v>55.4</v>
      </c>
      <c r="O117" s="285"/>
      <c r="P117" s="118" t="str">
        <f>LEFT(VLOOKUP(Ruimtestaat[[#This Row],[Ruimte code]],Ruimtegroepen[#All],4,1),2)</f>
        <v>Le</v>
      </c>
      <c r="Q117" s="107"/>
      <c r="R117" s="108">
        <v>40</v>
      </c>
      <c r="S117" s="109" t="s">
        <v>2</v>
      </c>
      <c r="T117" s="110">
        <f>IF(R117&gt;0,IF(RIGHT(Ruimtestaat[[#This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" s="110">
        <f>IF(T117&gt;0,VLOOKUP($J117,Ruimtegroepen[],3,FALSE)*VLOOKUP($L117,Vloersoorten[],3,FALSE)*VLOOKUP($S117,Frequenties[],3,FALSE)*VLOOKUP($A117,Locaties[],3,FALSE),0)</f>
        <v>0</v>
      </c>
      <c r="V117" s="111">
        <f>Ruimtestaat[[#This Row],[Uitvoeringen werkdagen]]*Ruimtestaat[[#This Row],[Oppervlak (netto)]]</f>
        <v>11080</v>
      </c>
      <c r="W117" s="112">
        <f>IF(U117&gt;0,Ruimtestaat[[#This Row],[Prest. (m2 /jaar) werkdagen]]/Ruimtestaat[[#This Row],[Norm (m2/uur) werkdagen]],0)</f>
        <v>0</v>
      </c>
      <c r="X117" s="113">
        <f>Ruimtestaat[[#This Row],[uren / jaar werkdagen]]*Tariefsopbouw!$E$35</f>
        <v>0</v>
      </c>
      <c r="Y117" s="110"/>
      <c r="Z117" s="114">
        <f>IF(Ruimtestaat[[#This Row],[Frequentie weekend]]&gt;0,VALUE(LEFT(Y117,1))*R117,0)</f>
        <v>0</v>
      </c>
      <c r="AA117" s="110">
        <f>IF($Z117&gt;0,VLOOKUP($J117,Ruimtegroepen[],3,FALSE)*VLOOKUP($L117,Vloersoorten[],3,FALSE)*VLOOKUP($Y117,Frequenties[],3,FALSE)*VLOOKUP(#REF!,Locaties[],3,FALSE),0)</f>
        <v>0</v>
      </c>
      <c r="AB117" s="112">
        <f>Ruimtestaat[[#This Row],[Uitvoeringen weekend]]*Ruimtestaat[[#This Row],[Oppervlak (netto)]]</f>
        <v>0</v>
      </c>
      <c r="AC117" s="115">
        <f>IF(AB117&gt;0,Ruimtestaat[[#This Row],[Prest. (m2 /jaar) weekend]]/Ruimtestaat[[#This Row],[Norm (m2/uur) weekend]],0)</f>
        <v>0</v>
      </c>
      <c r="AD117" s="116">
        <f>Ruimtestaat[[#This Row],[uren / jaar weekend]]*Tariefsopbouw!$D$40</f>
        <v>0</v>
      </c>
      <c r="AE117" s="82">
        <f>Ruimtestaat[[#This Row],[Prest. (m2 /jaar) weekend]]+Ruimtestaat[[#This Row],[Prest. (m2 /jaar) werkdagen]]</f>
        <v>11080</v>
      </c>
      <c r="AF117" s="82">
        <f>Ruimtestaat[[#This Row],[uren / jaar weekend]]+Ruimtestaat[[#This Row],[uren / jaar werkdagen]]</f>
        <v>0</v>
      </c>
      <c r="AG117" s="83">
        <f>Ruimtestaat[[#This Row],[kosten / jaar weekend]]+Ruimtestaat[[#This Row],[kosten / jaar werkdagen]]</f>
        <v>0</v>
      </c>
      <c r="AH117" s="117"/>
      <c r="HL117" s="87"/>
    </row>
    <row r="118" spans="1:220" ht="15" customHeight="1">
      <c r="A118" s="136">
        <v>1</v>
      </c>
      <c r="B118" s="27" t="str">
        <f>VLOOKUP(Ruimtestaat[[#This Row],[Code]],Locaties[#All],2,FALSE)</f>
        <v>Hoornbeeck College Gouda</v>
      </c>
      <c r="C118" s="27" t="str">
        <f>VLOOKUP(Ruimtestaat[[#This Row],[Code]],Locaties[#All],4,FALSE)</f>
        <v>Noordelijk Halfrond 10</v>
      </c>
      <c r="D118" s="27" t="str">
        <f>VLOOKUP(Ruimtestaat[[#This Row],[Code]],Locaties[#All],5,FALSE)</f>
        <v>2801 DE</v>
      </c>
      <c r="E118" s="27" t="str">
        <f>VLOOKUP(Ruimtestaat[[#This Row],[Code]],Locaties[#All],6,FALSE)</f>
        <v>Gouda</v>
      </c>
      <c r="F118" s="74" t="s">
        <v>465</v>
      </c>
      <c r="G118" s="285" t="s">
        <v>543</v>
      </c>
      <c r="H118" s="286" t="s">
        <v>551</v>
      </c>
      <c r="I118" s="287" t="s">
        <v>683</v>
      </c>
      <c r="J118" s="288">
        <v>9</v>
      </c>
      <c r="K118" s="74" t="str">
        <f>VLOOKUP(J118,Ruimtegroepen[],2,FALSE)</f>
        <v>Bibliotheek/OLC</v>
      </c>
      <c r="L118" s="285" t="s">
        <v>110</v>
      </c>
      <c r="M118" s="287" t="s">
        <v>38</v>
      </c>
      <c r="N118" s="289">
        <v>95.78</v>
      </c>
      <c r="O118" s="285"/>
      <c r="P118" s="118" t="str">
        <f>LEFT(VLOOKUP(Ruimtestaat[[#This Row],[Ruimte code]],Ruimtegroepen[#All],4,1),2)</f>
        <v>Le</v>
      </c>
      <c r="Q118" s="107"/>
      <c r="R118" s="108">
        <v>40</v>
      </c>
      <c r="S118" s="109" t="s">
        <v>2</v>
      </c>
      <c r="T118" s="110">
        <f>IF(R118&gt;0,IF(RIGHT(Ruimtestaat[[#This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8" s="110">
        <f>IF(T118&gt;0,VLOOKUP($J118,Ruimtegroepen[],3,FALSE)*VLOOKUP($L118,Vloersoorten[],3,FALSE)*VLOOKUP($S118,Frequenties[],3,FALSE)*VLOOKUP($A118,Locaties[],3,FALSE),0)</f>
        <v>0</v>
      </c>
      <c r="V118" s="111">
        <f>Ruimtestaat[[#This Row],[Uitvoeringen werkdagen]]*Ruimtestaat[[#This Row],[Oppervlak (netto)]]</f>
        <v>19156</v>
      </c>
      <c r="W118" s="112">
        <f>IF(U118&gt;0,Ruimtestaat[[#This Row],[Prest. (m2 /jaar) werkdagen]]/Ruimtestaat[[#This Row],[Norm (m2/uur) werkdagen]],0)</f>
        <v>0</v>
      </c>
      <c r="X118" s="113">
        <f>Ruimtestaat[[#This Row],[uren / jaar werkdagen]]*Tariefsopbouw!$E$35</f>
        <v>0</v>
      </c>
      <c r="Y118" s="110"/>
      <c r="Z118" s="114">
        <f>IF(Ruimtestaat[[#This Row],[Frequentie weekend]]&gt;0,VALUE(LEFT(Y118,1))*R118,0)</f>
        <v>0</v>
      </c>
      <c r="AA118" s="110">
        <f>IF($Z118&gt;0,VLOOKUP($J118,Ruimtegroepen[],3,FALSE)*VLOOKUP($L118,Vloersoorten[],3,FALSE)*VLOOKUP($Y118,Frequenties[],3,FALSE)*VLOOKUP(#REF!,Locaties[],3,FALSE),0)</f>
        <v>0</v>
      </c>
      <c r="AB118" s="112">
        <f>Ruimtestaat[[#This Row],[Uitvoeringen weekend]]*Ruimtestaat[[#This Row],[Oppervlak (netto)]]</f>
        <v>0</v>
      </c>
      <c r="AC118" s="115">
        <f>IF(AB118&gt;0,Ruimtestaat[[#This Row],[Prest. (m2 /jaar) weekend]]/Ruimtestaat[[#This Row],[Norm (m2/uur) weekend]],0)</f>
        <v>0</v>
      </c>
      <c r="AD118" s="116">
        <f>Ruimtestaat[[#This Row],[uren / jaar weekend]]*Tariefsopbouw!$D$40</f>
        <v>0</v>
      </c>
      <c r="AE118" s="82">
        <f>Ruimtestaat[[#This Row],[Prest. (m2 /jaar) weekend]]+Ruimtestaat[[#This Row],[Prest. (m2 /jaar) werkdagen]]</f>
        <v>19156</v>
      </c>
      <c r="AF118" s="82">
        <f>Ruimtestaat[[#This Row],[uren / jaar weekend]]+Ruimtestaat[[#This Row],[uren / jaar werkdagen]]</f>
        <v>0</v>
      </c>
      <c r="AG118" s="83">
        <f>Ruimtestaat[[#This Row],[kosten / jaar weekend]]+Ruimtestaat[[#This Row],[kosten / jaar werkdagen]]</f>
        <v>0</v>
      </c>
      <c r="AH118" s="117"/>
      <c r="HL118" s="87"/>
    </row>
    <row r="119" spans="1:220" ht="15" customHeight="1">
      <c r="A119" s="136">
        <v>1</v>
      </c>
      <c r="B119" s="27" t="str">
        <f>VLOOKUP(Ruimtestaat[[#This Row],[Code]],Locaties[#All],2,FALSE)</f>
        <v>Hoornbeeck College Gouda</v>
      </c>
      <c r="C119" s="27" t="str">
        <f>VLOOKUP(Ruimtestaat[[#This Row],[Code]],Locaties[#All],4,FALSE)</f>
        <v>Noordelijk Halfrond 10</v>
      </c>
      <c r="D119" s="27" t="str">
        <f>VLOOKUP(Ruimtestaat[[#This Row],[Code]],Locaties[#All],5,FALSE)</f>
        <v>2801 DE</v>
      </c>
      <c r="E119" s="27" t="str">
        <f>VLOOKUP(Ruimtestaat[[#This Row],[Code]],Locaties[#All],6,FALSE)</f>
        <v>Gouda</v>
      </c>
      <c r="F119" s="74" t="s">
        <v>465</v>
      </c>
      <c r="G119" s="285" t="s">
        <v>543</v>
      </c>
      <c r="H119" s="286" t="s">
        <v>552</v>
      </c>
      <c r="I119" s="287" t="s">
        <v>677</v>
      </c>
      <c r="J119" s="288">
        <v>9</v>
      </c>
      <c r="K119" s="74" t="str">
        <f>VLOOKUP(J119,Ruimtegroepen[],2,FALSE)</f>
        <v>Bibliotheek/OLC</v>
      </c>
      <c r="L119" s="285" t="s">
        <v>110</v>
      </c>
      <c r="M119" s="287" t="s">
        <v>38</v>
      </c>
      <c r="N119" s="289">
        <v>10.9</v>
      </c>
      <c r="O119" s="285"/>
      <c r="P119" s="118" t="str">
        <f>LEFT(VLOOKUP(Ruimtestaat[[#This Row],[Ruimte code]],Ruimtegroepen[#All],4,1),2)</f>
        <v>Le</v>
      </c>
      <c r="Q119" s="107"/>
      <c r="R119" s="108">
        <v>40</v>
      </c>
      <c r="S119" s="109" t="s">
        <v>2</v>
      </c>
      <c r="T119" s="110">
        <f>IF(R119&gt;0,IF(RIGHT(Ruimtestaat[[#This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" s="110">
        <f>IF(T119&gt;0,VLOOKUP($J119,Ruimtegroepen[],3,FALSE)*VLOOKUP($L119,Vloersoorten[],3,FALSE)*VLOOKUP($S119,Frequenties[],3,FALSE)*VLOOKUP($A119,Locaties[],3,FALSE),0)</f>
        <v>0</v>
      </c>
      <c r="V119" s="111">
        <f>Ruimtestaat[[#This Row],[Uitvoeringen werkdagen]]*Ruimtestaat[[#This Row],[Oppervlak (netto)]]</f>
        <v>2180</v>
      </c>
      <c r="W119" s="112">
        <f>IF(U119&gt;0,Ruimtestaat[[#This Row],[Prest. (m2 /jaar) werkdagen]]/Ruimtestaat[[#This Row],[Norm (m2/uur) werkdagen]],0)</f>
        <v>0</v>
      </c>
      <c r="X119" s="113">
        <f>Ruimtestaat[[#This Row],[uren / jaar werkdagen]]*Tariefsopbouw!$E$35</f>
        <v>0</v>
      </c>
      <c r="Y119" s="110"/>
      <c r="Z119" s="114">
        <f>IF(Ruimtestaat[[#This Row],[Frequentie weekend]]&gt;0,VALUE(LEFT(Y119,1))*R119,0)</f>
        <v>0</v>
      </c>
      <c r="AA119" s="110">
        <f>IF($Z119&gt;0,VLOOKUP($J119,Ruimtegroepen[],3,FALSE)*VLOOKUP($L119,Vloersoorten[],3,FALSE)*VLOOKUP($Y119,Frequenties[],3,FALSE)*VLOOKUP(#REF!,Locaties[],3,FALSE),0)</f>
        <v>0</v>
      </c>
      <c r="AB119" s="112">
        <f>Ruimtestaat[[#This Row],[Uitvoeringen weekend]]*Ruimtestaat[[#This Row],[Oppervlak (netto)]]</f>
        <v>0</v>
      </c>
      <c r="AC119" s="115">
        <f>IF(AB119&gt;0,Ruimtestaat[[#This Row],[Prest. (m2 /jaar) weekend]]/Ruimtestaat[[#This Row],[Norm (m2/uur) weekend]],0)</f>
        <v>0</v>
      </c>
      <c r="AD119" s="116">
        <f>Ruimtestaat[[#This Row],[uren / jaar weekend]]*Tariefsopbouw!$D$40</f>
        <v>0</v>
      </c>
      <c r="AE119" s="82">
        <f>Ruimtestaat[[#This Row],[Prest. (m2 /jaar) weekend]]+Ruimtestaat[[#This Row],[Prest. (m2 /jaar) werkdagen]]</f>
        <v>2180</v>
      </c>
      <c r="AF119" s="82">
        <f>Ruimtestaat[[#This Row],[uren / jaar weekend]]+Ruimtestaat[[#This Row],[uren / jaar werkdagen]]</f>
        <v>0</v>
      </c>
      <c r="AG119" s="83">
        <f>Ruimtestaat[[#This Row],[kosten / jaar weekend]]+Ruimtestaat[[#This Row],[kosten / jaar werkdagen]]</f>
        <v>0</v>
      </c>
      <c r="AH119" s="117"/>
      <c r="HL119" s="87"/>
    </row>
    <row r="120" spans="1:220" ht="15" customHeight="1">
      <c r="A120" s="136">
        <v>1</v>
      </c>
      <c r="B120" s="27" t="str">
        <f>VLOOKUP(Ruimtestaat[[#This Row],[Code]],Locaties[#All],2,FALSE)</f>
        <v>Hoornbeeck College Gouda</v>
      </c>
      <c r="C120" s="27" t="str">
        <f>VLOOKUP(Ruimtestaat[[#This Row],[Code]],Locaties[#All],4,FALSE)</f>
        <v>Noordelijk Halfrond 10</v>
      </c>
      <c r="D120" s="27" t="str">
        <f>VLOOKUP(Ruimtestaat[[#This Row],[Code]],Locaties[#All],5,FALSE)</f>
        <v>2801 DE</v>
      </c>
      <c r="E120" s="27" t="str">
        <f>VLOOKUP(Ruimtestaat[[#This Row],[Code]],Locaties[#All],6,FALSE)</f>
        <v>Gouda</v>
      </c>
      <c r="F120" s="74" t="s">
        <v>465</v>
      </c>
      <c r="G120" s="285" t="s">
        <v>543</v>
      </c>
      <c r="H120" s="286" t="s">
        <v>684</v>
      </c>
      <c r="I120" s="287" t="s">
        <v>683</v>
      </c>
      <c r="J120" s="288">
        <v>9</v>
      </c>
      <c r="K120" s="74" t="str">
        <f>VLOOKUP(J120,Ruimtegroepen[],2,FALSE)</f>
        <v>Bibliotheek/OLC</v>
      </c>
      <c r="L120" s="285" t="s">
        <v>110</v>
      </c>
      <c r="M120" s="287" t="s">
        <v>38</v>
      </c>
      <c r="N120" s="289">
        <v>47.3</v>
      </c>
      <c r="O120" s="285"/>
      <c r="P120" s="118" t="str">
        <f>LEFT(VLOOKUP(Ruimtestaat[[#This Row],[Ruimte code]],Ruimtegroepen[#All],4,1),2)</f>
        <v>Le</v>
      </c>
      <c r="Q120" s="107"/>
      <c r="R120" s="108">
        <v>40</v>
      </c>
      <c r="S120" s="109" t="s">
        <v>2</v>
      </c>
      <c r="T120" s="110">
        <f>IF(R120&gt;0,IF(RIGHT(Ruimtestaat[[#This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" s="110">
        <f>IF(T120&gt;0,VLOOKUP($J120,Ruimtegroepen[],3,FALSE)*VLOOKUP($L120,Vloersoorten[],3,FALSE)*VLOOKUP($S120,Frequenties[],3,FALSE)*VLOOKUP($A120,Locaties[],3,FALSE),0)</f>
        <v>0</v>
      </c>
      <c r="V120" s="111">
        <f>Ruimtestaat[[#This Row],[Uitvoeringen werkdagen]]*Ruimtestaat[[#This Row],[Oppervlak (netto)]]</f>
        <v>9460</v>
      </c>
      <c r="W120" s="112">
        <f>IF(U120&gt;0,Ruimtestaat[[#This Row],[Prest. (m2 /jaar) werkdagen]]/Ruimtestaat[[#This Row],[Norm (m2/uur) werkdagen]],0)</f>
        <v>0</v>
      </c>
      <c r="X120" s="113">
        <f>Ruimtestaat[[#This Row],[uren / jaar werkdagen]]*Tariefsopbouw!$E$35</f>
        <v>0</v>
      </c>
      <c r="Y120" s="110"/>
      <c r="Z120" s="114">
        <f>IF(Ruimtestaat[[#This Row],[Frequentie weekend]]&gt;0,VALUE(LEFT(Y120,1))*R120,0)</f>
        <v>0</v>
      </c>
      <c r="AA120" s="110">
        <f>IF($Z120&gt;0,VLOOKUP($J120,Ruimtegroepen[],3,FALSE)*VLOOKUP($L120,Vloersoorten[],3,FALSE)*VLOOKUP($Y120,Frequenties[],3,FALSE)*VLOOKUP(#REF!,Locaties[],3,FALSE),0)</f>
        <v>0</v>
      </c>
      <c r="AB120" s="112">
        <f>Ruimtestaat[[#This Row],[Uitvoeringen weekend]]*Ruimtestaat[[#This Row],[Oppervlak (netto)]]</f>
        <v>0</v>
      </c>
      <c r="AC120" s="115">
        <f>IF(AB120&gt;0,Ruimtestaat[[#This Row],[Prest. (m2 /jaar) weekend]]/Ruimtestaat[[#This Row],[Norm (m2/uur) weekend]],0)</f>
        <v>0</v>
      </c>
      <c r="AD120" s="116">
        <f>Ruimtestaat[[#This Row],[uren / jaar weekend]]*Tariefsopbouw!$D$40</f>
        <v>0</v>
      </c>
      <c r="AE120" s="82">
        <f>Ruimtestaat[[#This Row],[Prest. (m2 /jaar) weekend]]+Ruimtestaat[[#This Row],[Prest. (m2 /jaar) werkdagen]]</f>
        <v>9460</v>
      </c>
      <c r="AF120" s="82">
        <f>Ruimtestaat[[#This Row],[uren / jaar weekend]]+Ruimtestaat[[#This Row],[uren / jaar werkdagen]]</f>
        <v>0</v>
      </c>
      <c r="AG120" s="83">
        <f>Ruimtestaat[[#This Row],[kosten / jaar weekend]]+Ruimtestaat[[#This Row],[kosten / jaar werkdagen]]</f>
        <v>0</v>
      </c>
      <c r="AH120" s="117"/>
      <c r="HL120" s="87"/>
    </row>
    <row r="121" spans="1:220" ht="15" customHeight="1">
      <c r="A121" s="136">
        <v>1</v>
      </c>
      <c r="B121" s="27" t="str">
        <f>VLOOKUP(Ruimtestaat[[#This Row],[Code]],Locaties[#All],2,FALSE)</f>
        <v>Hoornbeeck College Gouda</v>
      </c>
      <c r="C121" s="27" t="str">
        <f>VLOOKUP(Ruimtestaat[[#This Row],[Code]],Locaties[#All],4,FALSE)</f>
        <v>Noordelijk Halfrond 10</v>
      </c>
      <c r="D121" s="27" t="str">
        <f>VLOOKUP(Ruimtestaat[[#This Row],[Code]],Locaties[#All],5,FALSE)</f>
        <v>2801 DE</v>
      </c>
      <c r="E121" s="27" t="str">
        <f>VLOOKUP(Ruimtestaat[[#This Row],[Code]],Locaties[#All],6,FALSE)</f>
        <v>Gouda</v>
      </c>
      <c r="F121" s="74" t="s">
        <v>465</v>
      </c>
      <c r="G121" s="285" t="s">
        <v>543</v>
      </c>
      <c r="H121" s="286" t="s">
        <v>553</v>
      </c>
      <c r="I121" s="287" t="s">
        <v>632</v>
      </c>
      <c r="J121" s="288">
        <v>6</v>
      </c>
      <c r="K121" s="74" t="str">
        <f>VLOOKUP(J121,Ruimtegroepen[],2,FALSE)</f>
        <v>Gangen/hallen</v>
      </c>
      <c r="L121" s="285" t="s">
        <v>110</v>
      </c>
      <c r="M121" s="287" t="s">
        <v>38</v>
      </c>
      <c r="N121" s="289">
        <v>30.85</v>
      </c>
      <c r="O121" s="285"/>
      <c r="P121" s="118" t="str">
        <f>LEFT(VLOOKUP(Ruimtestaat[[#This Row],[Ruimte code]],Ruimtegroepen[#All],4,1),2)</f>
        <v>Ve</v>
      </c>
      <c r="Q121" s="107"/>
      <c r="R121" s="108">
        <v>40</v>
      </c>
      <c r="S121" s="109" t="s">
        <v>2</v>
      </c>
      <c r="T121" s="110">
        <f>IF(R121&gt;0,IF(RIGHT(Ruimtestaat[[#This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1" s="110">
        <f>IF(T121&gt;0,VLOOKUP($J121,Ruimtegroepen[],3,FALSE)*VLOOKUP($L121,Vloersoorten[],3,FALSE)*VLOOKUP($S121,Frequenties[],3,FALSE)*VLOOKUP($A121,Locaties[],3,FALSE),0)</f>
        <v>0</v>
      </c>
      <c r="V121" s="111">
        <f>Ruimtestaat[[#This Row],[Uitvoeringen werkdagen]]*Ruimtestaat[[#This Row],[Oppervlak (netto)]]</f>
        <v>6170</v>
      </c>
      <c r="W121" s="112">
        <f>IF(U121&gt;0,Ruimtestaat[[#This Row],[Prest. (m2 /jaar) werkdagen]]/Ruimtestaat[[#This Row],[Norm (m2/uur) werkdagen]],0)</f>
        <v>0</v>
      </c>
      <c r="X121" s="113">
        <f>Ruimtestaat[[#This Row],[uren / jaar werkdagen]]*Tariefsopbouw!$E$35</f>
        <v>0</v>
      </c>
      <c r="Y121" s="110"/>
      <c r="Z121" s="114">
        <f>IF(Ruimtestaat[[#This Row],[Frequentie weekend]]&gt;0,VALUE(LEFT(Y121,1))*R121,0)</f>
        <v>0</v>
      </c>
      <c r="AA121" s="110">
        <f>IF($Z121&gt;0,VLOOKUP($J121,Ruimtegroepen[],3,FALSE)*VLOOKUP($L121,Vloersoorten[],3,FALSE)*VLOOKUP($Y121,Frequenties[],3,FALSE)*VLOOKUP(#REF!,Locaties[],3,FALSE),0)</f>
        <v>0</v>
      </c>
      <c r="AB121" s="112">
        <f>Ruimtestaat[[#This Row],[Uitvoeringen weekend]]*Ruimtestaat[[#This Row],[Oppervlak (netto)]]</f>
        <v>0</v>
      </c>
      <c r="AC121" s="115">
        <f>IF(AB121&gt;0,Ruimtestaat[[#This Row],[Prest. (m2 /jaar) weekend]]/Ruimtestaat[[#This Row],[Norm (m2/uur) weekend]],0)</f>
        <v>0</v>
      </c>
      <c r="AD121" s="116">
        <f>Ruimtestaat[[#This Row],[uren / jaar weekend]]*Tariefsopbouw!$D$40</f>
        <v>0</v>
      </c>
      <c r="AE121" s="82">
        <f>Ruimtestaat[[#This Row],[Prest. (m2 /jaar) weekend]]+Ruimtestaat[[#This Row],[Prest. (m2 /jaar) werkdagen]]</f>
        <v>6170</v>
      </c>
      <c r="AF121" s="82">
        <f>Ruimtestaat[[#This Row],[uren / jaar weekend]]+Ruimtestaat[[#This Row],[uren / jaar werkdagen]]</f>
        <v>0</v>
      </c>
      <c r="AG121" s="83">
        <f>Ruimtestaat[[#This Row],[kosten / jaar weekend]]+Ruimtestaat[[#This Row],[kosten / jaar werkdagen]]</f>
        <v>0</v>
      </c>
      <c r="AH121" s="117"/>
      <c r="HL121" s="87"/>
    </row>
    <row r="122" spans="1:220" ht="15" customHeight="1">
      <c r="A122" s="136">
        <v>1</v>
      </c>
      <c r="B122" s="27" t="str">
        <f>VLOOKUP(Ruimtestaat[[#This Row],[Code]],Locaties[#All],2,FALSE)</f>
        <v>Hoornbeeck College Gouda</v>
      </c>
      <c r="C122" s="27" t="str">
        <f>VLOOKUP(Ruimtestaat[[#This Row],[Code]],Locaties[#All],4,FALSE)</f>
        <v>Noordelijk Halfrond 10</v>
      </c>
      <c r="D122" s="27" t="str">
        <f>VLOOKUP(Ruimtestaat[[#This Row],[Code]],Locaties[#All],5,FALSE)</f>
        <v>2801 DE</v>
      </c>
      <c r="E122" s="27" t="str">
        <f>VLOOKUP(Ruimtestaat[[#This Row],[Code]],Locaties[#All],6,FALSE)</f>
        <v>Gouda</v>
      </c>
      <c r="F122" s="74" t="s">
        <v>465</v>
      </c>
      <c r="G122" s="285" t="s">
        <v>543</v>
      </c>
      <c r="H122" s="286"/>
      <c r="I122" s="287" t="s">
        <v>470</v>
      </c>
      <c r="J122" s="288">
        <v>10</v>
      </c>
      <c r="K122" s="74" t="str">
        <f>VLOOKUP(J122,Ruimtegroepen[],2,FALSE)</f>
        <v>Trappenhuizen/lift</v>
      </c>
      <c r="L122" s="285" t="s">
        <v>110</v>
      </c>
      <c r="M122" s="287" t="s">
        <v>38</v>
      </c>
      <c r="N122" s="289">
        <v>15</v>
      </c>
      <c r="O122" s="285"/>
      <c r="P122" s="118" t="str">
        <f>LEFT(VLOOKUP(Ruimtestaat[[#This Row],[Ruimte code]],Ruimtegroepen[#All],4,1),2)</f>
        <v>Ve</v>
      </c>
      <c r="Q122" s="107"/>
      <c r="R122" s="108">
        <v>40</v>
      </c>
      <c r="S122" s="109" t="s">
        <v>2</v>
      </c>
      <c r="T122" s="110">
        <f>IF(R122&gt;0,IF(RIGHT(Ruimtestaat[[#This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" s="110">
        <f>IF(T122&gt;0,VLOOKUP($J122,Ruimtegroepen[],3,FALSE)*VLOOKUP($L122,Vloersoorten[],3,FALSE)*VLOOKUP($S122,Frequenties[],3,FALSE)*VLOOKUP($A122,Locaties[],3,FALSE),0)</f>
        <v>0</v>
      </c>
      <c r="V122" s="111">
        <f>Ruimtestaat[[#This Row],[Uitvoeringen werkdagen]]*Ruimtestaat[[#This Row],[Oppervlak (netto)]]</f>
        <v>3000</v>
      </c>
      <c r="W122" s="112">
        <f>IF(U122&gt;0,Ruimtestaat[[#This Row],[Prest. (m2 /jaar) werkdagen]]/Ruimtestaat[[#This Row],[Norm (m2/uur) werkdagen]],0)</f>
        <v>0</v>
      </c>
      <c r="X122" s="113">
        <f>Ruimtestaat[[#This Row],[uren / jaar werkdagen]]*Tariefsopbouw!$E$35</f>
        <v>0</v>
      </c>
      <c r="Y122" s="110"/>
      <c r="Z122" s="114">
        <f>IF(Ruimtestaat[[#This Row],[Frequentie weekend]]&gt;0,VALUE(LEFT(Y122,1))*R122,0)</f>
        <v>0</v>
      </c>
      <c r="AA122" s="110">
        <f>IF($Z122&gt;0,VLOOKUP($J122,Ruimtegroepen[],3,FALSE)*VLOOKUP($L122,Vloersoorten[],3,FALSE)*VLOOKUP($Y122,Frequenties[],3,FALSE)*VLOOKUP(#REF!,Locaties[],3,FALSE),0)</f>
        <v>0</v>
      </c>
      <c r="AB122" s="112">
        <f>Ruimtestaat[[#This Row],[Uitvoeringen weekend]]*Ruimtestaat[[#This Row],[Oppervlak (netto)]]</f>
        <v>0</v>
      </c>
      <c r="AC122" s="115">
        <f>IF(AB122&gt;0,Ruimtestaat[[#This Row],[Prest. (m2 /jaar) weekend]]/Ruimtestaat[[#This Row],[Norm (m2/uur) weekend]],0)</f>
        <v>0</v>
      </c>
      <c r="AD122" s="116">
        <f>Ruimtestaat[[#This Row],[uren / jaar weekend]]*Tariefsopbouw!$D$40</f>
        <v>0</v>
      </c>
      <c r="AE122" s="82">
        <f>Ruimtestaat[[#This Row],[Prest. (m2 /jaar) weekend]]+Ruimtestaat[[#This Row],[Prest. (m2 /jaar) werkdagen]]</f>
        <v>3000</v>
      </c>
      <c r="AF122" s="82">
        <f>Ruimtestaat[[#This Row],[uren / jaar weekend]]+Ruimtestaat[[#This Row],[uren / jaar werkdagen]]</f>
        <v>0</v>
      </c>
      <c r="AG122" s="83">
        <f>Ruimtestaat[[#This Row],[kosten / jaar weekend]]+Ruimtestaat[[#This Row],[kosten / jaar werkdagen]]</f>
        <v>0</v>
      </c>
      <c r="AH122" s="117"/>
      <c r="HL122" s="87"/>
    </row>
    <row r="123" spans="1:220" ht="15" customHeight="1">
      <c r="A123" s="136">
        <v>1</v>
      </c>
      <c r="B123" s="27" t="str">
        <f>VLOOKUP(Ruimtestaat[[#This Row],[Code]],Locaties[#All],2,FALSE)</f>
        <v>Hoornbeeck College Gouda</v>
      </c>
      <c r="C123" s="27" t="str">
        <f>VLOOKUP(Ruimtestaat[[#This Row],[Code]],Locaties[#All],4,FALSE)</f>
        <v>Noordelijk Halfrond 10</v>
      </c>
      <c r="D123" s="27" t="str">
        <f>VLOOKUP(Ruimtestaat[[#This Row],[Code]],Locaties[#All],5,FALSE)</f>
        <v>2801 DE</v>
      </c>
      <c r="E123" s="27" t="str">
        <f>VLOOKUP(Ruimtestaat[[#This Row],[Code]],Locaties[#All],6,FALSE)</f>
        <v>Gouda</v>
      </c>
      <c r="F123" s="74" t="s">
        <v>465</v>
      </c>
      <c r="G123" s="285" t="s">
        <v>543</v>
      </c>
      <c r="H123" s="286" t="s">
        <v>554</v>
      </c>
      <c r="I123" s="287" t="s">
        <v>639</v>
      </c>
      <c r="J123" s="288">
        <v>5</v>
      </c>
      <c r="K123" s="74" t="str">
        <f>VLOOKUP(J123,Ruimtegroepen[],2,FALSE)</f>
        <v>Sanitair</v>
      </c>
      <c r="L123" s="285" t="s">
        <v>112</v>
      </c>
      <c r="M123" s="287" t="s">
        <v>469</v>
      </c>
      <c r="N123" s="289">
        <v>5.6</v>
      </c>
      <c r="O123" s="285"/>
      <c r="P123" s="118" t="str">
        <f>LEFT(VLOOKUP(Ruimtestaat[[#This Row],[Ruimte code]],Ruimtegroepen[#All],4,1),2)</f>
        <v>Sa</v>
      </c>
      <c r="Q123" s="107"/>
      <c r="R123" s="108">
        <v>40</v>
      </c>
      <c r="S123" s="109" t="s">
        <v>2</v>
      </c>
      <c r="T123" s="110">
        <f>IF(R123&gt;0,IF(RIGHT(Ruimtestaat[[#This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" s="110">
        <f>IF(T123&gt;0,VLOOKUP($J123,Ruimtegroepen[],3,FALSE)*VLOOKUP($L123,Vloersoorten[],3,FALSE)*VLOOKUP($S123,Frequenties[],3,FALSE)*VLOOKUP($A123,Locaties[],3,FALSE),0)</f>
        <v>0</v>
      </c>
      <c r="V123" s="111">
        <f>Ruimtestaat[[#This Row],[Uitvoeringen werkdagen]]*Ruimtestaat[[#This Row],[Oppervlak (netto)]]</f>
        <v>1120</v>
      </c>
      <c r="W123" s="112">
        <f>IF(U123&gt;0,Ruimtestaat[[#This Row],[Prest. (m2 /jaar) werkdagen]]/Ruimtestaat[[#This Row],[Norm (m2/uur) werkdagen]],0)</f>
        <v>0</v>
      </c>
      <c r="X123" s="113">
        <f>Ruimtestaat[[#This Row],[uren / jaar werkdagen]]*Tariefsopbouw!$E$35</f>
        <v>0</v>
      </c>
      <c r="Y123" s="110"/>
      <c r="Z123" s="114">
        <f>IF(Ruimtestaat[[#This Row],[Frequentie weekend]]&gt;0,VALUE(LEFT(Y123,1))*R123,0)</f>
        <v>0</v>
      </c>
      <c r="AA123" s="110">
        <f>IF($Z123&gt;0,VLOOKUP($J123,Ruimtegroepen[],3,FALSE)*VLOOKUP($L123,Vloersoorten[],3,FALSE)*VLOOKUP($Y123,Frequenties[],3,FALSE)*VLOOKUP(#REF!,Locaties[],3,FALSE),0)</f>
        <v>0</v>
      </c>
      <c r="AB123" s="112">
        <f>Ruimtestaat[[#This Row],[Uitvoeringen weekend]]*Ruimtestaat[[#This Row],[Oppervlak (netto)]]</f>
        <v>0</v>
      </c>
      <c r="AC123" s="115">
        <f>IF(AB123&gt;0,Ruimtestaat[[#This Row],[Prest. (m2 /jaar) weekend]]/Ruimtestaat[[#This Row],[Norm (m2/uur) weekend]],0)</f>
        <v>0</v>
      </c>
      <c r="AD123" s="116">
        <f>Ruimtestaat[[#This Row],[uren / jaar weekend]]*Tariefsopbouw!$D$40</f>
        <v>0</v>
      </c>
      <c r="AE123" s="82">
        <f>Ruimtestaat[[#This Row],[Prest. (m2 /jaar) weekend]]+Ruimtestaat[[#This Row],[Prest. (m2 /jaar) werkdagen]]</f>
        <v>1120</v>
      </c>
      <c r="AF123" s="82">
        <f>Ruimtestaat[[#This Row],[uren / jaar weekend]]+Ruimtestaat[[#This Row],[uren / jaar werkdagen]]</f>
        <v>0</v>
      </c>
      <c r="AG123" s="83">
        <f>Ruimtestaat[[#This Row],[kosten / jaar weekend]]+Ruimtestaat[[#This Row],[kosten / jaar werkdagen]]</f>
        <v>0</v>
      </c>
      <c r="AH123" s="117"/>
      <c r="HL123" s="87"/>
    </row>
    <row r="124" spans="1:220" ht="15" customHeight="1">
      <c r="A124" s="136">
        <v>1</v>
      </c>
      <c r="B124" s="27" t="str">
        <f>VLOOKUP(Ruimtestaat[[#This Row],[Code]],Locaties[#All],2,FALSE)</f>
        <v>Hoornbeeck College Gouda</v>
      </c>
      <c r="C124" s="27" t="str">
        <f>VLOOKUP(Ruimtestaat[[#This Row],[Code]],Locaties[#All],4,FALSE)</f>
        <v>Noordelijk Halfrond 10</v>
      </c>
      <c r="D124" s="27" t="str">
        <f>VLOOKUP(Ruimtestaat[[#This Row],[Code]],Locaties[#All],5,FALSE)</f>
        <v>2801 DE</v>
      </c>
      <c r="E124" s="27" t="str">
        <f>VLOOKUP(Ruimtestaat[[#This Row],[Code]],Locaties[#All],6,FALSE)</f>
        <v>Gouda</v>
      </c>
      <c r="F124" s="74" t="s">
        <v>465</v>
      </c>
      <c r="G124" s="285" t="s">
        <v>543</v>
      </c>
      <c r="H124" s="286" t="s">
        <v>555</v>
      </c>
      <c r="I124" s="287" t="s">
        <v>639</v>
      </c>
      <c r="J124" s="288">
        <v>5</v>
      </c>
      <c r="K124" s="74" t="str">
        <f>VLOOKUP(J124,Ruimtegroepen[],2,FALSE)</f>
        <v>Sanitair</v>
      </c>
      <c r="L124" s="285" t="s">
        <v>112</v>
      </c>
      <c r="M124" s="287" t="s">
        <v>469</v>
      </c>
      <c r="N124" s="289">
        <v>5.6</v>
      </c>
      <c r="O124" s="285"/>
      <c r="P124" s="118" t="str">
        <f>LEFT(VLOOKUP(Ruimtestaat[[#This Row],[Ruimte code]],Ruimtegroepen[#All],4,1),2)</f>
        <v>Sa</v>
      </c>
      <c r="Q124" s="107"/>
      <c r="R124" s="108">
        <v>40</v>
      </c>
      <c r="S124" s="109" t="s">
        <v>2</v>
      </c>
      <c r="T124" s="110">
        <f>IF(R124&gt;0,IF(RIGHT(Ruimtestaat[[#This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" s="110">
        <f>IF(T124&gt;0,VLOOKUP($J124,Ruimtegroepen[],3,FALSE)*VLOOKUP($L124,Vloersoorten[],3,FALSE)*VLOOKUP($S124,Frequenties[],3,FALSE)*VLOOKUP($A124,Locaties[],3,FALSE),0)</f>
        <v>0</v>
      </c>
      <c r="V124" s="111">
        <f>Ruimtestaat[[#This Row],[Uitvoeringen werkdagen]]*Ruimtestaat[[#This Row],[Oppervlak (netto)]]</f>
        <v>1120</v>
      </c>
      <c r="W124" s="112">
        <f>IF(U124&gt;0,Ruimtestaat[[#This Row],[Prest. (m2 /jaar) werkdagen]]/Ruimtestaat[[#This Row],[Norm (m2/uur) werkdagen]],0)</f>
        <v>0</v>
      </c>
      <c r="X124" s="113">
        <f>Ruimtestaat[[#This Row],[uren / jaar werkdagen]]*Tariefsopbouw!$E$35</f>
        <v>0</v>
      </c>
      <c r="Y124" s="110"/>
      <c r="Z124" s="114">
        <f>IF(Ruimtestaat[[#This Row],[Frequentie weekend]]&gt;0,VALUE(LEFT(Y124,1))*R124,0)</f>
        <v>0</v>
      </c>
      <c r="AA124" s="110">
        <f>IF($Z124&gt;0,VLOOKUP($J124,Ruimtegroepen[],3,FALSE)*VLOOKUP($L124,Vloersoorten[],3,FALSE)*VLOOKUP($Y124,Frequenties[],3,FALSE)*VLOOKUP(#REF!,Locaties[],3,FALSE),0)</f>
        <v>0</v>
      </c>
      <c r="AB124" s="112">
        <f>Ruimtestaat[[#This Row],[Uitvoeringen weekend]]*Ruimtestaat[[#This Row],[Oppervlak (netto)]]</f>
        <v>0</v>
      </c>
      <c r="AC124" s="115">
        <f>IF(AB124&gt;0,Ruimtestaat[[#This Row],[Prest. (m2 /jaar) weekend]]/Ruimtestaat[[#This Row],[Norm (m2/uur) weekend]],0)</f>
        <v>0</v>
      </c>
      <c r="AD124" s="116">
        <f>Ruimtestaat[[#This Row],[uren / jaar weekend]]*Tariefsopbouw!$D$40</f>
        <v>0</v>
      </c>
      <c r="AE124" s="82">
        <f>Ruimtestaat[[#This Row],[Prest. (m2 /jaar) weekend]]+Ruimtestaat[[#This Row],[Prest. (m2 /jaar) werkdagen]]</f>
        <v>1120</v>
      </c>
      <c r="AF124" s="82">
        <f>Ruimtestaat[[#This Row],[uren / jaar weekend]]+Ruimtestaat[[#This Row],[uren / jaar werkdagen]]</f>
        <v>0</v>
      </c>
      <c r="AG124" s="83">
        <f>Ruimtestaat[[#This Row],[kosten / jaar weekend]]+Ruimtestaat[[#This Row],[kosten / jaar werkdagen]]</f>
        <v>0</v>
      </c>
      <c r="AH124" s="117"/>
      <c r="HL124" s="87"/>
    </row>
    <row r="125" spans="1:220" ht="15" customHeight="1">
      <c r="A125" s="136">
        <v>1</v>
      </c>
      <c r="B125" s="27" t="str">
        <f>VLOOKUP(Ruimtestaat[[#This Row],[Code]],Locaties[#All],2,FALSE)</f>
        <v>Hoornbeeck College Gouda</v>
      </c>
      <c r="C125" s="27" t="str">
        <f>VLOOKUP(Ruimtestaat[[#This Row],[Code]],Locaties[#All],4,FALSE)</f>
        <v>Noordelijk Halfrond 10</v>
      </c>
      <c r="D125" s="27" t="str">
        <f>VLOOKUP(Ruimtestaat[[#This Row],[Code]],Locaties[#All],5,FALSE)</f>
        <v>2801 DE</v>
      </c>
      <c r="E125" s="27" t="str">
        <f>VLOOKUP(Ruimtestaat[[#This Row],[Code]],Locaties[#All],6,FALSE)</f>
        <v>Gouda</v>
      </c>
      <c r="F125" s="74" t="s">
        <v>465</v>
      </c>
      <c r="G125" s="285" t="s">
        <v>543</v>
      </c>
      <c r="H125" s="286" t="s">
        <v>556</v>
      </c>
      <c r="I125" s="287" t="s">
        <v>557</v>
      </c>
      <c r="J125" s="288">
        <v>20</v>
      </c>
      <c r="K125" s="74" t="str">
        <f>VLOOKUP(J125,Ruimtegroepen[],2,FALSE)</f>
        <v>Niet in onderhoud</v>
      </c>
      <c r="L125" s="285"/>
      <c r="M125" s="287"/>
      <c r="N125" s="289"/>
      <c r="O125" s="285"/>
      <c r="P125" s="118" t="str">
        <f>LEFT(VLOOKUP(Ruimtestaat[[#This Row],[Ruimte code]],Ruimtegroepen[#All],4,1),2)</f>
        <v/>
      </c>
      <c r="Q125" s="107"/>
      <c r="R125" s="108"/>
      <c r="S125" s="109"/>
      <c r="T125" s="110">
        <f>IF(R125&gt;0,IF(RIGHT(Ruimtestaat[[#This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" s="110">
        <f>IF(T125&gt;0,VLOOKUP($J125,Ruimtegroepen[],3,FALSE)*VLOOKUP($L125,Vloersoorten[],3,FALSE)*VLOOKUP($S125,Frequenties[],3,FALSE)*VLOOKUP($A125,Locaties[],3,FALSE),0)</f>
        <v>0</v>
      </c>
      <c r="V125" s="111">
        <f>Ruimtestaat[[#This Row],[Uitvoeringen werkdagen]]*Ruimtestaat[[#This Row],[Oppervlak (netto)]]</f>
        <v>0</v>
      </c>
      <c r="W125" s="112">
        <f>IF(U125&gt;0,Ruimtestaat[[#This Row],[Prest. (m2 /jaar) werkdagen]]/Ruimtestaat[[#This Row],[Norm (m2/uur) werkdagen]],0)</f>
        <v>0</v>
      </c>
      <c r="X125" s="113">
        <f>Ruimtestaat[[#This Row],[uren / jaar werkdagen]]*Tariefsopbouw!$E$35</f>
        <v>0</v>
      </c>
      <c r="Y125" s="110"/>
      <c r="Z125" s="114">
        <f>IF(Ruimtestaat[[#This Row],[Frequentie weekend]]&gt;0,VALUE(LEFT(Y125,1))*R125,0)</f>
        <v>0</v>
      </c>
      <c r="AA125" s="110">
        <f>IF($Z125&gt;0,VLOOKUP($J125,Ruimtegroepen[],3,FALSE)*VLOOKUP($L125,Vloersoorten[],3,FALSE)*VLOOKUP($Y125,Frequenties[],3,FALSE)*VLOOKUP(#REF!,Locaties[],3,FALSE),0)</f>
        <v>0</v>
      </c>
      <c r="AB125" s="112">
        <f>Ruimtestaat[[#This Row],[Uitvoeringen weekend]]*Ruimtestaat[[#This Row],[Oppervlak (netto)]]</f>
        <v>0</v>
      </c>
      <c r="AC125" s="115">
        <f>IF(AB125&gt;0,Ruimtestaat[[#This Row],[Prest. (m2 /jaar) weekend]]/Ruimtestaat[[#This Row],[Norm (m2/uur) weekend]],0)</f>
        <v>0</v>
      </c>
      <c r="AD125" s="116">
        <f>Ruimtestaat[[#This Row],[uren / jaar weekend]]*Tariefsopbouw!$D$40</f>
        <v>0</v>
      </c>
      <c r="AE125" s="82">
        <f>Ruimtestaat[[#This Row],[Prest. (m2 /jaar) weekend]]+Ruimtestaat[[#This Row],[Prest. (m2 /jaar) werkdagen]]</f>
        <v>0</v>
      </c>
      <c r="AF125" s="82">
        <f>Ruimtestaat[[#This Row],[uren / jaar weekend]]+Ruimtestaat[[#This Row],[uren / jaar werkdagen]]</f>
        <v>0</v>
      </c>
      <c r="AG125" s="83">
        <f>Ruimtestaat[[#This Row],[kosten / jaar weekend]]+Ruimtestaat[[#This Row],[kosten / jaar werkdagen]]</f>
        <v>0</v>
      </c>
      <c r="AH125" s="117"/>
      <c r="HL125" s="87"/>
    </row>
    <row r="126" spans="1:220" ht="15" customHeight="1">
      <c r="A126" s="136">
        <v>1</v>
      </c>
      <c r="B126" s="27" t="str">
        <f>VLOOKUP(Ruimtestaat[[#This Row],[Code]],Locaties[#All],2,FALSE)</f>
        <v>Hoornbeeck College Gouda</v>
      </c>
      <c r="C126" s="27" t="str">
        <f>VLOOKUP(Ruimtestaat[[#This Row],[Code]],Locaties[#All],4,FALSE)</f>
        <v>Noordelijk Halfrond 10</v>
      </c>
      <c r="D126" s="27" t="str">
        <f>VLOOKUP(Ruimtestaat[[#This Row],[Code]],Locaties[#All],5,FALSE)</f>
        <v>2801 DE</v>
      </c>
      <c r="E126" s="27" t="str">
        <f>VLOOKUP(Ruimtestaat[[#This Row],[Code]],Locaties[#All],6,FALSE)</f>
        <v>Gouda</v>
      </c>
      <c r="F126" s="74" t="s">
        <v>484</v>
      </c>
      <c r="G126" s="285" t="s">
        <v>543</v>
      </c>
      <c r="H126" s="286" t="s">
        <v>558</v>
      </c>
      <c r="I126" s="287" t="s">
        <v>685</v>
      </c>
      <c r="J126" s="288">
        <v>1</v>
      </c>
      <c r="K126" s="74" t="str">
        <f>VLOOKUP(J126,Ruimtegroepen[],2,FALSE)</f>
        <v>Magazijnen/bergingen</v>
      </c>
      <c r="L126" s="285" t="s">
        <v>111</v>
      </c>
      <c r="M126" s="287" t="s">
        <v>467</v>
      </c>
      <c r="N126" s="289">
        <v>36.200000000000003</v>
      </c>
      <c r="O126" s="285"/>
      <c r="P126" s="118" t="str">
        <f>LEFT(VLOOKUP(Ruimtestaat[[#This Row],[Ruimte code]],Ruimtegroepen[#All],4,1),2)</f>
        <v>Ve</v>
      </c>
      <c r="Q126" s="107"/>
      <c r="R126" s="108">
        <v>40</v>
      </c>
      <c r="S126" s="109" t="s">
        <v>16</v>
      </c>
      <c r="T126" s="110">
        <f>IF(R126&gt;0,IF(RIGHT(Ruimtestaat[[#This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26" s="110">
        <f>IF(T126&gt;0,VLOOKUP($J126,Ruimtegroepen[],3,FALSE)*VLOOKUP($L126,Vloersoorten[],3,FALSE)*VLOOKUP($S126,Frequenties[],3,FALSE)*VLOOKUP($A126,Locaties[],3,FALSE),0)</f>
        <v>0</v>
      </c>
      <c r="V126" s="111">
        <f>Ruimtestaat[[#This Row],[Uitvoeringen werkdagen]]*Ruimtestaat[[#This Row],[Oppervlak (netto)]]</f>
        <v>434.40000000000003</v>
      </c>
      <c r="W126" s="112">
        <f>IF(U126&gt;0,Ruimtestaat[[#This Row],[Prest. (m2 /jaar) werkdagen]]/Ruimtestaat[[#This Row],[Norm (m2/uur) werkdagen]],0)</f>
        <v>0</v>
      </c>
      <c r="X126" s="113">
        <f>Ruimtestaat[[#This Row],[uren / jaar werkdagen]]*Tariefsopbouw!$E$35</f>
        <v>0</v>
      </c>
      <c r="Y126" s="110"/>
      <c r="Z126" s="114">
        <f>IF(Ruimtestaat[[#This Row],[Frequentie weekend]]&gt;0,VALUE(LEFT(Y126,1))*R126,0)</f>
        <v>0</v>
      </c>
      <c r="AA126" s="110">
        <f>IF($Z126&gt;0,VLOOKUP($J126,Ruimtegroepen[],3,FALSE)*VLOOKUP($L126,Vloersoorten[],3,FALSE)*VLOOKUP($Y126,Frequenties[],3,FALSE)*VLOOKUP(#REF!,Locaties[],3,FALSE),0)</f>
        <v>0</v>
      </c>
      <c r="AB126" s="112">
        <f>Ruimtestaat[[#This Row],[Uitvoeringen weekend]]*Ruimtestaat[[#This Row],[Oppervlak (netto)]]</f>
        <v>0</v>
      </c>
      <c r="AC126" s="115">
        <f>IF(AB126&gt;0,Ruimtestaat[[#This Row],[Prest. (m2 /jaar) weekend]]/Ruimtestaat[[#This Row],[Norm (m2/uur) weekend]],0)</f>
        <v>0</v>
      </c>
      <c r="AD126" s="116">
        <f>Ruimtestaat[[#This Row],[uren / jaar weekend]]*Tariefsopbouw!$D$40</f>
        <v>0</v>
      </c>
      <c r="AE126" s="82">
        <f>Ruimtestaat[[#This Row],[Prest. (m2 /jaar) weekend]]+Ruimtestaat[[#This Row],[Prest. (m2 /jaar) werkdagen]]</f>
        <v>434.40000000000003</v>
      </c>
      <c r="AF126" s="82">
        <f>Ruimtestaat[[#This Row],[uren / jaar weekend]]+Ruimtestaat[[#This Row],[uren / jaar werkdagen]]</f>
        <v>0</v>
      </c>
      <c r="AG126" s="83">
        <f>Ruimtestaat[[#This Row],[kosten / jaar weekend]]+Ruimtestaat[[#This Row],[kosten / jaar werkdagen]]</f>
        <v>0</v>
      </c>
      <c r="AH126" s="117"/>
      <c r="HL126" s="87"/>
    </row>
    <row r="127" spans="1:220" ht="15" customHeight="1">
      <c r="A127" s="136">
        <v>1</v>
      </c>
      <c r="B127" s="27" t="str">
        <f>VLOOKUP(Ruimtestaat[[#This Row],[Code]],Locaties[#All],2,FALSE)</f>
        <v>Hoornbeeck College Gouda</v>
      </c>
      <c r="C127" s="27" t="str">
        <f>VLOOKUP(Ruimtestaat[[#This Row],[Code]],Locaties[#All],4,FALSE)</f>
        <v>Noordelijk Halfrond 10</v>
      </c>
      <c r="D127" s="27" t="str">
        <f>VLOOKUP(Ruimtestaat[[#This Row],[Code]],Locaties[#All],5,FALSE)</f>
        <v>2801 DE</v>
      </c>
      <c r="E127" s="27" t="str">
        <f>VLOOKUP(Ruimtestaat[[#This Row],[Code]],Locaties[#All],6,FALSE)</f>
        <v>Gouda</v>
      </c>
      <c r="F127" s="74" t="s">
        <v>484</v>
      </c>
      <c r="G127" s="285" t="s">
        <v>543</v>
      </c>
      <c r="H127" s="286" t="s">
        <v>559</v>
      </c>
      <c r="I127" s="287" t="s">
        <v>653</v>
      </c>
      <c r="J127" s="288">
        <v>16</v>
      </c>
      <c r="K127" s="74" t="str">
        <f>VLOOKUP(J127,Ruimtegroepen[],2,FALSE)</f>
        <v>Leslokalen</v>
      </c>
      <c r="L127" s="285" t="s">
        <v>110</v>
      </c>
      <c r="M127" s="287" t="s">
        <v>38</v>
      </c>
      <c r="N127" s="289">
        <v>54.8</v>
      </c>
      <c r="O127" s="285"/>
      <c r="P127" s="118" t="str">
        <f>LEFT(VLOOKUP(Ruimtestaat[[#This Row],[Ruimte code]],Ruimtegroepen[#All],4,1),2)</f>
        <v>Le</v>
      </c>
      <c r="Q127" s="107"/>
      <c r="R127" s="108">
        <v>40</v>
      </c>
      <c r="S127" s="109" t="s">
        <v>2</v>
      </c>
      <c r="T127" s="110">
        <f>IF(R127&gt;0,IF(RIGHT(Ruimtestaat[[#This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" s="110">
        <f>IF(T127&gt;0,VLOOKUP($J127,Ruimtegroepen[],3,FALSE)*VLOOKUP($L127,Vloersoorten[],3,FALSE)*VLOOKUP($S127,Frequenties[],3,FALSE)*VLOOKUP($A127,Locaties[],3,FALSE),0)</f>
        <v>0</v>
      </c>
      <c r="V127" s="111">
        <f>Ruimtestaat[[#This Row],[Uitvoeringen werkdagen]]*Ruimtestaat[[#This Row],[Oppervlak (netto)]]</f>
        <v>10960</v>
      </c>
      <c r="W127" s="112">
        <f>IF(U127&gt;0,Ruimtestaat[[#This Row],[Prest. (m2 /jaar) werkdagen]]/Ruimtestaat[[#This Row],[Norm (m2/uur) werkdagen]],0)</f>
        <v>0</v>
      </c>
      <c r="X127" s="113">
        <f>Ruimtestaat[[#This Row],[uren / jaar werkdagen]]*Tariefsopbouw!$E$35</f>
        <v>0</v>
      </c>
      <c r="Y127" s="110"/>
      <c r="Z127" s="114">
        <f>IF(Ruimtestaat[[#This Row],[Frequentie weekend]]&gt;0,VALUE(LEFT(Y127,1))*R127,0)</f>
        <v>0</v>
      </c>
      <c r="AA127" s="110">
        <f>IF($Z127&gt;0,VLOOKUP($J127,Ruimtegroepen[],3,FALSE)*VLOOKUP($L127,Vloersoorten[],3,FALSE)*VLOOKUP($Y127,Frequenties[],3,FALSE)*VLOOKUP(#REF!,Locaties[],3,FALSE),0)</f>
        <v>0</v>
      </c>
      <c r="AB127" s="112">
        <f>Ruimtestaat[[#This Row],[Uitvoeringen weekend]]*Ruimtestaat[[#This Row],[Oppervlak (netto)]]</f>
        <v>0</v>
      </c>
      <c r="AC127" s="115">
        <f>IF(AB127&gt;0,Ruimtestaat[[#This Row],[Prest. (m2 /jaar) weekend]]/Ruimtestaat[[#This Row],[Norm (m2/uur) weekend]],0)</f>
        <v>0</v>
      </c>
      <c r="AD127" s="116">
        <f>Ruimtestaat[[#This Row],[uren / jaar weekend]]*Tariefsopbouw!$D$40</f>
        <v>0</v>
      </c>
      <c r="AE127" s="82">
        <f>Ruimtestaat[[#This Row],[Prest. (m2 /jaar) weekend]]+Ruimtestaat[[#This Row],[Prest. (m2 /jaar) werkdagen]]</f>
        <v>10960</v>
      </c>
      <c r="AF127" s="82">
        <f>Ruimtestaat[[#This Row],[uren / jaar weekend]]+Ruimtestaat[[#This Row],[uren / jaar werkdagen]]</f>
        <v>0</v>
      </c>
      <c r="AG127" s="83">
        <f>Ruimtestaat[[#This Row],[kosten / jaar weekend]]+Ruimtestaat[[#This Row],[kosten / jaar werkdagen]]</f>
        <v>0</v>
      </c>
      <c r="AH127" s="117"/>
      <c r="HL127" s="87"/>
    </row>
    <row r="128" spans="1:220" ht="15" customHeight="1">
      <c r="A128" s="136">
        <v>1</v>
      </c>
      <c r="B128" s="27" t="str">
        <f>VLOOKUP(Ruimtestaat[[#This Row],[Code]],Locaties[#All],2,FALSE)</f>
        <v>Hoornbeeck College Gouda</v>
      </c>
      <c r="C128" s="27" t="str">
        <f>VLOOKUP(Ruimtestaat[[#This Row],[Code]],Locaties[#All],4,FALSE)</f>
        <v>Noordelijk Halfrond 10</v>
      </c>
      <c r="D128" s="27" t="str">
        <f>VLOOKUP(Ruimtestaat[[#This Row],[Code]],Locaties[#All],5,FALSE)</f>
        <v>2801 DE</v>
      </c>
      <c r="E128" s="27" t="str">
        <f>VLOOKUP(Ruimtestaat[[#This Row],[Code]],Locaties[#All],6,FALSE)</f>
        <v>Gouda</v>
      </c>
      <c r="F128" s="74" t="s">
        <v>484</v>
      </c>
      <c r="G128" s="285" t="s">
        <v>543</v>
      </c>
      <c r="H128" s="286" t="s">
        <v>560</v>
      </c>
      <c r="I128" s="287" t="s">
        <v>653</v>
      </c>
      <c r="J128" s="288">
        <v>16</v>
      </c>
      <c r="K128" s="74" t="str">
        <f>VLOOKUP(J128,Ruimtegroepen[],2,FALSE)</f>
        <v>Leslokalen</v>
      </c>
      <c r="L128" s="285" t="s">
        <v>110</v>
      </c>
      <c r="M128" s="287" t="s">
        <v>38</v>
      </c>
      <c r="N128" s="289">
        <v>51.9</v>
      </c>
      <c r="O128" s="285"/>
      <c r="P128" s="118" t="str">
        <f>LEFT(VLOOKUP(Ruimtestaat[[#This Row],[Ruimte code]],Ruimtegroepen[#All],4,1),2)</f>
        <v>Le</v>
      </c>
      <c r="Q128" s="107"/>
      <c r="R128" s="108">
        <v>40</v>
      </c>
      <c r="S128" s="109" t="s">
        <v>2</v>
      </c>
      <c r="T128" s="110">
        <f>IF(R128&gt;0,IF(RIGHT(Ruimtestaat[[#This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" s="110">
        <f>IF(T128&gt;0,VLOOKUP($J128,Ruimtegroepen[],3,FALSE)*VLOOKUP($L128,Vloersoorten[],3,FALSE)*VLOOKUP($S128,Frequenties[],3,FALSE)*VLOOKUP($A128,Locaties[],3,FALSE),0)</f>
        <v>0</v>
      </c>
      <c r="V128" s="111">
        <f>Ruimtestaat[[#This Row],[Uitvoeringen werkdagen]]*Ruimtestaat[[#This Row],[Oppervlak (netto)]]</f>
        <v>10380</v>
      </c>
      <c r="W128" s="112">
        <f>IF(U128&gt;0,Ruimtestaat[[#This Row],[Prest. (m2 /jaar) werkdagen]]/Ruimtestaat[[#This Row],[Norm (m2/uur) werkdagen]],0)</f>
        <v>0</v>
      </c>
      <c r="X128" s="113">
        <f>Ruimtestaat[[#This Row],[uren / jaar werkdagen]]*Tariefsopbouw!$E$35</f>
        <v>0</v>
      </c>
      <c r="Y128" s="110"/>
      <c r="Z128" s="114">
        <f>IF(Ruimtestaat[[#This Row],[Frequentie weekend]]&gt;0,VALUE(LEFT(Y128,1))*R128,0)</f>
        <v>0</v>
      </c>
      <c r="AA128" s="110">
        <f>IF($Z128&gt;0,VLOOKUP($J128,Ruimtegroepen[],3,FALSE)*VLOOKUP($L128,Vloersoorten[],3,FALSE)*VLOOKUP($Y128,Frequenties[],3,FALSE)*VLOOKUP(#REF!,Locaties[],3,FALSE),0)</f>
        <v>0</v>
      </c>
      <c r="AB128" s="112">
        <f>Ruimtestaat[[#This Row],[Uitvoeringen weekend]]*Ruimtestaat[[#This Row],[Oppervlak (netto)]]</f>
        <v>0</v>
      </c>
      <c r="AC128" s="115">
        <f>IF(AB128&gt;0,Ruimtestaat[[#This Row],[Prest. (m2 /jaar) weekend]]/Ruimtestaat[[#This Row],[Norm (m2/uur) weekend]],0)</f>
        <v>0</v>
      </c>
      <c r="AD128" s="116">
        <f>Ruimtestaat[[#This Row],[uren / jaar weekend]]*Tariefsopbouw!$D$40</f>
        <v>0</v>
      </c>
      <c r="AE128" s="82">
        <f>Ruimtestaat[[#This Row],[Prest. (m2 /jaar) weekend]]+Ruimtestaat[[#This Row],[Prest. (m2 /jaar) werkdagen]]</f>
        <v>10380</v>
      </c>
      <c r="AF128" s="82">
        <f>Ruimtestaat[[#This Row],[uren / jaar weekend]]+Ruimtestaat[[#This Row],[uren / jaar werkdagen]]</f>
        <v>0</v>
      </c>
      <c r="AG128" s="83">
        <f>Ruimtestaat[[#This Row],[kosten / jaar weekend]]+Ruimtestaat[[#This Row],[kosten / jaar werkdagen]]</f>
        <v>0</v>
      </c>
      <c r="AH128" s="117"/>
      <c r="HL128" s="87"/>
    </row>
    <row r="129" spans="1:220" ht="15" customHeight="1">
      <c r="A129" s="136">
        <v>1</v>
      </c>
      <c r="B129" s="27" t="str">
        <f>VLOOKUP(Ruimtestaat[[#This Row],[Code]],Locaties[#All],2,FALSE)</f>
        <v>Hoornbeeck College Gouda</v>
      </c>
      <c r="C129" s="27" t="str">
        <f>VLOOKUP(Ruimtestaat[[#This Row],[Code]],Locaties[#All],4,FALSE)</f>
        <v>Noordelijk Halfrond 10</v>
      </c>
      <c r="D129" s="27" t="str">
        <f>VLOOKUP(Ruimtestaat[[#This Row],[Code]],Locaties[#All],5,FALSE)</f>
        <v>2801 DE</v>
      </c>
      <c r="E129" s="27" t="str">
        <f>VLOOKUP(Ruimtestaat[[#This Row],[Code]],Locaties[#All],6,FALSE)</f>
        <v>Gouda</v>
      </c>
      <c r="F129" s="74" t="s">
        <v>484</v>
      </c>
      <c r="G129" s="285" t="s">
        <v>543</v>
      </c>
      <c r="H129" s="286" t="s">
        <v>561</v>
      </c>
      <c r="I129" s="287" t="s">
        <v>653</v>
      </c>
      <c r="J129" s="288">
        <v>16</v>
      </c>
      <c r="K129" s="74" t="str">
        <f>VLOOKUP(J129,Ruimtegroepen[],2,FALSE)</f>
        <v>Leslokalen</v>
      </c>
      <c r="L129" s="285" t="s">
        <v>110</v>
      </c>
      <c r="M129" s="287" t="s">
        <v>38</v>
      </c>
      <c r="N129" s="289">
        <v>64.3</v>
      </c>
      <c r="O129" s="285"/>
      <c r="P129" s="118" t="str">
        <f>LEFT(VLOOKUP(Ruimtestaat[[#This Row],[Ruimte code]],Ruimtegroepen[#All],4,1),2)</f>
        <v>Le</v>
      </c>
      <c r="Q129" s="107"/>
      <c r="R129" s="108">
        <v>40</v>
      </c>
      <c r="S129" s="109" t="s">
        <v>2</v>
      </c>
      <c r="T129" s="110">
        <f>IF(R129&gt;0,IF(RIGHT(Ruimtestaat[[#This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" s="110">
        <f>IF(T129&gt;0,VLOOKUP($J129,Ruimtegroepen[],3,FALSE)*VLOOKUP($L129,Vloersoorten[],3,FALSE)*VLOOKUP($S129,Frequenties[],3,FALSE)*VLOOKUP($A129,Locaties[],3,FALSE),0)</f>
        <v>0</v>
      </c>
      <c r="V129" s="111">
        <f>Ruimtestaat[[#This Row],[Uitvoeringen werkdagen]]*Ruimtestaat[[#This Row],[Oppervlak (netto)]]</f>
        <v>12860</v>
      </c>
      <c r="W129" s="112">
        <f>IF(U129&gt;0,Ruimtestaat[[#This Row],[Prest. (m2 /jaar) werkdagen]]/Ruimtestaat[[#This Row],[Norm (m2/uur) werkdagen]],0)</f>
        <v>0</v>
      </c>
      <c r="X129" s="113">
        <f>Ruimtestaat[[#This Row],[uren / jaar werkdagen]]*Tariefsopbouw!$E$35</f>
        <v>0</v>
      </c>
      <c r="Y129" s="110"/>
      <c r="Z129" s="114">
        <f>IF(Ruimtestaat[[#This Row],[Frequentie weekend]]&gt;0,VALUE(LEFT(Y129,1))*R129,0)</f>
        <v>0</v>
      </c>
      <c r="AA129" s="110">
        <f>IF($Z129&gt;0,VLOOKUP($J129,Ruimtegroepen[],3,FALSE)*VLOOKUP($L129,Vloersoorten[],3,FALSE)*VLOOKUP($Y129,Frequenties[],3,FALSE)*VLOOKUP(#REF!,Locaties[],3,FALSE),0)</f>
        <v>0</v>
      </c>
      <c r="AB129" s="112">
        <f>Ruimtestaat[[#This Row],[Uitvoeringen weekend]]*Ruimtestaat[[#This Row],[Oppervlak (netto)]]</f>
        <v>0</v>
      </c>
      <c r="AC129" s="115">
        <f>IF(AB129&gt;0,Ruimtestaat[[#This Row],[Prest. (m2 /jaar) weekend]]/Ruimtestaat[[#This Row],[Norm (m2/uur) weekend]],0)</f>
        <v>0</v>
      </c>
      <c r="AD129" s="116">
        <f>Ruimtestaat[[#This Row],[uren / jaar weekend]]*Tariefsopbouw!$D$40</f>
        <v>0</v>
      </c>
      <c r="AE129" s="82">
        <f>Ruimtestaat[[#This Row],[Prest. (m2 /jaar) weekend]]+Ruimtestaat[[#This Row],[Prest. (m2 /jaar) werkdagen]]</f>
        <v>12860</v>
      </c>
      <c r="AF129" s="82">
        <f>Ruimtestaat[[#This Row],[uren / jaar weekend]]+Ruimtestaat[[#This Row],[uren / jaar werkdagen]]</f>
        <v>0</v>
      </c>
      <c r="AG129" s="83">
        <f>Ruimtestaat[[#This Row],[kosten / jaar weekend]]+Ruimtestaat[[#This Row],[kosten / jaar werkdagen]]</f>
        <v>0</v>
      </c>
      <c r="AH129" s="117"/>
      <c r="HL129" s="87"/>
    </row>
    <row r="130" spans="1:220" ht="15" customHeight="1">
      <c r="A130" s="136">
        <v>1</v>
      </c>
      <c r="B130" s="27" t="str">
        <f>VLOOKUP(Ruimtestaat[[#This Row],[Code]],Locaties[#All],2,FALSE)</f>
        <v>Hoornbeeck College Gouda</v>
      </c>
      <c r="C130" s="27" t="str">
        <f>VLOOKUP(Ruimtestaat[[#This Row],[Code]],Locaties[#All],4,FALSE)</f>
        <v>Noordelijk Halfrond 10</v>
      </c>
      <c r="D130" s="27" t="str">
        <f>VLOOKUP(Ruimtestaat[[#This Row],[Code]],Locaties[#All],5,FALSE)</f>
        <v>2801 DE</v>
      </c>
      <c r="E130" s="27" t="str">
        <f>VLOOKUP(Ruimtestaat[[#This Row],[Code]],Locaties[#All],6,FALSE)</f>
        <v>Gouda</v>
      </c>
      <c r="F130" s="74" t="s">
        <v>484</v>
      </c>
      <c r="G130" s="285" t="s">
        <v>543</v>
      </c>
      <c r="H130" s="286" t="s">
        <v>562</v>
      </c>
      <c r="I130" s="287" t="s">
        <v>653</v>
      </c>
      <c r="J130" s="288">
        <v>16</v>
      </c>
      <c r="K130" s="74" t="str">
        <f>VLOOKUP(J130,Ruimtegroepen[],2,FALSE)</f>
        <v>Leslokalen</v>
      </c>
      <c r="L130" s="285" t="s">
        <v>110</v>
      </c>
      <c r="M130" s="287" t="s">
        <v>38</v>
      </c>
      <c r="N130" s="289">
        <v>51.9</v>
      </c>
      <c r="O130" s="285"/>
      <c r="P130" s="118" t="str">
        <f>LEFT(VLOOKUP(Ruimtestaat[[#This Row],[Ruimte code]],Ruimtegroepen[#All],4,1),2)</f>
        <v>Le</v>
      </c>
      <c r="Q130" s="107"/>
      <c r="R130" s="108">
        <v>40</v>
      </c>
      <c r="S130" s="109" t="s">
        <v>2</v>
      </c>
      <c r="T130" s="110">
        <f>IF(R130&gt;0,IF(RIGHT(Ruimtestaat[[#This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" s="110">
        <f>IF(T130&gt;0,VLOOKUP($J130,Ruimtegroepen[],3,FALSE)*VLOOKUP($L130,Vloersoorten[],3,FALSE)*VLOOKUP($S130,Frequenties[],3,FALSE)*VLOOKUP($A130,Locaties[],3,FALSE),0)</f>
        <v>0</v>
      </c>
      <c r="V130" s="111">
        <f>Ruimtestaat[[#This Row],[Uitvoeringen werkdagen]]*Ruimtestaat[[#This Row],[Oppervlak (netto)]]</f>
        <v>10380</v>
      </c>
      <c r="W130" s="112">
        <f>IF(U130&gt;0,Ruimtestaat[[#This Row],[Prest. (m2 /jaar) werkdagen]]/Ruimtestaat[[#This Row],[Norm (m2/uur) werkdagen]],0)</f>
        <v>0</v>
      </c>
      <c r="X130" s="113">
        <f>Ruimtestaat[[#This Row],[uren / jaar werkdagen]]*Tariefsopbouw!$E$35</f>
        <v>0</v>
      </c>
      <c r="Y130" s="110"/>
      <c r="Z130" s="114">
        <f>IF(Ruimtestaat[[#This Row],[Frequentie weekend]]&gt;0,VALUE(LEFT(Y130,1))*R130,0)</f>
        <v>0</v>
      </c>
      <c r="AA130" s="110">
        <f>IF($Z130&gt;0,VLOOKUP($J130,Ruimtegroepen[],3,FALSE)*VLOOKUP($L130,Vloersoorten[],3,FALSE)*VLOOKUP($Y130,Frequenties[],3,FALSE)*VLOOKUP(#REF!,Locaties[],3,FALSE),0)</f>
        <v>0</v>
      </c>
      <c r="AB130" s="112">
        <f>Ruimtestaat[[#This Row],[Uitvoeringen weekend]]*Ruimtestaat[[#This Row],[Oppervlak (netto)]]</f>
        <v>0</v>
      </c>
      <c r="AC130" s="115">
        <f>IF(AB130&gt;0,Ruimtestaat[[#This Row],[Prest. (m2 /jaar) weekend]]/Ruimtestaat[[#This Row],[Norm (m2/uur) weekend]],0)</f>
        <v>0</v>
      </c>
      <c r="AD130" s="116">
        <f>Ruimtestaat[[#This Row],[uren / jaar weekend]]*Tariefsopbouw!$D$40</f>
        <v>0</v>
      </c>
      <c r="AE130" s="82">
        <f>Ruimtestaat[[#This Row],[Prest. (m2 /jaar) weekend]]+Ruimtestaat[[#This Row],[Prest. (m2 /jaar) werkdagen]]</f>
        <v>10380</v>
      </c>
      <c r="AF130" s="82">
        <f>Ruimtestaat[[#This Row],[uren / jaar weekend]]+Ruimtestaat[[#This Row],[uren / jaar werkdagen]]</f>
        <v>0</v>
      </c>
      <c r="AG130" s="83">
        <f>Ruimtestaat[[#This Row],[kosten / jaar weekend]]+Ruimtestaat[[#This Row],[kosten / jaar werkdagen]]</f>
        <v>0</v>
      </c>
      <c r="AH130" s="117"/>
      <c r="HL130" s="87"/>
    </row>
    <row r="131" spans="1:220" ht="15" customHeight="1">
      <c r="A131" s="136">
        <v>1</v>
      </c>
      <c r="B131" s="27" t="str">
        <f>VLOOKUP(Ruimtestaat[[#This Row],[Code]],Locaties[#All],2,FALSE)</f>
        <v>Hoornbeeck College Gouda</v>
      </c>
      <c r="C131" s="27" t="str">
        <f>VLOOKUP(Ruimtestaat[[#This Row],[Code]],Locaties[#All],4,FALSE)</f>
        <v>Noordelijk Halfrond 10</v>
      </c>
      <c r="D131" s="27" t="str">
        <f>VLOOKUP(Ruimtestaat[[#This Row],[Code]],Locaties[#All],5,FALSE)</f>
        <v>2801 DE</v>
      </c>
      <c r="E131" s="27" t="str">
        <f>VLOOKUP(Ruimtestaat[[#This Row],[Code]],Locaties[#All],6,FALSE)</f>
        <v>Gouda</v>
      </c>
      <c r="F131" s="74" t="s">
        <v>484</v>
      </c>
      <c r="G131" s="285" t="s">
        <v>543</v>
      </c>
      <c r="H131" s="286" t="s">
        <v>563</v>
      </c>
      <c r="I131" s="287" t="s">
        <v>681</v>
      </c>
      <c r="J131" s="288">
        <v>16</v>
      </c>
      <c r="K131" s="74" t="str">
        <f>VLOOKUP(J131,Ruimtegroepen[],2,FALSE)</f>
        <v>Leslokalen</v>
      </c>
      <c r="L131" s="285" t="s">
        <v>110</v>
      </c>
      <c r="M131" s="287" t="s">
        <v>38</v>
      </c>
      <c r="N131" s="289">
        <v>81.400000000000006</v>
      </c>
      <c r="O131" s="285"/>
      <c r="P131" s="118" t="str">
        <f>LEFT(VLOOKUP(Ruimtestaat[[#This Row],[Ruimte code]],Ruimtegroepen[#All],4,1),2)</f>
        <v>Le</v>
      </c>
      <c r="Q131" s="107"/>
      <c r="R131" s="108">
        <v>40</v>
      </c>
      <c r="S131" s="109" t="s">
        <v>2</v>
      </c>
      <c r="T131" s="110">
        <f>IF(R131&gt;0,IF(RIGHT(Ruimtestaat[[#This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" s="110">
        <f>IF(T131&gt;0,VLOOKUP($J131,Ruimtegroepen[],3,FALSE)*VLOOKUP($L131,Vloersoorten[],3,FALSE)*VLOOKUP($S131,Frequenties[],3,FALSE)*VLOOKUP($A131,Locaties[],3,FALSE),0)</f>
        <v>0</v>
      </c>
      <c r="V131" s="111">
        <f>Ruimtestaat[[#This Row],[Uitvoeringen werkdagen]]*Ruimtestaat[[#This Row],[Oppervlak (netto)]]</f>
        <v>16280.000000000002</v>
      </c>
      <c r="W131" s="112">
        <f>IF(U131&gt;0,Ruimtestaat[[#This Row],[Prest. (m2 /jaar) werkdagen]]/Ruimtestaat[[#This Row],[Norm (m2/uur) werkdagen]],0)</f>
        <v>0</v>
      </c>
      <c r="X131" s="113">
        <f>Ruimtestaat[[#This Row],[uren / jaar werkdagen]]*Tariefsopbouw!$E$35</f>
        <v>0</v>
      </c>
      <c r="Y131" s="110"/>
      <c r="Z131" s="114">
        <f>IF(Ruimtestaat[[#This Row],[Frequentie weekend]]&gt;0,VALUE(LEFT(Y131,1))*R131,0)</f>
        <v>0</v>
      </c>
      <c r="AA131" s="110">
        <f>IF($Z131&gt;0,VLOOKUP($J131,Ruimtegroepen[],3,FALSE)*VLOOKUP($L131,Vloersoorten[],3,FALSE)*VLOOKUP($Y131,Frequenties[],3,FALSE)*VLOOKUP(#REF!,Locaties[],3,FALSE),0)</f>
        <v>0</v>
      </c>
      <c r="AB131" s="112">
        <f>Ruimtestaat[[#This Row],[Uitvoeringen weekend]]*Ruimtestaat[[#This Row],[Oppervlak (netto)]]</f>
        <v>0</v>
      </c>
      <c r="AC131" s="115">
        <f>IF(AB131&gt;0,Ruimtestaat[[#This Row],[Prest. (m2 /jaar) weekend]]/Ruimtestaat[[#This Row],[Norm (m2/uur) weekend]],0)</f>
        <v>0</v>
      </c>
      <c r="AD131" s="116">
        <f>Ruimtestaat[[#This Row],[uren / jaar weekend]]*Tariefsopbouw!$D$40</f>
        <v>0</v>
      </c>
      <c r="AE131" s="82">
        <f>Ruimtestaat[[#This Row],[Prest. (m2 /jaar) weekend]]+Ruimtestaat[[#This Row],[Prest. (m2 /jaar) werkdagen]]</f>
        <v>16280.000000000002</v>
      </c>
      <c r="AF131" s="82">
        <f>Ruimtestaat[[#This Row],[uren / jaar weekend]]+Ruimtestaat[[#This Row],[uren / jaar werkdagen]]</f>
        <v>0</v>
      </c>
      <c r="AG131" s="83">
        <f>Ruimtestaat[[#This Row],[kosten / jaar weekend]]+Ruimtestaat[[#This Row],[kosten / jaar werkdagen]]</f>
        <v>0</v>
      </c>
      <c r="AH131" s="117"/>
      <c r="HL131" s="87"/>
    </row>
    <row r="132" spans="1:220" ht="15" customHeight="1">
      <c r="A132" s="136">
        <v>1</v>
      </c>
      <c r="B132" s="27" t="str">
        <f>VLOOKUP(Ruimtestaat[[#This Row],[Code]],Locaties[#All],2,FALSE)</f>
        <v>Hoornbeeck College Gouda</v>
      </c>
      <c r="C132" s="27" t="str">
        <f>VLOOKUP(Ruimtestaat[[#This Row],[Code]],Locaties[#All],4,FALSE)</f>
        <v>Noordelijk Halfrond 10</v>
      </c>
      <c r="D132" s="27" t="str">
        <f>VLOOKUP(Ruimtestaat[[#This Row],[Code]],Locaties[#All],5,FALSE)</f>
        <v>2801 DE</v>
      </c>
      <c r="E132" s="27" t="str">
        <f>VLOOKUP(Ruimtestaat[[#This Row],[Code]],Locaties[#All],6,FALSE)</f>
        <v>Gouda</v>
      </c>
      <c r="F132" s="74" t="s">
        <v>484</v>
      </c>
      <c r="G132" s="285" t="s">
        <v>543</v>
      </c>
      <c r="H132" s="286" t="s">
        <v>564</v>
      </c>
      <c r="I132" s="287" t="s">
        <v>686</v>
      </c>
      <c r="J132" s="288">
        <v>2</v>
      </c>
      <c r="K132" s="74" t="str">
        <f>VLOOKUP(J132,Ruimtegroepen[],2,FALSE)</f>
        <v>Kantoren</v>
      </c>
      <c r="L132" s="285" t="s">
        <v>110</v>
      </c>
      <c r="M132" s="287" t="s">
        <v>38</v>
      </c>
      <c r="N132" s="289">
        <v>18.100000000000001</v>
      </c>
      <c r="O132" s="285"/>
      <c r="P132" s="118" t="str">
        <f>LEFT(VLOOKUP(Ruimtestaat[[#This Row],[Ruimte code]],Ruimtegroepen[#All],4,1),2)</f>
        <v>Bu</v>
      </c>
      <c r="Q132" s="107"/>
      <c r="R132" s="108">
        <v>40</v>
      </c>
      <c r="S132" s="109" t="s">
        <v>17</v>
      </c>
      <c r="T132" s="110">
        <f>IF(R132&gt;0,IF(RIGHT(Ruimtestaat[[#This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32" s="110">
        <f>IF(T132&gt;0,VLOOKUP($J132,Ruimtegroepen[],3,FALSE)*VLOOKUP($L132,Vloersoorten[],3,FALSE)*VLOOKUP($S132,Frequenties[],3,FALSE)*VLOOKUP($A132,Locaties[],3,FALSE),0)</f>
        <v>0</v>
      </c>
      <c r="V132" s="111">
        <f>Ruimtestaat[[#This Row],[Uitvoeringen werkdagen]]*Ruimtestaat[[#This Row],[Oppervlak (netto)]]</f>
        <v>1448</v>
      </c>
      <c r="W132" s="112">
        <f>IF(U132&gt;0,Ruimtestaat[[#This Row],[Prest. (m2 /jaar) werkdagen]]/Ruimtestaat[[#This Row],[Norm (m2/uur) werkdagen]],0)</f>
        <v>0</v>
      </c>
      <c r="X132" s="113">
        <f>Ruimtestaat[[#This Row],[uren / jaar werkdagen]]*Tariefsopbouw!$E$35</f>
        <v>0</v>
      </c>
      <c r="Y132" s="110"/>
      <c r="Z132" s="114">
        <f>IF(Ruimtestaat[[#This Row],[Frequentie weekend]]&gt;0,VALUE(LEFT(Y132,1))*R132,0)</f>
        <v>0</v>
      </c>
      <c r="AA132" s="110">
        <f>IF($Z132&gt;0,VLOOKUP($J132,Ruimtegroepen[],3,FALSE)*VLOOKUP($L132,Vloersoorten[],3,FALSE)*VLOOKUP($Y132,Frequenties[],3,FALSE)*VLOOKUP(#REF!,Locaties[],3,FALSE),0)</f>
        <v>0</v>
      </c>
      <c r="AB132" s="112">
        <f>Ruimtestaat[[#This Row],[Uitvoeringen weekend]]*Ruimtestaat[[#This Row],[Oppervlak (netto)]]</f>
        <v>0</v>
      </c>
      <c r="AC132" s="115">
        <f>IF(AB132&gt;0,Ruimtestaat[[#This Row],[Prest. (m2 /jaar) weekend]]/Ruimtestaat[[#This Row],[Norm (m2/uur) weekend]],0)</f>
        <v>0</v>
      </c>
      <c r="AD132" s="116">
        <f>Ruimtestaat[[#This Row],[uren / jaar weekend]]*Tariefsopbouw!$D$40</f>
        <v>0</v>
      </c>
      <c r="AE132" s="82">
        <f>Ruimtestaat[[#This Row],[Prest. (m2 /jaar) weekend]]+Ruimtestaat[[#This Row],[Prest. (m2 /jaar) werkdagen]]</f>
        <v>1448</v>
      </c>
      <c r="AF132" s="82">
        <f>Ruimtestaat[[#This Row],[uren / jaar weekend]]+Ruimtestaat[[#This Row],[uren / jaar werkdagen]]</f>
        <v>0</v>
      </c>
      <c r="AG132" s="83">
        <f>Ruimtestaat[[#This Row],[kosten / jaar weekend]]+Ruimtestaat[[#This Row],[kosten / jaar werkdagen]]</f>
        <v>0</v>
      </c>
      <c r="AH132" s="117"/>
      <c r="HL132" s="87"/>
    </row>
    <row r="133" spans="1:220" ht="15" customHeight="1">
      <c r="A133" s="136">
        <v>1</v>
      </c>
      <c r="B133" s="27" t="str">
        <f>VLOOKUP(Ruimtestaat[[#This Row],[Code]],Locaties[#All],2,FALSE)</f>
        <v>Hoornbeeck College Gouda</v>
      </c>
      <c r="C133" s="27" t="str">
        <f>VLOOKUP(Ruimtestaat[[#This Row],[Code]],Locaties[#All],4,FALSE)</f>
        <v>Noordelijk Halfrond 10</v>
      </c>
      <c r="D133" s="27" t="str">
        <f>VLOOKUP(Ruimtestaat[[#This Row],[Code]],Locaties[#All],5,FALSE)</f>
        <v>2801 DE</v>
      </c>
      <c r="E133" s="27" t="str">
        <f>VLOOKUP(Ruimtestaat[[#This Row],[Code]],Locaties[#All],6,FALSE)</f>
        <v>Gouda</v>
      </c>
      <c r="F133" s="74" t="s">
        <v>484</v>
      </c>
      <c r="G133" s="285" t="s">
        <v>543</v>
      </c>
      <c r="H133" s="286" t="s">
        <v>687</v>
      </c>
      <c r="I133" s="287" t="s">
        <v>677</v>
      </c>
      <c r="J133" s="288">
        <v>9</v>
      </c>
      <c r="K133" s="74" t="str">
        <f>VLOOKUP(J133,Ruimtegroepen[],2,FALSE)</f>
        <v>Bibliotheek/OLC</v>
      </c>
      <c r="L133" s="285" t="s">
        <v>110</v>
      </c>
      <c r="M133" s="287" t="s">
        <v>38</v>
      </c>
      <c r="N133" s="289">
        <v>122.23</v>
      </c>
      <c r="O133" s="285"/>
      <c r="P133" s="118" t="str">
        <f>LEFT(VLOOKUP(Ruimtestaat[[#This Row],[Ruimte code]],Ruimtegroepen[#All],4,1),2)</f>
        <v>Le</v>
      </c>
      <c r="Q133" s="107"/>
      <c r="R133" s="108">
        <v>40</v>
      </c>
      <c r="S133" s="109" t="s">
        <v>2</v>
      </c>
      <c r="T133" s="110">
        <f>IF(R133&gt;0,IF(RIGHT(Ruimtestaat[[#This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" s="110">
        <f>IF(T133&gt;0,VLOOKUP($J133,Ruimtegroepen[],3,FALSE)*VLOOKUP($L133,Vloersoorten[],3,FALSE)*VLOOKUP($S133,Frequenties[],3,FALSE)*VLOOKUP($A133,Locaties[],3,FALSE),0)</f>
        <v>0</v>
      </c>
      <c r="V133" s="111">
        <f>Ruimtestaat[[#This Row],[Uitvoeringen werkdagen]]*Ruimtestaat[[#This Row],[Oppervlak (netto)]]</f>
        <v>24446</v>
      </c>
      <c r="W133" s="112">
        <f>IF(U133&gt;0,Ruimtestaat[[#This Row],[Prest. (m2 /jaar) werkdagen]]/Ruimtestaat[[#This Row],[Norm (m2/uur) werkdagen]],0)</f>
        <v>0</v>
      </c>
      <c r="X133" s="113">
        <f>Ruimtestaat[[#This Row],[uren / jaar werkdagen]]*Tariefsopbouw!$E$35</f>
        <v>0</v>
      </c>
      <c r="Y133" s="110"/>
      <c r="Z133" s="114">
        <f>IF(Ruimtestaat[[#This Row],[Frequentie weekend]]&gt;0,VALUE(LEFT(Y133,1))*R133,0)</f>
        <v>0</v>
      </c>
      <c r="AA133" s="110">
        <f>IF($Z133&gt;0,VLOOKUP($J133,Ruimtegroepen[],3,FALSE)*VLOOKUP($L133,Vloersoorten[],3,FALSE)*VLOOKUP($Y133,Frequenties[],3,FALSE)*VLOOKUP(#REF!,Locaties[],3,FALSE),0)</f>
        <v>0</v>
      </c>
      <c r="AB133" s="112">
        <f>Ruimtestaat[[#This Row],[Uitvoeringen weekend]]*Ruimtestaat[[#This Row],[Oppervlak (netto)]]</f>
        <v>0</v>
      </c>
      <c r="AC133" s="115">
        <f>IF(AB133&gt;0,Ruimtestaat[[#This Row],[Prest. (m2 /jaar) weekend]]/Ruimtestaat[[#This Row],[Norm (m2/uur) weekend]],0)</f>
        <v>0</v>
      </c>
      <c r="AD133" s="116">
        <f>Ruimtestaat[[#This Row],[uren / jaar weekend]]*Tariefsopbouw!$D$40</f>
        <v>0</v>
      </c>
      <c r="AE133" s="82">
        <f>Ruimtestaat[[#This Row],[Prest. (m2 /jaar) weekend]]+Ruimtestaat[[#This Row],[Prest. (m2 /jaar) werkdagen]]</f>
        <v>24446</v>
      </c>
      <c r="AF133" s="82">
        <f>Ruimtestaat[[#This Row],[uren / jaar weekend]]+Ruimtestaat[[#This Row],[uren / jaar werkdagen]]</f>
        <v>0</v>
      </c>
      <c r="AG133" s="83">
        <f>Ruimtestaat[[#This Row],[kosten / jaar weekend]]+Ruimtestaat[[#This Row],[kosten / jaar werkdagen]]</f>
        <v>0</v>
      </c>
      <c r="AH133" s="117"/>
      <c r="HL133" s="87"/>
    </row>
    <row r="134" spans="1:220" ht="15" customHeight="1">
      <c r="A134" s="136">
        <v>1</v>
      </c>
      <c r="B134" s="27" t="str">
        <f>VLOOKUP(Ruimtestaat[[#This Row],[Code]],Locaties[#All],2,FALSE)</f>
        <v>Hoornbeeck College Gouda</v>
      </c>
      <c r="C134" s="27" t="str">
        <f>VLOOKUP(Ruimtestaat[[#This Row],[Code]],Locaties[#All],4,FALSE)</f>
        <v>Noordelijk Halfrond 10</v>
      </c>
      <c r="D134" s="27" t="str">
        <f>VLOOKUP(Ruimtestaat[[#This Row],[Code]],Locaties[#All],5,FALSE)</f>
        <v>2801 DE</v>
      </c>
      <c r="E134" s="27" t="str">
        <f>VLOOKUP(Ruimtestaat[[#This Row],[Code]],Locaties[#All],6,FALSE)</f>
        <v>Gouda</v>
      </c>
      <c r="F134" s="74" t="s">
        <v>484</v>
      </c>
      <c r="G134" s="285" t="s">
        <v>543</v>
      </c>
      <c r="H134" s="286" t="s">
        <v>565</v>
      </c>
      <c r="I134" s="287" t="s">
        <v>677</v>
      </c>
      <c r="J134" s="288">
        <v>9</v>
      </c>
      <c r="K134" s="74" t="str">
        <f>VLOOKUP(J134,Ruimtegroepen[],2,FALSE)</f>
        <v>Bibliotheek/OLC</v>
      </c>
      <c r="L134" s="285" t="s">
        <v>110</v>
      </c>
      <c r="M134" s="287" t="s">
        <v>38</v>
      </c>
      <c r="N134" s="289">
        <v>112.7</v>
      </c>
      <c r="O134" s="285"/>
      <c r="P134" s="118" t="str">
        <f>LEFT(VLOOKUP(Ruimtestaat[[#This Row],[Ruimte code]],Ruimtegroepen[#All],4,1),2)</f>
        <v>Le</v>
      </c>
      <c r="Q134" s="107"/>
      <c r="R134" s="108">
        <v>40</v>
      </c>
      <c r="S134" s="109" t="s">
        <v>2</v>
      </c>
      <c r="T134" s="110">
        <f>IF(R134&gt;0,IF(RIGHT(Ruimtestaat[[#This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" s="110">
        <f>IF(T134&gt;0,VLOOKUP($J134,Ruimtegroepen[],3,FALSE)*VLOOKUP($L134,Vloersoorten[],3,FALSE)*VLOOKUP($S134,Frequenties[],3,FALSE)*VLOOKUP($A134,Locaties[],3,FALSE),0)</f>
        <v>0</v>
      </c>
      <c r="V134" s="111">
        <f>Ruimtestaat[[#This Row],[Uitvoeringen werkdagen]]*Ruimtestaat[[#This Row],[Oppervlak (netto)]]</f>
        <v>22540</v>
      </c>
      <c r="W134" s="112">
        <f>IF(U134&gt;0,Ruimtestaat[[#This Row],[Prest. (m2 /jaar) werkdagen]]/Ruimtestaat[[#This Row],[Norm (m2/uur) werkdagen]],0)</f>
        <v>0</v>
      </c>
      <c r="X134" s="113">
        <f>Ruimtestaat[[#This Row],[uren / jaar werkdagen]]*Tariefsopbouw!$E$35</f>
        <v>0</v>
      </c>
      <c r="Y134" s="110"/>
      <c r="Z134" s="114">
        <f>IF(Ruimtestaat[[#This Row],[Frequentie weekend]]&gt;0,VALUE(LEFT(Y134,1))*R134,0)</f>
        <v>0</v>
      </c>
      <c r="AA134" s="110">
        <f>IF($Z134&gt;0,VLOOKUP($J134,Ruimtegroepen[],3,FALSE)*VLOOKUP($L134,Vloersoorten[],3,FALSE)*VLOOKUP($Y134,Frequenties[],3,FALSE)*VLOOKUP(#REF!,Locaties[],3,FALSE),0)</f>
        <v>0</v>
      </c>
      <c r="AB134" s="112">
        <f>Ruimtestaat[[#This Row],[Uitvoeringen weekend]]*Ruimtestaat[[#This Row],[Oppervlak (netto)]]</f>
        <v>0</v>
      </c>
      <c r="AC134" s="115">
        <f>IF(AB134&gt;0,Ruimtestaat[[#This Row],[Prest. (m2 /jaar) weekend]]/Ruimtestaat[[#This Row],[Norm (m2/uur) weekend]],0)</f>
        <v>0</v>
      </c>
      <c r="AD134" s="116">
        <f>Ruimtestaat[[#This Row],[uren / jaar weekend]]*Tariefsopbouw!$D$40</f>
        <v>0</v>
      </c>
      <c r="AE134" s="82">
        <f>Ruimtestaat[[#This Row],[Prest. (m2 /jaar) weekend]]+Ruimtestaat[[#This Row],[Prest. (m2 /jaar) werkdagen]]</f>
        <v>22540</v>
      </c>
      <c r="AF134" s="82">
        <f>Ruimtestaat[[#This Row],[uren / jaar weekend]]+Ruimtestaat[[#This Row],[uren / jaar werkdagen]]</f>
        <v>0</v>
      </c>
      <c r="AG134" s="83">
        <f>Ruimtestaat[[#This Row],[kosten / jaar weekend]]+Ruimtestaat[[#This Row],[kosten / jaar werkdagen]]</f>
        <v>0</v>
      </c>
      <c r="AH134" s="117"/>
      <c r="HL134" s="87"/>
    </row>
    <row r="135" spans="1:220" ht="15" customHeight="1">
      <c r="A135" s="136">
        <v>1</v>
      </c>
      <c r="B135" s="27" t="str">
        <f>VLOOKUP(Ruimtestaat[[#This Row],[Code]],Locaties[#All],2,FALSE)</f>
        <v>Hoornbeeck College Gouda</v>
      </c>
      <c r="C135" s="27" t="str">
        <f>VLOOKUP(Ruimtestaat[[#This Row],[Code]],Locaties[#All],4,FALSE)</f>
        <v>Noordelijk Halfrond 10</v>
      </c>
      <c r="D135" s="27" t="str">
        <f>VLOOKUP(Ruimtestaat[[#This Row],[Code]],Locaties[#All],5,FALSE)</f>
        <v>2801 DE</v>
      </c>
      <c r="E135" s="27" t="str">
        <f>VLOOKUP(Ruimtestaat[[#This Row],[Code]],Locaties[#All],6,FALSE)</f>
        <v>Gouda</v>
      </c>
      <c r="F135" s="74" t="s">
        <v>484</v>
      </c>
      <c r="G135" s="285" t="s">
        <v>543</v>
      </c>
      <c r="H135" s="286" t="s">
        <v>688</v>
      </c>
      <c r="I135" s="287" t="s">
        <v>635</v>
      </c>
      <c r="J135" s="288">
        <v>11</v>
      </c>
      <c r="K135" s="74" t="str">
        <f>VLOOKUP(J135,Ruimtegroepen[],2,FALSE)</f>
        <v>Garderobes</v>
      </c>
      <c r="L135" s="285" t="s">
        <v>110</v>
      </c>
      <c r="M135" s="287" t="s">
        <v>38</v>
      </c>
      <c r="N135" s="289">
        <v>4.2</v>
      </c>
      <c r="O135" s="285"/>
      <c r="P135" s="118" t="str">
        <f>LEFT(VLOOKUP(Ruimtestaat[[#This Row],[Ruimte code]],Ruimtegroepen[#All],4,1),2)</f>
        <v>Ve</v>
      </c>
      <c r="Q135" s="107"/>
      <c r="R135" s="108">
        <v>40</v>
      </c>
      <c r="S135" s="109" t="s">
        <v>2</v>
      </c>
      <c r="T135" s="110">
        <f>IF(R135&gt;0,IF(RIGHT(Ruimtestaat[[#This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" s="110">
        <f>IF(T135&gt;0,VLOOKUP($J135,Ruimtegroepen[],3,FALSE)*VLOOKUP($L135,Vloersoorten[],3,FALSE)*VLOOKUP($S135,Frequenties[],3,FALSE)*VLOOKUP($A135,Locaties[],3,FALSE),0)</f>
        <v>0</v>
      </c>
      <c r="V135" s="111">
        <f>Ruimtestaat[[#This Row],[Uitvoeringen werkdagen]]*Ruimtestaat[[#This Row],[Oppervlak (netto)]]</f>
        <v>840</v>
      </c>
      <c r="W135" s="112">
        <f>IF(U135&gt;0,Ruimtestaat[[#This Row],[Prest. (m2 /jaar) werkdagen]]/Ruimtestaat[[#This Row],[Norm (m2/uur) werkdagen]],0)</f>
        <v>0</v>
      </c>
      <c r="X135" s="113">
        <f>Ruimtestaat[[#This Row],[uren / jaar werkdagen]]*Tariefsopbouw!$E$35</f>
        <v>0</v>
      </c>
      <c r="Y135" s="110"/>
      <c r="Z135" s="114">
        <f>IF(Ruimtestaat[[#This Row],[Frequentie weekend]]&gt;0,VALUE(LEFT(Y135,1))*R135,0)</f>
        <v>0</v>
      </c>
      <c r="AA135" s="110">
        <f>IF($Z135&gt;0,VLOOKUP($J135,Ruimtegroepen[],3,FALSE)*VLOOKUP($L135,Vloersoorten[],3,FALSE)*VLOOKUP($Y135,Frequenties[],3,FALSE)*VLOOKUP(#REF!,Locaties[],3,FALSE),0)</f>
        <v>0</v>
      </c>
      <c r="AB135" s="112">
        <f>Ruimtestaat[[#This Row],[Uitvoeringen weekend]]*Ruimtestaat[[#This Row],[Oppervlak (netto)]]</f>
        <v>0</v>
      </c>
      <c r="AC135" s="115">
        <f>IF(AB135&gt;0,Ruimtestaat[[#This Row],[Prest. (m2 /jaar) weekend]]/Ruimtestaat[[#This Row],[Norm (m2/uur) weekend]],0)</f>
        <v>0</v>
      </c>
      <c r="AD135" s="116">
        <f>Ruimtestaat[[#This Row],[uren / jaar weekend]]*Tariefsopbouw!$D$40</f>
        <v>0</v>
      </c>
      <c r="AE135" s="82">
        <f>Ruimtestaat[[#This Row],[Prest. (m2 /jaar) weekend]]+Ruimtestaat[[#This Row],[Prest. (m2 /jaar) werkdagen]]</f>
        <v>840</v>
      </c>
      <c r="AF135" s="82">
        <f>Ruimtestaat[[#This Row],[uren / jaar weekend]]+Ruimtestaat[[#This Row],[uren / jaar werkdagen]]</f>
        <v>0</v>
      </c>
      <c r="AG135" s="83">
        <f>Ruimtestaat[[#This Row],[kosten / jaar weekend]]+Ruimtestaat[[#This Row],[kosten / jaar werkdagen]]</f>
        <v>0</v>
      </c>
      <c r="AH135" s="117"/>
      <c r="HL135" s="87"/>
    </row>
    <row r="136" spans="1:220" ht="15" customHeight="1">
      <c r="A136" s="136">
        <v>1</v>
      </c>
      <c r="B136" s="27" t="str">
        <f>VLOOKUP(Ruimtestaat[[#This Row],[Code]],Locaties[#All],2,FALSE)</f>
        <v>Hoornbeeck College Gouda</v>
      </c>
      <c r="C136" s="27" t="str">
        <f>VLOOKUP(Ruimtestaat[[#This Row],[Code]],Locaties[#All],4,FALSE)</f>
        <v>Noordelijk Halfrond 10</v>
      </c>
      <c r="D136" s="27" t="str">
        <f>VLOOKUP(Ruimtestaat[[#This Row],[Code]],Locaties[#All],5,FALSE)</f>
        <v>2801 DE</v>
      </c>
      <c r="E136" s="27" t="str">
        <f>VLOOKUP(Ruimtestaat[[#This Row],[Code]],Locaties[#All],6,FALSE)</f>
        <v>Gouda</v>
      </c>
      <c r="F136" s="74" t="s">
        <v>484</v>
      </c>
      <c r="G136" s="285" t="s">
        <v>543</v>
      </c>
      <c r="H136" s="286" t="s">
        <v>689</v>
      </c>
      <c r="I136" s="287" t="s">
        <v>648</v>
      </c>
      <c r="J136" s="288">
        <v>1</v>
      </c>
      <c r="K136" s="74" t="str">
        <f>VLOOKUP(J136,Ruimtegroepen[],2,FALSE)</f>
        <v>Magazijnen/bergingen</v>
      </c>
      <c r="L136" s="285" t="s">
        <v>110</v>
      </c>
      <c r="M136" s="287" t="s">
        <v>38</v>
      </c>
      <c r="N136" s="289">
        <v>3.53</v>
      </c>
      <c r="O136" s="285"/>
      <c r="P136" s="118" t="str">
        <f>LEFT(VLOOKUP(Ruimtestaat[[#This Row],[Ruimte code]],Ruimtegroepen[#All],4,1),2)</f>
        <v>Ve</v>
      </c>
      <c r="Q136" s="107"/>
      <c r="R136" s="108">
        <v>40</v>
      </c>
      <c r="S136" s="109" t="s">
        <v>16</v>
      </c>
      <c r="T136" s="110">
        <f>IF(R136&gt;0,IF(RIGHT(Ruimtestaat[[#This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36" s="110">
        <f>IF(T136&gt;0,VLOOKUP($J136,Ruimtegroepen[],3,FALSE)*VLOOKUP($L136,Vloersoorten[],3,FALSE)*VLOOKUP($S136,Frequenties[],3,FALSE)*VLOOKUP($A136,Locaties[],3,FALSE),0)</f>
        <v>0</v>
      </c>
      <c r="V136" s="111">
        <f>Ruimtestaat[[#This Row],[Uitvoeringen werkdagen]]*Ruimtestaat[[#This Row],[Oppervlak (netto)]]</f>
        <v>42.36</v>
      </c>
      <c r="W136" s="112">
        <f>IF(U136&gt;0,Ruimtestaat[[#This Row],[Prest. (m2 /jaar) werkdagen]]/Ruimtestaat[[#This Row],[Norm (m2/uur) werkdagen]],0)</f>
        <v>0</v>
      </c>
      <c r="X136" s="113">
        <f>Ruimtestaat[[#This Row],[uren / jaar werkdagen]]*Tariefsopbouw!$E$35</f>
        <v>0</v>
      </c>
      <c r="Y136" s="110"/>
      <c r="Z136" s="114">
        <f>IF(Ruimtestaat[[#This Row],[Frequentie weekend]]&gt;0,VALUE(LEFT(Y136,1))*R136,0)</f>
        <v>0</v>
      </c>
      <c r="AA136" s="110">
        <f>IF($Z136&gt;0,VLOOKUP($J136,Ruimtegroepen[],3,FALSE)*VLOOKUP($L136,Vloersoorten[],3,FALSE)*VLOOKUP($Y136,Frequenties[],3,FALSE)*VLOOKUP(#REF!,Locaties[],3,FALSE),0)</f>
        <v>0</v>
      </c>
      <c r="AB136" s="112">
        <f>Ruimtestaat[[#This Row],[Uitvoeringen weekend]]*Ruimtestaat[[#This Row],[Oppervlak (netto)]]</f>
        <v>0</v>
      </c>
      <c r="AC136" s="115">
        <f>IF(AB136&gt;0,Ruimtestaat[[#This Row],[Prest. (m2 /jaar) weekend]]/Ruimtestaat[[#This Row],[Norm (m2/uur) weekend]],0)</f>
        <v>0</v>
      </c>
      <c r="AD136" s="116">
        <f>Ruimtestaat[[#This Row],[uren / jaar weekend]]*Tariefsopbouw!$D$40</f>
        <v>0</v>
      </c>
      <c r="AE136" s="82">
        <f>Ruimtestaat[[#This Row],[Prest. (m2 /jaar) weekend]]+Ruimtestaat[[#This Row],[Prest. (m2 /jaar) werkdagen]]</f>
        <v>42.36</v>
      </c>
      <c r="AF136" s="82">
        <f>Ruimtestaat[[#This Row],[uren / jaar weekend]]+Ruimtestaat[[#This Row],[uren / jaar werkdagen]]</f>
        <v>0</v>
      </c>
      <c r="AG136" s="83">
        <f>Ruimtestaat[[#This Row],[kosten / jaar weekend]]+Ruimtestaat[[#This Row],[kosten / jaar werkdagen]]</f>
        <v>0</v>
      </c>
      <c r="AH136" s="117"/>
      <c r="HL136" s="87"/>
    </row>
    <row r="137" spans="1:220" ht="15" customHeight="1">
      <c r="A137" s="136">
        <v>1</v>
      </c>
      <c r="B137" s="27" t="str">
        <f>VLOOKUP(Ruimtestaat[[#This Row],[Code]],Locaties[#All],2,FALSE)</f>
        <v>Hoornbeeck College Gouda</v>
      </c>
      <c r="C137" s="27" t="str">
        <f>VLOOKUP(Ruimtestaat[[#This Row],[Code]],Locaties[#All],4,FALSE)</f>
        <v>Noordelijk Halfrond 10</v>
      </c>
      <c r="D137" s="27" t="str">
        <f>VLOOKUP(Ruimtestaat[[#This Row],[Code]],Locaties[#All],5,FALSE)</f>
        <v>2801 DE</v>
      </c>
      <c r="E137" s="27" t="str">
        <f>VLOOKUP(Ruimtestaat[[#This Row],[Code]],Locaties[#All],6,FALSE)</f>
        <v>Gouda</v>
      </c>
      <c r="F137" s="74" t="s">
        <v>484</v>
      </c>
      <c r="G137" s="285" t="s">
        <v>543</v>
      </c>
      <c r="H137" s="286"/>
      <c r="I137" s="287" t="s">
        <v>470</v>
      </c>
      <c r="J137" s="288">
        <v>10</v>
      </c>
      <c r="K137" s="74" t="str">
        <f>VLOOKUP(J137,Ruimtegroepen[],2,FALSE)</f>
        <v>Trappenhuizen/lift</v>
      </c>
      <c r="L137" s="285" t="s">
        <v>110</v>
      </c>
      <c r="M137" s="287" t="s">
        <v>38</v>
      </c>
      <c r="N137" s="289">
        <v>15</v>
      </c>
      <c r="O137" s="285"/>
      <c r="P137" s="118" t="str">
        <f>LEFT(VLOOKUP(Ruimtestaat[[#This Row],[Ruimte code]],Ruimtegroepen[#All],4,1),2)</f>
        <v>Ve</v>
      </c>
      <c r="Q137" s="107"/>
      <c r="R137" s="108">
        <v>40</v>
      </c>
      <c r="S137" s="109" t="s">
        <v>2</v>
      </c>
      <c r="T137" s="110">
        <f>IF(R137&gt;0,IF(RIGHT(Ruimtestaat[[#This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" s="110">
        <f>IF(T137&gt;0,VLOOKUP($J137,Ruimtegroepen[],3,FALSE)*VLOOKUP($L137,Vloersoorten[],3,FALSE)*VLOOKUP($S137,Frequenties[],3,FALSE)*VLOOKUP($A137,Locaties[],3,FALSE),0)</f>
        <v>0</v>
      </c>
      <c r="V137" s="111">
        <f>Ruimtestaat[[#This Row],[Uitvoeringen werkdagen]]*Ruimtestaat[[#This Row],[Oppervlak (netto)]]</f>
        <v>3000</v>
      </c>
      <c r="W137" s="112">
        <f>IF(U137&gt;0,Ruimtestaat[[#This Row],[Prest. (m2 /jaar) werkdagen]]/Ruimtestaat[[#This Row],[Norm (m2/uur) werkdagen]],0)</f>
        <v>0</v>
      </c>
      <c r="X137" s="113">
        <f>Ruimtestaat[[#This Row],[uren / jaar werkdagen]]*Tariefsopbouw!$E$35</f>
        <v>0</v>
      </c>
      <c r="Y137" s="110"/>
      <c r="Z137" s="114">
        <f>IF(Ruimtestaat[[#This Row],[Frequentie weekend]]&gt;0,VALUE(LEFT(Y137,1))*R137,0)</f>
        <v>0</v>
      </c>
      <c r="AA137" s="110">
        <f>IF($Z137&gt;0,VLOOKUP($J137,Ruimtegroepen[],3,FALSE)*VLOOKUP($L137,Vloersoorten[],3,FALSE)*VLOOKUP($Y137,Frequenties[],3,FALSE)*VLOOKUP(#REF!,Locaties[],3,FALSE),0)</f>
        <v>0</v>
      </c>
      <c r="AB137" s="112">
        <f>Ruimtestaat[[#This Row],[Uitvoeringen weekend]]*Ruimtestaat[[#This Row],[Oppervlak (netto)]]</f>
        <v>0</v>
      </c>
      <c r="AC137" s="115">
        <f>IF(AB137&gt;0,Ruimtestaat[[#This Row],[Prest. (m2 /jaar) weekend]]/Ruimtestaat[[#This Row],[Norm (m2/uur) weekend]],0)</f>
        <v>0</v>
      </c>
      <c r="AD137" s="116">
        <f>Ruimtestaat[[#This Row],[uren / jaar weekend]]*Tariefsopbouw!$D$40</f>
        <v>0</v>
      </c>
      <c r="AE137" s="82">
        <f>Ruimtestaat[[#This Row],[Prest. (m2 /jaar) weekend]]+Ruimtestaat[[#This Row],[Prest. (m2 /jaar) werkdagen]]</f>
        <v>3000</v>
      </c>
      <c r="AF137" s="82">
        <f>Ruimtestaat[[#This Row],[uren / jaar weekend]]+Ruimtestaat[[#This Row],[uren / jaar werkdagen]]</f>
        <v>0</v>
      </c>
      <c r="AG137" s="83">
        <f>Ruimtestaat[[#This Row],[kosten / jaar weekend]]+Ruimtestaat[[#This Row],[kosten / jaar werkdagen]]</f>
        <v>0</v>
      </c>
      <c r="AH137" s="117"/>
      <c r="HL137" s="87"/>
    </row>
    <row r="138" spans="1:220" ht="15" customHeight="1">
      <c r="A138" s="136">
        <v>1</v>
      </c>
      <c r="B138" s="27" t="str">
        <f>VLOOKUP(Ruimtestaat[[#This Row],[Code]],Locaties[#All],2,FALSE)</f>
        <v>Hoornbeeck College Gouda</v>
      </c>
      <c r="C138" s="27" t="str">
        <f>VLOOKUP(Ruimtestaat[[#This Row],[Code]],Locaties[#All],4,FALSE)</f>
        <v>Noordelijk Halfrond 10</v>
      </c>
      <c r="D138" s="27" t="str">
        <f>VLOOKUP(Ruimtestaat[[#This Row],[Code]],Locaties[#All],5,FALSE)</f>
        <v>2801 DE</v>
      </c>
      <c r="E138" s="27" t="str">
        <f>VLOOKUP(Ruimtestaat[[#This Row],[Code]],Locaties[#All],6,FALSE)</f>
        <v>Gouda</v>
      </c>
      <c r="F138" s="74" t="s">
        <v>484</v>
      </c>
      <c r="G138" s="285" t="s">
        <v>543</v>
      </c>
      <c r="H138" s="286" t="s">
        <v>566</v>
      </c>
      <c r="I138" s="287" t="s">
        <v>639</v>
      </c>
      <c r="J138" s="288">
        <v>5</v>
      </c>
      <c r="K138" s="74" t="str">
        <f>VLOOKUP(J138,Ruimtegroepen[],2,FALSE)</f>
        <v>Sanitair</v>
      </c>
      <c r="L138" s="285" t="s">
        <v>112</v>
      </c>
      <c r="M138" s="287" t="s">
        <v>469</v>
      </c>
      <c r="N138" s="289">
        <v>5.6</v>
      </c>
      <c r="O138" s="285"/>
      <c r="P138" s="118" t="str">
        <f>LEFT(VLOOKUP(Ruimtestaat[[#This Row],[Ruimte code]],Ruimtegroepen[#All],4,1),2)</f>
        <v>Sa</v>
      </c>
      <c r="Q138" s="107"/>
      <c r="R138" s="108">
        <v>40</v>
      </c>
      <c r="S138" s="109" t="s">
        <v>2</v>
      </c>
      <c r="T138" s="110">
        <f>IF(R138&gt;0,IF(RIGHT(Ruimtestaat[[#This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" s="110">
        <f>IF(T138&gt;0,VLOOKUP($J138,Ruimtegroepen[],3,FALSE)*VLOOKUP($L138,Vloersoorten[],3,FALSE)*VLOOKUP($S138,Frequenties[],3,FALSE)*VLOOKUP($A138,Locaties[],3,FALSE),0)</f>
        <v>0</v>
      </c>
      <c r="V138" s="111">
        <f>Ruimtestaat[[#This Row],[Uitvoeringen werkdagen]]*Ruimtestaat[[#This Row],[Oppervlak (netto)]]</f>
        <v>1120</v>
      </c>
      <c r="W138" s="112">
        <f>IF(U138&gt;0,Ruimtestaat[[#This Row],[Prest. (m2 /jaar) werkdagen]]/Ruimtestaat[[#This Row],[Norm (m2/uur) werkdagen]],0)</f>
        <v>0</v>
      </c>
      <c r="X138" s="113">
        <f>Ruimtestaat[[#This Row],[uren / jaar werkdagen]]*Tariefsopbouw!$E$35</f>
        <v>0</v>
      </c>
      <c r="Y138" s="110"/>
      <c r="Z138" s="114">
        <f>IF(Ruimtestaat[[#This Row],[Frequentie weekend]]&gt;0,VALUE(LEFT(Y138,1))*R138,0)</f>
        <v>0</v>
      </c>
      <c r="AA138" s="110">
        <f>IF($Z138&gt;0,VLOOKUP($J138,Ruimtegroepen[],3,FALSE)*VLOOKUP($L138,Vloersoorten[],3,FALSE)*VLOOKUP($Y138,Frequenties[],3,FALSE)*VLOOKUP(#REF!,Locaties[],3,FALSE),0)</f>
        <v>0</v>
      </c>
      <c r="AB138" s="112">
        <f>Ruimtestaat[[#This Row],[Uitvoeringen weekend]]*Ruimtestaat[[#This Row],[Oppervlak (netto)]]</f>
        <v>0</v>
      </c>
      <c r="AC138" s="115">
        <f>IF(AB138&gt;0,Ruimtestaat[[#This Row],[Prest. (m2 /jaar) weekend]]/Ruimtestaat[[#This Row],[Norm (m2/uur) weekend]],0)</f>
        <v>0</v>
      </c>
      <c r="AD138" s="116">
        <f>Ruimtestaat[[#This Row],[uren / jaar weekend]]*Tariefsopbouw!$D$40</f>
        <v>0</v>
      </c>
      <c r="AE138" s="82">
        <f>Ruimtestaat[[#This Row],[Prest. (m2 /jaar) weekend]]+Ruimtestaat[[#This Row],[Prest. (m2 /jaar) werkdagen]]</f>
        <v>1120</v>
      </c>
      <c r="AF138" s="82">
        <f>Ruimtestaat[[#This Row],[uren / jaar weekend]]+Ruimtestaat[[#This Row],[uren / jaar werkdagen]]</f>
        <v>0</v>
      </c>
      <c r="AG138" s="83">
        <f>Ruimtestaat[[#This Row],[kosten / jaar weekend]]+Ruimtestaat[[#This Row],[kosten / jaar werkdagen]]</f>
        <v>0</v>
      </c>
      <c r="AH138" s="117"/>
      <c r="HL138" s="87"/>
    </row>
    <row r="139" spans="1:220" ht="15" customHeight="1">
      <c r="A139" s="136">
        <v>1</v>
      </c>
      <c r="B139" s="27" t="str">
        <f>VLOOKUP(Ruimtestaat[[#This Row],[Code]],Locaties[#All],2,FALSE)</f>
        <v>Hoornbeeck College Gouda</v>
      </c>
      <c r="C139" s="27" t="str">
        <f>VLOOKUP(Ruimtestaat[[#This Row],[Code]],Locaties[#All],4,FALSE)</f>
        <v>Noordelijk Halfrond 10</v>
      </c>
      <c r="D139" s="27" t="str">
        <f>VLOOKUP(Ruimtestaat[[#This Row],[Code]],Locaties[#All],5,FALSE)</f>
        <v>2801 DE</v>
      </c>
      <c r="E139" s="27" t="str">
        <f>VLOOKUP(Ruimtestaat[[#This Row],[Code]],Locaties[#All],6,FALSE)</f>
        <v>Gouda</v>
      </c>
      <c r="F139" s="74" t="s">
        <v>484</v>
      </c>
      <c r="G139" s="285" t="s">
        <v>543</v>
      </c>
      <c r="H139" s="286" t="s">
        <v>567</v>
      </c>
      <c r="I139" s="287" t="s">
        <v>639</v>
      </c>
      <c r="J139" s="288">
        <v>5</v>
      </c>
      <c r="K139" s="74" t="str">
        <f>VLOOKUP(J139,Ruimtegroepen[],2,FALSE)</f>
        <v>Sanitair</v>
      </c>
      <c r="L139" s="285" t="s">
        <v>112</v>
      </c>
      <c r="M139" s="287" t="s">
        <v>469</v>
      </c>
      <c r="N139" s="289">
        <v>5.6</v>
      </c>
      <c r="O139" s="285"/>
      <c r="P139" s="118" t="str">
        <f>LEFT(VLOOKUP(Ruimtestaat[[#This Row],[Ruimte code]],Ruimtegroepen[#All],4,1),2)</f>
        <v>Sa</v>
      </c>
      <c r="Q139" s="107"/>
      <c r="R139" s="108">
        <v>40</v>
      </c>
      <c r="S139" s="109" t="s">
        <v>2</v>
      </c>
      <c r="T139" s="110">
        <f>IF(R139&gt;0,IF(RIGHT(Ruimtestaat[[#This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" s="110">
        <f>IF(T139&gt;0,VLOOKUP($J139,Ruimtegroepen[],3,FALSE)*VLOOKUP($L139,Vloersoorten[],3,FALSE)*VLOOKUP($S139,Frequenties[],3,FALSE)*VLOOKUP($A139,Locaties[],3,FALSE),0)</f>
        <v>0</v>
      </c>
      <c r="V139" s="111">
        <f>Ruimtestaat[[#This Row],[Uitvoeringen werkdagen]]*Ruimtestaat[[#This Row],[Oppervlak (netto)]]</f>
        <v>1120</v>
      </c>
      <c r="W139" s="112">
        <f>IF(U139&gt;0,Ruimtestaat[[#This Row],[Prest. (m2 /jaar) werkdagen]]/Ruimtestaat[[#This Row],[Norm (m2/uur) werkdagen]],0)</f>
        <v>0</v>
      </c>
      <c r="X139" s="113">
        <f>Ruimtestaat[[#This Row],[uren / jaar werkdagen]]*Tariefsopbouw!$E$35</f>
        <v>0</v>
      </c>
      <c r="Y139" s="110"/>
      <c r="Z139" s="114">
        <f>IF(Ruimtestaat[[#This Row],[Frequentie weekend]]&gt;0,VALUE(LEFT(Y139,1))*R139,0)</f>
        <v>0</v>
      </c>
      <c r="AA139" s="110">
        <f>IF($Z139&gt;0,VLOOKUP($J139,Ruimtegroepen[],3,FALSE)*VLOOKUP($L139,Vloersoorten[],3,FALSE)*VLOOKUP($Y139,Frequenties[],3,FALSE)*VLOOKUP(#REF!,Locaties[],3,FALSE),0)</f>
        <v>0</v>
      </c>
      <c r="AB139" s="112">
        <f>Ruimtestaat[[#This Row],[Uitvoeringen weekend]]*Ruimtestaat[[#This Row],[Oppervlak (netto)]]</f>
        <v>0</v>
      </c>
      <c r="AC139" s="115">
        <f>IF(AB139&gt;0,Ruimtestaat[[#This Row],[Prest. (m2 /jaar) weekend]]/Ruimtestaat[[#This Row],[Norm (m2/uur) weekend]],0)</f>
        <v>0</v>
      </c>
      <c r="AD139" s="116">
        <f>Ruimtestaat[[#This Row],[uren / jaar weekend]]*Tariefsopbouw!$D$40</f>
        <v>0</v>
      </c>
      <c r="AE139" s="82">
        <f>Ruimtestaat[[#This Row],[Prest. (m2 /jaar) weekend]]+Ruimtestaat[[#This Row],[Prest. (m2 /jaar) werkdagen]]</f>
        <v>1120</v>
      </c>
      <c r="AF139" s="82">
        <f>Ruimtestaat[[#This Row],[uren / jaar weekend]]+Ruimtestaat[[#This Row],[uren / jaar werkdagen]]</f>
        <v>0</v>
      </c>
      <c r="AG139" s="83">
        <f>Ruimtestaat[[#This Row],[kosten / jaar weekend]]+Ruimtestaat[[#This Row],[kosten / jaar werkdagen]]</f>
        <v>0</v>
      </c>
      <c r="AH139" s="117"/>
      <c r="HL139" s="87"/>
    </row>
    <row r="140" spans="1:220" ht="15" customHeight="1">
      <c r="A140" s="136">
        <v>1</v>
      </c>
      <c r="B140" s="27" t="str">
        <f>VLOOKUP(Ruimtestaat[[#This Row],[Code]],Locaties[#All],2,FALSE)</f>
        <v>Hoornbeeck College Gouda</v>
      </c>
      <c r="C140" s="27" t="str">
        <f>VLOOKUP(Ruimtestaat[[#This Row],[Code]],Locaties[#All],4,FALSE)</f>
        <v>Noordelijk Halfrond 10</v>
      </c>
      <c r="D140" s="27" t="str">
        <f>VLOOKUP(Ruimtestaat[[#This Row],[Code]],Locaties[#All],5,FALSE)</f>
        <v>2801 DE</v>
      </c>
      <c r="E140" s="27" t="str">
        <f>VLOOKUP(Ruimtestaat[[#This Row],[Code]],Locaties[#All],6,FALSE)</f>
        <v>Gouda</v>
      </c>
      <c r="F140" s="74" t="s">
        <v>484</v>
      </c>
      <c r="G140" s="285" t="s">
        <v>543</v>
      </c>
      <c r="H140" s="286" t="s">
        <v>568</v>
      </c>
      <c r="I140" s="287" t="s">
        <v>624</v>
      </c>
      <c r="J140" s="288">
        <v>20</v>
      </c>
      <c r="K140" s="74" t="str">
        <f>VLOOKUP(J140,Ruimtegroepen[],2,FALSE)</f>
        <v>Niet in onderhoud</v>
      </c>
      <c r="L140" s="285"/>
      <c r="M140" s="287"/>
      <c r="N140" s="289"/>
      <c r="O140" s="285"/>
      <c r="P140" s="118" t="str">
        <f>LEFT(VLOOKUP(Ruimtestaat[[#This Row],[Ruimte code]],Ruimtegroepen[#All],4,1),2)</f>
        <v/>
      </c>
      <c r="Q140" s="107"/>
      <c r="R140" s="108"/>
      <c r="S140" s="109"/>
      <c r="T140" s="110">
        <f>IF(R140&gt;0,IF(RIGHT(Ruimtestaat[[#This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0" s="110">
        <f>IF(T140&gt;0,VLOOKUP($J140,Ruimtegroepen[],3,FALSE)*VLOOKUP($L140,Vloersoorten[],3,FALSE)*VLOOKUP($S140,Frequenties[],3,FALSE)*VLOOKUP($A140,Locaties[],3,FALSE),0)</f>
        <v>0</v>
      </c>
      <c r="V140" s="111">
        <f>Ruimtestaat[[#This Row],[Uitvoeringen werkdagen]]*Ruimtestaat[[#This Row],[Oppervlak (netto)]]</f>
        <v>0</v>
      </c>
      <c r="W140" s="112">
        <f>IF(U140&gt;0,Ruimtestaat[[#This Row],[Prest. (m2 /jaar) werkdagen]]/Ruimtestaat[[#This Row],[Norm (m2/uur) werkdagen]],0)</f>
        <v>0</v>
      </c>
      <c r="X140" s="113">
        <f>Ruimtestaat[[#This Row],[uren / jaar werkdagen]]*Tariefsopbouw!$E$35</f>
        <v>0</v>
      </c>
      <c r="Y140" s="110"/>
      <c r="Z140" s="114">
        <f>IF(Ruimtestaat[[#This Row],[Frequentie weekend]]&gt;0,VALUE(LEFT(Y140,1))*R140,0)</f>
        <v>0</v>
      </c>
      <c r="AA140" s="110">
        <f>IF($Z140&gt;0,VLOOKUP($J140,Ruimtegroepen[],3,FALSE)*VLOOKUP($L140,Vloersoorten[],3,FALSE)*VLOOKUP($Y140,Frequenties[],3,FALSE)*VLOOKUP(#REF!,Locaties[],3,FALSE),0)</f>
        <v>0</v>
      </c>
      <c r="AB140" s="112">
        <f>Ruimtestaat[[#This Row],[Uitvoeringen weekend]]*Ruimtestaat[[#This Row],[Oppervlak (netto)]]</f>
        <v>0</v>
      </c>
      <c r="AC140" s="115">
        <f>IF(AB140&gt;0,Ruimtestaat[[#This Row],[Prest. (m2 /jaar) weekend]]/Ruimtestaat[[#This Row],[Norm (m2/uur) weekend]],0)</f>
        <v>0</v>
      </c>
      <c r="AD140" s="116">
        <f>Ruimtestaat[[#This Row],[uren / jaar weekend]]*Tariefsopbouw!$D$40</f>
        <v>0</v>
      </c>
      <c r="AE140" s="82">
        <f>Ruimtestaat[[#This Row],[Prest. (m2 /jaar) weekend]]+Ruimtestaat[[#This Row],[Prest. (m2 /jaar) werkdagen]]</f>
        <v>0</v>
      </c>
      <c r="AF140" s="82">
        <f>Ruimtestaat[[#This Row],[uren / jaar weekend]]+Ruimtestaat[[#This Row],[uren / jaar werkdagen]]</f>
        <v>0</v>
      </c>
      <c r="AG140" s="83">
        <f>Ruimtestaat[[#This Row],[kosten / jaar weekend]]+Ruimtestaat[[#This Row],[kosten / jaar werkdagen]]</f>
        <v>0</v>
      </c>
      <c r="AH140" s="117"/>
      <c r="HL140" s="87"/>
    </row>
    <row r="141" spans="1:220" ht="15" customHeight="1">
      <c r="A141" s="136">
        <v>1</v>
      </c>
      <c r="B141" s="27" t="str">
        <f>VLOOKUP(Ruimtestaat[[#This Row],[Code]],Locaties[#All],2,FALSE)</f>
        <v>Hoornbeeck College Gouda</v>
      </c>
      <c r="C141" s="27" t="str">
        <f>VLOOKUP(Ruimtestaat[[#This Row],[Code]],Locaties[#All],4,FALSE)</f>
        <v>Noordelijk Halfrond 10</v>
      </c>
      <c r="D141" s="27" t="str">
        <f>VLOOKUP(Ruimtestaat[[#This Row],[Code]],Locaties[#All],5,FALSE)</f>
        <v>2801 DE</v>
      </c>
      <c r="E141" s="27" t="str">
        <f>VLOOKUP(Ruimtestaat[[#This Row],[Code]],Locaties[#All],6,FALSE)</f>
        <v>Gouda</v>
      </c>
      <c r="F141" s="74" t="s">
        <v>465</v>
      </c>
      <c r="G141" s="285" t="s">
        <v>569</v>
      </c>
      <c r="H141" s="286" t="s">
        <v>570</v>
      </c>
      <c r="I141" s="287" t="s">
        <v>650</v>
      </c>
      <c r="J141" s="288">
        <v>2</v>
      </c>
      <c r="K141" s="74" t="str">
        <f>VLOOKUP(J141,Ruimtegroepen[],2,FALSE)</f>
        <v>Kantoren</v>
      </c>
      <c r="L141" s="285" t="s">
        <v>110</v>
      </c>
      <c r="M141" s="287" t="s">
        <v>38</v>
      </c>
      <c r="N141" s="289">
        <v>33.799999999999997</v>
      </c>
      <c r="O141" s="285"/>
      <c r="P141" s="118" t="str">
        <f>LEFT(VLOOKUP(Ruimtestaat[[#This Row],[Ruimte code]],Ruimtegroepen[#All],4,1),2)</f>
        <v>Bu</v>
      </c>
      <c r="Q141" s="107"/>
      <c r="R141" s="108">
        <v>40</v>
      </c>
      <c r="S141" s="109" t="s">
        <v>17</v>
      </c>
      <c r="T141" s="110">
        <f>IF(R141&gt;0,IF(RIGHT(Ruimtestaat[[#This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41" s="110">
        <f>IF(T141&gt;0,VLOOKUP($J141,Ruimtegroepen[],3,FALSE)*VLOOKUP($L141,Vloersoorten[],3,FALSE)*VLOOKUP($S141,Frequenties[],3,FALSE)*VLOOKUP($A141,Locaties[],3,FALSE),0)</f>
        <v>0</v>
      </c>
      <c r="V141" s="111">
        <f>Ruimtestaat[[#This Row],[Uitvoeringen werkdagen]]*Ruimtestaat[[#This Row],[Oppervlak (netto)]]</f>
        <v>2704</v>
      </c>
      <c r="W141" s="112">
        <f>IF(U141&gt;0,Ruimtestaat[[#This Row],[Prest. (m2 /jaar) werkdagen]]/Ruimtestaat[[#This Row],[Norm (m2/uur) werkdagen]],0)</f>
        <v>0</v>
      </c>
      <c r="X141" s="113">
        <f>Ruimtestaat[[#This Row],[uren / jaar werkdagen]]*Tariefsopbouw!$E$35</f>
        <v>0</v>
      </c>
      <c r="Y141" s="110"/>
      <c r="Z141" s="114">
        <f>IF(Ruimtestaat[[#This Row],[Frequentie weekend]]&gt;0,VALUE(LEFT(Y141,1))*R141,0)</f>
        <v>0</v>
      </c>
      <c r="AA141" s="110">
        <f>IF($Z141&gt;0,VLOOKUP($J141,Ruimtegroepen[],3,FALSE)*VLOOKUP($L141,Vloersoorten[],3,FALSE)*VLOOKUP($Y141,Frequenties[],3,FALSE)*VLOOKUP(#REF!,Locaties[],3,FALSE),0)</f>
        <v>0</v>
      </c>
      <c r="AB141" s="112">
        <f>Ruimtestaat[[#This Row],[Uitvoeringen weekend]]*Ruimtestaat[[#This Row],[Oppervlak (netto)]]</f>
        <v>0</v>
      </c>
      <c r="AC141" s="115">
        <f>IF(AB141&gt;0,Ruimtestaat[[#This Row],[Prest. (m2 /jaar) weekend]]/Ruimtestaat[[#This Row],[Norm (m2/uur) weekend]],0)</f>
        <v>0</v>
      </c>
      <c r="AD141" s="116">
        <f>Ruimtestaat[[#This Row],[uren / jaar weekend]]*Tariefsopbouw!$D$40</f>
        <v>0</v>
      </c>
      <c r="AE141" s="82">
        <f>Ruimtestaat[[#This Row],[Prest. (m2 /jaar) weekend]]+Ruimtestaat[[#This Row],[Prest. (m2 /jaar) werkdagen]]</f>
        <v>2704</v>
      </c>
      <c r="AF141" s="82">
        <f>Ruimtestaat[[#This Row],[uren / jaar weekend]]+Ruimtestaat[[#This Row],[uren / jaar werkdagen]]</f>
        <v>0</v>
      </c>
      <c r="AG141" s="83">
        <f>Ruimtestaat[[#This Row],[kosten / jaar weekend]]+Ruimtestaat[[#This Row],[kosten / jaar werkdagen]]</f>
        <v>0</v>
      </c>
      <c r="AH141" s="117"/>
      <c r="HL141" s="87"/>
    </row>
    <row r="142" spans="1:220" ht="15" customHeight="1">
      <c r="A142" s="136">
        <v>1</v>
      </c>
      <c r="B142" s="27" t="str">
        <f>VLOOKUP(Ruimtestaat[[#This Row],[Code]],Locaties[#All],2,FALSE)</f>
        <v>Hoornbeeck College Gouda</v>
      </c>
      <c r="C142" s="27" t="str">
        <f>VLOOKUP(Ruimtestaat[[#This Row],[Code]],Locaties[#All],4,FALSE)</f>
        <v>Noordelijk Halfrond 10</v>
      </c>
      <c r="D142" s="27" t="str">
        <f>VLOOKUP(Ruimtestaat[[#This Row],[Code]],Locaties[#All],5,FALSE)</f>
        <v>2801 DE</v>
      </c>
      <c r="E142" s="27" t="str">
        <f>VLOOKUP(Ruimtestaat[[#This Row],[Code]],Locaties[#All],6,FALSE)</f>
        <v>Gouda</v>
      </c>
      <c r="F142" s="74" t="s">
        <v>465</v>
      </c>
      <c r="G142" s="285" t="s">
        <v>569</v>
      </c>
      <c r="H142" s="286" t="s">
        <v>571</v>
      </c>
      <c r="I142" s="287" t="s">
        <v>667</v>
      </c>
      <c r="J142" s="288">
        <v>2</v>
      </c>
      <c r="K142" s="74" t="str">
        <f>VLOOKUP(J142,Ruimtegroepen[],2,FALSE)</f>
        <v>Kantoren</v>
      </c>
      <c r="L142" s="285" t="s">
        <v>110</v>
      </c>
      <c r="M142" s="287" t="s">
        <v>38</v>
      </c>
      <c r="N142" s="289">
        <v>27.2</v>
      </c>
      <c r="O142" s="285"/>
      <c r="P142" s="118" t="str">
        <f>LEFT(VLOOKUP(Ruimtestaat[[#This Row],[Ruimte code]],Ruimtegroepen[#All],4,1),2)</f>
        <v>Bu</v>
      </c>
      <c r="Q142" s="107"/>
      <c r="R142" s="108">
        <v>40</v>
      </c>
      <c r="S142" s="109" t="s">
        <v>17</v>
      </c>
      <c r="T142" s="110">
        <f>IF(R142&gt;0,IF(RIGHT(Ruimtestaat[[#This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42" s="110">
        <f>IF(T142&gt;0,VLOOKUP($J142,Ruimtegroepen[],3,FALSE)*VLOOKUP($L142,Vloersoorten[],3,FALSE)*VLOOKUP($S142,Frequenties[],3,FALSE)*VLOOKUP($A142,Locaties[],3,FALSE),0)</f>
        <v>0</v>
      </c>
      <c r="V142" s="111">
        <f>Ruimtestaat[[#This Row],[Uitvoeringen werkdagen]]*Ruimtestaat[[#This Row],[Oppervlak (netto)]]</f>
        <v>2176</v>
      </c>
      <c r="W142" s="112">
        <f>IF(U142&gt;0,Ruimtestaat[[#This Row],[Prest. (m2 /jaar) werkdagen]]/Ruimtestaat[[#This Row],[Norm (m2/uur) werkdagen]],0)</f>
        <v>0</v>
      </c>
      <c r="X142" s="113">
        <f>Ruimtestaat[[#This Row],[uren / jaar werkdagen]]*Tariefsopbouw!$E$35</f>
        <v>0</v>
      </c>
      <c r="Y142" s="110"/>
      <c r="Z142" s="114">
        <f>IF(Ruimtestaat[[#This Row],[Frequentie weekend]]&gt;0,VALUE(LEFT(Y142,1))*R142,0)</f>
        <v>0</v>
      </c>
      <c r="AA142" s="110">
        <f>IF($Z142&gt;0,VLOOKUP($J142,Ruimtegroepen[],3,FALSE)*VLOOKUP($L142,Vloersoorten[],3,FALSE)*VLOOKUP($Y142,Frequenties[],3,FALSE)*VLOOKUP(#REF!,Locaties[],3,FALSE),0)</f>
        <v>0</v>
      </c>
      <c r="AB142" s="112">
        <f>Ruimtestaat[[#This Row],[Uitvoeringen weekend]]*Ruimtestaat[[#This Row],[Oppervlak (netto)]]</f>
        <v>0</v>
      </c>
      <c r="AC142" s="115">
        <f>IF(AB142&gt;0,Ruimtestaat[[#This Row],[Prest. (m2 /jaar) weekend]]/Ruimtestaat[[#This Row],[Norm (m2/uur) weekend]],0)</f>
        <v>0</v>
      </c>
      <c r="AD142" s="116">
        <f>Ruimtestaat[[#This Row],[uren / jaar weekend]]*Tariefsopbouw!$D$40</f>
        <v>0</v>
      </c>
      <c r="AE142" s="82">
        <f>Ruimtestaat[[#This Row],[Prest. (m2 /jaar) weekend]]+Ruimtestaat[[#This Row],[Prest. (m2 /jaar) werkdagen]]</f>
        <v>2176</v>
      </c>
      <c r="AF142" s="82">
        <f>Ruimtestaat[[#This Row],[uren / jaar weekend]]+Ruimtestaat[[#This Row],[uren / jaar werkdagen]]</f>
        <v>0</v>
      </c>
      <c r="AG142" s="83">
        <f>Ruimtestaat[[#This Row],[kosten / jaar weekend]]+Ruimtestaat[[#This Row],[kosten / jaar werkdagen]]</f>
        <v>0</v>
      </c>
      <c r="AH142" s="117"/>
      <c r="HL142" s="87"/>
    </row>
    <row r="143" spans="1:220" ht="15" customHeight="1">
      <c r="A143" s="136">
        <v>1</v>
      </c>
      <c r="B143" s="27" t="str">
        <f>VLOOKUP(Ruimtestaat[[#This Row],[Code]],Locaties[#All],2,FALSE)</f>
        <v>Hoornbeeck College Gouda</v>
      </c>
      <c r="C143" s="27" t="str">
        <f>VLOOKUP(Ruimtestaat[[#This Row],[Code]],Locaties[#All],4,FALSE)</f>
        <v>Noordelijk Halfrond 10</v>
      </c>
      <c r="D143" s="27" t="str">
        <f>VLOOKUP(Ruimtestaat[[#This Row],[Code]],Locaties[#All],5,FALSE)</f>
        <v>2801 DE</v>
      </c>
      <c r="E143" s="27" t="str">
        <f>VLOOKUP(Ruimtestaat[[#This Row],[Code]],Locaties[#All],6,FALSE)</f>
        <v>Gouda</v>
      </c>
      <c r="F143" s="74" t="s">
        <v>465</v>
      </c>
      <c r="G143" s="285" t="s">
        <v>569</v>
      </c>
      <c r="H143" s="286" t="s">
        <v>572</v>
      </c>
      <c r="I143" s="287" t="s">
        <v>673</v>
      </c>
      <c r="J143" s="288">
        <v>2</v>
      </c>
      <c r="K143" s="74" t="str">
        <f>VLOOKUP(J143,Ruimtegroepen[],2,FALSE)</f>
        <v>Kantoren</v>
      </c>
      <c r="L143" s="285" t="s">
        <v>110</v>
      </c>
      <c r="M143" s="287" t="s">
        <v>38</v>
      </c>
      <c r="N143" s="289">
        <v>18.100000000000001</v>
      </c>
      <c r="O143" s="285"/>
      <c r="P143" s="118" t="str">
        <f>LEFT(VLOOKUP(Ruimtestaat[[#This Row],[Ruimte code]],Ruimtegroepen[#All],4,1),2)</f>
        <v>Bu</v>
      </c>
      <c r="Q143" s="107"/>
      <c r="R143" s="108">
        <v>40</v>
      </c>
      <c r="S143" s="109" t="s">
        <v>17</v>
      </c>
      <c r="T143" s="110">
        <f>IF(R143&gt;0,IF(RIGHT(Ruimtestaat[[#This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43" s="110">
        <f>IF(T143&gt;0,VLOOKUP($J143,Ruimtegroepen[],3,FALSE)*VLOOKUP($L143,Vloersoorten[],3,FALSE)*VLOOKUP($S143,Frequenties[],3,FALSE)*VLOOKUP($A143,Locaties[],3,FALSE),0)</f>
        <v>0</v>
      </c>
      <c r="V143" s="111">
        <f>Ruimtestaat[[#This Row],[Uitvoeringen werkdagen]]*Ruimtestaat[[#This Row],[Oppervlak (netto)]]</f>
        <v>1448</v>
      </c>
      <c r="W143" s="112">
        <f>IF(U143&gt;0,Ruimtestaat[[#This Row],[Prest. (m2 /jaar) werkdagen]]/Ruimtestaat[[#This Row],[Norm (m2/uur) werkdagen]],0)</f>
        <v>0</v>
      </c>
      <c r="X143" s="113">
        <f>Ruimtestaat[[#This Row],[uren / jaar werkdagen]]*Tariefsopbouw!$E$35</f>
        <v>0</v>
      </c>
      <c r="Y143" s="110"/>
      <c r="Z143" s="114">
        <f>IF(Ruimtestaat[[#This Row],[Frequentie weekend]]&gt;0,VALUE(LEFT(Y143,1))*R143,0)</f>
        <v>0</v>
      </c>
      <c r="AA143" s="110">
        <f>IF($Z143&gt;0,VLOOKUP($J143,Ruimtegroepen[],3,FALSE)*VLOOKUP($L143,Vloersoorten[],3,FALSE)*VLOOKUP($Y143,Frequenties[],3,FALSE)*VLOOKUP(#REF!,Locaties[],3,FALSE),0)</f>
        <v>0</v>
      </c>
      <c r="AB143" s="112">
        <f>Ruimtestaat[[#This Row],[Uitvoeringen weekend]]*Ruimtestaat[[#This Row],[Oppervlak (netto)]]</f>
        <v>0</v>
      </c>
      <c r="AC143" s="115">
        <f>IF(AB143&gt;0,Ruimtestaat[[#This Row],[Prest. (m2 /jaar) weekend]]/Ruimtestaat[[#This Row],[Norm (m2/uur) weekend]],0)</f>
        <v>0</v>
      </c>
      <c r="AD143" s="116">
        <f>Ruimtestaat[[#This Row],[uren / jaar weekend]]*Tariefsopbouw!$D$40</f>
        <v>0</v>
      </c>
      <c r="AE143" s="82">
        <f>Ruimtestaat[[#This Row],[Prest. (m2 /jaar) weekend]]+Ruimtestaat[[#This Row],[Prest. (m2 /jaar) werkdagen]]</f>
        <v>1448</v>
      </c>
      <c r="AF143" s="82">
        <f>Ruimtestaat[[#This Row],[uren / jaar weekend]]+Ruimtestaat[[#This Row],[uren / jaar werkdagen]]</f>
        <v>0</v>
      </c>
      <c r="AG143" s="83">
        <f>Ruimtestaat[[#This Row],[kosten / jaar weekend]]+Ruimtestaat[[#This Row],[kosten / jaar werkdagen]]</f>
        <v>0</v>
      </c>
      <c r="AH143" s="117"/>
      <c r="HL143" s="87"/>
    </row>
    <row r="144" spans="1:220" ht="15" customHeight="1">
      <c r="A144" s="136">
        <v>1</v>
      </c>
      <c r="B144" s="27" t="str">
        <f>VLOOKUP(Ruimtestaat[[#This Row],[Code]],Locaties[#All],2,FALSE)</f>
        <v>Hoornbeeck College Gouda</v>
      </c>
      <c r="C144" s="27" t="str">
        <f>VLOOKUP(Ruimtestaat[[#This Row],[Code]],Locaties[#All],4,FALSE)</f>
        <v>Noordelijk Halfrond 10</v>
      </c>
      <c r="D144" s="27" t="str">
        <f>VLOOKUP(Ruimtestaat[[#This Row],[Code]],Locaties[#All],5,FALSE)</f>
        <v>2801 DE</v>
      </c>
      <c r="E144" s="27" t="str">
        <f>VLOOKUP(Ruimtestaat[[#This Row],[Code]],Locaties[#All],6,FALSE)</f>
        <v>Gouda</v>
      </c>
      <c r="F144" s="74" t="s">
        <v>465</v>
      </c>
      <c r="G144" s="285" t="s">
        <v>569</v>
      </c>
      <c r="H144" s="286" t="s">
        <v>573</v>
      </c>
      <c r="I144" s="287" t="s">
        <v>690</v>
      </c>
      <c r="J144" s="288">
        <v>16</v>
      </c>
      <c r="K144" s="74" t="str">
        <f>VLOOKUP(J144,Ruimtegroepen[],2,FALSE)</f>
        <v>Leslokalen</v>
      </c>
      <c r="L144" s="285" t="s">
        <v>110</v>
      </c>
      <c r="M144" s="287" t="s">
        <v>38</v>
      </c>
      <c r="N144" s="289">
        <v>51.9</v>
      </c>
      <c r="O144" s="285"/>
      <c r="P144" s="118" t="str">
        <f>LEFT(VLOOKUP(Ruimtestaat[[#This Row],[Ruimte code]],Ruimtegroepen[#All],4,1),2)</f>
        <v>Le</v>
      </c>
      <c r="Q144" s="107"/>
      <c r="R144" s="108">
        <v>40</v>
      </c>
      <c r="S144" s="109" t="s">
        <v>2</v>
      </c>
      <c r="T144" s="110">
        <f>IF(R144&gt;0,IF(RIGHT(Ruimtestaat[[#This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4" s="110">
        <f>IF(T144&gt;0,VLOOKUP($J144,Ruimtegroepen[],3,FALSE)*VLOOKUP($L144,Vloersoorten[],3,FALSE)*VLOOKUP($S144,Frequenties[],3,FALSE)*VLOOKUP($A144,Locaties[],3,FALSE),0)</f>
        <v>0</v>
      </c>
      <c r="V144" s="111">
        <f>Ruimtestaat[[#This Row],[Uitvoeringen werkdagen]]*Ruimtestaat[[#This Row],[Oppervlak (netto)]]</f>
        <v>10380</v>
      </c>
      <c r="W144" s="112">
        <f>IF(U144&gt;0,Ruimtestaat[[#This Row],[Prest. (m2 /jaar) werkdagen]]/Ruimtestaat[[#This Row],[Norm (m2/uur) werkdagen]],0)</f>
        <v>0</v>
      </c>
      <c r="X144" s="113">
        <f>Ruimtestaat[[#This Row],[uren / jaar werkdagen]]*Tariefsopbouw!$E$35</f>
        <v>0</v>
      </c>
      <c r="Y144" s="110"/>
      <c r="Z144" s="114">
        <f>IF(Ruimtestaat[[#This Row],[Frequentie weekend]]&gt;0,VALUE(LEFT(Y144,1))*R144,0)</f>
        <v>0</v>
      </c>
      <c r="AA144" s="110">
        <f>IF($Z144&gt;0,VLOOKUP($J144,Ruimtegroepen[],3,FALSE)*VLOOKUP($L144,Vloersoorten[],3,FALSE)*VLOOKUP($Y144,Frequenties[],3,FALSE)*VLOOKUP(#REF!,Locaties[],3,FALSE),0)</f>
        <v>0</v>
      </c>
      <c r="AB144" s="112">
        <f>Ruimtestaat[[#This Row],[Uitvoeringen weekend]]*Ruimtestaat[[#This Row],[Oppervlak (netto)]]</f>
        <v>0</v>
      </c>
      <c r="AC144" s="115">
        <f>IF(AB144&gt;0,Ruimtestaat[[#This Row],[Prest. (m2 /jaar) weekend]]/Ruimtestaat[[#This Row],[Norm (m2/uur) weekend]],0)</f>
        <v>0</v>
      </c>
      <c r="AD144" s="116">
        <f>Ruimtestaat[[#This Row],[uren / jaar weekend]]*Tariefsopbouw!$D$40</f>
        <v>0</v>
      </c>
      <c r="AE144" s="82">
        <f>Ruimtestaat[[#This Row],[Prest. (m2 /jaar) weekend]]+Ruimtestaat[[#This Row],[Prest. (m2 /jaar) werkdagen]]</f>
        <v>10380</v>
      </c>
      <c r="AF144" s="82">
        <f>Ruimtestaat[[#This Row],[uren / jaar weekend]]+Ruimtestaat[[#This Row],[uren / jaar werkdagen]]</f>
        <v>0</v>
      </c>
      <c r="AG144" s="83">
        <f>Ruimtestaat[[#This Row],[kosten / jaar weekend]]+Ruimtestaat[[#This Row],[kosten / jaar werkdagen]]</f>
        <v>0</v>
      </c>
      <c r="AH144" s="117"/>
      <c r="HL144" s="87"/>
    </row>
    <row r="145" spans="1:220" ht="15" customHeight="1">
      <c r="A145" s="136">
        <v>1</v>
      </c>
      <c r="B145" s="27" t="str">
        <f>VLOOKUP(Ruimtestaat[[#This Row],[Code]],Locaties[#All],2,FALSE)</f>
        <v>Hoornbeeck College Gouda</v>
      </c>
      <c r="C145" s="27" t="str">
        <f>VLOOKUP(Ruimtestaat[[#This Row],[Code]],Locaties[#All],4,FALSE)</f>
        <v>Noordelijk Halfrond 10</v>
      </c>
      <c r="D145" s="27" t="str">
        <f>VLOOKUP(Ruimtestaat[[#This Row],[Code]],Locaties[#All],5,FALSE)</f>
        <v>2801 DE</v>
      </c>
      <c r="E145" s="27" t="str">
        <f>VLOOKUP(Ruimtestaat[[#This Row],[Code]],Locaties[#All],6,FALSE)</f>
        <v>Gouda</v>
      </c>
      <c r="F145" s="74" t="s">
        <v>465</v>
      </c>
      <c r="G145" s="285" t="s">
        <v>569</v>
      </c>
      <c r="H145" s="286" t="s">
        <v>574</v>
      </c>
      <c r="I145" s="287" t="s">
        <v>653</v>
      </c>
      <c r="J145" s="288">
        <v>16</v>
      </c>
      <c r="K145" s="74" t="str">
        <f>VLOOKUP(J145,Ruimtegroepen[],2,FALSE)</f>
        <v>Leslokalen</v>
      </c>
      <c r="L145" s="285" t="s">
        <v>110</v>
      </c>
      <c r="M145" s="287" t="s">
        <v>38</v>
      </c>
      <c r="N145" s="289">
        <v>52.3</v>
      </c>
      <c r="O145" s="285"/>
      <c r="P145" s="118" t="str">
        <f>LEFT(VLOOKUP(Ruimtestaat[[#This Row],[Ruimte code]],Ruimtegroepen[#All],4,1),2)</f>
        <v>Le</v>
      </c>
      <c r="Q145" s="107"/>
      <c r="R145" s="108">
        <v>40</v>
      </c>
      <c r="S145" s="109" t="s">
        <v>2</v>
      </c>
      <c r="T145" s="110">
        <f>IF(R145&gt;0,IF(RIGHT(Ruimtestaat[[#This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5" s="110">
        <f>IF(T145&gt;0,VLOOKUP($J145,Ruimtegroepen[],3,FALSE)*VLOOKUP($L145,Vloersoorten[],3,FALSE)*VLOOKUP($S145,Frequenties[],3,FALSE)*VLOOKUP($A145,Locaties[],3,FALSE),0)</f>
        <v>0</v>
      </c>
      <c r="V145" s="111">
        <f>Ruimtestaat[[#This Row],[Uitvoeringen werkdagen]]*Ruimtestaat[[#This Row],[Oppervlak (netto)]]</f>
        <v>10460</v>
      </c>
      <c r="W145" s="112">
        <f>IF(U145&gt;0,Ruimtestaat[[#This Row],[Prest. (m2 /jaar) werkdagen]]/Ruimtestaat[[#This Row],[Norm (m2/uur) werkdagen]],0)</f>
        <v>0</v>
      </c>
      <c r="X145" s="113">
        <f>Ruimtestaat[[#This Row],[uren / jaar werkdagen]]*Tariefsopbouw!$E$35</f>
        <v>0</v>
      </c>
      <c r="Y145" s="110"/>
      <c r="Z145" s="114">
        <f>IF(Ruimtestaat[[#This Row],[Frequentie weekend]]&gt;0,VALUE(LEFT(Y145,1))*R145,0)</f>
        <v>0</v>
      </c>
      <c r="AA145" s="110">
        <f>IF($Z145&gt;0,VLOOKUP($J145,Ruimtegroepen[],3,FALSE)*VLOOKUP($L145,Vloersoorten[],3,FALSE)*VLOOKUP($Y145,Frequenties[],3,FALSE)*VLOOKUP(#REF!,Locaties[],3,FALSE),0)</f>
        <v>0</v>
      </c>
      <c r="AB145" s="112">
        <f>Ruimtestaat[[#This Row],[Uitvoeringen weekend]]*Ruimtestaat[[#This Row],[Oppervlak (netto)]]</f>
        <v>0</v>
      </c>
      <c r="AC145" s="115">
        <f>IF(AB145&gt;0,Ruimtestaat[[#This Row],[Prest. (m2 /jaar) weekend]]/Ruimtestaat[[#This Row],[Norm (m2/uur) weekend]],0)</f>
        <v>0</v>
      </c>
      <c r="AD145" s="116">
        <f>Ruimtestaat[[#This Row],[uren / jaar weekend]]*Tariefsopbouw!$D$40</f>
        <v>0</v>
      </c>
      <c r="AE145" s="82">
        <f>Ruimtestaat[[#This Row],[Prest. (m2 /jaar) weekend]]+Ruimtestaat[[#This Row],[Prest. (m2 /jaar) werkdagen]]</f>
        <v>10460</v>
      </c>
      <c r="AF145" s="82">
        <f>Ruimtestaat[[#This Row],[uren / jaar weekend]]+Ruimtestaat[[#This Row],[uren / jaar werkdagen]]</f>
        <v>0</v>
      </c>
      <c r="AG145" s="83">
        <f>Ruimtestaat[[#This Row],[kosten / jaar weekend]]+Ruimtestaat[[#This Row],[kosten / jaar werkdagen]]</f>
        <v>0</v>
      </c>
      <c r="AH145" s="117"/>
      <c r="HL145" s="87"/>
    </row>
    <row r="146" spans="1:220" ht="15" customHeight="1">
      <c r="A146" s="136">
        <v>1</v>
      </c>
      <c r="B146" s="27" t="str">
        <f>VLOOKUP(Ruimtestaat[[#This Row],[Code]],Locaties[#All],2,FALSE)</f>
        <v>Hoornbeeck College Gouda</v>
      </c>
      <c r="C146" s="27" t="str">
        <f>VLOOKUP(Ruimtestaat[[#This Row],[Code]],Locaties[#All],4,FALSE)</f>
        <v>Noordelijk Halfrond 10</v>
      </c>
      <c r="D146" s="27" t="str">
        <f>VLOOKUP(Ruimtestaat[[#This Row],[Code]],Locaties[#All],5,FALSE)</f>
        <v>2801 DE</v>
      </c>
      <c r="E146" s="27" t="str">
        <f>VLOOKUP(Ruimtestaat[[#This Row],[Code]],Locaties[#All],6,FALSE)</f>
        <v>Gouda</v>
      </c>
      <c r="F146" s="74" t="s">
        <v>465</v>
      </c>
      <c r="G146" s="285" t="s">
        <v>569</v>
      </c>
      <c r="H146" s="286" t="s">
        <v>575</v>
      </c>
      <c r="I146" s="287" t="s">
        <v>681</v>
      </c>
      <c r="J146" s="288">
        <v>16</v>
      </c>
      <c r="K146" s="74" t="str">
        <f>VLOOKUP(J146,Ruimtegroepen[],2,FALSE)</f>
        <v>Leslokalen</v>
      </c>
      <c r="L146" s="285" t="s">
        <v>110</v>
      </c>
      <c r="M146" s="287" t="s">
        <v>38</v>
      </c>
      <c r="N146" s="289">
        <v>52.1</v>
      </c>
      <c r="O146" s="285"/>
      <c r="P146" s="118" t="str">
        <f>LEFT(VLOOKUP(Ruimtestaat[[#This Row],[Ruimte code]],Ruimtegroepen[#All],4,1),2)</f>
        <v>Le</v>
      </c>
      <c r="Q146" s="107"/>
      <c r="R146" s="108">
        <v>40</v>
      </c>
      <c r="S146" s="109" t="s">
        <v>2</v>
      </c>
      <c r="T146" s="110">
        <f>IF(R146&gt;0,IF(RIGHT(Ruimtestaat[[#This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6" s="110">
        <f>IF(T146&gt;0,VLOOKUP($J146,Ruimtegroepen[],3,FALSE)*VLOOKUP($L146,Vloersoorten[],3,FALSE)*VLOOKUP($S146,Frequenties[],3,FALSE)*VLOOKUP($A146,Locaties[],3,FALSE),0)</f>
        <v>0</v>
      </c>
      <c r="V146" s="111">
        <f>Ruimtestaat[[#This Row],[Uitvoeringen werkdagen]]*Ruimtestaat[[#This Row],[Oppervlak (netto)]]</f>
        <v>10420</v>
      </c>
      <c r="W146" s="112">
        <f>IF(U146&gt;0,Ruimtestaat[[#This Row],[Prest. (m2 /jaar) werkdagen]]/Ruimtestaat[[#This Row],[Norm (m2/uur) werkdagen]],0)</f>
        <v>0</v>
      </c>
      <c r="X146" s="113">
        <f>Ruimtestaat[[#This Row],[uren / jaar werkdagen]]*Tariefsopbouw!$E$35</f>
        <v>0</v>
      </c>
      <c r="Y146" s="110"/>
      <c r="Z146" s="114">
        <f>IF(Ruimtestaat[[#This Row],[Frequentie weekend]]&gt;0,VALUE(LEFT(Y146,1))*R146,0)</f>
        <v>0</v>
      </c>
      <c r="AA146" s="110">
        <f>IF($Z146&gt;0,VLOOKUP($J146,Ruimtegroepen[],3,FALSE)*VLOOKUP($L146,Vloersoorten[],3,FALSE)*VLOOKUP($Y146,Frequenties[],3,FALSE)*VLOOKUP(#REF!,Locaties[],3,FALSE),0)</f>
        <v>0</v>
      </c>
      <c r="AB146" s="112">
        <f>Ruimtestaat[[#This Row],[Uitvoeringen weekend]]*Ruimtestaat[[#This Row],[Oppervlak (netto)]]</f>
        <v>0</v>
      </c>
      <c r="AC146" s="115">
        <f>IF(AB146&gt;0,Ruimtestaat[[#This Row],[Prest. (m2 /jaar) weekend]]/Ruimtestaat[[#This Row],[Norm (m2/uur) weekend]],0)</f>
        <v>0</v>
      </c>
      <c r="AD146" s="116">
        <f>Ruimtestaat[[#This Row],[uren / jaar weekend]]*Tariefsopbouw!$D$40</f>
        <v>0</v>
      </c>
      <c r="AE146" s="82">
        <f>Ruimtestaat[[#This Row],[Prest. (m2 /jaar) weekend]]+Ruimtestaat[[#This Row],[Prest. (m2 /jaar) werkdagen]]</f>
        <v>10420</v>
      </c>
      <c r="AF146" s="82">
        <f>Ruimtestaat[[#This Row],[uren / jaar weekend]]+Ruimtestaat[[#This Row],[uren / jaar werkdagen]]</f>
        <v>0</v>
      </c>
      <c r="AG146" s="83">
        <f>Ruimtestaat[[#This Row],[kosten / jaar weekend]]+Ruimtestaat[[#This Row],[kosten / jaar werkdagen]]</f>
        <v>0</v>
      </c>
      <c r="AH146" s="117"/>
      <c r="HL146" s="87"/>
    </row>
    <row r="147" spans="1:220" ht="15" customHeight="1">
      <c r="A147" s="136">
        <v>1</v>
      </c>
      <c r="B147" s="27" t="str">
        <f>VLOOKUP(Ruimtestaat[[#This Row],[Code]],Locaties[#All],2,FALSE)</f>
        <v>Hoornbeeck College Gouda</v>
      </c>
      <c r="C147" s="27" t="str">
        <f>VLOOKUP(Ruimtestaat[[#This Row],[Code]],Locaties[#All],4,FALSE)</f>
        <v>Noordelijk Halfrond 10</v>
      </c>
      <c r="D147" s="27" t="str">
        <f>VLOOKUP(Ruimtestaat[[#This Row],[Code]],Locaties[#All],5,FALSE)</f>
        <v>2801 DE</v>
      </c>
      <c r="E147" s="27" t="str">
        <f>VLOOKUP(Ruimtestaat[[#This Row],[Code]],Locaties[#All],6,FALSE)</f>
        <v>Gouda</v>
      </c>
      <c r="F147" s="74" t="s">
        <v>465</v>
      </c>
      <c r="G147" s="285" t="s">
        <v>569</v>
      </c>
      <c r="H147" s="286" t="s">
        <v>576</v>
      </c>
      <c r="I147" s="287" t="s">
        <v>668</v>
      </c>
      <c r="J147" s="288">
        <v>16</v>
      </c>
      <c r="K147" s="74" t="str">
        <f>VLOOKUP(J147,Ruimtegroepen[],2,FALSE)</f>
        <v>Leslokalen</v>
      </c>
      <c r="L147" s="285" t="s">
        <v>110</v>
      </c>
      <c r="M147" s="287" t="s">
        <v>38</v>
      </c>
      <c r="N147" s="289">
        <v>80.3</v>
      </c>
      <c r="O147" s="285"/>
      <c r="P147" s="118" t="str">
        <f>LEFT(VLOOKUP(Ruimtestaat[[#This Row],[Ruimte code]],Ruimtegroepen[#All],4,1),2)</f>
        <v>Le</v>
      </c>
      <c r="Q147" s="107"/>
      <c r="R147" s="108">
        <v>40</v>
      </c>
      <c r="S147" s="109" t="s">
        <v>2</v>
      </c>
      <c r="T147" s="110">
        <f>IF(R147&gt;0,IF(RIGHT(Ruimtestaat[[#This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7" s="110">
        <f>IF(T147&gt;0,VLOOKUP($J147,Ruimtegroepen[],3,FALSE)*VLOOKUP($L147,Vloersoorten[],3,FALSE)*VLOOKUP($S147,Frequenties[],3,FALSE)*VLOOKUP($A147,Locaties[],3,FALSE),0)</f>
        <v>0</v>
      </c>
      <c r="V147" s="111">
        <f>Ruimtestaat[[#This Row],[Uitvoeringen werkdagen]]*Ruimtestaat[[#This Row],[Oppervlak (netto)]]</f>
        <v>16060</v>
      </c>
      <c r="W147" s="112">
        <f>IF(U147&gt;0,Ruimtestaat[[#This Row],[Prest. (m2 /jaar) werkdagen]]/Ruimtestaat[[#This Row],[Norm (m2/uur) werkdagen]],0)</f>
        <v>0</v>
      </c>
      <c r="X147" s="113">
        <f>Ruimtestaat[[#This Row],[uren / jaar werkdagen]]*Tariefsopbouw!$E$35</f>
        <v>0</v>
      </c>
      <c r="Y147" s="110"/>
      <c r="Z147" s="114">
        <f>IF(Ruimtestaat[[#This Row],[Frequentie weekend]]&gt;0,VALUE(LEFT(Y147,1))*R147,0)</f>
        <v>0</v>
      </c>
      <c r="AA147" s="110">
        <f>IF($Z147&gt;0,VLOOKUP($J147,Ruimtegroepen[],3,FALSE)*VLOOKUP($L147,Vloersoorten[],3,FALSE)*VLOOKUP($Y147,Frequenties[],3,FALSE)*VLOOKUP(#REF!,Locaties[],3,FALSE),0)</f>
        <v>0</v>
      </c>
      <c r="AB147" s="112">
        <f>Ruimtestaat[[#This Row],[Uitvoeringen weekend]]*Ruimtestaat[[#This Row],[Oppervlak (netto)]]</f>
        <v>0</v>
      </c>
      <c r="AC147" s="115">
        <f>IF(AB147&gt;0,Ruimtestaat[[#This Row],[Prest. (m2 /jaar) weekend]]/Ruimtestaat[[#This Row],[Norm (m2/uur) weekend]],0)</f>
        <v>0</v>
      </c>
      <c r="AD147" s="116">
        <f>Ruimtestaat[[#This Row],[uren / jaar weekend]]*Tariefsopbouw!$D$40</f>
        <v>0</v>
      </c>
      <c r="AE147" s="82">
        <f>Ruimtestaat[[#This Row],[Prest. (m2 /jaar) weekend]]+Ruimtestaat[[#This Row],[Prest. (m2 /jaar) werkdagen]]</f>
        <v>16060</v>
      </c>
      <c r="AF147" s="82">
        <f>Ruimtestaat[[#This Row],[uren / jaar weekend]]+Ruimtestaat[[#This Row],[uren / jaar werkdagen]]</f>
        <v>0</v>
      </c>
      <c r="AG147" s="83">
        <f>Ruimtestaat[[#This Row],[kosten / jaar weekend]]+Ruimtestaat[[#This Row],[kosten / jaar werkdagen]]</f>
        <v>0</v>
      </c>
      <c r="AH147" s="117"/>
      <c r="HL147" s="87"/>
    </row>
    <row r="148" spans="1:220" ht="15" customHeight="1">
      <c r="A148" s="136">
        <v>1</v>
      </c>
      <c r="B148" s="27" t="str">
        <f>VLOOKUP(Ruimtestaat[[#This Row],[Code]],Locaties[#All],2,FALSE)</f>
        <v>Hoornbeeck College Gouda</v>
      </c>
      <c r="C148" s="27" t="str">
        <f>VLOOKUP(Ruimtestaat[[#This Row],[Code]],Locaties[#All],4,FALSE)</f>
        <v>Noordelijk Halfrond 10</v>
      </c>
      <c r="D148" s="27" t="str">
        <f>VLOOKUP(Ruimtestaat[[#This Row],[Code]],Locaties[#All],5,FALSE)</f>
        <v>2801 DE</v>
      </c>
      <c r="E148" s="27" t="str">
        <f>VLOOKUP(Ruimtestaat[[#This Row],[Code]],Locaties[#All],6,FALSE)</f>
        <v>Gouda</v>
      </c>
      <c r="F148" s="74" t="s">
        <v>465</v>
      </c>
      <c r="G148" s="285" t="s">
        <v>569</v>
      </c>
      <c r="H148" s="286" t="s">
        <v>691</v>
      </c>
      <c r="I148" s="287" t="s">
        <v>690</v>
      </c>
      <c r="J148" s="288">
        <v>16</v>
      </c>
      <c r="K148" s="74" t="str">
        <f>VLOOKUP(J148,Ruimtegroepen[],2,FALSE)</f>
        <v>Leslokalen</v>
      </c>
      <c r="L148" s="285" t="s">
        <v>110</v>
      </c>
      <c r="M148" s="287" t="s">
        <v>38</v>
      </c>
      <c r="N148" s="289">
        <v>55.4</v>
      </c>
      <c r="O148" s="285"/>
      <c r="P148" s="118" t="str">
        <f>LEFT(VLOOKUP(Ruimtestaat[[#This Row],[Ruimte code]],Ruimtegroepen[#All],4,1),2)</f>
        <v>Le</v>
      </c>
      <c r="Q148" s="107"/>
      <c r="R148" s="108">
        <v>40</v>
      </c>
      <c r="S148" s="109" t="s">
        <v>2</v>
      </c>
      <c r="T148" s="110">
        <f>IF(R148&gt;0,IF(RIGHT(Ruimtestaat[[#This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8" s="110">
        <f>IF(T148&gt;0,VLOOKUP($J148,Ruimtegroepen[],3,FALSE)*VLOOKUP($L148,Vloersoorten[],3,FALSE)*VLOOKUP($S148,Frequenties[],3,FALSE)*VLOOKUP($A148,Locaties[],3,FALSE),0)</f>
        <v>0</v>
      </c>
      <c r="V148" s="111">
        <f>Ruimtestaat[[#This Row],[Uitvoeringen werkdagen]]*Ruimtestaat[[#This Row],[Oppervlak (netto)]]</f>
        <v>11080</v>
      </c>
      <c r="W148" s="112">
        <f>IF(U148&gt;0,Ruimtestaat[[#This Row],[Prest. (m2 /jaar) werkdagen]]/Ruimtestaat[[#This Row],[Norm (m2/uur) werkdagen]],0)</f>
        <v>0</v>
      </c>
      <c r="X148" s="113">
        <f>Ruimtestaat[[#This Row],[uren / jaar werkdagen]]*Tariefsopbouw!$E$35</f>
        <v>0</v>
      </c>
      <c r="Y148" s="110"/>
      <c r="Z148" s="114">
        <f>IF(Ruimtestaat[[#This Row],[Frequentie weekend]]&gt;0,VALUE(LEFT(Y148,1))*R148,0)</f>
        <v>0</v>
      </c>
      <c r="AA148" s="110">
        <f>IF($Z148&gt;0,VLOOKUP($J148,Ruimtegroepen[],3,FALSE)*VLOOKUP($L148,Vloersoorten[],3,FALSE)*VLOOKUP($Y148,Frequenties[],3,FALSE)*VLOOKUP(#REF!,Locaties[],3,FALSE),0)</f>
        <v>0</v>
      </c>
      <c r="AB148" s="112">
        <f>Ruimtestaat[[#This Row],[Uitvoeringen weekend]]*Ruimtestaat[[#This Row],[Oppervlak (netto)]]</f>
        <v>0</v>
      </c>
      <c r="AC148" s="115">
        <f>IF(AB148&gt;0,Ruimtestaat[[#This Row],[Prest. (m2 /jaar) weekend]]/Ruimtestaat[[#This Row],[Norm (m2/uur) weekend]],0)</f>
        <v>0</v>
      </c>
      <c r="AD148" s="116">
        <f>Ruimtestaat[[#This Row],[uren / jaar weekend]]*Tariefsopbouw!$D$40</f>
        <v>0</v>
      </c>
      <c r="AE148" s="82">
        <f>Ruimtestaat[[#This Row],[Prest. (m2 /jaar) weekend]]+Ruimtestaat[[#This Row],[Prest. (m2 /jaar) werkdagen]]</f>
        <v>11080</v>
      </c>
      <c r="AF148" s="82">
        <f>Ruimtestaat[[#This Row],[uren / jaar weekend]]+Ruimtestaat[[#This Row],[uren / jaar werkdagen]]</f>
        <v>0</v>
      </c>
      <c r="AG148" s="83">
        <f>Ruimtestaat[[#This Row],[kosten / jaar weekend]]+Ruimtestaat[[#This Row],[kosten / jaar werkdagen]]</f>
        <v>0</v>
      </c>
      <c r="AH148" s="117"/>
      <c r="HL148" s="87"/>
    </row>
    <row r="149" spans="1:220" ht="15" customHeight="1">
      <c r="A149" s="136">
        <v>1</v>
      </c>
      <c r="B149" s="27" t="str">
        <f>VLOOKUP(Ruimtestaat[[#This Row],[Code]],Locaties[#All],2,FALSE)</f>
        <v>Hoornbeeck College Gouda</v>
      </c>
      <c r="C149" s="27" t="str">
        <f>VLOOKUP(Ruimtestaat[[#This Row],[Code]],Locaties[#All],4,FALSE)</f>
        <v>Noordelijk Halfrond 10</v>
      </c>
      <c r="D149" s="27" t="str">
        <f>VLOOKUP(Ruimtestaat[[#This Row],[Code]],Locaties[#All],5,FALSE)</f>
        <v>2801 DE</v>
      </c>
      <c r="E149" s="27" t="str">
        <f>VLOOKUP(Ruimtestaat[[#This Row],[Code]],Locaties[#All],6,FALSE)</f>
        <v>Gouda</v>
      </c>
      <c r="F149" s="74" t="s">
        <v>465</v>
      </c>
      <c r="G149" s="285" t="s">
        <v>569</v>
      </c>
      <c r="H149" s="286" t="s">
        <v>577</v>
      </c>
      <c r="I149" s="287" t="s">
        <v>632</v>
      </c>
      <c r="J149" s="288">
        <v>6</v>
      </c>
      <c r="K149" s="74" t="str">
        <f>VLOOKUP(J149,Ruimtegroepen[],2,FALSE)</f>
        <v>Gangen/hallen</v>
      </c>
      <c r="L149" s="285" t="s">
        <v>110</v>
      </c>
      <c r="M149" s="287" t="s">
        <v>38</v>
      </c>
      <c r="N149" s="289">
        <v>55.11</v>
      </c>
      <c r="O149" s="285"/>
      <c r="P149" s="118" t="str">
        <f>LEFT(VLOOKUP(Ruimtestaat[[#This Row],[Ruimte code]],Ruimtegroepen[#All],4,1),2)</f>
        <v>Ve</v>
      </c>
      <c r="Q149" s="107"/>
      <c r="R149" s="108">
        <v>40</v>
      </c>
      <c r="S149" s="109" t="s">
        <v>2</v>
      </c>
      <c r="T149" s="110">
        <f>IF(R149&gt;0,IF(RIGHT(Ruimtestaat[[#This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9" s="110">
        <f>IF(T149&gt;0,VLOOKUP($J149,Ruimtegroepen[],3,FALSE)*VLOOKUP($L149,Vloersoorten[],3,FALSE)*VLOOKUP($S149,Frequenties[],3,FALSE)*VLOOKUP($A149,Locaties[],3,FALSE),0)</f>
        <v>0</v>
      </c>
      <c r="V149" s="111">
        <f>Ruimtestaat[[#This Row],[Uitvoeringen werkdagen]]*Ruimtestaat[[#This Row],[Oppervlak (netto)]]</f>
        <v>11022</v>
      </c>
      <c r="W149" s="112">
        <f>IF(U149&gt;0,Ruimtestaat[[#This Row],[Prest. (m2 /jaar) werkdagen]]/Ruimtestaat[[#This Row],[Norm (m2/uur) werkdagen]],0)</f>
        <v>0</v>
      </c>
      <c r="X149" s="113">
        <f>Ruimtestaat[[#This Row],[uren / jaar werkdagen]]*Tariefsopbouw!$E$35</f>
        <v>0</v>
      </c>
      <c r="Y149" s="110"/>
      <c r="Z149" s="114">
        <f>IF(Ruimtestaat[[#This Row],[Frequentie weekend]]&gt;0,VALUE(LEFT(Y149,1))*R149,0)</f>
        <v>0</v>
      </c>
      <c r="AA149" s="110">
        <f>IF($Z149&gt;0,VLOOKUP($J149,Ruimtegroepen[],3,FALSE)*VLOOKUP($L149,Vloersoorten[],3,FALSE)*VLOOKUP($Y149,Frequenties[],3,FALSE)*VLOOKUP(#REF!,Locaties[],3,FALSE),0)</f>
        <v>0</v>
      </c>
      <c r="AB149" s="112">
        <f>Ruimtestaat[[#This Row],[Uitvoeringen weekend]]*Ruimtestaat[[#This Row],[Oppervlak (netto)]]</f>
        <v>0</v>
      </c>
      <c r="AC149" s="115">
        <f>IF(AB149&gt;0,Ruimtestaat[[#This Row],[Prest. (m2 /jaar) weekend]]/Ruimtestaat[[#This Row],[Norm (m2/uur) weekend]],0)</f>
        <v>0</v>
      </c>
      <c r="AD149" s="116">
        <f>Ruimtestaat[[#This Row],[uren / jaar weekend]]*Tariefsopbouw!$D$40</f>
        <v>0</v>
      </c>
      <c r="AE149" s="82">
        <f>Ruimtestaat[[#This Row],[Prest. (m2 /jaar) weekend]]+Ruimtestaat[[#This Row],[Prest. (m2 /jaar) werkdagen]]</f>
        <v>11022</v>
      </c>
      <c r="AF149" s="82">
        <f>Ruimtestaat[[#This Row],[uren / jaar weekend]]+Ruimtestaat[[#This Row],[uren / jaar werkdagen]]</f>
        <v>0</v>
      </c>
      <c r="AG149" s="83">
        <f>Ruimtestaat[[#This Row],[kosten / jaar weekend]]+Ruimtestaat[[#This Row],[kosten / jaar werkdagen]]</f>
        <v>0</v>
      </c>
      <c r="AH149" s="117"/>
      <c r="HL149" s="87"/>
    </row>
    <row r="150" spans="1:220" ht="15" customHeight="1">
      <c r="A150" s="136">
        <v>1</v>
      </c>
      <c r="B150" s="27" t="str">
        <f>VLOOKUP(Ruimtestaat[[#This Row],[Code]],Locaties[#All],2,FALSE)</f>
        <v>Hoornbeeck College Gouda</v>
      </c>
      <c r="C150" s="27" t="str">
        <f>VLOOKUP(Ruimtestaat[[#This Row],[Code]],Locaties[#All],4,FALSE)</f>
        <v>Noordelijk Halfrond 10</v>
      </c>
      <c r="D150" s="27" t="str">
        <f>VLOOKUP(Ruimtestaat[[#This Row],[Code]],Locaties[#All],5,FALSE)</f>
        <v>2801 DE</v>
      </c>
      <c r="E150" s="27" t="str">
        <f>VLOOKUP(Ruimtestaat[[#This Row],[Code]],Locaties[#All],6,FALSE)</f>
        <v>Gouda</v>
      </c>
      <c r="F150" s="74" t="s">
        <v>465</v>
      </c>
      <c r="G150" s="285" t="s">
        <v>569</v>
      </c>
      <c r="H150" s="286" t="s">
        <v>578</v>
      </c>
      <c r="I150" s="287" t="s">
        <v>692</v>
      </c>
      <c r="J150" s="288">
        <v>4</v>
      </c>
      <c r="K150" s="74" t="str">
        <f>VLOOKUP(J150,Ruimtegroepen[],2,FALSE)</f>
        <v>Vergader/spreekkamers</v>
      </c>
      <c r="L150" s="285" t="s">
        <v>110</v>
      </c>
      <c r="M150" s="287" t="s">
        <v>38</v>
      </c>
      <c r="N150" s="289">
        <v>11.7</v>
      </c>
      <c r="O150" s="285"/>
      <c r="P150" s="118" t="str">
        <f>LEFT(VLOOKUP(Ruimtestaat[[#This Row],[Ruimte code]],Ruimtegroepen[#All],4,1),2)</f>
        <v>Bu</v>
      </c>
      <c r="Q150" s="107"/>
      <c r="R150" s="108">
        <v>40</v>
      </c>
      <c r="S150" s="109" t="s">
        <v>2</v>
      </c>
      <c r="T150" s="110">
        <f>IF(R150&gt;0,IF(RIGHT(Ruimtestaat[[#This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0" s="110">
        <f>IF(T150&gt;0,VLOOKUP($J150,Ruimtegroepen[],3,FALSE)*VLOOKUP($L150,Vloersoorten[],3,FALSE)*VLOOKUP($S150,Frequenties[],3,FALSE)*VLOOKUP($A150,Locaties[],3,FALSE),0)</f>
        <v>0</v>
      </c>
      <c r="V150" s="111">
        <f>Ruimtestaat[[#This Row],[Uitvoeringen werkdagen]]*Ruimtestaat[[#This Row],[Oppervlak (netto)]]</f>
        <v>2340</v>
      </c>
      <c r="W150" s="112">
        <f>IF(U150&gt;0,Ruimtestaat[[#This Row],[Prest. (m2 /jaar) werkdagen]]/Ruimtestaat[[#This Row],[Norm (m2/uur) werkdagen]],0)</f>
        <v>0</v>
      </c>
      <c r="X150" s="113">
        <f>Ruimtestaat[[#This Row],[uren / jaar werkdagen]]*Tariefsopbouw!$E$35</f>
        <v>0</v>
      </c>
      <c r="Y150" s="110"/>
      <c r="Z150" s="114">
        <f>IF(Ruimtestaat[[#This Row],[Frequentie weekend]]&gt;0,VALUE(LEFT(Y150,1))*R150,0)</f>
        <v>0</v>
      </c>
      <c r="AA150" s="110">
        <f>IF($Z150&gt;0,VLOOKUP($J150,Ruimtegroepen[],3,FALSE)*VLOOKUP($L150,Vloersoorten[],3,FALSE)*VLOOKUP($Y150,Frequenties[],3,FALSE)*VLOOKUP(#REF!,Locaties[],3,FALSE),0)</f>
        <v>0</v>
      </c>
      <c r="AB150" s="112">
        <f>Ruimtestaat[[#This Row],[Uitvoeringen weekend]]*Ruimtestaat[[#This Row],[Oppervlak (netto)]]</f>
        <v>0</v>
      </c>
      <c r="AC150" s="115">
        <f>IF(AB150&gt;0,Ruimtestaat[[#This Row],[Prest. (m2 /jaar) weekend]]/Ruimtestaat[[#This Row],[Norm (m2/uur) weekend]],0)</f>
        <v>0</v>
      </c>
      <c r="AD150" s="116">
        <f>Ruimtestaat[[#This Row],[uren / jaar weekend]]*Tariefsopbouw!$D$40</f>
        <v>0</v>
      </c>
      <c r="AE150" s="82">
        <f>Ruimtestaat[[#This Row],[Prest. (m2 /jaar) weekend]]+Ruimtestaat[[#This Row],[Prest. (m2 /jaar) werkdagen]]</f>
        <v>2340</v>
      </c>
      <c r="AF150" s="82">
        <f>Ruimtestaat[[#This Row],[uren / jaar weekend]]+Ruimtestaat[[#This Row],[uren / jaar werkdagen]]</f>
        <v>0</v>
      </c>
      <c r="AG150" s="83">
        <f>Ruimtestaat[[#This Row],[kosten / jaar weekend]]+Ruimtestaat[[#This Row],[kosten / jaar werkdagen]]</f>
        <v>0</v>
      </c>
      <c r="AH150" s="117"/>
      <c r="HL150" s="87"/>
    </row>
    <row r="151" spans="1:220" ht="15" customHeight="1">
      <c r="A151" s="136">
        <v>1</v>
      </c>
      <c r="B151" s="27" t="str">
        <f>VLOOKUP(Ruimtestaat[[#This Row],[Code]],Locaties[#All],2,FALSE)</f>
        <v>Hoornbeeck College Gouda</v>
      </c>
      <c r="C151" s="27" t="str">
        <f>VLOOKUP(Ruimtestaat[[#This Row],[Code]],Locaties[#All],4,FALSE)</f>
        <v>Noordelijk Halfrond 10</v>
      </c>
      <c r="D151" s="27" t="str">
        <f>VLOOKUP(Ruimtestaat[[#This Row],[Code]],Locaties[#All],5,FALSE)</f>
        <v>2801 DE</v>
      </c>
      <c r="E151" s="27" t="str">
        <f>VLOOKUP(Ruimtestaat[[#This Row],[Code]],Locaties[#All],6,FALSE)</f>
        <v>Gouda</v>
      </c>
      <c r="F151" s="74" t="s">
        <v>465</v>
      </c>
      <c r="G151" s="285" t="s">
        <v>569</v>
      </c>
      <c r="H151" s="286" t="s">
        <v>579</v>
      </c>
      <c r="I151" s="287" t="s">
        <v>632</v>
      </c>
      <c r="J151" s="288">
        <v>6</v>
      </c>
      <c r="K151" s="74" t="str">
        <f>VLOOKUP(J151,Ruimtegroepen[],2,FALSE)</f>
        <v>Gangen/hallen</v>
      </c>
      <c r="L151" s="285" t="s">
        <v>110</v>
      </c>
      <c r="M151" s="287" t="s">
        <v>38</v>
      </c>
      <c r="N151" s="289">
        <v>11.26</v>
      </c>
      <c r="O151" s="285"/>
      <c r="P151" s="118" t="str">
        <f>LEFT(VLOOKUP(Ruimtestaat[[#This Row],[Ruimte code]],Ruimtegroepen[#All],4,1),2)</f>
        <v>Ve</v>
      </c>
      <c r="Q151" s="107"/>
      <c r="R151" s="108">
        <v>40</v>
      </c>
      <c r="S151" s="109" t="s">
        <v>2</v>
      </c>
      <c r="T151" s="110">
        <f>IF(R151&gt;0,IF(RIGHT(Ruimtestaat[[#This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1" s="110">
        <f>IF(T151&gt;0,VLOOKUP($J151,Ruimtegroepen[],3,FALSE)*VLOOKUP($L151,Vloersoorten[],3,FALSE)*VLOOKUP($S151,Frequenties[],3,FALSE)*VLOOKUP($A151,Locaties[],3,FALSE),0)</f>
        <v>0</v>
      </c>
      <c r="V151" s="111">
        <f>Ruimtestaat[[#This Row],[Uitvoeringen werkdagen]]*Ruimtestaat[[#This Row],[Oppervlak (netto)]]</f>
        <v>2252</v>
      </c>
      <c r="W151" s="112">
        <f>IF(U151&gt;0,Ruimtestaat[[#This Row],[Prest. (m2 /jaar) werkdagen]]/Ruimtestaat[[#This Row],[Norm (m2/uur) werkdagen]],0)</f>
        <v>0</v>
      </c>
      <c r="X151" s="113">
        <f>Ruimtestaat[[#This Row],[uren / jaar werkdagen]]*Tariefsopbouw!$E$35</f>
        <v>0</v>
      </c>
      <c r="Y151" s="110"/>
      <c r="Z151" s="114">
        <f>IF(Ruimtestaat[[#This Row],[Frequentie weekend]]&gt;0,VALUE(LEFT(Y151,1))*R151,0)</f>
        <v>0</v>
      </c>
      <c r="AA151" s="110">
        <f>IF($Z151&gt;0,VLOOKUP($J151,Ruimtegroepen[],3,FALSE)*VLOOKUP($L151,Vloersoorten[],3,FALSE)*VLOOKUP($Y151,Frequenties[],3,FALSE)*VLOOKUP(#REF!,Locaties[],3,FALSE),0)</f>
        <v>0</v>
      </c>
      <c r="AB151" s="112">
        <f>Ruimtestaat[[#This Row],[Uitvoeringen weekend]]*Ruimtestaat[[#This Row],[Oppervlak (netto)]]</f>
        <v>0</v>
      </c>
      <c r="AC151" s="115">
        <f>IF(AB151&gt;0,Ruimtestaat[[#This Row],[Prest. (m2 /jaar) weekend]]/Ruimtestaat[[#This Row],[Norm (m2/uur) weekend]],0)</f>
        <v>0</v>
      </c>
      <c r="AD151" s="116">
        <f>Ruimtestaat[[#This Row],[uren / jaar weekend]]*Tariefsopbouw!$D$40</f>
        <v>0</v>
      </c>
      <c r="AE151" s="82">
        <f>Ruimtestaat[[#This Row],[Prest. (m2 /jaar) weekend]]+Ruimtestaat[[#This Row],[Prest. (m2 /jaar) werkdagen]]</f>
        <v>2252</v>
      </c>
      <c r="AF151" s="82">
        <f>Ruimtestaat[[#This Row],[uren / jaar weekend]]+Ruimtestaat[[#This Row],[uren / jaar werkdagen]]</f>
        <v>0</v>
      </c>
      <c r="AG151" s="83">
        <f>Ruimtestaat[[#This Row],[kosten / jaar weekend]]+Ruimtestaat[[#This Row],[kosten / jaar werkdagen]]</f>
        <v>0</v>
      </c>
      <c r="AH151" s="117"/>
      <c r="HL151" s="87"/>
    </row>
    <row r="152" spans="1:220" ht="15" customHeight="1">
      <c r="A152" s="136">
        <v>1</v>
      </c>
      <c r="B152" s="27" t="str">
        <f>VLOOKUP(Ruimtestaat[[#This Row],[Code]],Locaties[#All],2,FALSE)</f>
        <v>Hoornbeeck College Gouda</v>
      </c>
      <c r="C152" s="27" t="str">
        <f>VLOOKUP(Ruimtestaat[[#This Row],[Code]],Locaties[#All],4,FALSE)</f>
        <v>Noordelijk Halfrond 10</v>
      </c>
      <c r="D152" s="27" t="str">
        <f>VLOOKUP(Ruimtestaat[[#This Row],[Code]],Locaties[#All],5,FALSE)</f>
        <v>2801 DE</v>
      </c>
      <c r="E152" s="27" t="str">
        <f>VLOOKUP(Ruimtestaat[[#This Row],[Code]],Locaties[#All],6,FALSE)</f>
        <v>Gouda</v>
      </c>
      <c r="F152" s="74" t="s">
        <v>465</v>
      </c>
      <c r="G152" s="285" t="s">
        <v>569</v>
      </c>
      <c r="H152" s="286" t="s">
        <v>580</v>
      </c>
      <c r="I152" s="287" t="s">
        <v>635</v>
      </c>
      <c r="J152" s="288">
        <v>11</v>
      </c>
      <c r="K152" s="74" t="str">
        <f>VLOOKUP(J152,Ruimtegroepen[],2,FALSE)</f>
        <v>Garderobes</v>
      </c>
      <c r="L152" s="285" t="s">
        <v>110</v>
      </c>
      <c r="M152" s="287" t="s">
        <v>38</v>
      </c>
      <c r="N152" s="289">
        <v>2.6</v>
      </c>
      <c r="O152" s="285"/>
      <c r="P152" s="118" t="str">
        <f>LEFT(VLOOKUP(Ruimtestaat[[#This Row],[Ruimte code]],Ruimtegroepen[#All],4,1),2)</f>
        <v>Ve</v>
      </c>
      <c r="Q152" s="107"/>
      <c r="R152" s="108">
        <v>40</v>
      </c>
      <c r="S152" s="109" t="s">
        <v>2</v>
      </c>
      <c r="T152" s="110">
        <f>IF(R152&gt;0,IF(RIGHT(Ruimtestaat[[#This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2" s="110">
        <f>IF(T152&gt;0,VLOOKUP($J152,Ruimtegroepen[],3,FALSE)*VLOOKUP($L152,Vloersoorten[],3,FALSE)*VLOOKUP($S152,Frequenties[],3,FALSE)*VLOOKUP($A152,Locaties[],3,FALSE),0)</f>
        <v>0</v>
      </c>
      <c r="V152" s="111">
        <f>Ruimtestaat[[#This Row],[Uitvoeringen werkdagen]]*Ruimtestaat[[#This Row],[Oppervlak (netto)]]</f>
        <v>520</v>
      </c>
      <c r="W152" s="112">
        <f>IF(U152&gt;0,Ruimtestaat[[#This Row],[Prest. (m2 /jaar) werkdagen]]/Ruimtestaat[[#This Row],[Norm (m2/uur) werkdagen]],0)</f>
        <v>0</v>
      </c>
      <c r="X152" s="113">
        <f>Ruimtestaat[[#This Row],[uren / jaar werkdagen]]*Tariefsopbouw!$E$35</f>
        <v>0</v>
      </c>
      <c r="Y152" s="110"/>
      <c r="Z152" s="114">
        <f>IF(Ruimtestaat[[#This Row],[Frequentie weekend]]&gt;0,VALUE(LEFT(Y152,1))*R152,0)</f>
        <v>0</v>
      </c>
      <c r="AA152" s="110">
        <f>IF($Z152&gt;0,VLOOKUP($J152,Ruimtegroepen[],3,FALSE)*VLOOKUP($L152,Vloersoorten[],3,FALSE)*VLOOKUP($Y152,Frequenties[],3,FALSE)*VLOOKUP(#REF!,Locaties[],3,FALSE),0)</f>
        <v>0</v>
      </c>
      <c r="AB152" s="112">
        <f>Ruimtestaat[[#This Row],[Uitvoeringen weekend]]*Ruimtestaat[[#This Row],[Oppervlak (netto)]]</f>
        <v>0</v>
      </c>
      <c r="AC152" s="115">
        <f>IF(AB152&gt;0,Ruimtestaat[[#This Row],[Prest. (m2 /jaar) weekend]]/Ruimtestaat[[#This Row],[Norm (m2/uur) weekend]],0)</f>
        <v>0</v>
      </c>
      <c r="AD152" s="116">
        <f>Ruimtestaat[[#This Row],[uren / jaar weekend]]*Tariefsopbouw!$D$40</f>
        <v>0</v>
      </c>
      <c r="AE152" s="82">
        <f>Ruimtestaat[[#This Row],[Prest. (m2 /jaar) weekend]]+Ruimtestaat[[#This Row],[Prest. (m2 /jaar) werkdagen]]</f>
        <v>520</v>
      </c>
      <c r="AF152" s="82">
        <f>Ruimtestaat[[#This Row],[uren / jaar weekend]]+Ruimtestaat[[#This Row],[uren / jaar werkdagen]]</f>
        <v>0</v>
      </c>
      <c r="AG152" s="83">
        <f>Ruimtestaat[[#This Row],[kosten / jaar weekend]]+Ruimtestaat[[#This Row],[kosten / jaar werkdagen]]</f>
        <v>0</v>
      </c>
      <c r="AH152" s="117"/>
      <c r="HL152" s="87"/>
    </row>
    <row r="153" spans="1:220" ht="15" customHeight="1">
      <c r="A153" s="136">
        <v>1</v>
      </c>
      <c r="B153" s="27" t="str">
        <f>VLOOKUP(Ruimtestaat[[#This Row],[Code]],Locaties[#All],2,FALSE)</f>
        <v>Hoornbeeck College Gouda</v>
      </c>
      <c r="C153" s="27" t="str">
        <f>VLOOKUP(Ruimtestaat[[#This Row],[Code]],Locaties[#All],4,FALSE)</f>
        <v>Noordelijk Halfrond 10</v>
      </c>
      <c r="D153" s="27" t="str">
        <f>VLOOKUP(Ruimtestaat[[#This Row],[Code]],Locaties[#All],5,FALSE)</f>
        <v>2801 DE</v>
      </c>
      <c r="E153" s="27" t="str">
        <f>VLOOKUP(Ruimtestaat[[#This Row],[Code]],Locaties[#All],6,FALSE)</f>
        <v>Gouda</v>
      </c>
      <c r="F153" s="74" t="s">
        <v>465</v>
      </c>
      <c r="G153" s="285" t="s">
        <v>569</v>
      </c>
      <c r="H153" s="286" t="s">
        <v>693</v>
      </c>
      <c r="I153" s="287" t="s">
        <v>632</v>
      </c>
      <c r="J153" s="288">
        <v>6</v>
      </c>
      <c r="K153" s="74" t="str">
        <f>VLOOKUP(J153,Ruimtegroepen[],2,FALSE)</f>
        <v>Gangen/hallen</v>
      </c>
      <c r="L153" s="285" t="s">
        <v>110</v>
      </c>
      <c r="M153" s="287" t="s">
        <v>38</v>
      </c>
      <c r="N153" s="289">
        <v>11.33</v>
      </c>
      <c r="O153" s="285"/>
      <c r="P153" s="118" t="str">
        <f>LEFT(VLOOKUP(Ruimtestaat[[#This Row],[Ruimte code]],Ruimtegroepen[#All],4,1),2)</f>
        <v>Ve</v>
      </c>
      <c r="Q153" s="107"/>
      <c r="R153" s="108">
        <v>40</v>
      </c>
      <c r="S153" s="109" t="s">
        <v>2</v>
      </c>
      <c r="T153" s="110">
        <f>IF(R153&gt;0,IF(RIGHT(Ruimtestaat[[#This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3" s="110">
        <f>IF(T153&gt;0,VLOOKUP($J153,Ruimtegroepen[],3,FALSE)*VLOOKUP($L153,Vloersoorten[],3,FALSE)*VLOOKUP($S153,Frequenties[],3,FALSE)*VLOOKUP($A153,Locaties[],3,FALSE),0)</f>
        <v>0</v>
      </c>
      <c r="V153" s="111">
        <f>Ruimtestaat[[#This Row],[Uitvoeringen werkdagen]]*Ruimtestaat[[#This Row],[Oppervlak (netto)]]</f>
        <v>2266</v>
      </c>
      <c r="W153" s="112">
        <f>IF(U153&gt;0,Ruimtestaat[[#This Row],[Prest. (m2 /jaar) werkdagen]]/Ruimtestaat[[#This Row],[Norm (m2/uur) werkdagen]],0)</f>
        <v>0</v>
      </c>
      <c r="X153" s="113">
        <f>Ruimtestaat[[#This Row],[uren / jaar werkdagen]]*Tariefsopbouw!$E$35</f>
        <v>0</v>
      </c>
      <c r="Y153" s="110"/>
      <c r="Z153" s="114">
        <f>IF(Ruimtestaat[[#This Row],[Frequentie weekend]]&gt;0,VALUE(LEFT(Y153,1))*R153,0)</f>
        <v>0</v>
      </c>
      <c r="AA153" s="110">
        <f>IF($Z153&gt;0,VLOOKUP($J153,Ruimtegroepen[],3,FALSE)*VLOOKUP($L153,Vloersoorten[],3,FALSE)*VLOOKUP($Y153,Frequenties[],3,FALSE)*VLOOKUP(#REF!,Locaties[],3,FALSE),0)</f>
        <v>0</v>
      </c>
      <c r="AB153" s="112">
        <f>Ruimtestaat[[#This Row],[Uitvoeringen weekend]]*Ruimtestaat[[#This Row],[Oppervlak (netto)]]</f>
        <v>0</v>
      </c>
      <c r="AC153" s="115">
        <f>IF(AB153&gt;0,Ruimtestaat[[#This Row],[Prest. (m2 /jaar) weekend]]/Ruimtestaat[[#This Row],[Norm (m2/uur) weekend]],0)</f>
        <v>0</v>
      </c>
      <c r="AD153" s="116">
        <f>Ruimtestaat[[#This Row],[uren / jaar weekend]]*Tariefsopbouw!$D$40</f>
        <v>0</v>
      </c>
      <c r="AE153" s="82">
        <f>Ruimtestaat[[#This Row],[Prest. (m2 /jaar) weekend]]+Ruimtestaat[[#This Row],[Prest. (m2 /jaar) werkdagen]]</f>
        <v>2266</v>
      </c>
      <c r="AF153" s="82">
        <f>Ruimtestaat[[#This Row],[uren / jaar weekend]]+Ruimtestaat[[#This Row],[uren / jaar werkdagen]]</f>
        <v>0</v>
      </c>
      <c r="AG153" s="83">
        <f>Ruimtestaat[[#This Row],[kosten / jaar weekend]]+Ruimtestaat[[#This Row],[kosten / jaar werkdagen]]</f>
        <v>0</v>
      </c>
      <c r="AH153" s="117"/>
      <c r="HL153" s="87"/>
    </row>
    <row r="154" spans="1:220" ht="15" customHeight="1">
      <c r="A154" s="136">
        <v>1</v>
      </c>
      <c r="B154" s="27" t="str">
        <f>VLOOKUP(Ruimtestaat[[#This Row],[Code]],Locaties[#All],2,FALSE)</f>
        <v>Hoornbeeck College Gouda</v>
      </c>
      <c r="C154" s="27" t="str">
        <f>VLOOKUP(Ruimtestaat[[#This Row],[Code]],Locaties[#All],4,FALSE)</f>
        <v>Noordelijk Halfrond 10</v>
      </c>
      <c r="D154" s="27" t="str">
        <f>VLOOKUP(Ruimtestaat[[#This Row],[Code]],Locaties[#All],5,FALSE)</f>
        <v>2801 DE</v>
      </c>
      <c r="E154" s="27" t="str">
        <f>VLOOKUP(Ruimtestaat[[#This Row],[Code]],Locaties[#All],6,FALSE)</f>
        <v>Gouda</v>
      </c>
      <c r="F154" s="74" t="s">
        <v>465</v>
      </c>
      <c r="G154" s="285" t="s">
        <v>569</v>
      </c>
      <c r="H154" s="286" t="s">
        <v>694</v>
      </c>
      <c r="I154" s="287" t="s">
        <v>677</v>
      </c>
      <c r="J154" s="288">
        <v>9</v>
      </c>
      <c r="K154" s="74" t="str">
        <f>VLOOKUP(J154,Ruimtegroepen[],2,FALSE)</f>
        <v>Bibliotheek/OLC</v>
      </c>
      <c r="L154" s="285" t="s">
        <v>110</v>
      </c>
      <c r="M154" s="287" t="s">
        <v>38</v>
      </c>
      <c r="N154" s="289">
        <v>48.9</v>
      </c>
      <c r="O154" s="285"/>
      <c r="P154" s="118" t="str">
        <f>LEFT(VLOOKUP(Ruimtestaat[[#This Row],[Ruimte code]],Ruimtegroepen[#All],4,1),2)</f>
        <v>Le</v>
      </c>
      <c r="Q154" s="107"/>
      <c r="R154" s="108">
        <v>40</v>
      </c>
      <c r="S154" s="109" t="s">
        <v>2</v>
      </c>
      <c r="T154" s="110">
        <f>IF(R154&gt;0,IF(RIGHT(Ruimtestaat[[#This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4" s="110">
        <f>IF(T154&gt;0,VLOOKUP($J154,Ruimtegroepen[],3,FALSE)*VLOOKUP($L154,Vloersoorten[],3,FALSE)*VLOOKUP($S154,Frequenties[],3,FALSE)*VLOOKUP($A154,Locaties[],3,FALSE),0)</f>
        <v>0</v>
      </c>
      <c r="V154" s="111">
        <f>Ruimtestaat[[#This Row],[Uitvoeringen werkdagen]]*Ruimtestaat[[#This Row],[Oppervlak (netto)]]</f>
        <v>9780</v>
      </c>
      <c r="W154" s="112">
        <f>IF(U154&gt;0,Ruimtestaat[[#This Row],[Prest. (m2 /jaar) werkdagen]]/Ruimtestaat[[#This Row],[Norm (m2/uur) werkdagen]],0)</f>
        <v>0</v>
      </c>
      <c r="X154" s="113">
        <f>Ruimtestaat[[#This Row],[uren / jaar werkdagen]]*Tariefsopbouw!$E$35</f>
        <v>0</v>
      </c>
      <c r="Y154" s="110"/>
      <c r="Z154" s="114">
        <f>IF(Ruimtestaat[[#This Row],[Frequentie weekend]]&gt;0,VALUE(LEFT(Y154,1))*R154,0)</f>
        <v>0</v>
      </c>
      <c r="AA154" s="110">
        <f>IF($Z154&gt;0,VLOOKUP($J154,Ruimtegroepen[],3,FALSE)*VLOOKUP($L154,Vloersoorten[],3,FALSE)*VLOOKUP($Y154,Frequenties[],3,FALSE)*VLOOKUP(#REF!,Locaties[],3,FALSE),0)</f>
        <v>0</v>
      </c>
      <c r="AB154" s="112">
        <f>Ruimtestaat[[#This Row],[Uitvoeringen weekend]]*Ruimtestaat[[#This Row],[Oppervlak (netto)]]</f>
        <v>0</v>
      </c>
      <c r="AC154" s="115">
        <f>IF(AB154&gt;0,Ruimtestaat[[#This Row],[Prest. (m2 /jaar) weekend]]/Ruimtestaat[[#This Row],[Norm (m2/uur) weekend]],0)</f>
        <v>0</v>
      </c>
      <c r="AD154" s="116">
        <f>Ruimtestaat[[#This Row],[uren / jaar weekend]]*Tariefsopbouw!$D$40</f>
        <v>0</v>
      </c>
      <c r="AE154" s="82">
        <f>Ruimtestaat[[#This Row],[Prest. (m2 /jaar) weekend]]+Ruimtestaat[[#This Row],[Prest. (m2 /jaar) werkdagen]]</f>
        <v>9780</v>
      </c>
      <c r="AF154" s="82">
        <f>Ruimtestaat[[#This Row],[uren / jaar weekend]]+Ruimtestaat[[#This Row],[uren / jaar werkdagen]]</f>
        <v>0</v>
      </c>
      <c r="AG154" s="83">
        <f>Ruimtestaat[[#This Row],[kosten / jaar weekend]]+Ruimtestaat[[#This Row],[kosten / jaar werkdagen]]</f>
        <v>0</v>
      </c>
      <c r="AH154" s="117"/>
      <c r="HL154" s="87"/>
    </row>
    <row r="155" spans="1:220" ht="15" customHeight="1">
      <c r="A155" s="136">
        <v>1</v>
      </c>
      <c r="B155" s="27" t="str">
        <f>VLOOKUP(Ruimtestaat[[#This Row],[Code]],Locaties[#All],2,FALSE)</f>
        <v>Hoornbeeck College Gouda</v>
      </c>
      <c r="C155" s="27" t="str">
        <f>VLOOKUP(Ruimtestaat[[#This Row],[Code]],Locaties[#All],4,FALSE)</f>
        <v>Noordelijk Halfrond 10</v>
      </c>
      <c r="D155" s="27" t="str">
        <f>VLOOKUP(Ruimtestaat[[#This Row],[Code]],Locaties[#All],5,FALSE)</f>
        <v>2801 DE</v>
      </c>
      <c r="E155" s="27" t="str">
        <f>VLOOKUP(Ruimtestaat[[#This Row],[Code]],Locaties[#All],6,FALSE)</f>
        <v>Gouda</v>
      </c>
      <c r="F155" s="74" t="s">
        <v>465</v>
      </c>
      <c r="G155" s="285" t="s">
        <v>569</v>
      </c>
      <c r="H155" s="286" t="s">
        <v>695</v>
      </c>
      <c r="I155" s="287" t="s">
        <v>692</v>
      </c>
      <c r="J155" s="288">
        <v>4</v>
      </c>
      <c r="K155" s="74" t="str">
        <f>VLOOKUP(J155,Ruimtegroepen[],2,FALSE)</f>
        <v>Vergader/spreekkamers</v>
      </c>
      <c r="L155" s="285" t="s">
        <v>110</v>
      </c>
      <c r="M155" s="287" t="s">
        <v>38</v>
      </c>
      <c r="N155" s="289">
        <v>11.5</v>
      </c>
      <c r="O155" s="285"/>
      <c r="P155" s="118" t="str">
        <f>LEFT(VLOOKUP(Ruimtestaat[[#This Row],[Ruimte code]],Ruimtegroepen[#All],4,1),2)</f>
        <v>Bu</v>
      </c>
      <c r="Q155" s="107"/>
      <c r="R155" s="108">
        <v>40</v>
      </c>
      <c r="S155" s="109" t="s">
        <v>2</v>
      </c>
      <c r="T155" s="110">
        <f>IF(R155&gt;0,IF(RIGHT(Ruimtestaat[[#This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5" s="110">
        <f>IF(T155&gt;0,VLOOKUP($J155,Ruimtegroepen[],3,FALSE)*VLOOKUP($L155,Vloersoorten[],3,FALSE)*VLOOKUP($S155,Frequenties[],3,FALSE)*VLOOKUP($A155,Locaties[],3,FALSE),0)</f>
        <v>0</v>
      </c>
      <c r="V155" s="111">
        <f>Ruimtestaat[[#This Row],[Uitvoeringen werkdagen]]*Ruimtestaat[[#This Row],[Oppervlak (netto)]]</f>
        <v>2300</v>
      </c>
      <c r="W155" s="112">
        <f>IF(U155&gt;0,Ruimtestaat[[#This Row],[Prest. (m2 /jaar) werkdagen]]/Ruimtestaat[[#This Row],[Norm (m2/uur) werkdagen]],0)</f>
        <v>0</v>
      </c>
      <c r="X155" s="113">
        <f>Ruimtestaat[[#This Row],[uren / jaar werkdagen]]*Tariefsopbouw!$E$35</f>
        <v>0</v>
      </c>
      <c r="Y155" s="110"/>
      <c r="Z155" s="114">
        <f>IF(Ruimtestaat[[#This Row],[Frequentie weekend]]&gt;0,VALUE(LEFT(Y155,1))*R155,0)</f>
        <v>0</v>
      </c>
      <c r="AA155" s="110">
        <f>IF($Z155&gt;0,VLOOKUP($J155,Ruimtegroepen[],3,FALSE)*VLOOKUP($L155,Vloersoorten[],3,FALSE)*VLOOKUP($Y155,Frequenties[],3,FALSE)*VLOOKUP(#REF!,Locaties[],3,FALSE),0)</f>
        <v>0</v>
      </c>
      <c r="AB155" s="112">
        <f>Ruimtestaat[[#This Row],[Uitvoeringen weekend]]*Ruimtestaat[[#This Row],[Oppervlak (netto)]]</f>
        <v>0</v>
      </c>
      <c r="AC155" s="115">
        <f>IF(AB155&gt;0,Ruimtestaat[[#This Row],[Prest. (m2 /jaar) weekend]]/Ruimtestaat[[#This Row],[Norm (m2/uur) weekend]],0)</f>
        <v>0</v>
      </c>
      <c r="AD155" s="116">
        <f>Ruimtestaat[[#This Row],[uren / jaar weekend]]*Tariefsopbouw!$D$40</f>
        <v>0</v>
      </c>
      <c r="AE155" s="82">
        <f>Ruimtestaat[[#This Row],[Prest. (m2 /jaar) weekend]]+Ruimtestaat[[#This Row],[Prest. (m2 /jaar) werkdagen]]</f>
        <v>2300</v>
      </c>
      <c r="AF155" s="82">
        <f>Ruimtestaat[[#This Row],[uren / jaar weekend]]+Ruimtestaat[[#This Row],[uren / jaar werkdagen]]</f>
        <v>0</v>
      </c>
      <c r="AG155" s="83">
        <f>Ruimtestaat[[#This Row],[kosten / jaar weekend]]+Ruimtestaat[[#This Row],[kosten / jaar werkdagen]]</f>
        <v>0</v>
      </c>
      <c r="AH155" s="117"/>
      <c r="HL155" s="87"/>
    </row>
    <row r="156" spans="1:220" ht="15" customHeight="1">
      <c r="A156" s="136">
        <v>1</v>
      </c>
      <c r="B156" s="27" t="str">
        <f>VLOOKUP(Ruimtestaat[[#This Row],[Code]],Locaties[#All],2,FALSE)</f>
        <v>Hoornbeeck College Gouda</v>
      </c>
      <c r="C156" s="27" t="str">
        <f>VLOOKUP(Ruimtestaat[[#This Row],[Code]],Locaties[#All],4,FALSE)</f>
        <v>Noordelijk Halfrond 10</v>
      </c>
      <c r="D156" s="27" t="str">
        <f>VLOOKUP(Ruimtestaat[[#This Row],[Code]],Locaties[#All],5,FALSE)</f>
        <v>2801 DE</v>
      </c>
      <c r="E156" s="27" t="str">
        <f>VLOOKUP(Ruimtestaat[[#This Row],[Code]],Locaties[#All],6,FALSE)</f>
        <v>Gouda</v>
      </c>
      <c r="F156" s="74" t="s">
        <v>465</v>
      </c>
      <c r="G156" s="285" t="s">
        <v>569</v>
      </c>
      <c r="H156" s="286" t="s">
        <v>581</v>
      </c>
      <c r="I156" s="287" t="s">
        <v>692</v>
      </c>
      <c r="J156" s="288">
        <v>4</v>
      </c>
      <c r="K156" s="74" t="str">
        <f>VLOOKUP(J156,Ruimtegroepen[],2,FALSE)</f>
        <v>Vergader/spreekkamers</v>
      </c>
      <c r="L156" s="285" t="s">
        <v>110</v>
      </c>
      <c r="M156" s="287" t="s">
        <v>38</v>
      </c>
      <c r="N156" s="289">
        <v>10.6</v>
      </c>
      <c r="O156" s="285"/>
      <c r="P156" s="118" t="str">
        <f>LEFT(VLOOKUP(Ruimtestaat[[#This Row],[Ruimte code]],Ruimtegroepen[#All],4,1),2)</f>
        <v>Bu</v>
      </c>
      <c r="Q156" s="107"/>
      <c r="R156" s="108">
        <v>40</v>
      </c>
      <c r="S156" s="109" t="s">
        <v>2</v>
      </c>
      <c r="T156" s="110">
        <f>IF(R156&gt;0,IF(RIGHT(Ruimtestaat[[#This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6" s="110">
        <f>IF(T156&gt;0,VLOOKUP($J156,Ruimtegroepen[],3,FALSE)*VLOOKUP($L156,Vloersoorten[],3,FALSE)*VLOOKUP($S156,Frequenties[],3,FALSE)*VLOOKUP($A156,Locaties[],3,FALSE),0)</f>
        <v>0</v>
      </c>
      <c r="V156" s="111">
        <f>Ruimtestaat[[#This Row],[Uitvoeringen werkdagen]]*Ruimtestaat[[#This Row],[Oppervlak (netto)]]</f>
        <v>2120</v>
      </c>
      <c r="W156" s="112">
        <f>IF(U156&gt;0,Ruimtestaat[[#This Row],[Prest. (m2 /jaar) werkdagen]]/Ruimtestaat[[#This Row],[Norm (m2/uur) werkdagen]],0)</f>
        <v>0</v>
      </c>
      <c r="X156" s="113">
        <f>Ruimtestaat[[#This Row],[uren / jaar werkdagen]]*Tariefsopbouw!$E$35</f>
        <v>0</v>
      </c>
      <c r="Y156" s="110"/>
      <c r="Z156" s="114">
        <f>IF(Ruimtestaat[[#This Row],[Frequentie weekend]]&gt;0,VALUE(LEFT(Y156,1))*R156,0)</f>
        <v>0</v>
      </c>
      <c r="AA156" s="110">
        <f>IF($Z156&gt;0,VLOOKUP($J156,Ruimtegroepen[],3,FALSE)*VLOOKUP($L156,Vloersoorten[],3,FALSE)*VLOOKUP($Y156,Frequenties[],3,FALSE)*VLOOKUP(#REF!,Locaties[],3,FALSE),0)</f>
        <v>0</v>
      </c>
      <c r="AB156" s="112">
        <f>Ruimtestaat[[#This Row],[Uitvoeringen weekend]]*Ruimtestaat[[#This Row],[Oppervlak (netto)]]</f>
        <v>0</v>
      </c>
      <c r="AC156" s="115">
        <f>IF(AB156&gt;0,Ruimtestaat[[#This Row],[Prest. (m2 /jaar) weekend]]/Ruimtestaat[[#This Row],[Norm (m2/uur) weekend]],0)</f>
        <v>0</v>
      </c>
      <c r="AD156" s="116">
        <f>Ruimtestaat[[#This Row],[uren / jaar weekend]]*Tariefsopbouw!$D$40</f>
        <v>0</v>
      </c>
      <c r="AE156" s="82">
        <f>Ruimtestaat[[#This Row],[Prest. (m2 /jaar) weekend]]+Ruimtestaat[[#This Row],[Prest. (m2 /jaar) werkdagen]]</f>
        <v>2120</v>
      </c>
      <c r="AF156" s="82">
        <f>Ruimtestaat[[#This Row],[uren / jaar weekend]]+Ruimtestaat[[#This Row],[uren / jaar werkdagen]]</f>
        <v>0</v>
      </c>
      <c r="AG156" s="83">
        <f>Ruimtestaat[[#This Row],[kosten / jaar weekend]]+Ruimtestaat[[#This Row],[kosten / jaar werkdagen]]</f>
        <v>0</v>
      </c>
      <c r="AH156" s="117"/>
      <c r="HL156" s="87"/>
    </row>
    <row r="157" spans="1:220" ht="15" customHeight="1">
      <c r="A157" s="136">
        <v>1</v>
      </c>
      <c r="B157" s="27" t="str">
        <f>VLOOKUP(Ruimtestaat[[#This Row],[Code]],Locaties[#All],2,FALSE)</f>
        <v>Hoornbeeck College Gouda</v>
      </c>
      <c r="C157" s="27" t="str">
        <f>VLOOKUP(Ruimtestaat[[#This Row],[Code]],Locaties[#All],4,FALSE)</f>
        <v>Noordelijk Halfrond 10</v>
      </c>
      <c r="D157" s="27" t="str">
        <f>VLOOKUP(Ruimtestaat[[#This Row],[Code]],Locaties[#All],5,FALSE)</f>
        <v>2801 DE</v>
      </c>
      <c r="E157" s="27" t="str">
        <f>VLOOKUP(Ruimtestaat[[#This Row],[Code]],Locaties[#All],6,FALSE)</f>
        <v>Gouda</v>
      </c>
      <c r="F157" s="74" t="s">
        <v>465</v>
      </c>
      <c r="G157" s="285" t="s">
        <v>569</v>
      </c>
      <c r="H157" s="286" t="s">
        <v>582</v>
      </c>
      <c r="I157" s="287" t="s">
        <v>632</v>
      </c>
      <c r="J157" s="288">
        <v>6</v>
      </c>
      <c r="K157" s="74" t="str">
        <f>VLOOKUP(J157,Ruimtegroepen[],2,FALSE)</f>
        <v>Gangen/hallen</v>
      </c>
      <c r="L157" s="285" t="s">
        <v>110</v>
      </c>
      <c r="M157" s="287" t="s">
        <v>38</v>
      </c>
      <c r="N157" s="289">
        <v>10.43</v>
      </c>
      <c r="O157" s="285"/>
      <c r="P157" s="118" t="str">
        <f>LEFT(VLOOKUP(Ruimtestaat[[#This Row],[Ruimte code]],Ruimtegroepen[#All],4,1),2)</f>
        <v>Ve</v>
      </c>
      <c r="Q157" s="107"/>
      <c r="R157" s="108">
        <v>40</v>
      </c>
      <c r="S157" s="109" t="s">
        <v>2</v>
      </c>
      <c r="T157" s="110">
        <f>IF(R157&gt;0,IF(RIGHT(Ruimtestaat[[#This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7" s="110">
        <f>IF(T157&gt;0,VLOOKUP($J157,Ruimtegroepen[],3,FALSE)*VLOOKUP($L157,Vloersoorten[],3,FALSE)*VLOOKUP($S157,Frequenties[],3,FALSE)*VLOOKUP($A157,Locaties[],3,FALSE),0)</f>
        <v>0</v>
      </c>
      <c r="V157" s="111">
        <f>Ruimtestaat[[#This Row],[Uitvoeringen werkdagen]]*Ruimtestaat[[#This Row],[Oppervlak (netto)]]</f>
        <v>2086</v>
      </c>
      <c r="W157" s="112">
        <f>IF(U157&gt;0,Ruimtestaat[[#This Row],[Prest. (m2 /jaar) werkdagen]]/Ruimtestaat[[#This Row],[Norm (m2/uur) werkdagen]],0)</f>
        <v>0</v>
      </c>
      <c r="X157" s="113">
        <f>Ruimtestaat[[#This Row],[uren / jaar werkdagen]]*Tariefsopbouw!$E$35</f>
        <v>0</v>
      </c>
      <c r="Y157" s="110"/>
      <c r="Z157" s="114">
        <f>IF(Ruimtestaat[[#This Row],[Frequentie weekend]]&gt;0,VALUE(LEFT(Y157,1))*R157,0)</f>
        <v>0</v>
      </c>
      <c r="AA157" s="110">
        <f>IF($Z157&gt;0,VLOOKUP($J157,Ruimtegroepen[],3,FALSE)*VLOOKUP($L157,Vloersoorten[],3,FALSE)*VLOOKUP($Y157,Frequenties[],3,FALSE)*VLOOKUP(#REF!,Locaties[],3,FALSE),0)</f>
        <v>0</v>
      </c>
      <c r="AB157" s="112">
        <f>Ruimtestaat[[#This Row],[Uitvoeringen weekend]]*Ruimtestaat[[#This Row],[Oppervlak (netto)]]</f>
        <v>0</v>
      </c>
      <c r="AC157" s="115">
        <f>IF(AB157&gt;0,Ruimtestaat[[#This Row],[Prest. (m2 /jaar) weekend]]/Ruimtestaat[[#This Row],[Norm (m2/uur) weekend]],0)</f>
        <v>0</v>
      </c>
      <c r="AD157" s="116">
        <f>Ruimtestaat[[#This Row],[uren / jaar weekend]]*Tariefsopbouw!$D$40</f>
        <v>0</v>
      </c>
      <c r="AE157" s="82">
        <f>Ruimtestaat[[#This Row],[Prest. (m2 /jaar) weekend]]+Ruimtestaat[[#This Row],[Prest. (m2 /jaar) werkdagen]]</f>
        <v>2086</v>
      </c>
      <c r="AF157" s="82">
        <f>Ruimtestaat[[#This Row],[uren / jaar weekend]]+Ruimtestaat[[#This Row],[uren / jaar werkdagen]]</f>
        <v>0</v>
      </c>
      <c r="AG157" s="83">
        <f>Ruimtestaat[[#This Row],[kosten / jaar weekend]]+Ruimtestaat[[#This Row],[kosten / jaar werkdagen]]</f>
        <v>0</v>
      </c>
      <c r="AH157" s="117"/>
      <c r="HL157" s="87"/>
    </row>
    <row r="158" spans="1:220" ht="15" customHeight="1">
      <c r="A158" s="136">
        <v>1</v>
      </c>
      <c r="B158" s="27" t="str">
        <f>VLOOKUP(Ruimtestaat[[#This Row],[Code]],Locaties[#All],2,FALSE)</f>
        <v>Hoornbeeck College Gouda</v>
      </c>
      <c r="C158" s="27" t="str">
        <f>VLOOKUP(Ruimtestaat[[#This Row],[Code]],Locaties[#All],4,FALSE)</f>
        <v>Noordelijk Halfrond 10</v>
      </c>
      <c r="D158" s="27" t="str">
        <f>VLOOKUP(Ruimtestaat[[#This Row],[Code]],Locaties[#All],5,FALSE)</f>
        <v>2801 DE</v>
      </c>
      <c r="E158" s="27" t="str">
        <f>VLOOKUP(Ruimtestaat[[#This Row],[Code]],Locaties[#All],6,FALSE)</f>
        <v>Gouda</v>
      </c>
      <c r="F158" s="74" t="s">
        <v>465</v>
      </c>
      <c r="G158" s="285" t="s">
        <v>569</v>
      </c>
      <c r="H158" s="286" t="s">
        <v>583</v>
      </c>
      <c r="I158" s="287" t="s">
        <v>632</v>
      </c>
      <c r="J158" s="288">
        <v>6</v>
      </c>
      <c r="K158" s="74" t="str">
        <f>VLOOKUP(J158,Ruimtegroepen[],2,FALSE)</f>
        <v>Gangen/hallen</v>
      </c>
      <c r="L158" s="285" t="s">
        <v>110</v>
      </c>
      <c r="M158" s="287" t="s">
        <v>38</v>
      </c>
      <c r="N158" s="289">
        <v>26.96</v>
      </c>
      <c r="O158" s="285"/>
      <c r="P158" s="118" t="str">
        <f>LEFT(VLOOKUP(Ruimtestaat[[#This Row],[Ruimte code]],Ruimtegroepen[#All],4,1),2)</f>
        <v>Ve</v>
      </c>
      <c r="Q158" s="107"/>
      <c r="R158" s="108">
        <v>40</v>
      </c>
      <c r="S158" s="109" t="s">
        <v>2</v>
      </c>
      <c r="T158" s="110">
        <f>IF(R158&gt;0,IF(RIGHT(Ruimtestaat[[#This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8" s="110">
        <f>IF(T158&gt;0,VLOOKUP($J158,Ruimtegroepen[],3,FALSE)*VLOOKUP($L158,Vloersoorten[],3,FALSE)*VLOOKUP($S158,Frequenties[],3,FALSE)*VLOOKUP($A158,Locaties[],3,FALSE),0)</f>
        <v>0</v>
      </c>
      <c r="V158" s="111">
        <f>Ruimtestaat[[#This Row],[Uitvoeringen werkdagen]]*Ruimtestaat[[#This Row],[Oppervlak (netto)]]</f>
        <v>5392</v>
      </c>
      <c r="W158" s="112">
        <f>IF(U158&gt;0,Ruimtestaat[[#This Row],[Prest. (m2 /jaar) werkdagen]]/Ruimtestaat[[#This Row],[Norm (m2/uur) werkdagen]],0)</f>
        <v>0</v>
      </c>
      <c r="X158" s="113">
        <f>Ruimtestaat[[#This Row],[uren / jaar werkdagen]]*Tariefsopbouw!$E$35</f>
        <v>0</v>
      </c>
      <c r="Y158" s="110"/>
      <c r="Z158" s="114">
        <f>IF(Ruimtestaat[[#This Row],[Frequentie weekend]]&gt;0,VALUE(LEFT(Y158,1))*R158,0)</f>
        <v>0</v>
      </c>
      <c r="AA158" s="110">
        <f>IF($Z158&gt;0,VLOOKUP($J158,Ruimtegroepen[],3,FALSE)*VLOOKUP($L158,Vloersoorten[],3,FALSE)*VLOOKUP($Y158,Frequenties[],3,FALSE)*VLOOKUP(#REF!,Locaties[],3,FALSE),0)</f>
        <v>0</v>
      </c>
      <c r="AB158" s="112">
        <f>Ruimtestaat[[#This Row],[Uitvoeringen weekend]]*Ruimtestaat[[#This Row],[Oppervlak (netto)]]</f>
        <v>0</v>
      </c>
      <c r="AC158" s="115">
        <f>IF(AB158&gt;0,Ruimtestaat[[#This Row],[Prest. (m2 /jaar) weekend]]/Ruimtestaat[[#This Row],[Norm (m2/uur) weekend]],0)</f>
        <v>0</v>
      </c>
      <c r="AD158" s="116">
        <f>Ruimtestaat[[#This Row],[uren / jaar weekend]]*Tariefsopbouw!$D$40</f>
        <v>0</v>
      </c>
      <c r="AE158" s="82">
        <f>Ruimtestaat[[#This Row],[Prest. (m2 /jaar) weekend]]+Ruimtestaat[[#This Row],[Prest. (m2 /jaar) werkdagen]]</f>
        <v>5392</v>
      </c>
      <c r="AF158" s="82">
        <f>Ruimtestaat[[#This Row],[uren / jaar weekend]]+Ruimtestaat[[#This Row],[uren / jaar werkdagen]]</f>
        <v>0</v>
      </c>
      <c r="AG158" s="83">
        <f>Ruimtestaat[[#This Row],[kosten / jaar weekend]]+Ruimtestaat[[#This Row],[kosten / jaar werkdagen]]</f>
        <v>0</v>
      </c>
      <c r="AH158" s="117"/>
      <c r="HL158" s="87"/>
    </row>
    <row r="159" spans="1:220" ht="15" customHeight="1">
      <c r="A159" s="136">
        <v>1</v>
      </c>
      <c r="B159" s="27" t="str">
        <f>VLOOKUP(Ruimtestaat[[#This Row],[Code]],Locaties[#All],2,FALSE)</f>
        <v>Hoornbeeck College Gouda</v>
      </c>
      <c r="C159" s="27" t="str">
        <f>VLOOKUP(Ruimtestaat[[#This Row],[Code]],Locaties[#All],4,FALSE)</f>
        <v>Noordelijk Halfrond 10</v>
      </c>
      <c r="D159" s="27" t="str">
        <f>VLOOKUP(Ruimtestaat[[#This Row],[Code]],Locaties[#All],5,FALSE)</f>
        <v>2801 DE</v>
      </c>
      <c r="E159" s="27" t="str">
        <f>VLOOKUP(Ruimtestaat[[#This Row],[Code]],Locaties[#All],6,FALSE)</f>
        <v>Gouda</v>
      </c>
      <c r="F159" s="74" t="s">
        <v>465</v>
      </c>
      <c r="G159" s="285" t="s">
        <v>569</v>
      </c>
      <c r="H159" s="286" t="s">
        <v>584</v>
      </c>
      <c r="I159" s="287" t="s">
        <v>470</v>
      </c>
      <c r="J159" s="288">
        <v>10</v>
      </c>
      <c r="K159" s="74" t="str">
        <f>VLOOKUP(J159,Ruimtegroepen[],2,FALSE)</f>
        <v>Trappenhuizen/lift</v>
      </c>
      <c r="L159" s="285" t="s">
        <v>110</v>
      </c>
      <c r="M159" s="287" t="s">
        <v>38</v>
      </c>
      <c r="N159" s="289">
        <v>15</v>
      </c>
      <c r="O159" s="285"/>
      <c r="P159" s="118" t="str">
        <f>LEFT(VLOOKUP(Ruimtestaat[[#This Row],[Ruimte code]],Ruimtegroepen[#All],4,1),2)</f>
        <v>Ve</v>
      </c>
      <c r="Q159" s="107"/>
      <c r="R159" s="108">
        <v>40</v>
      </c>
      <c r="S159" s="109" t="s">
        <v>2</v>
      </c>
      <c r="T159" s="110">
        <f>IF(R159&gt;0,IF(RIGHT(Ruimtestaat[[#This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9" s="110">
        <f>IF(T159&gt;0,VLOOKUP($J159,Ruimtegroepen[],3,FALSE)*VLOOKUP($L159,Vloersoorten[],3,FALSE)*VLOOKUP($S159,Frequenties[],3,FALSE)*VLOOKUP($A159,Locaties[],3,FALSE),0)</f>
        <v>0</v>
      </c>
      <c r="V159" s="111">
        <f>Ruimtestaat[[#This Row],[Uitvoeringen werkdagen]]*Ruimtestaat[[#This Row],[Oppervlak (netto)]]</f>
        <v>3000</v>
      </c>
      <c r="W159" s="112">
        <f>IF(U159&gt;0,Ruimtestaat[[#This Row],[Prest. (m2 /jaar) werkdagen]]/Ruimtestaat[[#This Row],[Norm (m2/uur) werkdagen]],0)</f>
        <v>0</v>
      </c>
      <c r="X159" s="113">
        <f>Ruimtestaat[[#This Row],[uren / jaar werkdagen]]*Tariefsopbouw!$E$35</f>
        <v>0</v>
      </c>
      <c r="Y159" s="110"/>
      <c r="Z159" s="114">
        <f>IF(Ruimtestaat[[#This Row],[Frequentie weekend]]&gt;0,VALUE(LEFT(Y159,1))*R159,0)</f>
        <v>0</v>
      </c>
      <c r="AA159" s="110">
        <f>IF($Z159&gt;0,VLOOKUP($J159,Ruimtegroepen[],3,FALSE)*VLOOKUP($L159,Vloersoorten[],3,FALSE)*VLOOKUP($Y159,Frequenties[],3,FALSE)*VLOOKUP(#REF!,Locaties[],3,FALSE),0)</f>
        <v>0</v>
      </c>
      <c r="AB159" s="112">
        <f>Ruimtestaat[[#This Row],[Uitvoeringen weekend]]*Ruimtestaat[[#This Row],[Oppervlak (netto)]]</f>
        <v>0</v>
      </c>
      <c r="AC159" s="115">
        <f>IF(AB159&gt;0,Ruimtestaat[[#This Row],[Prest. (m2 /jaar) weekend]]/Ruimtestaat[[#This Row],[Norm (m2/uur) weekend]],0)</f>
        <v>0</v>
      </c>
      <c r="AD159" s="116">
        <f>Ruimtestaat[[#This Row],[uren / jaar weekend]]*Tariefsopbouw!$D$40</f>
        <v>0</v>
      </c>
      <c r="AE159" s="82">
        <f>Ruimtestaat[[#This Row],[Prest. (m2 /jaar) weekend]]+Ruimtestaat[[#This Row],[Prest. (m2 /jaar) werkdagen]]</f>
        <v>3000</v>
      </c>
      <c r="AF159" s="82">
        <f>Ruimtestaat[[#This Row],[uren / jaar weekend]]+Ruimtestaat[[#This Row],[uren / jaar werkdagen]]</f>
        <v>0</v>
      </c>
      <c r="AG159" s="83">
        <f>Ruimtestaat[[#This Row],[kosten / jaar weekend]]+Ruimtestaat[[#This Row],[kosten / jaar werkdagen]]</f>
        <v>0</v>
      </c>
      <c r="AH159" s="117"/>
      <c r="HL159" s="87"/>
    </row>
    <row r="160" spans="1:220" ht="15" customHeight="1">
      <c r="A160" s="136">
        <v>1</v>
      </c>
      <c r="B160" s="27" t="str">
        <f>VLOOKUP(Ruimtestaat[[#This Row],[Code]],Locaties[#All],2,FALSE)</f>
        <v>Hoornbeeck College Gouda</v>
      </c>
      <c r="C160" s="27" t="str">
        <f>VLOOKUP(Ruimtestaat[[#This Row],[Code]],Locaties[#All],4,FALSE)</f>
        <v>Noordelijk Halfrond 10</v>
      </c>
      <c r="D160" s="27" t="str">
        <f>VLOOKUP(Ruimtestaat[[#This Row],[Code]],Locaties[#All],5,FALSE)</f>
        <v>2801 DE</v>
      </c>
      <c r="E160" s="27" t="str">
        <f>VLOOKUP(Ruimtestaat[[#This Row],[Code]],Locaties[#All],6,FALSE)</f>
        <v>Gouda</v>
      </c>
      <c r="F160" s="74" t="s">
        <v>465</v>
      </c>
      <c r="G160" s="285" t="s">
        <v>569</v>
      </c>
      <c r="H160" s="286" t="s">
        <v>585</v>
      </c>
      <c r="I160" s="287" t="s">
        <v>639</v>
      </c>
      <c r="J160" s="288">
        <v>5</v>
      </c>
      <c r="K160" s="74" t="str">
        <f>VLOOKUP(J160,Ruimtegroepen[],2,FALSE)</f>
        <v>Sanitair</v>
      </c>
      <c r="L160" s="285" t="s">
        <v>112</v>
      </c>
      <c r="M160" s="287" t="s">
        <v>469</v>
      </c>
      <c r="N160" s="289">
        <v>5.6</v>
      </c>
      <c r="O160" s="285"/>
      <c r="P160" s="118" t="str">
        <f>LEFT(VLOOKUP(Ruimtestaat[[#This Row],[Ruimte code]],Ruimtegroepen[#All],4,1),2)</f>
        <v>Sa</v>
      </c>
      <c r="Q160" s="107"/>
      <c r="R160" s="108">
        <v>40</v>
      </c>
      <c r="S160" s="109" t="s">
        <v>2</v>
      </c>
      <c r="T160" s="110">
        <f>IF(R160&gt;0,IF(RIGHT(Ruimtestaat[[#This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0" s="110">
        <f>IF(T160&gt;0,VLOOKUP($J160,Ruimtegroepen[],3,FALSE)*VLOOKUP($L160,Vloersoorten[],3,FALSE)*VLOOKUP($S160,Frequenties[],3,FALSE)*VLOOKUP($A160,Locaties[],3,FALSE),0)</f>
        <v>0</v>
      </c>
      <c r="V160" s="111">
        <f>Ruimtestaat[[#This Row],[Uitvoeringen werkdagen]]*Ruimtestaat[[#This Row],[Oppervlak (netto)]]</f>
        <v>1120</v>
      </c>
      <c r="W160" s="112">
        <f>IF(U160&gt;0,Ruimtestaat[[#This Row],[Prest. (m2 /jaar) werkdagen]]/Ruimtestaat[[#This Row],[Norm (m2/uur) werkdagen]],0)</f>
        <v>0</v>
      </c>
      <c r="X160" s="113">
        <f>Ruimtestaat[[#This Row],[uren / jaar werkdagen]]*Tariefsopbouw!$E$35</f>
        <v>0</v>
      </c>
      <c r="Y160" s="110"/>
      <c r="Z160" s="114">
        <f>IF(Ruimtestaat[[#This Row],[Frequentie weekend]]&gt;0,VALUE(LEFT(Y160,1))*R160,0)</f>
        <v>0</v>
      </c>
      <c r="AA160" s="110">
        <f>IF($Z160&gt;0,VLOOKUP($J160,Ruimtegroepen[],3,FALSE)*VLOOKUP($L160,Vloersoorten[],3,FALSE)*VLOOKUP($Y160,Frequenties[],3,FALSE)*VLOOKUP(#REF!,Locaties[],3,FALSE),0)</f>
        <v>0</v>
      </c>
      <c r="AB160" s="112">
        <f>Ruimtestaat[[#This Row],[Uitvoeringen weekend]]*Ruimtestaat[[#This Row],[Oppervlak (netto)]]</f>
        <v>0</v>
      </c>
      <c r="AC160" s="115">
        <f>IF(AB160&gt;0,Ruimtestaat[[#This Row],[Prest. (m2 /jaar) weekend]]/Ruimtestaat[[#This Row],[Norm (m2/uur) weekend]],0)</f>
        <v>0</v>
      </c>
      <c r="AD160" s="116">
        <f>Ruimtestaat[[#This Row],[uren / jaar weekend]]*Tariefsopbouw!$D$40</f>
        <v>0</v>
      </c>
      <c r="AE160" s="82">
        <f>Ruimtestaat[[#This Row],[Prest. (m2 /jaar) weekend]]+Ruimtestaat[[#This Row],[Prest. (m2 /jaar) werkdagen]]</f>
        <v>1120</v>
      </c>
      <c r="AF160" s="82">
        <f>Ruimtestaat[[#This Row],[uren / jaar weekend]]+Ruimtestaat[[#This Row],[uren / jaar werkdagen]]</f>
        <v>0</v>
      </c>
      <c r="AG160" s="83">
        <f>Ruimtestaat[[#This Row],[kosten / jaar weekend]]+Ruimtestaat[[#This Row],[kosten / jaar werkdagen]]</f>
        <v>0</v>
      </c>
      <c r="AH160" s="117"/>
      <c r="HL160" s="87"/>
    </row>
    <row r="161" spans="1:220" ht="15" customHeight="1">
      <c r="A161" s="136">
        <v>1</v>
      </c>
      <c r="B161" s="27" t="str">
        <f>VLOOKUP(Ruimtestaat[[#This Row],[Code]],Locaties[#All],2,FALSE)</f>
        <v>Hoornbeeck College Gouda</v>
      </c>
      <c r="C161" s="27" t="str">
        <f>VLOOKUP(Ruimtestaat[[#This Row],[Code]],Locaties[#All],4,FALSE)</f>
        <v>Noordelijk Halfrond 10</v>
      </c>
      <c r="D161" s="27" t="str">
        <f>VLOOKUP(Ruimtestaat[[#This Row],[Code]],Locaties[#All],5,FALSE)</f>
        <v>2801 DE</v>
      </c>
      <c r="E161" s="27" t="str">
        <f>VLOOKUP(Ruimtestaat[[#This Row],[Code]],Locaties[#All],6,FALSE)</f>
        <v>Gouda</v>
      </c>
      <c r="F161" s="74" t="s">
        <v>465</v>
      </c>
      <c r="G161" s="285" t="s">
        <v>569</v>
      </c>
      <c r="H161" s="286" t="s">
        <v>586</v>
      </c>
      <c r="I161" s="287" t="s">
        <v>639</v>
      </c>
      <c r="J161" s="288">
        <v>5</v>
      </c>
      <c r="K161" s="74" t="str">
        <f>VLOOKUP(J161,Ruimtegroepen[],2,FALSE)</f>
        <v>Sanitair</v>
      </c>
      <c r="L161" s="285" t="s">
        <v>112</v>
      </c>
      <c r="M161" s="287" t="s">
        <v>469</v>
      </c>
      <c r="N161" s="289">
        <v>5.6</v>
      </c>
      <c r="O161" s="285"/>
      <c r="P161" s="118" t="str">
        <f>LEFT(VLOOKUP(Ruimtestaat[[#This Row],[Ruimte code]],Ruimtegroepen[#All],4,1),2)</f>
        <v>Sa</v>
      </c>
      <c r="Q161" s="107"/>
      <c r="R161" s="108">
        <v>40</v>
      </c>
      <c r="S161" s="109" t="s">
        <v>2</v>
      </c>
      <c r="T161" s="110">
        <f>IF(R161&gt;0,IF(RIGHT(Ruimtestaat[[#This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1" s="110">
        <f>IF(T161&gt;0,VLOOKUP($J161,Ruimtegroepen[],3,FALSE)*VLOOKUP($L161,Vloersoorten[],3,FALSE)*VLOOKUP($S161,Frequenties[],3,FALSE)*VLOOKUP($A161,Locaties[],3,FALSE),0)</f>
        <v>0</v>
      </c>
      <c r="V161" s="111">
        <f>Ruimtestaat[[#This Row],[Uitvoeringen werkdagen]]*Ruimtestaat[[#This Row],[Oppervlak (netto)]]</f>
        <v>1120</v>
      </c>
      <c r="W161" s="112">
        <f>IF(U161&gt;0,Ruimtestaat[[#This Row],[Prest. (m2 /jaar) werkdagen]]/Ruimtestaat[[#This Row],[Norm (m2/uur) werkdagen]],0)</f>
        <v>0</v>
      </c>
      <c r="X161" s="113">
        <f>Ruimtestaat[[#This Row],[uren / jaar werkdagen]]*Tariefsopbouw!$E$35</f>
        <v>0</v>
      </c>
      <c r="Y161" s="110"/>
      <c r="Z161" s="114">
        <f>IF(Ruimtestaat[[#This Row],[Frequentie weekend]]&gt;0,VALUE(LEFT(Y161,1))*R161,0)</f>
        <v>0</v>
      </c>
      <c r="AA161" s="110">
        <f>IF($Z161&gt;0,VLOOKUP($J161,Ruimtegroepen[],3,FALSE)*VLOOKUP($L161,Vloersoorten[],3,FALSE)*VLOOKUP($Y161,Frequenties[],3,FALSE)*VLOOKUP(#REF!,Locaties[],3,FALSE),0)</f>
        <v>0</v>
      </c>
      <c r="AB161" s="112">
        <f>Ruimtestaat[[#This Row],[Uitvoeringen weekend]]*Ruimtestaat[[#This Row],[Oppervlak (netto)]]</f>
        <v>0</v>
      </c>
      <c r="AC161" s="115">
        <f>IF(AB161&gt;0,Ruimtestaat[[#This Row],[Prest. (m2 /jaar) weekend]]/Ruimtestaat[[#This Row],[Norm (m2/uur) weekend]],0)</f>
        <v>0</v>
      </c>
      <c r="AD161" s="116">
        <f>Ruimtestaat[[#This Row],[uren / jaar weekend]]*Tariefsopbouw!$D$40</f>
        <v>0</v>
      </c>
      <c r="AE161" s="82">
        <f>Ruimtestaat[[#This Row],[Prest. (m2 /jaar) weekend]]+Ruimtestaat[[#This Row],[Prest. (m2 /jaar) werkdagen]]</f>
        <v>1120</v>
      </c>
      <c r="AF161" s="82">
        <f>Ruimtestaat[[#This Row],[uren / jaar weekend]]+Ruimtestaat[[#This Row],[uren / jaar werkdagen]]</f>
        <v>0</v>
      </c>
      <c r="AG161" s="83">
        <f>Ruimtestaat[[#This Row],[kosten / jaar weekend]]+Ruimtestaat[[#This Row],[kosten / jaar werkdagen]]</f>
        <v>0</v>
      </c>
      <c r="AH161" s="117"/>
      <c r="HL161" s="87"/>
    </row>
    <row r="162" spans="1:220" ht="15" customHeight="1">
      <c r="A162" s="136">
        <v>1</v>
      </c>
      <c r="B162" s="27" t="str">
        <f>VLOOKUP(Ruimtestaat[[#This Row],[Code]],Locaties[#All],2,FALSE)</f>
        <v>Hoornbeeck College Gouda</v>
      </c>
      <c r="C162" s="27" t="str">
        <f>VLOOKUP(Ruimtestaat[[#This Row],[Code]],Locaties[#All],4,FALSE)</f>
        <v>Noordelijk Halfrond 10</v>
      </c>
      <c r="D162" s="27" t="str">
        <f>VLOOKUP(Ruimtestaat[[#This Row],[Code]],Locaties[#All],5,FALSE)</f>
        <v>2801 DE</v>
      </c>
      <c r="E162" s="27" t="str">
        <f>VLOOKUP(Ruimtestaat[[#This Row],[Code]],Locaties[#All],6,FALSE)</f>
        <v>Gouda</v>
      </c>
      <c r="F162" s="74" t="s">
        <v>484</v>
      </c>
      <c r="G162" s="285" t="s">
        <v>569</v>
      </c>
      <c r="H162" s="286" t="s">
        <v>587</v>
      </c>
      <c r="I162" s="287" t="s">
        <v>696</v>
      </c>
      <c r="J162" s="288">
        <v>16</v>
      </c>
      <c r="K162" s="74" t="str">
        <f>VLOOKUP(J162,Ruimtegroepen[],2,FALSE)</f>
        <v>Leslokalen</v>
      </c>
      <c r="L162" s="285" t="s">
        <v>110</v>
      </c>
      <c r="M162" s="287" t="s">
        <v>38</v>
      </c>
      <c r="N162" s="289">
        <v>78.7</v>
      </c>
      <c r="O162" s="285"/>
      <c r="P162" s="118" t="str">
        <f>LEFT(VLOOKUP(Ruimtestaat[[#This Row],[Ruimte code]],Ruimtegroepen[#All],4,1),2)</f>
        <v>Le</v>
      </c>
      <c r="Q162" s="107"/>
      <c r="R162" s="108">
        <v>40</v>
      </c>
      <c r="S162" s="109" t="s">
        <v>2</v>
      </c>
      <c r="T162" s="110">
        <f>IF(R162&gt;0,IF(RIGHT(Ruimtestaat[[#This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2" s="110">
        <f>IF(T162&gt;0,VLOOKUP($J162,Ruimtegroepen[],3,FALSE)*VLOOKUP($L162,Vloersoorten[],3,FALSE)*VLOOKUP($S162,Frequenties[],3,FALSE)*VLOOKUP($A162,Locaties[],3,FALSE),0)</f>
        <v>0</v>
      </c>
      <c r="V162" s="111">
        <f>Ruimtestaat[[#This Row],[Uitvoeringen werkdagen]]*Ruimtestaat[[#This Row],[Oppervlak (netto)]]</f>
        <v>15740</v>
      </c>
      <c r="W162" s="112">
        <f>IF(U162&gt;0,Ruimtestaat[[#This Row],[Prest. (m2 /jaar) werkdagen]]/Ruimtestaat[[#This Row],[Norm (m2/uur) werkdagen]],0)</f>
        <v>0</v>
      </c>
      <c r="X162" s="113">
        <f>Ruimtestaat[[#This Row],[uren / jaar werkdagen]]*Tariefsopbouw!$E$35</f>
        <v>0</v>
      </c>
      <c r="Y162" s="110"/>
      <c r="Z162" s="114">
        <f>IF(Ruimtestaat[[#This Row],[Frequentie weekend]]&gt;0,VALUE(LEFT(Y162,1))*R162,0)</f>
        <v>0</v>
      </c>
      <c r="AA162" s="110">
        <f>IF($Z162&gt;0,VLOOKUP($J162,Ruimtegroepen[],3,FALSE)*VLOOKUP($L162,Vloersoorten[],3,FALSE)*VLOOKUP($Y162,Frequenties[],3,FALSE)*VLOOKUP(#REF!,Locaties[],3,FALSE),0)</f>
        <v>0</v>
      </c>
      <c r="AB162" s="112">
        <f>Ruimtestaat[[#This Row],[Uitvoeringen weekend]]*Ruimtestaat[[#This Row],[Oppervlak (netto)]]</f>
        <v>0</v>
      </c>
      <c r="AC162" s="115">
        <f>IF(AB162&gt;0,Ruimtestaat[[#This Row],[Prest. (m2 /jaar) weekend]]/Ruimtestaat[[#This Row],[Norm (m2/uur) weekend]],0)</f>
        <v>0</v>
      </c>
      <c r="AD162" s="116">
        <f>Ruimtestaat[[#This Row],[uren / jaar weekend]]*Tariefsopbouw!$D$40</f>
        <v>0</v>
      </c>
      <c r="AE162" s="82">
        <f>Ruimtestaat[[#This Row],[Prest. (m2 /jaar) weekend]]+Ruimtestaat[[#This Row],[Prest. (m2 /jaar) werkdagen]]</f>
        <v>15740</v>
      </c>
      <c r="AF162" s="82">
        <f>Ruimtestaat[[#This Row],[uren / jaar weekend]]+Ruimtestaat[[#This Row],[uren / jaar werkdagen]]</f>
        <v>0</v>
      </c>
      <c r="AG162" s="83">
        <f>Ruimtestaat[[#This Row],[kosten / jaar weekend]]+Ruimtestaat[[#This Row],[kosten / jaar werkdagen]]</f>
        <v>0</v>
      </c>
      <c r="AH162" s="117"/>
      <c r="HL162" s="87"/>
    </row>
    <row r="163" spans="1:220" ht="15" customHeight="1">
      <c r="A163" s="136">
        <v>1</v>
      </c>
      <c r="B163" s="27" t="str">
        <f>VLOOKUP(Ruimtestaat[[#This Row],[Code]],Locaties[#All],2,FALSE)</f>
        <v>Hoornbeeck College Gouda</v>
      </c>
      <c r="C163" s="27" t="str">
        <f>VLOOKUP(Ruimtestaat[[#This Row],[Code]],Locaties[#All],4,FALSE)</f>
        <v>Noordelijk Halfrond 10</v>
      </c>
      <c r="D163" s="27" t="str">
        <f>VLOOKUP(Ruimtestaat[[#This Row],[Code]],Locaties[#All],5,FALSE)</f>
        <v>2801 DE</v>
      </c>
      <c r="E163" s="27" t="str">
        <f>VLOOKUP(Ruimtestaat[[#This Row],[Code]],Locaties[#All],6,FALSE)</f>
        <v>Gouda</v>
      </c>
      <c r="F163" s="74" t="s">
        <v>484</v>
      </c>
      <c r="G163" s="285" t="s">
        <v>569</v>
      </c>
      <c r="H163" s="286" t="s">
        <v>588</v>
      </c>
      <c r="I163" s="287" t="s">
        <v>648</v>
      </c>
      <c r="J163" s="288">
        <v>1</v>
      </c>
      <c r="K163" s="74" t="str">
        <f>VLOOKUP(J163,Ruimtegroepen[],2,FALSE)</f>
        <v>Magazijnen/bergingen</v>
      </c>
      <c r="L163" s="285" t="s">
        <v>110</v>
      </c>
      <c r="M163" s="287" t="s">
        <v>38</v>
      </c>
      <c r="N163" s="289">
        <v>10.6</v>
      </c>
      <c r="O163" s="285"/>
      <c r="P163" s="118" t="str">
        <f>LEFT(VLOOKUP(Ruimtestaat[[#This Row],[Ruimte code]],Ruimtegroepen[#All],4,1),2)</f>
        <v>Ve</v>
      </c>
      <c r="Q163" s="107"/>
      <c r="R163" s="108">
        <v>40</v>
      </c>
      <c r="S163" s="109" t="s">
        <v>16</v>
      </c>
      <c r="T163" s="110">
        <f>IF(R163&gt;0,IF(RIGHT(Ruimtestaat[[#This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63" s="110">
        <f>IF(T163&gt;0,VLOOKUP($J163,Ruimtegroepen[],3,FALSE)*VLOOKUP($L163,Vloersoorten[],3,FALSE)*VLOOKUP($S163,Frequenties[],3,FALSE)*VLOOKUP($A163,Locaties[],3,FALSE),0)</f>
        <v>0</v>
      </c>
      <c r="V163" s="111">
        <f>Ruimtestaat[[#This Row],[Uitvoeringen werkdagen]]*Ruimtestaat[[#This Row],[Oppervlak (netto)]]</f>
        <v>127.19999999999999</v>
      </c>
      <c r="W163" s="112">
        <f>IF(U163&gt;0,Ruimtestaat[[#This Row],[Prest. (m2 /jaar) werkdagen]]/Ruimtestaat[[#This Row],[Norm (m2/uur) werkdagen]],0)</f>
        <v>0</v>
      </c>
      <c r="X163" s="113">
        <f>Ruimtestaat[[#This Row],[uren / jaar werkdagen]]*Tariefsopbouw!$E$35</f>
        <v>0</v>
      </c>
      <c r="Y163" s="110"/>
      <c r="Z163" s="114">
        <f>IF(Ruimtestaat[[#This Row],[Frequentie weekend]]&gt;0,VALUE(LEFT(Y163,1))*R163,0)</f>
        <v>0</v>
      </c>
      <c r="AA163" s="110">
        <f>IF($Z163&gt;0,VLOOKUP($J163,Ruimtegroepen[],3,FALSE)*VLOOKUP($L163,Vloersoorten[],3,FALSE)*VLOOKUP($Y163,Frequenties[],3,FALSE)*VLOOKUP(#REF!,Locaties[],3,FALSE),0)</f>
        <v>0</v>
      </c>
      <c r="AB163" s="112">
        <f>Ruimtestaat[[#This Row],[Uitvoeringen weekend]]*Ruimtestaat[[#This Row],[Oppervlak (netto)]]</f>
        <v>0</v>
      </c>
      <c r="AC163" s="115">
        <f>IF(AB163&gt;0,Ruimtestaat[[#This Row],[Prest. (m2 /jaar) weekend]]/Ruimtestaat[[#This Row],[Norm (m2/uur) weekend]],0)</f>
        <v>0</v>
      </c>
      <c r="AD163" s="116">
        <f>Ruimtestaat[[#This Row],[uren / jaar weekend]]*Tariefsopbouw!$D$40</f>
        <v>0</v>
      </c>
      <c r="AE163" s="82">
        <f>Ruimtestaat[[#This Row],[Prest. (m2 /jaar) weekend]]+Ruimtestaat[[#This Row],[Prest. (m2 /jaar) werkdagen]]</f>
        <v>127.19999999999999</v>
      </c>
      <c r="AF163" s="82">
        <f>Ruimtestaat[[#This Row],[uren / jaar weekend]]+Ruimtestaat[[#This Row],[uren / jaar werkdagen]]</f>
        <v>0</v>
      </c>
      <c r="AG163" s="83">
        <f>Ruimtestaat[[#This Row],[kosten / jaar weekend]]+Ruimtestaat[[#This Row],[kosten / jaar werkdagen]]</f>
        <v>0</v>
      </c>
      <c r="AH163" s="117"/>
      <c r="HL163" s="87"/>
    </row>
    <row r="164" spans="1:220" ht="15" customHeight="1">
      <c r="A164" s="136">
        <v>1</v>
      </c>
      <c r="B164" s="27" t="str">
        <f>VLOOKUP(Ruimtestaat[[#This Row],[Code]],Locaties[#All],2,FALSE)</f>
        <v>Hoornbeeck College Gouda</v>
      </c>
      <c r="C164" s="27" t="str">
        <f>VLOOKUP(Ruimtestaat[[#This Row],[Code]],Locaties[#All],4,FALSE)</f>
        <v>Noordelijk Halfrond 10</v>
      </c>
      <c r="D164" s="27" t="str">
        <f>VLOOKUP(Ruimtestaat[[#This Row],[Code]],Locaties[#All],5,FALSE)</f>
        <v>2801 DE</v>
      </c>
      <c r="E164" s="27" t="str">
        <f>VLOOKUP(Ruimtestaat[[#This Row],[Code]],Locaties[#All],6,FALSE)</f>
        <v>Gouda</v>
      </c>
      <c r="F164" s="74" t="s">
        <v>484</v>
      </c>
      <c r="G164" s="285" t="s">
        <v>569</v>
      </c>
      <c r="H164" s="286" t="s">
        <v>589</v>
      </c>
      <c r="I164" s="287" t="s">
        <v>697</v>
      </c>
      <c r="J164" s="288">
        <v>14</v>
      </c>
      <c r="K164" s="74" t="str">
        <f>VLOOKUP(J164,Ruimtegroepen[],2,FALSE)</f>
        <v>Praktijklokalen</v>
      </c>
      <c r="L164" s="285" t="s">
        <v>110</v>
      </c>
      <c r="M164" s="287" t="s">
        <v>38</v>
      </c>
      <c r="N164" s="289">
        <v>72.8</v>
      </c>
      <c r="O164" s="285"/>
      <c r="P164" s="118" t="str">
        <f>LEFT(VLOOKUP(Ruimtestaat[[#This Row],[Ruimte code]],Ruimtegroepen[#All],4,1),2)</f>
        <v>Le</v>
      </c>
      <c r="Q164" s="107"/>
      <c r="R164" s="108">
        <v>40</v>
      </c>
      <c r="S164" s="109" t="s">
        <v>2</v>
      </c>
      <c r="T164" s="110">
        <f>IF(R164&gt;0,IF(RIGHT(Ruimtestaat[[#This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4" s="110">
        <f>IF(T164&gt;0,VLOOKUP($J164,Ruimtegroepen[],3,FALSE)*VLOOKUP($L164,Vloersoorten[],3,FALSE)*VLOOKUP($S164,Frequenties[],3,FALSE)*VLOOKUP($A164,Locaties[],3,FALSE),0)</f>
        <v>0</v>
      </c>
      <c r="V164" s="111">
        <f>Ruimtestaat[[#This Row],[Uitvoeringen werkdagen]]*Ruimtestaat[[#This Row],[Oppervlak (netto)]]</f>
        <v>14560</v>
      </c>
      <c r="W164" s="112">
        <f>IF(U164&gt;0,Ruimtestaat[[#This Row],[Prest. (m2 /jaar) werkdagen]]/Ruimtestaat[[#This Row],[Norm (m2/uur) werkdagen]],0)</f>
        <v>0</v>
      </c>
      <c r="X164" s="113">
        <f>Ruimtestaat[[#This Row],[uren / jaar werkdagen]]*Tariefsopbouw!$E$35</f>
        <v>0</v>
      </c>
      <c r="Y164" s="110"/>
      <c r="Z164" s="114">
        <f>IF(Ruimtestaat[[#This Row],[Frequentie weekend]]&gt;0,VALUE(LEFT(Y164,1))*R164,0)</f>
        <v>0</v>
      </c>
      <c r="AA164" s="110">
        <f>IF($Z164&gt;0,VLOOKUP($J164,Ruimtegroepen[],3,FALSE)*VLOOKUP($L164,Vloersoorten[],3,FALSE)*VLOOKUP($Y164,Frequenties[],3,FALSE)*VLOOKUP(#REF!,Locaties[],3,FALSE),0)</f>
        <v>0</v>
      </c>
      <c r="AB164" s="112">
        <f>Ruimtestaat[[#This Row],[Uitvoeringen weekend]]*Ruimtestaat[[#This Row],[Oppervlak (netto)]]</f>
        <v>0</v>
      </c>
      <c r="AC164" s="115">
        <f>IF(AB164&gt;0,Ruimtestaat[[#This Row],[Prest. (m2 /jaar) weekend]]/Ruimtestaat[[#This Row],[Norm (m2/uur) weekend]],0)</f>
        <v>0</v>
      </c>
      <c r="AD164" s="116">
        <f>Ruimtestaat[[#This Row],[uren / jaar weekend]]*Tariefsopbouw!$D$40</f>
        <v>0</v>
      </c>
      <c r="AE164" s="82">
        <f>Ruimtestaat[[#This Row],[Prest. (m2 /jaar) weekend]]+Ruimtestaat[[#This Row],[Prest. (m2 /jaar) werkdagen]]</f>
        <v>14560</v>
      </c>
      <c r="AF164" s="82">
        <f>Ruimtestaat[[#This Row],[uren / jaar weekend]]+Ruimtestaat[[#This Row],[uren / jaar werkdagen]]</f>
        <v>0</v>
      </c>
      <c r="AG164" s="83">
        <f>Ruimtestaat[[#This Row],[kosten / jaar weekend]]+Ruimtestaat[[#This Row],[kosten / jaar werkdagen]]</f>
        <v>0</v>
      </c>
      <c r="AH164" s="117"/>
      <c r="HL164" s="87"/>
    </row>
    <row r="165" spans="1:220" ht="15" customHeight="1">
      <c r="A165" s="136">
        <v>1</v>
      </c>
      <c r="B165" s="27" t="str">
        <f>VLOOKUP(Ruimtestaat[[#This Row],[Code]],Locaties[#All],2,FALSE)</f>
        <v>Hoornbeeck College Gouda</v>
      </c>
      <c r="C165" s="27" t="str">
        <f>VLOOKUP(Ruimtestaat[[#This Row],[Code]],Locaties[#All],4,FALSE)</f>
        <v>Noordelijk Halfrond 10</v>
      </c>
      <c r="D165" s="27" t="str">
        <f>VLOOKUP(Ruimtestaat[[#This Row],[Code]],Locaties[#All],5,FALSE)</f>
        <v>2801 DE</v>
      </c>
      <c r="E165" s="27" t="str">
        <f>VLOOKUP(Ruimtestaat[[#This Row],[Code]],Locaties[#All],6,FALSE)</f>
        <v>Gouda</v>
      </c>
      <c r="F165" s="74" t="s">
        <v>484</v>
      </c>
      <c r="G165" s="285" t="s">
        <v>569</v>
      </c>
      <c r="H165" s="286" t="s">
        <v>590</v>
      </c>
      <c r="I165" s="287" t="s">
        <v>698</v>
      </c>
      <c r="J165" s="288">
        <v>14</v>
      </c>
      <c r="K165" s="74" t="str">
        <f>VLOOKUP(J165,Ruimtegroepen[],2,FALSE)</f>
        <v>Praktijklokalen</v>
      </c>
      <c r="L165" s="285" t="s">
        <v>110</v>
      </c>
      <c r="M165" s="287" t="s">
        <v>38</v>
      </c>
      <c r="N165" s="289">
        <v>74.2</v>
      </c>
      <c r="O165" s="285"/>
      <c r="P165" s="118" t="str">
        <f>LEFT(VLOOKUP(Ruimtestaat[[#This Row],[Ruimte code]],Ruimtegroepen[#All],4,1),2)</f>
        <v>Le</v>
      </c>
      <c r="Q165" s="107"/>
      <c r="R165" s="108">
        <v>40</v>
      </c>
      <c r="S165" s="109" t="s">
        <v>2</v>
      </c>
      <c r="T165" s="110">
        <f>IF(R165&gt;0,IF(RIGHT(Ruimtestaat[[#This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5" s="110">
        <f>IF(T165&gt;0,VLOOKUP($J165,Ruimtegroepen[],3,FALSE)*VLOOKUP($L165,Vloersoorten[],3,FALSE)*VLOOKUP($S165,Frequenties[],3,FALSE)*VLOOKUP($A165,Locaties[],3,FALSE),0)</f>
        <v>0</v>
      </c>
      <c r="V165" s="111">
        <f>Ruimtestaat[[#This Row],[Uitvoeringen werkdagen]]*Ruimtestaat[[#This Row],[Oppervlak (netto)]]</f>
        <v>14840</v>
      </c>
      <c r="W165" s="112">
        <f>IF(U165&gt;0,Ruimtestaat[[#This Row],[Prest. (m2 /jaar) werkdagen]]/Ruimtestaat[[#This Row],[Norm (m2/uur) werkdagen]],0)</f>
        <v>0</v>
      </c>
      <c r="X165" s="113">
        <f>Ruimtestaat[[#This Row],[uren / jaar werkdagen]]*Tariefsopbouw!$E$35</f>
        <v>0</v>
      </c>
      <c r="Y165" s="110"/>
      <c r="Z165" s="114">
        <f>IF(Ruimtestaat[[#This Row],[Frequentie weekend]]&gt;0,VALUE(LEFT(Y165,1))*R165,0)</f>
        <v>0</v>
      </c>
      <c r="AA165" s="110">
        <f>IF($Z165&gt;0,VLOOKUP($J165,Ruimtegroepen[],3,FALSE)*VLOOKUP($L165,Vloersoorten[],3,FALSE)*VLOOKUP($Y165,Frequenties[],3,FALSE)*VLOOKUP(#REF!,Locaties[],3,FALSE),0)</f>
        <v>0</v>
      </c>
      <c r="AB165" s="112">
        <f>Ruimtestaat[[#This Row],[Uitvoeringen weekend]]*Ruimtestaat[[#This Row],[Oppervlak (netto)]]</f>
        <v>0</v>
      </c>
      <c r="AC165" s="115">
        <f>IF(AB165&gt;0,Ruimtestaat[[#This Row],[Prest. (m2 /jaar) weekend]]/Ruimtestaat[[#This Row],[Norm (m2/uur) weekend]],0)</f>
        <v>0</v>
      </c>
      <c r="AD165" s="116">
        <f>Ruimtestaat[[#This Row],[uren / jaar weekend]]*Tariefsopbouw!$D$40</f>
        <v>0</v>
      </c>
      <c r="AE165" s="82">
        <f>Ruimtestaat[[#This Row],[Prest. (m2 /jaar) weekend]]+Ruimtestaat[[#This Row],[Prest. (m2 /jaar) werkdagen]]</f>
        <v>14840</v>
      </c>
      <c r="AF165" s="82">
        <f>Ruimtestaat[[#This Row],[uren / jaar weekend]]+Ruimtestaat[[#This Row],[uren / jaar werkdagen]]</f>
        <v>0</v>
      </c>
      <c r="AG165" s="83">
        <f>Ruimtestaat[[#This Row],[kosten / jaar weekend]]+Ruimtestaat[[#This Row],[kosten / jaar werkdagen]]</f>
        <v>0</v>
      </c>
      <c r="AH165" s="117"/>
      <c r="HL165" s="87"/>
    </row>
    <row r="166" spans="1:220" ht="15" customHeight="1">
      <c r="A166" s="136">
        <v>1</v>
      </c>
      <c r="B166" s="27" t="str">
        <f>VLOOKUP(Ruimtestaat[[#This Row],[Code]],Locaties[#All],2,FALSE)</f>
        <v>Hoornbeeck College Gouda</v>
      </c>
      <c r="C166" s="27" t="str">
        <f>VLOOKUP(Ruimtestaat[[#This Row],[Code]],Locaties[#All],4,FALSE)</f>
        <v>Noordelijk Halfrond 10</v>
      </c>
      <c r="D166" s="27" t="str">
        <f>VLOOKUP(Ruimtestaat[[#This Row],[Code]],Locaties[#All],5,FALSE)</f>
        <v>2801 DE</v>
      </c>
      <c r="E166" s="27" t="str">
        <f>VLOOKUP(Ruimtestaat[[#This Row],[Code]],Locaties[#All],6,FALSE)</f>
        <v>Gouda</v>
      </c>
      <c r="F166" s="74" t="s">
        <v>484</v>
      </c>
      <c r="G166" s="285" t="s">
        <v>569</v>
      </c>
      <c r="H166" s="286" t="s">
        <v>591</v>
      </c>
      <c r="I166" s="287" t="s">
        <v>648</v>
      </c>
      <c r="J166" s="288">
        <v>1</v>
      </c>
      <c r="K166" s="74" t="str">
        <f>VLOOKUP(J166,Ruimtegroepen[],2,FALSE)</f>
        <v>Magazijnen/bergingen</v>
      </c>
      <c r="L166" s="285" t="s">
        <v>111</v>
      </c>
      <c r="M166" s="287" t="s">
        <v>467</v>
      </c>
      <c r="N166" s="289">
        <v>5.5</v>
      </c>
      <c r="O166" s="285"/>
      <c r="P166" s="118" t="str">
        <f>LEFT(VLOOKUP(Ruimtestaat[[#This Row],[Ruimte code]],Ruimtegroepen[#All],4,1),2)</f>
        <v>Ve</v>
      </c>
      <c r="Q166" s="107"/>
      <c r="R166" s="108">
        <v>40</v>
      </c>
      <c r="S166" s="109" t="s">
        <v>16</v>
      </c>
      <c r="T166" s="110">
        <f>IF(R166&gt;0,IF(RIGHT(Ruimtestaat[[#This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66" s="110">
        <f>IF(T166&gt;0,VLOOKUP($J166,Ruimtegroepen[],3,FALSE)*VLOOKUP($L166,Vloersoorten[],3,FALSE)*VLOOKUP($S166,Frequenties[],3,FALSE)*VLOOKUP($A166,Locaties[],3,FALSE),0)</f>
        <v>0</v>
      </c>
      <c r="V166" s="111">
        <f>Ruimtestaat[[#This Row],[Uitvoeringen werkdagen]]*Ruimtestaat[[#This Row],[Oppervlak (netto)]]</f>
        <v>66</v>
      </c>
      <c r="W166" s="112">
        <f>IF(U166&gt;0,Ruimtestaat[[#This Row],[Prest. (m2 /jaar) werkdagen]]/Ruimtestaat[[#This Row],[Norm (m2/uur) werkdagen]],0)</f>
        <v>0</v>
      </c>
      <c r="X166" s="113">
        <f>Ruimtestaat[[#This Row],[uren / jaar werkdagen]]*Tariefsopbouw!$E$35</f>
        <v>0</v>
      </c>
      <c r="Y166" s="110"/>
      <c r="Z166" s="114">
        <f>IF(Ruimtestaat[[#This Row],[Frequentie weekend]]&gt;0,VALUE(LEFT(Y166,1))*R166,0)</f>
        <v>0</v>
      </c>
      <c r="AA166" s="110">
        <f>IF($Z166&gt;0,VLOOKUP($J166,Ruimtegroepen[],3,FALSE)*VLOOKUP($L166,Vloersoorten[],3,FALSE)*VLOOKUP($Y166,Frequenties[],3,FALSE)*VLOOKUP(#REF!,Locaties[],3,FALSE),0)</f>
        <v>0</v>
      </c>
      <c r="AB166" s="112">
        <f>Ruimtestaat[[#This Row],[Uitvoeringen weekend]]*Ruimtestaat[[#This Row],[Oppervlak (netto)]]</f>
        <v>0</v>
      </c>
      <c r="AC166" s="115">
        <f>IF(AB166&gt;0,Ruimtestaat[[#This Row],[Prest. (m2 /jaar) weekend]]/Ruimtestaat[[#This Row],[Norm (m2/uur) weekend]],0)</f>
        <v>0</v>
      </c>
      <c r="AD166" s="116">
        <f>Ruimtestaat[[#This Row],[uren / jaar weekend]]*Tariefsopbouw!$D$40</f>
        <v>0</v>
      </c>
      <c r="AE166" s="82">
        <f>Ruimtestaat[[#This Row],[Prest. (m2 /jaar) weekend]]+Ruimtestaat[[#This Row],[Prest. (m2 /jaar) werkdagen]]</f>
        <v>66</v>
      </c>
      <c r="AF166" s="82">
        <f>Ruimtestaat[[#This Row],[uren / jaar weekend]]+Ruimtestaat[[#This Row],[uren / jaar werkdagen]]</f>
        <v>0</v>
      </c>
      <c r="AG166" s="83">
        <f>Ruimtestaat[[#This Row],[kosten / jaar weekend]]+Ruimtestaat[[#This Row],[kosten / jaar werkdagen]]</f>
        <v>0</v>
      </c>
      <c r="AH166" s="117"/>
      <c r="HL166" s="87"/>
    </row>
    <row r="167" spans="1:220" ht="15" customHeight="1">
      <c r="A167" s="136">
        <v>1</v>
      </c>
      <c r="B167" s="27" t="str">
        <f>VLOOKUP(Ruimtestaat[[#This Row],[Code]],Locaties[#All],2,FALSE)</f>
        <v>Hoornbeeck College Gouda</v>
      </c>
      <c r="C167" s="27" t="str">
        <f>VLOOKUP(Ruimtestaat[[#This Row],[Code]],Locaties[#All],4,FALSE)</f>
        <v>Noordelijk Halfrond 10</v>
      </c>
      <c r="D167" s="27" t="str">
        <f>VLOOKUP(Ruimtestaat[[#This Row],[Code]],Locaties[#All],5,FALSE)</f>
        <v>2801 DE</v>
      </c>
      <c r="E167" s="27" t="str">
        <f>VLOOKUP(Ruimtestaat[[#This Row],[Code]],Locaties[#All],6,FALSE)</f>
        <v>Gouda</v>
      </c>
      <c r="F167" s="74" t="s">
        <v>484</v>
      </c>
      <c r="G167" s="285" t="s">
        <v>569</v>
      </c>
      <c r="H167" s="286" t="s">
        <v>592</v>
      </c>
      <c r="I167" s="287" t="s">
        <v>699</v>
      </c>
      <c r="J167" s="288">
        <v>2</v>
      </c>
      <c r="K167" s="74" t="str">
        <f>VLOOKUP(J167,Ruimtegroepen[],2,FALSE)</f>
        <v>Kantoren</v>
      </c>
      <c r="L167" s="285" t="s">
        <v>110</v>
      </c>
      <c r="M167" s="287" t="s">
        <v>38</v>
      </c>
      <c r="N167" s="289">
        <v>17.8</v>
      </c>
      <c r="O167" s="285"/>
      <c r="P167" s="118" t="str">
        <f>LEFT(VLOOKUP(Ruimtestaat[[#This Row],[Ruimte code]],Ruimtegroepen[#All],4,1),2)</f>
        <v>Bu</v>
      </c>
      <c r="Q167" s="107"/>
      <c r="R167" s="108">
        <v>40</v>
      </c>
      <c r="S167" s="109" t="s">
        <v>17</v>
      </c>
      <c r="T167" s="110">
        <f>IF(R167&gt;0,IF(RIGHT(Ruimtestaat[[#This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67" s="110">
        <f>IF(T167&gt;0,VLOOKUP($J167,Ruimtegroepen[],3,FALSE)*VLOOKUP($L167,Vloersoorten[],3,FALSE)*VLOOKUP($S167,Frequenties[],3,FALSE)*VLOOKUP($A167,Locaties[],3,FALSE),0)</f>
        <v>0</v>
      </c>
      <c r="V167" s="111">
        <f>Ruimtestaat[[#This Row],[Uitvoeringen werkdagen]]*Ruimtestaat[[#This Row],[Oppervlak (netto)]]</f>
        <v>1424</v>
      </c>
      <c r="W167" s="112">
        <f>IF(U167&gt;0,Ruimtestaat[[#This Row],[Prest. (m2 /jaar) werkdagen]]/Ruimtestaat[[#This Row],[Norm (m2/uur) werkdagen]],0)</f>
        <v>0</v>
      </c>
      <c r="X167" s="113">
        <f>Ruimtestaat[[#This Row],[uren / jaar werkdagen]]*Tariefsopbouw!$E$35</f>
        <v>0</v>
      </c>
      <c r="Y167" s="110"/>
      <c r="Z167" s="114">
        <f>IF(Ruimtestaat[[#This Row],[Frequentie weekend]]&gt;0,VALUE(LEFT(Y167,1))*R167,0)</f>
        <v>0</v>
      </c>
      <c r="AA167" s="110">
        <f>IF($Z167&gt;0,VLOOKUP($J167,Ruimtegroepen[],3,FALSE)*VLOOKUP($L167,Vloersoorten[],3,FALSE)*VLOOKUP($Y167,Frequenties[],3,FALSE)*VLOOKUP(#REF!,Locaties[],3,FALSE),0)</f>
        <v>0</v>
      </c>
      <c r="AB167" s="112">
        <f>Ruimtestaat[[#This Row],[Uitvoeringen weekend]]*Ruimtestaat[[#This Row],[Oppervlak (netto)]]</f>
        <v>0</v>
      </c>
      <c r="AC167" s="115">
        <f>IF(AB167&gt;0,Ruimtestaat[[#This Row],[Prest. (m2 /jaar) weekend]]/Ruimtestaat[[#This Row],[Norm (m2/uur) weekend]],0)</f>
        <v>0</v>
      </c>
      <c r="AD167" s="116">
        <f>Ruimtestaat[[#This Row],[uren / jaar weekend]]*Tariefsopbouw!$D$40</f>
        <v>0</v>
      </c>
      <c r="AE167" s="82">
        <f>Ruimtestaat[[#This Row],[Prest. (m2 /jaar) weekend]]+Ruimtestaat[[#This Row],[Prest. (m2 /jaar) werkdagen]]</f>
        <v>1424</v>
      </c>
      <c r="AF167" s="82">
        <f>Ruimtestaat[[#This Row],[uren / jaar weekend]]+Ruimtestaat[[#This Row],[uren / jaar werkdagen]]</f>
        <v>0</v>
      </c>
      <c r="AG167" s="83">
        <f>Ruimtestaat[[#This Row],[kosten / jaar weekend]]+Ruimtestaat[[#This Row],[kosten / jaar werkdagen]]</f>
        <v>0</v>
      </c>
      <c r="AH167" s="117"/>
      <c r="HL167" s="87"/>
    </row>
    <row r="168" spans="1:220" ht="15" customHeight="1">
      <c r="A168" s="136">
        <v>1</v>
      </c>
      <c r="B168" s="27" t="str">
        <f>VLOOKUP(Ruimtestaat[[#This Row],[Code]],Locaties[#All],2,FALSE)</f>
        <v>Hoornbeeck College Gouda</v>
      </c>
      <c r="C168" s="27" t="str">
        <f>VLOOKUP(Ruimtestaat[[#This Row],[Code]],Locaties[#All],4,FALSE)</f>
        <v>Noordelijk Halfrond 10</v>
      </c>
      <c r="D168" s="27" t="str">
        <f>VLOOKUP(Ruimtestaat[[#This Row],[Code]],Locaties[#All],5,FALSE)</f>
        <v>2801 DE</v>
      </c>
      <c r="E168" s="27" t="str">
        <f>VLOOKUP(Ruimtestaat[[#This Row],[Code]],Locaties[#All],6,FALSE)</f>
        <v>Gouda</v>
      </c>
      <c r="F168" s="74" t="s">
        <v>484</v>
      </c>
      <c r="G168" s="285" t="s">
        <v>569</v>
      </c>
      <c r="H168" s="286" t="s">
        <v>700</v>
      </c>
      <c r="I168" s="287" t="s">
        <v>632</v>
      </c>
      <c r="J168" s="288">
        <v>6</v>
      </c>
      <c r="K168" s="74" t="str">
        <f>VLOOKUP(J168,Ruimtegroepen[],2,FALSE)</f>
        <v>Gangen/hallen</v>
      </c>
      <c r="L168" s="285" t="s">
        <v>110</v>
      </c>
      <c r="M168" s="287" t="s">
        <v>38</v>
      </c>
      <c r="N168" s="289">
        <v>122.91</v>
      </c>
      <c r="O168" s="285"/>
      <c r="P168" s="118" t="str">
        <f>LEFT(VLOOKUP(Ruimtestaat[[#This Row],[Ruimte code]],Ruimtegroepen[#All],4,1),2)</f>
        <v>Ve</v>
      </c>
      <c r="Q168" s="107"/>
      <c r="R168" s="108">
        <v>40</v>
      </c>
      <c r="S168" s="109" t="s">
        <v>2</v>
      </c>
      <c r="T168" s="110">
        <f>IF(R168&gt;0,IF(RIGHT(Ruimtestaat[[#This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8" s="110">
        <f>IF(T168&gt;0,VLOOKUP($J168,Ruimtegroepen[],3,FALSE)*VLOOKUP($L168,Vloersoorten[],3,FALSE)*VLOOKUP($S168,Frequenties[],3,FALSE)*VLOOKUP($A168,Locaties[],3,FALSE),0)</f>
        <v>0</v>
      </c>
      <c r="V168" s="111">
        <f>Ruimtestaat[[#This Row],[Uitvoeringen werkdagen]]*Ruimtestaat[[#This Row],[Oppervlak (netto)]]</f>
        <v>24582</v>
      </c>
      <c r="W168" s="112">
        <f>IF(U168&gt;0,Ruimtestaat[[#This Row],[Prest. (m2 /jaar) werkdagen]]/Ruimtestaat[[#This Row],[Norm (m2/uur) werkdagen]],0)</f>
        <v>0</v>
      </c>
      <c r="X168" s="113">
        <f>Ruimtestaat[[#This Row],[uren / jaar werkdagen]]*Tariefsopbouw!$E$35</f>
        <v>0</v>
      </c>
      <c r="Y168" s="110"/>
      <c r="Z168" s="114">
        <f>IF(Ruimtestaat[[#This Row],[Frequentie weekend]]&gt;0,VALUE(LEFT(Y168,1))*R168,0)</f>
        <v>0</v>
      </c>
      <c r="AA168" s="110">
        <f>IF($Z168&gt;0,VLOOKUP($J168,Ruimtegroepen[],3,FALSE)*VLOOKUP($L168,Vloersoorten[],3,FALSE)*VLOOKUP($Y168,Frequenties[],3,FALSE)*VLOOKUP(#REF!,Locaties[],3,FALSE),0)</f>
        <v>0</v>
      </c>
      <c r="AB168" s="112">
        <f>Ruimtestaat[[#This Row],[Uitvoeringen weekend]]*Ruimtestaat[[#This Row],[Oppervlak (netto)]]</f>
        <v>0</v>
      </c>
      <c r="AC168" s="115">
        <f>IF(AB168&gt;0,Ruimtestaat[[#This Row],[Prest. (m2 /jaar) weekend]]/Ruimtestaat[[#This Row],[Norm (m2/uur) weekend]],0)</f>
        <v>0</v>
      </c>
      <c r="AD168" s="116">
        <f>Ruimtestaat[[#This Row],[uren / jaar weekend]]*Tariefsopbouw!$D$40</f>
        <v>0</v>
      </c>
      <c r="AE168" s="82">
        <f>Ruimtestaat[[#This Row],[Prest. (m2 /jaar) weekend]]+Ruimtestaat[[#This Row],[Prest. (m2 /jaar) werkdagen]]</f>
        <v>24582</v>
      </c>
      <c r="AF168" s="82">
        <f>Ruimtestaat[[#This Row],[uren / jaar weekend]]+Ruimtestaat[[#This Row],[uren / jaar werkdagen]]</f>
        <v>0</v>
      </c>
      <c r="AG168" s="83">
        <f>Ruimtestaat[[#This Row],[kosten / jaar weekend]]+Ruimtestaat[[#This Row],[kosten / jaar werkdagen]]</f>
        <v>0</v>
      </c>
      <c r="AH168" s="117"/>
      <c r="HL168" s="87"/>
    </row>
    <row r="169" spans="1:220" ht="15" customHeight="1">
      <c r="A169" s="136">
        <v>1</v>
      </c>
      <c r="B169" s="27" t="str">
        <f>VLOOKUP(Ruimtestaat[[#This Row],[Code]],Locaties[#All],2,FALSE)</f>
        <v>Hoornbeeck College Gouda</v>
      </c>
      <c r="C169" s="27" t="str">
        <f>VLOOKUP(Ruimtestaat[[#This Row],[Code]],Locaties[#All],4,FALSE)</f>
        <v>Noordelijk Halfrond 10</v>
      </c>
      <c r="D169" s="27" t="str">
        <f>VLOOKUP(Ruimtestaat[[#This Row],[Code]],Locaties[#All],5,FALSE)</f>
        <v>2801 DE</v>
      </c>
      <c r="E169" s="27" t="str">
        <f>VLOOKUP(Ruimtestaat[[#This Row],[Code]],Locaties[#All],6,FALSE)</f>
        <v>Gouda</v>
      </c>
      <c r="F169" s="74" t="s">
        <v>484</v>
      </c>
      <c r="G169" s="285" t="s">
        <v>569</v>
      </c>
      <c r="H169" s="286" t="s">
        <v>593</v>
      </c>
      <c r="I169" s="287" t="s">
        <v>692</v>
      </c>
      <c r="J169" s="288">
        <v>4</v>
      </c>
      <c r="K169" s="74" t="str">
        <f>VLOOKUP(J169,Ruimtegroepen[],2,FALSE)</f>
        <v>Vergader/spreekkamers</v>
      </c>
      <c r="L169" s="285" t="s">
        <v>110</v>
      </c>
      <c r="M169" s="287" t="s">
        <v>38</v>
      </c>
      <c r="N169" s="289">
        <v>15.7</v>
      </c>
      <c r="O169" s="285"/>
      <c r="P169" s="118" t="str">
        <f>LEFT(VLOOKUP(Ruimtestaat[[#This Row],[Ruimte code]],Ruimtegroepen[#All],4,1),2)</f>
        <v>Bu</v>
      </c>
      <c r="Q169" s="107"/>
      <c r="R169" s="108">
        <v>40</v>
      </c>
      <c r="S169" s="109" t="s">
        <v>17</v>
      </c>
      <c r="T169" s="110">
        <f>IF(R169&gt;0,IF(RIGHT(Ruimtestaat[[#This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169" s="110">
        <f>IF(T169&gt;0,VLOOKUP($J169,Ruimtegroepen[],3,FALSE)*VLOOKUP($L169,Vloersoorten[],3,FALSE)*VLOOKUP($S169,Frequenties[],3,FALSE)*VLOOKUP($A169,Locaties[],3,FALSE),0)</f>
        <v>0</v>
      </c>
      <c r="V169" s="111">
        <f>Ruimtestaat[[#This Row],[Uitvoeringen werkdagen]]*Ruimtestaat[[#This Row],[Oppervlak (netto)]]</f>
        <v>1256</v>
      </c>
      <c r="W169" s="112">
        <f>IF(U169&gt;0,Ruimtestaat[[#This Row],[Prest. (m2 /jaar) werkdagen]]/Ruimtestaat[[#This Row],[Norm (m2/uur) werkdagen]],0)</f>
        <v>0</v>
      </c>
      <c r="X169" s="113">
        <f>Ruimtestaat[[#This Row],[uren / jaar werkdagen]]*Tariefsopbouw!$E$35</f>
        <v>0</v>
      </c>
      <c r="Y169" s="110"/>
      <c r="Z169" s="114">
        <f>IF(Ruimtestaat[[#This Row],[Frequentie weekend]]&gt;0,VALUE(LEFT(Y169,1))*R169,0)</f>
        <v>0</v>
      </c>
      <c r="AA169" s="110">
        <f>IF($Z169&gt;0,VLOOKUP($J169,Ruimtegroepen[],3,FALSE)*VLOOKUP($L169,Vloersoorten[],3,FALSE)*VLOOKUP($Y169,Frequenties[],3,FALSE)*VLOOKUP(#REF!,Locaties[],3,FALSE),0)</f>
        <v>0</v>
      </c>
      <c r="AB169" s="112">
        <f>Ruimtestaat[[#This Row],[Uitvoeringen weekend]]*Ruimtestaat[[#This Row],[Oppervlak (netto)]]</f>
        <v>0</v>
      </c>
      <c r="AC169" s="115">
        <f>IF(AB169&gt;0,Ruimtestaat[[#This Row],[Prest. (m2 /jaar) weekend]]/Ruimtestaat[[#This Row],[Norm (m2/uur) weekend]],0)</f>
        <v>0</v>
      </c>
      <c r="AD169" s="116">
        <f>Ruimtestaat[[#This Row],[uren / jaar weekend]]*Tariefsopbouw!$D$40</f>
        <v>0</v>
      </c>
      <c r="AE169" s="82">
        <f>Ruimtestaat[[#This Row],[Prest. (m2 /jaar) weekend]]+Ruimtestaat[[#This Row],[Prest. (m2 /jaar) werkdagen]]</f>
        <v>1256</v>
      </c>
      <c r="AF169" s="82">
        <f>Ruimtestaat[[#This Row],[uren / jaar weekend]]+Ruimtestaat[[#This Row],[uren / jaar werkdagen]]</f>
        <v>0</v>
      </c>
      <c r="AG169" s="83">
        <f>Ruimtestaat[[#This Row],[kosten / jaar weekend]]+Ruimtestaat[[#This Row],[kosten / jaar werkdagen]]</f>
        <v>0</v>
      </c>
      <c r="AH169" s="117"/>
      <c r="HL169" s="87"/>
    </row>
    <row r="170" spans="1:220" ht="15" customHeight="1">
      <c r="A170" s="136">
        <v>1</v>
      </c>
      <c r="B170" s="27" t="str">
        <f>VLOOKUP(Ruimtestaat[[#This Row],[Code]],Locaties[#All],2,FALSE)</f>
        <v>Hoornbeeck College Gouda</v>
      </c>
      <c r="C170" s="27" t="str">
        <f>VLOOKUP(Ruimtestaat[[#This Row],[Code]],Locaties[#All],4,FALSE)</f>
        <v>Noordelijk Halfrond 10</v>
      </c>
      <c r="D170" s="27" t="str">
        <f>VLOOKUP(Ruimtestaat[[#This Row],[Code]],Locaties[#All],5,FALSE)</f>
        <v>2801 DE</v>
      </c>
      <c r="E170" s="27" t="str">
        <f>VLOOKUP(Ruimtestaat[[#This Row],[Code]],Locaties[#All],6,FALSE)</f>
        <v>Gouda</v>
      </c>
      <c r="F170" s="74" t="s">
        <v>484</v>
      </c>
      <c r="G170" s="285" t="s">
        <v>569</v>
      </c>
      <c r="H170" s="286" t="s">
        <v>594</v>
      </c>
      <c r="I170" s="287" t="s">
        <v>648</v>
      </c>
      <c r="J170" s="288">
        <v>1</v>
      </c>
      <c r="K170" s="74" t="str">
        <f>VLOOKUP(J170,Ruimtegroepen[],2,FALSE)</f>
        <v>Magazijnen/bergingen</v>
      </c>
      <c r="L170" s="285" t="s">
        <v>110</v>
      </c>
      <c r="M170" s="287" t="s">
        <v>38</v>
      </c>
      <c r="N170" s="289">
        <v>4.37</v>
      </c>
      <c r="O170" s="285"/>
      <c r="P170" s="118" t="str">
        <f>LEFT(VLOOKUP(Ruimtestaat[[#This Row],[Ruimte code]],Ruimtegroepen[#All],4,1),2)</f>
        <v>Ve</v>
      </c>
      <c r="Q170" s="107"/>
      <c r="R170" s="108">
        <v>40</v>
      </c>
      <c r="S170" s="109" t="s">
        <v>16</v>
      </c>
      <c r="T170" s="110">
        <f>IF(R170&gt;0,IF(RIGHT(Ruimtestaat[[#This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70" s="110">
        <f>IF(T170&gt;0,VLOOKUP($J170,Ruimtegroepen[],3,FALSE)*VLOOKUP($L170,Vloersoorten[],3,FALSE)*VLOOKUP($S170,Frequenties[],3,FALSE)*VLOOKUP($A170,Locaties[],3,FALSE),0)</f>
        <v>0</v>
      </c>
      <c r="V170" s="111">
        <f>Ruimtestaat[[#This Row],[Uitvoeringen werkdagen]]*Ruimtestaat[[#This Row],[Oppervlak (netto)]]</f>
        <v>52.44</v>
      </c>
      <c r="W170" s="112">
        <f>IF(U170&gt;0,Ruimtestaat[[#This Row],[Prest. (m2 /jaar) werkdagen]]/Ruimtestaat[[#This Row],[Norm (m2/uur) werkdagen]],0)</f>
        <v>0</v>
      </c>
      <c r="X170" s="113">
        <f>Ruimtestaat[[#This Row],[uren / jaar werkdagen]]*Tariefsopbouw!$E$35</f>
        <v>0</v>
      </c>
      <c r="Y170" s="110"/>
      <c r="Z170" s="114">
        <f>IF(Ruimtestaat[[#This Row],[Frequentie weekend]]&gt;0,VALUE(LEFT(Y170,1))*R170,0)</f>
        <v>0</v>
      </c>
      <c r="AA170" s="110">
        <f>IF($Z170&gt;0,VLOOKUP($J170,Ruimtegroepen[],3,FALSE)*VLOOKUP($L170,Vloersoorten[],3,FALSE)*VLOOKUP($Y170,Frequenties[],3,FALSE)*VLOOKUP(#REF!,Locaties[],3,FALSE),0)</f>
        <v>0</v>
      </c>
      <c r="AB170" s="112">
        <f>Ruimtestaat[[#This Row],[Uitvoeringen weekend]]*Ruimtestaat[[#This Row],[Oppervlak (netto)]]</f>
        <v>0</v>
      </c>
      <c r="AC170" s="115">
        <f>IF(AB170&gt;0,Ruimtestaat[[#This Row],[Prest. (m2 /jaar) weekend]]/Ruimtestaat[[#This Row],[Norm (m2/uur) weekend]],0)</f>
        <v>0</v>
      </c>
      <c r="AD170" s="116">
        <f>Ruimtestaat[[#This Row],[uren / jaar weekend]]*Tariefsopbouw!$D$40</f>
        <v>0</v>
      </c>
      <c r="AE170" s="82">
        <f>Ruimtestaat[[#This Row],[Prest. (m2 /jaar) weekend]]+Ruimtestaat[[#This Row],[Prest. (m2 /jaar) werkdagen]]</f>
        <v>52.44</v>
      </c>
      <c r="AF170" s="82">
        <f>Ruimtestaat[[#This Row],[uren / jaar weekend]]+Ruimtestaat[[#This Row],[uren / jaar werkdagen]]</f>
        <v>0</v>
      </c>
      <c r="AG170" s="83">
        <f>Ruimtestaat[[#This Row],[kosten / jaar weekend]]+Ruimtestaat[[#This Row],[kosten / jaar werkdagen]]</f>
        <v>0</v>
      </c>
      <c r="AH170" s="117"/>
      <c r="HL170" s="87"/>
    </row>
    <row r="171" spans="1:220" ht="15" customHeight="1">
      <c r="A171" s="136">
        <v>1</v>
      </c>
      <c r="B171" s="27" t="str">
        <f>VLOOKUP(Ruimtestaat[[#This Row],[Code]],Locaties[#All],2,FALSE)</f>
        <v>Hoornbeeck College Gouda</v>
      </c>
      <c r="C171" s="27" t="str">
        <f>VLOOKUP(Ruimtestaat[[#This Row],[Code]],Locaties[#All],4,FALSE)</f>
        <v>Noordelijk Halfrond 10</v>
      </c>
      <c r="D171" s="27" t="str">
        <f>VLOOKUP(Ruimtestaat[[#This Row],[Code]],Locaties[#All],5,FALSE)</f>
        <v>2801 DE</v>
      </c>
      <c r="E171" s="27" t="str">
        <f>VLOOKUP(Ruimtestaat[[#This Row],[Code]],Locaties[#All],6,FALSE)</f>
        <v>Gouda</v>
      </c>
      <c r="F171" s="74" t="s">
        <v>484</v>
      </c>
      <c r="G171" s="285" t="s">
        <v>569</v>
      </c>
      <c r="H171" s="286" t="s">
        <v>595</v>
      </c>
      <c r="I171" s="287" t="s">
        <v>647</v>
      </c>
      <c r="J171" s="288">
        <v>1</v>
      </c>
      <c r="K171" s="74" t="str">
        <f>VLOOKUP(J171,Ruimtegroepen[],2,FALSE)</f>
        <v>Magazijnen/bergingen</v>
      </c>
      <c r="L171" s="285" t="s">
        <v>110</v>
      </c>
      <c r="M171" s="287" t="s">
        <v>38</v>
      </c>
      <c r="N171" s="289">
        <v>3.68</v>
      </c>
      <c r="O171" s="285"/>
      <c r="P171" s="118" t="str">
        <f>LEFT(VLOOKUP(Ruimtestaat[[#This Row],[Ruimte code]],Ruimtegroepen[#All],4,1),2)</f>
        <v>Ve</v>
      </c>
      <c r="Q171" s="107"/>
      <c r="R171" s="108">
        <v>40</v>
      </c>
      <c r="S171" s="109" t="s">
        <v>16</v>
      </c>
      <c r="T171" s="110">
        <f>IF(R171&gt;0,IF(RIGHT(Ruimtestaat[[#This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71" s="110">
        <f>IF(T171&gt;0,VLOOKUP($J171,Ruimtegroepen[],3,FALSE)*VLOOKUP($L171,Vloersoorten[],3,FALSE)*VLOOKUP($S171,Frequenties[],3,FALSE)*VLOOKUP($A171,Locaties[],3,FALSE),0)</f>
        <v>0</v>
      </c>
      <c r="V171" s="111">
        <f>Ruimtestaat[[#This Row],[Uitvoeringen werkdagen]]*Ruimtestaat[[#This Row],[Oppervlak (netto)]]</f>
        <v>44.160000000000004</v>
      </c>
      <c r="W171" s="112">
        <f>IF(U171&gt;0,Ruimtestaat[[#This Row],[Prest. (m2 /jaar) werkdagen]]/Ruimtestaat[[#This Row],[Norm (m2/uur) werkdagen]],0)</f>
        <v>0</v>
      </c>
      <c r="X171" s="113">
        <f>Ruimtestaat[[#This Row],[uren / jaar werkdagen]]*Tariefsopbouw!$E$35</f>
        <v>0</v>
      </c>
      <c r="Y171" s="110"/>
      <c r="Z171" s="114">
        <f>IF(Ruimtestaat[[#This Row],[Frequentie weekend]]&gt;0,VALUE(LEFT(Y171,1))*R171,0)</f>
        <v>0</v>
      </c>
      <c r="AA171" s="110">
        <f>IF($Z171&gt;0,VLOOKUP($J171,Ruimtegroepen[],3,FALSE)*VLOOKUP($L171,Vloersoorten[],3,FALSE)*VLOOKUP($Y171,Frequenties[],3,FALSE)*VLOOKUP(#REF!,Locaties[],3,FALSE),0)</f>
        <v>0</v>
      </c>
      <c r="AB171" s="112">
        <f>Ruimtestaat[[#This Row],[Uitvoeringen weekend]]*Ruimtestaat[[#This Row],[Oppervlak (netto)]]</f>
        <v>0</v>
      </c>
      <c r="AC171" s="115">
        <f>IF(AB171&gt;0,Ruimtestaat[[#This Row],[Prest. (m2 /jaar) weekend]]/Ruimtestaat[[#This Row],[Norm (m2/uur) weekend]],0)</f>
        <v>0</v>
      </c>
      <c r="AD171" s="116">
        <f>Ruimtestaat[[#This Row],[uren / jaar weekend]]*Tariefsopbouw!$D$40</f>
        <v>0</v>
      </c>
      <c r="AE171" s="82">
        <f>Ruimtestaat[[#This Row],[Prest. (m2 /jaar) weekend]]+Ruimtestaat[[#This Row],[Prest. (m2 /jaar) werkdagen]]</f>
        <v>44.160000000000004</v>
      </c>
      <c r="AF171" s="82">
        <f>Ruimtestaat[[#This Row],[uren / jaar weekend]]+Ruimtestaat[[#This Row],[uren / jaar werkdagen]]</f>
        <v>0</v>
      </c>
      <c r="AG171" s="83">
        <f>Ruimtestaat[[#This Row],[kosten / jaar weekend]]+Ruimtestaat[[#This Row],[kosten / jaar werkdagen]]</f>
        <v>0</v>
      </c>
      <c r="AH171" s="117"/>
      <c r="HL171" s="87"/>
    </row>
    <row r="172" spans="1:220" ht="15" customHeight="1">
      <c r="A172" s="136">
        <v>1</v>
      </c>
      <c r="B172" s="27" t="str">
        <f>VLOOKUP(Ruimtestaat[[#This Row],[Code]],Locaties[#All],2,FALSE)</f>
        <v>Hoornbeeck College Gouda</v>
      </c>
      <c r="C172" s="27" t="str">
        <f>VLOOKUP(Ruimtestaat[[#This Row],[Code]],Locaties[#All],4,FALSE)</f>
        <v>Noordelijk Halfrond 10</v>
      </c>
      <c r="D172" s="27" t="str">
        <f>VLOOKUP(Ruimtestaat[[#This Row],[Code]],Locaties[#All],5,FALSE)</f>
        <v>2801 DE</v>
      </c>
      <c r="E172" s="27" t="str">
        <f>VLOOKUP(Ruimtestaat[[#This Row],[Code]],Locaties[#All],6,FALSE)</f>
        <v>Gouda</v>
      </c>
      <c r="F172" s="74" t="s">
        <v>484</v>
      </c>
      <c r="G172" s="285" t="s">
        <v>569</v>
      </c>
      <c r="H172" s="286"/>
      <c r="I172" s="287" t="s">
        <v>470</v>
      </c>
      <c r="J172" s="288">
        <v>10</v>
      </c>
      <c r="K172" s="74" t="str">
        <f>VLOOKUP(J172,Ruimtegroepen[],2,FALSE)</f>
        <v>Trappenhuizen/lift</v>
      </c>
      <c r="L172" s="285" t="s">
        <v>110</v>
      </c>
      <c r="M172" s="287" t="s">
        <v>38</v>
      </c>
      <c r="N172" s="289">
        <v>15</v>
      </c>
      <c r="O172" s="285"/>
      <c r="P172" s="118" t="str">
        <f>LEFT(VLOOKUP(Ruimtestaat[[#This Row],[Ruimte code]],Ruimtegroepen[#All],4,1),2)</f>
        <v>Ve</v>
      </c>
      <c r="Q172" s="107"/>
      <c r="R172" s="108">
        <v>40</v>
      </c>
      <c r="S172" s="109" t="s">
        <v>2</v>
      </c>
      <c r="T172" s="110">
        <f>IF(R172&gt;0,IF(RIGHT(Ruimtestaat[[#This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2" s="110">
        <f>IF(T172&gt;0,VLOOKUP($J172,Ruimtegroepen[],3,FALSE)*VLOOKUP($L172,Vloersoorten[],3,FALSE)*VLOOKUP($S172,Frequenties[],3,FALSE)*VLOOKUP($A172,Locaties[],3,FALSE),0)</f>
        <v>0</v>
      </c>
      <c r="V172" s="111">
        <f>Ruimtestaat[[#This Row],[Uitvoeringen werkdagen]]*Ruimtestaat[[#This Row],[Oppervlak (netto)]]</f>
        <v>3000</v>
      </c>
      <c r="W172" s="112">
        <f>IF(U172&gt;0,Ruimtestaat[[#This Row],[Prest. (m2 /jaar) werkdagen]]/Ruimtestaat[[#This Row],[Norm (m2/uur) werkdagen]],0)</f>
        <v>0</v>
      </c>
      <c r="X172" s="113">
        <f>Ruimtestaat[[#This Row],[uren / jaar werkdagen]]*Tariefsopbouw!$E$35</f>
        <v>0</v>
      </c>
      <c r="Y172" s="110"/>
      <c r="Z172" s="114">
        <f>IF(Ruimtestaat[[#This Row],[Frequentie weekend]]&gt;0,VALUE(LEFT(Y172,1))*R172,0)</f>
        <v>0</v>
      </c>
      <c r="AA172" s="110">
        <f>IF($Z172&gt;0,VLOOKUP($J172,Ruimtegroepen[],3,FALSE)*VLOOKUP($L172,Vloersoorten[],3,FALSE)*VLOOKUP($Y172,Frequenties[],3,FALSE)*VLOOKUP(#REF!,Locaties[],3,FALSE),0)</f>
        <v>0</v>
      </c>
      <c r="AB172" s="112">
        <f>Ruimtestaat[[#This Row],[Uitvoeringen weekend]]*Ruimtestaat[[#This Row],[Oppervlak (netto)]]</f>
        <v>0</v>
      </c>
      <c r="AC172" s="115">
        <f>IF(AB172&gt;0,Ruimtestaat[[#This Row],[Prest. (m2 /jaar) weekend]]/Ruimtestaat[[#This Row],[Norm (m2/uur) weekend]],0)</f>
        <v>0</v>
      </c>
      <c r="AD172" s="116">
        <f>Ruimtestaat[[#This Row],[uren / jaar weekend]]*Tariefsopbouw!$D$40</f>
        <v>0</v>
      </c>
      <c r="AE172" s="82">
        <f>Ruimtestaat[[#This Row],[Prest. (m2 /jaar) weekend]]+Ruimtestaat[[#This Row],[Prest. (m2 /jaar) werkdagen]]</f>
        <v>3000</v>
      </c>
      <c r="AF172" s="82">
        <f>Ruimtestaat[[#This Row],[uren / jaar weekend]]+Ruimtestaat[[#This Row],[uren / jaar werkdagen]]</f>
        <v>0</v>
      </c>
      <c r="AG172" s="83">
        <f>Ruimtestaat[[#This Row],[kosten / jaar weekend]]+Ruimtestaat[[#This Row],[kosten / jaar werkdagen]]</f>
        <v>0</v>
      </c>
      <c r="AH172" s="117"/>
      <c r="HL172" s="87"/>
    </row>
    <row r="173" spans="1:220" ht="15" customHeight="1">
      <c r="A173" s="136">
        <v>1</v>
      </c>
      <c r="B173" s="27" t="str">
        <f>VLOOKUP(Ruimtestaat[[#This Row],[Code]],Locaties[#All],2,FALSE)</f>
        <v>Hoornbeeck College Gouda</v>
      </c>
      <c r="C173" s="27" t="str">
        <f>VLOOKUP(Ruimtestaat[[#This Row],[Code]],Locaties[#All],4,FALSE)</f>
        <v>Noordelijk Halfrond 10</v>
      </c>
      <c r="D173" s="27" t="str">
        <f>VLOOKUP(Ruimtestaat[[#This Row],[Code]],Locaties[#All],5,FALSE)</f>
        <v>2801 DE</v>
      </c>
      <c r="E173" s="27" t="str">
        <f>VLOOKUP(Ruimtestaat[[#This Row],[Code]],Locaties[#All],6,FALSE)</f>
        <v>Gouda</v>
      </c>
      <c r="F173" s="74" t="s">
        <v>484</v>
      </c>
      <c r="G173" s="285" t="s">
        <v>569</v>
      </c>
      <c r="H173" s="286" t="s">
        <v>596</v>
      </c>
      <c r="I173" s="287" t="s">
        <v>639</v>
      </c>
      <c r="J173" s="288">
        <v>5</v>
      </c>
      <c r="K173" s="74" t="str">
        <f>VLOOKUP(J173,Ruimtegroepen[],2,FALSE)</f>
        <v>Sanitair</v>
      </c>
      <c r="L173" s="285" t="s">
        <v>112</v>
      </c>
      <c r="M173" s="287" t="s">
        <v>469</v>
      </c>
      <c r="N173" s="289">
        <v>5.6</v>
      </c>
      <c r="O173" s="285"/>
      <c r="P173" s="118" t="str">
        <f>LEFT(VLOOKUP(Ruimtestaat[[#This Row],[Ruimte code]],Ruimtegroepen[#All],4,1),2)</f>
        <v>Sa</v>
      </c>
      <c r="Q173" s="107"/>
      <c r="R173" s="108">
        <v>40</v>
      </c>
      <c r="S173" s="109" t="s">
        <v>2</v>
      </c>
      <c r="T173" s="110">
        <f>IF(R173&gt;0,IF(RIGHT(Ruimtestaat[[#This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3" s="110">
        <f>IF(T173&gt;0,VLOOKUP($J173,Ruimtegroepen[],3,FALSE)*VLOOKUP($L173,Vloersoorten[],3,FALSE)*VLOOKUP($S173,Frequenties[],3,FALSE)*VLOOKUP($A173,Locaties[],3,FALSE),0)</f>
        <v>0</v>
      </c>
      <c r="V173" s="111">
        <f>Ruimtestaat[[#This Row],[Uitvoeringen werkdagen]]*Ruimtestaat[[#This Row],[Oppervlak (netto)]]</f>
        <v>1120</v>
      </c>
      <c r="W173" s="112">
        <f>IF(U173&gt;0,Ruimtestaat[[#This Row],[Prest. (m2 /jaar) werkdagen]]/Ruimtestaat[[#This Row],[Norm (m2/uur) werkdagen]],0)</f>
        <v>0</v>
      </c>
      <c r="X173" s="113">
        <f>Ruimtestaat[[#This Row],[uren / jaar werkdagen]]*Tariefsopbouw!$E$35</f>
        <v>0</v>
      </c>
      <c r="Y173" s="110"/>
      <c r="Z173" s="114">
        <f>IF(Ruimtestaat[[#This Row],[Frequentie weekend]]&gt;0,VALUE(LEFT(Y173,1))*R173,0)</f>
        <v>0</v>
      </c>
      <c r="AA173" s="110">
        <f>IF($Z173&gt;0,VLOOKUP($J173,Ruimtegroepen[],3,FALSE)*VLOOKUP($L173,Vloersoorten[],3,FALSE)*VLOOKUP($Y173,Frequenties[],3,FALSE)*VLOOKUP(#REF!,Locaties[],3,FALSE),0)</f>
        <v>0</v>
      </c>
      <c r="AB173" s="112">
        <f>Ruimtestaat[[#This Row],[Uitvoeringen weekend]]*Ruimtestaat[[#This Row],[Oppervlak (netto)]]</f>
        <v>0</v>
      </c>
      <c r="AC173" s="115">
        <f>IF(AB173&gt;0,Ruimtestaat[[#This Row],[Prest. (m2 /jaar) weekend]]/Ruimtestaat[[#This Row],[Norm (m2/uur) weekend]],0)</f>
        <v>0</v>
      </c>
      <c r="AD173" s="116">
        <f>Ruimtestaat[[#This Row],[uren / jaar weekend]]*Tariefsopbouw!$D$40</f>
        <v>0</v>
      </c>
      <c r="AE173" s="82">
        <f>Ruimtestaat[[#This Row],[Prest. (m2 /jaar) weekend]]+Ruimtestaat[[#This Row],[Prest. (m2 /jaar) werkdagen]]</f>
        <v>1120</v>
      </c>
      <c r="AF173" s="82">
        <f>Ruimtestaat[[#This Row],[uren / jaar weekend]]+Ruimtestaat[[#This Row],[uren / jaar werkdagen]]</f>
        <v>0</v>
      </c>
      <c r="AG173" s="83">
        <f>Ruimtestaat[[#This Row],[kosten / jaar weekend]]+Ruimtestaat[[#This Row],[kosten / jaar werkdagen]]</f>
        <v>0</v>
      </c>
      <c r="AH173" s="117"/>
      <c r="HL173" s="87"/>
    </row>
    <row r="174" spans="1:220" ht="15" customHeight="1">
      <c r="A174" s="136">
        <v>1</v>
      </c>
      <c r="B174" s="27" t="str">
        <f>VLOOKUP(Ruimtestaat[[#This Row],[Code]],Locaties[#All],2,FALSE)</f>
        <v>Hoornbeeck College Gouda</v>
      </c>
      <c r="C174" s="27" t="str">
        <f>VLOOKUP(Ruimtestaat[[#This Row],[Code]],Locaties[#All],4,FALSE)</f>
        <v>Noordelijk Halfrond 10</v>
      </c>
      <c r="D174" s="27" t="str">
        <f>VLOOKUP(Ruimtestaat[[#This Row],[Code]],Locaties[#All],5,FALSE)</f>
        <v>2801 DE</v>
      </c>
      <c r="E174" s="27" t="str">
        <f>VLOOKUP(Ruimtestaat[[#This Row],[Code]],Locaties[#All],6,FALSE)</f>
        <v>Gouda</v>
      </c>
      <c r="F174" s="74" t="s">
        <v>484</v>
      </c>
      <c r="G174" s="285" t="s">
        <v>569</v>
      </c>
      <c r="H174" s="286" t="s">
        <v>597</v>
      </c>
      <c r="I174" s="287" t="s">
        <v>639</v>
      </c>
      <c r="J174" s="288">
        <v>5</v>
      </c>
      <c r="K174" s="74" t="str">
        <f>VLOOKUP(J174,Ruimtegroepen[],2,FALSE)</f>
        <v>Sanitair</v>
      </c>
      <c r="L174" s="285" t="s">
        <v>112</v>
      </c>
      <c r="M174" s="287" t="s">
        <v>469</v>
      </c>
      <c r="N174" s="289">
        <v>5.6</v>
      </c>
      <c r="O174" s="285"/>
      <c r="P174" s="118" t="str">
        <f>LEFT(VLOOKUP(Ruimtestaat[[#This Row],[Ruimte code]],Ruimtegroepen[#All],4,1),2)</f>
        <v>Sa</v>
      </c>
      <c r="Q174" s="107"/>
      <c r="R174" s="108">
        <v>40</v>
      </c>
      <c r="S174" s="109" t="s">
        <v>2</v>
      </c>
      <c r="T174" s="110">
        <f>IF(R174&gt;0,IF(RIGHT(Ruimtestaat[[#This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4" s="110">
        <f>IF(T174&gt;0,VLOOKUP($J174,Ruimtegroepen[],3,FALSE)*VLOOKUP($L174,Vloersoorten[],3,FALSE)*VLOOKUP($S174,Frequenties[],3,FALSE)*VLOOKUP($A174,Locaties[],3,FALSE),0)</f>
        <v>0</v>
      </c>
      <c r="V174" s="111">
        <f>Ruimtestaat[[#This Row],[Uitvoeringen werkdagen]]*Ruimtestaat[[#This Row],[Oppervlak (netto)]]</f>
        <v>1120</v>
      </c>
      <c r="W174" s="112">
        <f>IF(U174&gt;0,Ruimtestaat[[#This Row],[Prest. (m2 /jaar) werkdagen]]/Ruimtestaat[[#This Row],[Norm (m2/uur) werkdagen]],0)</f>
        <v>0</v>
      </c>
      <c r="X174" s="113">
        <f>Ruimtestaat[[#This Row],[uren / jaar werkdagen]]*Tariefsopbouw!$E$35</f>
        <v>0</v>
      </c>
      <c r="Y174" s="110"/>
      <c r="Z174" s="114">
        <f>IF(Ruimtestaat[[#This Row],[Frequentie weekend]]&gt;0,VALUE(LEFT(Y174,1))*R174,0)</f>
        <v>0</v>
      </c>
      <c r="AA174" s="110">
        <f>IF($Z174&gt;0,VLOOKUP($J174,Ruimtegroepen[],3,FALSE)*VLOOKUP($L174,Vloersoorten[],3,FALSE)*VLOOKUP($Y174,Frequenties[],3,FALSE)*VLOOKUP(#REF!,Locaties[],3,FALSE),0)</f>
        <v>0</v>
      </c>
      <c r="AB174" s="112">
        <f>Ruimtestaat[[#This Row],[Uitvoeringen weekend]]*Ruimtestaat[[#This Row],[Oppervlak (netto)]]</f>
        <v>0</v>
      </c>
      <c r="AC174" s="115">
        <f>IF(AB174&gt;0,Ruimtestaat[[#This Row],[Prest. (m2 /jaar) weekend]]/Ruimtestaat[[#This Row],[Norm (m2/uur) weekend]],0)</f>
        <v>0</v>
      </c>
      <c r="AD174" s="116">
        <f>Ruimtestaat[[#This Row],[uren / jaar weekend]]*Tariefsopbouw!$D$40</f>
        <v>0</v>
      </c>
      <c r="AE174" s="82">
        <f>Ruimtestaat[[#This Row],[Prest. (m2 /jaar) weekend]]+Ruimtestaat[[#This Row],[Prest. (m2 /jaar) werkdagen]]</f>
        <v>1120</v>
      </c>
      <c r="AF174" s="82">
        <f>Ruimtestaat[[#This Row],[uren / jaar weekend]]+Ruimtestaat[[#This Row],[uren / jaar werkdagen]]</f>
        <v>0</v>
      </c>
      <c r="AG174" s="83">
        <f>Ruimtestaat[[#This Row],[kosten / jaar weekend]]+Ruimtestaat[[#This Row],[kosten / jaar werkdagen]]</f>
        <v>0</v>
      </c>
      <c r="AH174" s="117"/>
      <c r="HL174" s="87"/>
    </row>
    <row r="175" spans="1:220" ht="15" customHeight="1">
      <c r="A175" s="136">
        <v>1</v>
      </c>
      <c r="B175" s="27" t="str">
        <f>VLOOKUP(Ruimtestaat[[#This Row],[Code]],Locaties[#All],2,FALSE)</f>
        <v>Hoornbeeck College Gouda</v>
      </c>
      <c r="C175" s="27" t="str">
        <f>VLOOKUP(Ruimtestaat[[#This Row],[Code]],Locaties[#All],4,FALSE)</f>
        <v>Noordelijk Halfrond 10</v>
      </c>
      <c r="D175" s="27" t="str">
        <f>VLOOKUP(Ruimtestaat[[#This Row],[Code]],Locaties[#All],5,FALSE)</f>
        <v>2801 DE</v>
      </c>
      <c r="E175" s="27" t="str">
        <f>VLOOKUP(Ruimtestaat[[#This Row],[Code]],Locaties[#All],6,FALSE)</f>
        <v>Gouda</v>
      </c>
      <c r="F175" s="74" t="s">
        <v>484</v>
      </c>
      <c r="G175" s="285" t="s">
        <v>569</v>
      </c>
      <c r="H175" s="286" t="s">
        <v>598</v>
      </c>
      <c r="I175" s="287" t="s">
        <v>624</v>
      </c>
      <c r="J175" s="288">
        <v>20</v>
      </c>
      <c r="K175" s="74" t="str">
        <f>VLOOKUP(J175,Ruimtegroepen[],2,FALSE)</f>
        <v>Niet in onderhoud</v>
      </c>
      <c r="L175" s="285"/>
      <c r="M175" s="287"/>
      <c r="N175" s="289"/>
      <c r="O175" s="285"/>
      <c r="P175" s="118" t="str">
        <f>LEFT(VLOOKUP(Ruimtestaat[[#This Row],[Ruimte code]],Ruimtegroepen[#All],4,1),2)</f>
        <v/>
      </c>
      <c r="Q175" s="107"/>
      <c r="R175" s="108"/>
      <c r="S175" s="109"/>
      <c r="T175" s="110">
        <f>IF(R175&gt;0,IF(RIGHT(Ruimtestaat[[#This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5" s="110">
        <f>IF(T175&gt;0,VLOOKUP($J175,Ruimtegroepen[],3,FALSE)*VLOOKUP($L175,Vloersoorten[],3,FALSE)*VLOOKUP($S175,Frequenties[],3,FALSE)*VLOOKUP($A175,Locaties[],3,FALSE),0)</f>
        <v>0</v>
      </c>
      <c r="V175" s="111">
        <f>Ruimtestaat[[#This Row],[Uitvoeringen werkdagen]]*Ruimtestaat[[#This Row],[Oppervlak (netto)]]</f>
        <v>0</v>
      </c>
      <c r="W175" s="112">
        <f>IF(U175&gt;0,Ruimtestaat[[#This Row],[Prest. (m2 /jaar) werkdagen]]/Ruimtestaat[[#This Row],[Norm (m2/uur) werkdagen]],0)</f>
        <v>0</v>
      </c>
      <c r="X175" s="113">
        <f>Ruimtestaat[[#This Row],[uren / jaar werkdagen]]*Tariefsopbouw!$E$35</f>
        <v>0</v>
      </c>
      <c r="Y175" s="110"/>
      <c r="Z175" s="114">
        <f>IF(Ruimtestaat[[#This Row],[Frequentie weekend]]&gt;0,VALUE(LEFT(Y175,1))*R175,0)</f>
        <v>0</v>
      </c>
      <c r="AA175" s="110">
        <f>IF($Z175&gt;0,VLOOKUP($J175,Ruimtegroepen[],3,FALSE)*VLOOKUP($L175,Vloersoorten[],3,FALSE)*VLOOKUP($Y175,Frequenties[],3,FALSE)*VLOOKUP(#REF!,Locaties[],3,FALSE),0)</f>
        <v>0</v>
      </c>
      <c r="AB175" s="112">
        <f>Ruimtestaat[[#This Row],[Uitvoeringen weekend]]*Ruimtestaat[[#This Row],[Oppervlak (netto)]]</f>
        <v>0</v>
      </c>
      <c r="AC175" s="115">
        <f>IF(AB175&gt;0,Ruimtestaat[[#This Row],[Prest. (m2 /jaar) weekend]]/Ruimtestaat[[#This Row],[Norm (m2/uur) weekend]],0)</f>
        <v>0</v>
      </c>
      <c r="AD175" s="116">
        <f>Ruimtestaat[[#This Row],[uren / jaar weekend]]*Tariefsopbouw!$D$40</f>
        <v>0</v>
      </c>
      <c r="AE175" s="82">
        <f>Ruimtestaat[[#This Row],[Prest. (m2 /jaar) weekend]]+Ruimtestaat[[#This Row],[Prest. (m2 /jaar) werkdagen]]</f>
        <v>0</v>
      </c>
      <c r="AF175" s="82">
        <f>Ruimtestaat[[#This Row],[uren / jaar weekend]]+Ruimtestaat[[#This Row],[uren / jaar werkdagen]]</f>
        <v>0</v>
      </c>
      <c r="AG175" s="83">
        <f>Ruimtestaat[[#This Row],[kosten / jaar weekend]]+Ruimtestaat[[#This Row],[kosten / jaar werkdagen]]</f>
        <v>0</v>
      </c>
      <c r="AH175" s="117"/>
      <c r="HL175" s="87"/>
    </row>
  </sheetData>
  <sortState xmlns:xlrd2="http://schemas.microsoft.com/office/spreadsheetml/2017/richdata2" ref="B7:T1056">
    <sortCondition ref="B7:B1056"/>
    <sortCondition ref="F7:F1056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26"/>
  <sheetViews>
    <sheetView showGridLines="0" zoomScaleNormal="100" zoomScaleSheetLayoutView="100" workbookViewId="0">
      <selection activeCell="E22" sqref="E22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33" customWidth="1"/>
    <col min="4" max="4" width="66.85546875" style="4" customWidth="1"/>
    <col min="5" max="5" width="17.7109375" style="4" bestFit="1" customWidth="1"/>
    <col min="6" max="6" width="17.7109375" style="185" bestFit="1" customWidth="1"/>
    <col min="7" max="7" width="17.7109375" style="4" bestFit="1" customWidth="1"/>
    <col min="8" max="8" width="20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396" t="s">
        <v>165</v>
      </c>
      <c r="B1" s="396"/>
      <c r="C1" s="396"/>
      <c r="D1" s="396"/>
      <c r="E1" s="396"/>
      <c r="F1" s="396"/>
      <c r="G1" s="396"/>
      <c r="H1" s="396"/>
    </row>
    <row r="2" spans="1:9" s="7" customFormat="1" ht="15" customHeight="1">
      <c r="A2" s="406" t="s">
        <v>217</v>
      </c>
      <c r="B2" s="385"/>
      <c r="C2" s="385"/>
      <c r="D2" s="385"/>
      <c r="E2" s="385"/>
      <c r="F2" s="385"/>
      <c r="G2" s="385"/>
      <c r="H2" s="385"/>
    </row>
    <row r="3" spans="1:9" ht="15" customHeight="1">
      <c r="B3" s="33"/>
      <c r="C3" s="4"/>
    </row>
    <row r="4" spans="1:9" ht="15" customHeight="1">
      <c r="A4" s="4" t="s">
        <v>252</v>
      </c>
      <c r="B4" s="28"/>
      <c r="C4" s="28"/>
      <c r="D4" s="28"/>
      <c r="E4" s="28"/>
      <c r="F4" s="186"/>
      <c r="G4" s="29"/>
    </row>
    <row r="5" spans="1:9" ht="15" customHeight="1">
      <c r="A5" s="4" t="s">
        <v>242</v>
      </c>
      <c r="B5" s="28"/>
      <c r="C5" s="28"/>
      <c r="D5" s="28"/>
      <c r="E5" s="28"/>
      <c r="F5" s="186"/>
      <c r="G5" s="29"/>
    </row>
    <row r="6" spans="1:9" ht="15" customHeight="1">
      <c r="A6" s="4" t="s">
        <v>234</v>
      </c>
      <c r="B6" s="35"/>
      <c r="C6" s="36"/>
      <c r="D6" s="36"/>
      <c r="E6" s="36"/>
      <c r="F6" s="187"/>
    </row>
    <row r="7" spans="1:9" ht="15" customHeight="1">
      <c r="A7" s="24"/>
      <c r="B7" s="35"/>
      <c r="C7" s="35"/>
      <c r="D7" s="26"/>
      <c r="E7" s="26"/>
      <c r="F7" s="188"/>
      <c r="G7" s="36"/>
    </row>
    <row r="8" spans="1:9" s="31" customFormat="1" ht="26.25" customHeight="1">
      <c r="A8" s="54" t="s">
        <v>215</v>
      </c>
      <c r="B8" s="55" t="s">
        <v>153</v>
      </c>
      <c r="C8" s="56" t="s">
        <v>152</v>
      </c>
      <c r="D8" s="54" t="s">
        <v>399</v>
      </c>
      <c r="E8" s="224" t="s">
        <v>248</v>
      </c>
      <c r="F8" s="224" t="s">
        <v>250</v>
      </c>
      <c r="G8" s="224" t="s">
        <v>249</v>
      </c>
      <c r="H8" s="224" t="s">
        <v>247</v>
      </c>
      <c r="I8" s="224" t="s">
        <v>260</v>
      </c>
    </row>
    <row r="9" spans="1:9" ht="15" customHeight="1">
      <c r="A9" s="57">
        <v>1</v>
      </c>
      <c r="B9" s="58" t="s">
        <v>160</v>
      </c>
      <c r="C9" s="59">
        <v>0</v>
      </c>
      <c r="D9" s="62" t="s">
        <v>154</v>
      </c>
      <c r="E9" s="225" t="e">
        <f>InvulVloer[[#This Row],[Prijs]]*Tariefsopbouw!$I$37+InvulVloer[[#This Row],[Prijs]]</f>
        <v>#DIV/0!</v>
      </c>
      <c r="F9" s="226" t="e">
        <f>InvulVloer[[#This Row],[2024]]*Tariefsopbouw!$K$37+InvulVloer[[#This Row],[2024]]</f>
        <v>#DIV/0!</v>
      </c>
      <c r="G9" s="226" t="e">
        <f>InvulVloer[[#This Row],[2025]]*Tariefsopbouw!$M$37+InvulVloer[[#This Row],[2025]]</f>
        <v>#DIV/0!</v>
      </c>
      <c r="H9" s="226" t="e">
        <f>InvulVloer[[#This Row],[2026]]*Tariefsopbouw!$O$37+InvulVloer[[#This Row],[2026]]</f>
        <v>#DIV/0!</v>
      </c>
      <c r="I9" s="226" t="e">
        <f>InvulVloer[[#This Row],[2027]]*Tariefsopbouw!$Q$37+InvulVloer[[#This Row],[2027]]</f>
        <v>#DIV/0!</v>
      </c>
    </row>
    <row r="10" spans="1:9" ht="15" customHeight="1">
      <c r="A10" s="60">
        <v>2</v>
      </c>
      <c r="B10" s="61" t="s">
        <v>412</v>
      </c>
      <c r="C10" s="59">
        <v>0</v>
      </c>
      <c r="D10" s="65" t="s">
        <v>155</v>
      </c>
      <c r="E10" s="225" t="e">
        <f>InvulVloer[[#This Row],[Prijs]]*Tariefsopbouw!$I$37+InvulVloer[[#This Row],[Prijs]]</f>
        <v>#DIV/0!</v>
      </c>
      <c r="F10" s="227" t="e">
        <f>InvulVloer[[#This Row],[2024]]*Tariefsopbouw!$K$37+InvulVloer[[#This Row],[2024]]</f>
        <v>#DIV/0!</v>
      </c>
      <c r="G10" s="227" t="e">
        <f>InvulVloer[[#This Row],[2025]]*Tariefsopbouw!$M$37+InvulVloer[[#This Row],[2025]]</f>
        <v>#DIV/0!</v>
      </c>
      <c r="H10" s="227" t="e">
        <f>InvulVloer[[#This Row],[2026]]*Tariefsopbouw!$O$37+InvulVloer[[#This Row],[2026]]</f>
        <v>#DIV/0!</v>
      </c>
      <c r="I10" s="227" t="e">
        <f>InvulVloer[[#This Row],[2027]]*Tariefsopbouw!$Q$37+InvulVloer[[#This Row],[2027]]</f>
        <v>#DIV/0!</v>
      </c>
    </row>
    <row r="11" spans="1:9" ht="15" customHeight="1">
      <c r="A11" s="57">
        <v>3</v>
      </c>
      <c r="B11" s="58" t="s">
        <v>161</v>
      </c>
      <c r="C11" s="59">
        <v>0</v>
      </c>
      <c r="D11" s="62" t="s">
        <v>155</v>
      </c>
      <c r="E11" s="225" t="e">
        <f>InvulVloer[[#This Row],[Prijs]]*Tariefsopbouw!$I$37+InvulVloer[[#This Row],[Prijs]]</f>
        <v>#DIV/0!</v>
      </c>
      <c r="F11" s="228" t="e">
        <f>InvulVloer[[#This Row],[2024]]*Tariefsopbouw!$K$37+InvulVloer[[#This Row],[2024]]</f>
        <v>#DIV/0!</v>
      </c>
      <c r="G11" s="228" t="e">
        <f>InvulVloer[[#This Row],[2025]]*Tariefsopbouw!$M$37+InvulVloer[[#This Row],[2025]]</f>
        <v>#DIV/0!</v>
      </c>
      <c r="H11" s="228" t="e">
        <f>InvulVloer[[#This Row],[2026]]*Tariefsopbouw!$O$37+InvulVloer[[#This Row],[2026]]</f>
        <v>#DIV/0!</v>
      </c>
      <c r="I11" s="228" t="e">
        <f>InvulVloer[[#This Row],[2027]]*Tariefsopbouw!$Q$37+InvulVloer[[#This Row],[2027]]</f>
        <v>#DIV/0!</v>
      </c>
    </row>
    <row r="12" spans="1:9" ht="15" customHeight="1">
      <c r="A12" s="60">
        <v>4</v>
      </c>
      <c r="B12" s="61" t="s">
        <v>156</v>
      </c>
      <c r="C12" s="59">
        <v>0</v>
      </c>
      <c r="D12" s="65" t="s">
        <v>154</v>
      </c>
      <c r="E12" s="225" t="e">
        <f>InvulVloer[[#This Row],[Prijs]]*Tariefsopbouw!$I$37+InvulVloer[[#This Row],[Prijs]]</f>
        <v>#DIV/0!</v>
      </c>
      <c r="F12" s="227" t="e">
        <f>InvulVloer[[#This Row],[2024]]*Tariefsopbouw!$K$37+InvulVloer[[#This Row],[2024]]</f>
        <v>#DIV/0!</v>
      </c>
      <c r="G12" s="227" t="e">
        <f>InvulVloer[[#This Row],[2025]]*Tariefsopbouw!$M$37+InvulVloer[[#This Row],[2025]]</f>
        <v>#DIV/0!</v>
      </c>
      <c r="H12" s="227" t="e">
        <f>InvulVloer[[#This Row],[2026]]*Tariefsopbouw!$O$37+InvulVloer[[#This Row],[2026]]</f>
        <v>#DIV/0!</v>
      </c>
      <c r="I12" s="227" t="e">
        <f>InvulVloer[[#This Row],[2027]]*Tariefsopbouw!$Q$37+InvulVloer[[#This Row],[2027]]</f>
        <v>#DIV/0!</v>
      </c>
    </row>
    <row r="13" spans="1:9" ht="15" customHeight="1">
      <c r="A13" s="57">
        <v>5</v>
      </c>
      <c r="B13" s="58" t="s">
        <v>157</v>
      </c>
      <c r="C13" s="59">
        <v>0</v>
      </c>
      <c r="D13" s="62" t="s">
        <v>154</v>
      </c>
      <c r="E13" s="225" t="e">
        <f>InvulVloer[[#This Row],[Prijs]]*Tariefsopbouw!$I$37+InvulVloer[[#This Row],[Prijs]]</f>
        <v>#DIV/0!</v>
      </c>
      <c r="F13" s="228" t="e">
        <f>InvulVloer[[#This Row],[2024]]*Tariefsopbouw!$K$37+InvulVloer[[#This Row],[2024]]</f>
        <v>#DIV/0!</v>
      </c>
      <c r="G13" s="228" t="e">
        <f>InvulVloer[[#This Row],[2025]]*Tariefsopbouw!$M$37+InvulVloer[[#This Row],[2025]]</f>
        <v>#DIV/0!</v>
      </c>
      <c r="H13" s="228" t="e">
        <f>InvulVloer[[#This Row],[2026]]*Tariefsopbouw!$O$37+InvulVloer[[#This Row],[2026]]</f>
        <v>#DIV/0!</v>
      </c>
      <c r="I13" s="228" t="e">
        <f>InvulVloer[[#This Row],[2027]]*Tariefsopbouw!$Q$37+InvulVloer[[#This Row],[2027]]</f>
        <v>#DIV/0!</v>
      </c>
    </row>
    <row r="14" spans="1:9" ht="15" customHeight="1">
      <c r="A14" s="60">
        <v>6</v>
      </c>
      <c r="B14" s="61" t="s">
        <v>162</v>
      </c>
      <c r="C14" s="59">
        <v>0</v>
      </c>
      <c r="D14" s="65" t="s">
        <v>154</v>
      </c>
      <c r="E14" s="225" t="e">
        <f>InvulVloer[[#This Row],[Prijs]]*Tariefsopbouw!$I$37+InvulVloer[[#This Row],[Prijs]]</f>
        <v>#DIV/0!</v>
      </c>
      <c r="F14" s="227" t="e">
        <f>InvulVloer[[#This Row],[2024]]*Tariefsopbouw!$K$37+InvulVloer[[#This Row],[2024]]</f>
        <v>#DIV/0!</v>
      </c>
      <c r="G14" s="227" t="e">
        <f>InvulVloer[[#This Row],[2025]]*Tariefsopbouw!$M$37+InvulVloer[[#This Row],[2025]]</f>
        <v>#DIV/0!</v>
      </c>
      <c r="H14" s="227" t="e">
        <f>InvulVloer[[#This Row],[2026]]*Tariefsopbouw!$O$37+InvulVloer[[#This Row],[2026]]</f>
        <v>#DIV/0!</v>
      </c>
      <c r="I14" s="227" t="e">
        <f>InvulVloer[[#This Row],[2027]]*Tariefsopbouw!$Q$37+InvulVloer[[#This Row],[2027]]</f>
        <v>#DIV/0!</v>
      </c>
    </row>
    <row r="15" spans="1:9" ht="15" customHeight="1">
      <c r="A15" s="57">
        <v>7</v>
      </c>
      <c r="B15" s="62" t="s">
        <v>164</v>
      </c>
      <c r="C15" s="59">
        <v>0</v>
      </c>
      <c r="D15" s="62" t="s">
        <v>154</v>
      </c>
      <c r="E15" s="225" t="e">
        <f>InvulVloer[[#This Row],[Prijs]]*Tariefsopbouw!$I$37+InvulVloer[[#This Row],[Prijs]]</f>
        <v>#DIV/0!</v>
      </c>
      <c r="F15" s="228" t="e">
        <f>InvulVloer[[#This Row],[2024]]*Tariefsopbouw!$K$37+InvulVloer[[#This Row],[2024]]</f>
        <v>#DIV/0!</v>
      </c>
      <c r="G15" s="228" t="e">
        <f>InvulVloer[[#This Row],[2025]]*Tariefsopbouw!$M$37+InvulVloer[[#This Row],[2025]]</f>
        <v>#DIV/0!</v>
      </c>
      <c r="H15" s="228" t="e">
        <f>InvulVloer[[#This Row],[2026]]*Tariefsopbouw!$O$37+InvulVloer[[#This Row],[2026]]</f>
        <v>#DIV/0!</v>
      </c>
      <c r="I15" s="228" t="e">
        <f>InvulVloer[[#This Row],[2027]]*Tariefsopbouw!$Q$37+InvulVloer[[#This Row],[2027]]</f>
        <v>#DIV/0!</v>
      </c>
    </row>
    <row r="16" spans="1:9" ht="15" customHeight="1">
      <c r="A16" s="60">
        <v>8</v>
      </c>
      <c r="B16" s="63" t="s">
        <v>200</v>
      </c>
      <c r="C16" s="59">
        <v>0</v>
      </c>
      <c r="D16" s="65" t="s">
        <v>154</v>
      </c>
      <c r="E16" s="225" t="e">
        <f>InvulVloer[[#This Row],[Prijs]]*Tariefsopbouw!$I$37+InvulVloer[[#This Row],[Prijs]]</f>
        <v>#DIV/0!</v>
      </c>
      <c r="F16" s="227" t="e">
        <f>InvulVloer[[#This Row],[2024]]*Tariefsopbouw!$K$37+InvulVloer[[#This Row],[2024]]</f>
        <v>#DIV/0!</v>
      </c>
      <c r="G16" s="227" t="e">
        <f>InvulVloer[[#This Row],[2025]]*Tariefsopbouw!$M$37+InvulVloer[[#This Row],[2025]]</f>
        <v>#DIV/0!</v>
      </c>
      <c r="H16" s="227" t="e">
        <f>InvulVloer[[#This Row],[2026]]*Tariefsopbouw!$O$37+InvulVloer[[#This Row],[2026]]</f>
        <v>#DIV/0!</v>
      </c>
      <c r="I16" s="227" t="e">
        <f>InvulVloer[[#This Row],[2027]]*Tariefsopbouw!$Q$37+InvulVloer[[#This Row],[2027]]</f>
        <v>#DIV/0!</v>
      </c>
    </row>
    <row r="17" spans="1:9" ht="15" customHeight="1">
      <c r="A17" s="57">
        <v>9</v>
      </c>
      <c r="B17" s="64" t="s">
        <v>201</v>
      </c>
      <c r="C17" s="59">
        <v>0</v>
      </c>
      <c r="D17" s="62" t="s">
        <v>154</v>
      </c>
      <c r="E17" s="229" t="e">
        <f>InvulVloer[[#This Row],[Prijs]]*Tariefsopbouw!$I$37+InvulVloer[[#This Row],[Prijs]]</f>
        <v>#DIV/0!</v>
      </c>
      <c r="F17" s="230" t="e">
        <f>InvulVloer[[#This Row],[2024]]*Tariefsopbouw!$K$37+InvulVloer[[#This Row],[2024]]</f>
        <v>#DIV/0!</v>
      </c>
      <c r="G17" s="229" t="e">
        <f>InvulVloer[[#This Row],[2025]]*Tariefsopbouw!$M$37+InvulVloer[[#This Row],[2025]]</f>
        <v>#DIV/0!</v>
      </c>
      <c r="H17" s="229" t="e">
        <f>InvulVloer[[#This Row],[2026]]*Tariefsopbouw!$O$37+InvulVloer[[#This Row],[2026]]</f>
        <v>#DIV/0!</v>
      </c>
      <c r="I17" s="229" t="e">
        <f>InvulVloer[[#This Row],[2027]]*Tariefsopbouw!$Q$37+InvulVloer[[#This Row],[2027]]</f>
        <v>#DIV/0!</v>
      </c>
    </row>
    <row r="18" spans="1:9" ht="15" customHeight="1">
      <c r="B18" s="27"/>
      <c r="C18" s="27"/>
      <c r="D18" s="24"/>
      <c r="E18" s="38"/>
      <c r="F18" s="188"/>
      <c r="G18" s="38"/>
      <c r="H18" s="38"/>
    </row>
    <row r="19" spans="1:9" ht="15" customHeight="1">
      <c r="B19" s="25"/>
      <c r="C19" s="30"/>
      <c r="D19" s="30"/>
    </row>
    <row r="20" spans="1:9" s="32" customFormat="1" ht="26.25" customHeight="1">
      <c r="A20" s="54" t="s">
        <v>214</v>
      </c>
      <c r="B20" s="55" t="s">
        <v>149</v>
      </c>
      <c r="C20" s="54" t="s">
        <v>215</v>
      </c>
      <c r="D20" s="66" t="s">
        <v>153</v>
      </c>
      <c r="E20" s="66" t="s">
        <v>158</v>
      </c>
      <c r="F20" s="189" t="s">
        <v>159</v>
      </c>
      <c r="G20" s="66" t="s">
        <v>163</v>
      </c>
      <c r="H20" s="67" t="s">
        <v>150</v>
      </c>
    </row>
    <row r="21" spans="1:9" ht="15" customHeight="1">
      <c r="A21" s="231">
        <v>1</v>
      </c>
      <c r="B21" s="184" t="str">
        <f>VLOOKUP(OverzichtVloer[[#This Row],[Code Locatie]],Locaties[],2,0)</f>
        <v>Hoornbeeck College Gouda</v>
      </c>
      <c r="C21" s="231">
        <v>4</v>
      </c>
      <c r="D21" s="232" t="str">
        <f>IF(Vloeronderhoud!$C21&gt;0,VLOOKUP(Vloeronderhoud!$C21,$A$8:$B$17,2,FALSE),"")</f>
        <v>Tapijtreinigen, sproei-extractiemethode</v>
      </c>
      <c r="E21" s="193" t="s">
        <v>110</v>
      </c>
      <c r="F21" s="191">
        <f>SUMIFS('Ruimtestaat'!$N:$N,'Ruimtestaat'!L:L,Vloeronderhoud!E21,'Ruimtestaat'!A:A,Vloeronderhoud!A21)</f>
        <v>4903.2300000000023</v>
      </c>
      <c r="G21" s="250">
        <v>0.5</v>
      </c>
      <c r="H21" s="233">
        <f>VLOOKUP(OverzichtVloer[[#This Row],[Code Taak]],InvulVloer[],3,3)*F21*G21</f>
        <v>0</v>
      </c>
    </row>
    <row r="22" spans="1:9" ht="15.75" customHeight="1">
      <c r="A22" s="231">
        <v>1</v>
      </c>
      <c r="B22" s="184" t="str">
        <f>VLOOKUP(OverzichtVloer[[#This Row],[Code Locatie]],Locaties[],2,0)</f>
        <v>Hoornbeeck College Gouda</v>
      </c>
      <c r="C22" s="231">
        <v>1</v>
      </c>
      <c r="D22" s="232" t="str">
        <f>IF(Vloeronderhoud!$C22&gt;0,VLOOKUP(Vloeronderhoud!$C22,$A$8:$B$17,2,FALSE),"")</f>
        <v>Sprayen/opblokken</v>
      </c>
      <c r="E22" s="193" t="s">
        <v>111</v>
      </c>
      <c r="F22" s="191">
        <f>SUMIFS('Ruimtestaat'!$N:$N,'Ruimtestaat'!L:L,Vloeronderhoud!E22,'Ruimtestaat'!A:A,Vloeronderhoud!A22)</f>
        <v>601.95000000000005</v>
      </c>
      <c r="G22" s="250">
        <v>1</v>
      </c>
      <c r="H22" s="233">
        <f>VLOOKUP(OverzichtVloer[[#This Row],[Code Taak]],InvulVloer[],3,3)*F22*G22</f>
        <v>0</v>
      </c>
    </row>
    <row r="23" spans="1:9" ht="15" customHeight="1">
      <c r="A23" s="231">
        <v>1</v>
      </c>
      <c r="B23" s="184" t="str">
        <f>VLOOKUP(OverzichtVloer[[#This Row],[Code Locatie]],Locaties[],2,0)</f>
        <v>Hoornbeeck College Gouda</v>
      </c>
      <c r="C23" s="231">
        <v>2</v>
      </c>
      <c r="D23" s="232" t="str">
        <f>IF(Vloeronderhoud!$C23&gt;0,VLOOKUP(Vloeronderhoud!$C23,$A$8:$B$17,2,FALSE),"")</f>
        <v>Polymeren</v>
      </c>
      <c r="E23" s="193" t="s">
        <v>111</v>
      </c>
      <c r="F23" s="191">
        <f>SUMIFS('Ruimtestaat'!$N:$N,'Ruimtestaat'!L:L,Vloeronderhoud!E23,'Ruimtestaat'!A:A,Vloeronderhoud!A23)</f>
        <v>601.95000000000005</v>
      </c>
      <c r="G23" s="250">
        <v>1</v>
      </c>
      <c r="H23" s="233">
        <f>VLOOKUP(OverzichtVloer[[#This Row],[Code Taak]],InvulVloer[],3,3)*F23*G23</f>
        <v>0</v>
      </c>
    </row>
    <row r="24" spans="1:9" ht="15" customHeight="1">
      <c r="A24" s="231">
        <v>1</v>
      </c>
      <c r="B24" s="184" t="str">
        <f>VLOOKUP(OverzichtVloer[[#This Row],[Code Locatie]],Locaties[],2,0)</f>
        <v>Hoornbeeck College Gouda</v>
      </c>
      <c r="C24" s="231">
        <v>3</v>
      </c>
      <c r="D24" s="232" t="str">
        <f>IF(Vloeronderhoud!$C24&gt;0,VLOOKUP(Vloeronderhoud!$C24,$A$8:$B$17,2,FALSE),"")</f>
        <v>Diepstrippen, sealen en conserveren</v>
      </c>
      <c r="E24" s="193" t="s">
        <v>111</v>
      </c>
      <c r="F24" s="191">
        <f>SUMIFS('Ruimtestaat'!$N:$N,'Ruimtestaat'!L:L,Vloeronderhoud!E24,'Ruimtestaat'!A:A,Vloeronderhoud!A24)</f>
        <v>601.95000000000005</v>
      </c>
      <c r="G24" s="193">
        <v>0.25</v>
      </c>
      <c r="H24" s="233">
        <f>VLOOKUP(OverzichtVloer[[#This Row],[Code Taak]],InvulVloer[],3,3)*F24*G24</f>
        <v>0</v>
      </c>
    </row>
    <row r="25" spans="1:9" ht="15" customHeight="1">
      <c r="A25" s="199"/>
      <c r="B25" s="200" t="s">
        <v>33</v>
      </c>
      <c r="C25" s="199"/>
      <c r="D25" s="201"/>
      <c r="E25" s="199"/>
      <c r="F25" s="202"/>
      <c r="G25" s="199"/>
      <c r="H25" s="203">
        <f>SUBTOTAL(109,OverzichtVloer[Kosten/jaar excl. BTW])</f>
        <v>0</v>
      </c>
    </row>
    <row r="26" spans="1:9" ht="15" customHeight="1">
      <c r="A26" s="34"/>
      <c r="B26" s="25"/>
      <c r="C26" s="30"/>
      <c r="D26" s="30"/>
      <c r="E26" s="30"/>
      <c r="F26" s="190"/>
      <c r="G26" s="41"/>
      <c r="H26" s="29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D0E-EB19-4A39-8C8E-AEF7793986D6}">
  <sheetPr>
    <tabColor theme="0" tint="-0.14999847407452621"/>
  </sheetPr>
  <dimension ref="A1:I90"/>
  <sheetViews>
    <sheetView workbookViewId="0">
      <selection activeCell="A2" sqref="A2:G2"/>
    </sheetView>
  </sheetViews>
  <sheetFormatPr defaultColWidth="9.140625" defaultRowHeight="11.25"/>
  <cols>
    <col min="1" max="1" width="11.5703125" style="33" customWidth="1"/>
    <col min="2" max="2" width="47.42578125" style="4" bestFit="1" customWidth="1"/>
    <col min="3" max="3" width="12.5703125" style="4" customWidth="1"/>
    <col min="4" max="4" width="52.140625" style="33" bestFit="1" customWidth="1"/>
    <col min="5" max="5" width="19" style="4" customWidth="1"/>
    <col min="6" max="6" width="15.28515625" style="4" customWidth="1"/>
    <col min="7" max="7" width="21" style="4" customWidth="1"/>
    <col min="8" max="8" width="17.5703125" style="4" customWidth="1"/>
    <col min="9" max="9" width="17.7109375" style="4" bestFit="1" customWidth="1"/>
    <col min="10" max="16384" width="9.140625" style="4"/>
  </cols>
  <sheetData>
    <row r="1" spans="1:9" s="204" customFormat="1" ht="26.25" customHeight="1">
      <c r="A1" s="384" t="s">
        <v>413</v>
      </c>
      <c r="B1" s="384"/>
      <c r="C1" s="384"/>
      <c r="D1" s="384"/>
      <c r="E1" s="384"/>
      <c r="F1" s="384"/>
      <c r="G1" s="384"/>
      <c r="H1" s="253"/>
    </row>
    <row r="2" spans="1:9" s="204" customFormat="1" ht="15" customHeight="1">
      <c r="A2" s="393" t="s">
        <v>217</v>
      </c>
      <c r="B2" s="394"/>
      <c r="C2" s="394"/>
      <c r="D2" s="394"/>
      <c r="E2" s="394"/>
      <c r="F2" s="394"/>
      <c r="G2" s="407"/>
    </row>
    <row r="3" spans="1:9" ht="15" customHeight="1">
      <c r="B3" s="33"/>
      <c r="D3" s="254"/>
      <c r="E3" s="255"/>
    </row>
    <row r="4" spans="1:9" ht="15" customHeight="1">
      <c r="A4" s="4" t="s">
        <v>178</v>
      </c>
      <c r="B4" s="33"/>
      <c r="D4" s="254"/>
      <c r="E4" s="254"/>
    </row>
    <row r="5" spans="1:9" ht="15" customHeight="1">
      <c r="A5" s="4" t="s">
        <v>242</v>
      </c>
      <c r="B5" s="33"/>
      <c r="D5" s="4"/>
    </row>
    <row r="6" spans="1:9" ht="15" customHeight="1">
      <c r="A6" s="4" t="s">
        <v>199</v>
      </c>
      <c r="B6" s="256"/>
      <c r="C6" s="256"/>
      <c r="D6" s="257"/>
      <c r="E6" s="257"/>
      <c r="F6" s="258"/>
      <c r="G6" s="258"/>
    </row>
    <row r="7" spans="1:9" ht="15" customHeight="1">
      <c r="A7" s="4"/>
      <c r="B7" s="256"/>
      <c r="C7" s="256"/>
      <c r="D7" s="257"/>
      <c r="E7" s="408" t="s">
        <v>253</v>
      </c>
      <c r="F7" s="408"/>
      <c r="G7" s="408"/>
      <c r="H7" s="408"/>
      <c r="I7" s="408"/>
    </row>
    <row r="8" spans="1:9" s="31" customFormat="1" ht="26.25" customHeight="1">
      <c r="A8" s="224" t="s">
        <v>414</v>
      </c>
      <c r="B8" s="259" t="s">
        <v>415</v>
      </c>
      <c r="C8" s="260" t="s">
        <v>176</v>
      </c>
      <c r="D8" s="224" t="s">
        <v>151</v>
      </c>
      <c r="E8" s="224" t="s">
        <v>248</v>
      </c>
      <c r="F8" s="224" t="s">
        <v>250</v>
      </c>
      <c r="G8" s="224" t="s">
        <v>249</v>
      </c>
      <c r="H8" s="224" t="s">
        <v>247</v>
      </c>
      <c r="I8" s="224" t="s">
        <v>260</v>
      </c>
    </row>
    <row r="9" spans="1:9" ht="15" customHeight="1">
      <c r="A9" s="261">
        <v>1</v>
      </c>
      <c r="B9" s="262" t="s">
        <v>416</v>
      </c>
      <c r="C9" s="263">
        <v>0</v>
      </c>
      <c r="D9" s="264" t="s">
        <v>417</v>
      </c>
      <c r="E9" s="225" t="e">
        <f>(InvulGlas[[#This Row],[Prijs excl. BTW]]*Tariefsopbouw!$I$37)+InvulGlas[[#This Row],[Prijs excl. BTW]]</f>
        <v>#DIV/0!</v>
      </c>
      <c r="F9" s="284" t="e">
        <f>E9*Tariefsopbouw!$K$37+Glasbewassing!E9</f>
        <v>#DIV/0!</v>
      </c>
      <c r="G9" s="225" t="e">
        <f>F9*Tariefsopbouw!$M$37+Glasbewassing!F9</f>
        <v>#DIV/0!</v>
      </c>
      <c r="H9" s="284" t="e">
        <f>G9*Tariefsopbouw!$O$37+Glasbewassing!G9</f>
        <v>#DIV/0!</v>
      </c>
      <c r="I9" s="225" t="e">
        <f>H9*Tariefsopbouw!$Q$37+Glasbewassing!H9</f>
        <v>#DIV/0!</v>
      </c>
    </row>
    <row r="10" spans="1:9" ht="15" customHeight="1">
      <c r="A10" s="261">
        <v>2</v>
      </c>
      <c r="B10" s="262" t="s">
        <v>418</v>
      </c>
      <c r="C10" s="263">
        <v>0</v>
      </c>
      <c r="D10" s="264" t="s">
        <v>417</v>
      </c>
      <c r="E10" s="225" t="e">
        <f>(InvulGlas[[#This Row],[Prijs excl. BTW]]*Tariefsopbouw!$I$37)+InvulGlas[[#This Row],[Prijs excl. BTW]]</f>
        <v>#DIV/0!</v>
      </c>
      <c r="F10" s="225" t="e">
        <f>E10*Tariefsopbouw!$K$37+Glasbewassing!E10</f>
        <v>#DIV/0!</v>
      </c>
      <c r="G10" s="225" t="e">
        <f>F10*Tariefsopbouw!$M$37+Glasbewassing!F10</f>
        <v>#DIV/0!</v>
      </c>
      <c r="H10" s="225" t="e">
        <f>G10*Tariefsopbouw!$O$37+Glasbewassing!G10</f>
        <v>#DIV/0!</v>
      </c>
      <c r="I10" s="225" t="e">
        <f>H10*Tariefsopbouw!$Q$37+Glasbewassing!H10</f>
        <v>#DIV/0!</v>
      </c>
    </row>
    <row r="11" spans="1:9" ht="15" customHeight="1">
      <c r="A11" s="261">
        <v>3</v>
      </c>
      <c r="B11" s="262" t="s">
        <v>419</v>
      </c>
      <c r="C11" s="263">
        <v>0</v>
      </c>
      <c r="D11" s="264" t="s">
        <v>417</v>
      </c>
      <c r="E11" s="225" t="e">
        <f>(InvulGlas[[#This Row],[Prijs excl. BTW]]*Tariefsopbouw!$I$37)+InvulGlas[[#This Row],[Prijs excl. BTW]]</f>
        <v>#DIV/0!</v>
      </c>
      <c r="F11" s="225" t="e">
        <f>E11*Tariefsopbouw!$K$37+Glasbewassing!E11</f>
        <v>#DIV/0!</v>
      </c>
      <c r="G11" s="225" t="e">
        <f>F11*Tariefsopbouw!$M$37+Glasbewassing!F11</f>
        <v>#DIV/0!</v>
      </c>
      <c r="H11" s="225" t="e">
        <f>G11*Tariefsopbouw!$O$37+Glasbewassing!G11</f>
        <v>#DIV/0!</v>
      </c>
      <c r="I11" s="225" t="e">
        <f>H11*Tariefsopbouw!$Q$37+Glasbewassing!H11</f>
        <v>#DIV/0!</v>
      </c>
    </row>
    <row r="12" spans="1:9" ht="15" customHeight="1">
      <c r="A12" s="261">
        <v>4</v>
      </c>
      <c r="B12" s="262" t="s">
        <v>420</v>
      </c>
      <c r="C12" s="263">
        <v>0</v>
      </c>
      <c r="D12" s="264" t="s">
        <v>417</v>
      </c>
      <c r="E12" s="225" t="e">
        <f>(InvulGlas[[#This Row],[Prijs excl. BTW]]*Tariefsopbouw!$I$37)+InvulGlas[[#This Row],[Prijs excl. BTW]]</f>
        <v>#DIV/0!</v>
      </c>
      <c r="F12" s="225" t="e">
        <f>E12*Tariefsopbouw!$K$37+Glasbewassing!E12</f>
        <v>#DIV/0!</v>
      </c>
      <c r="G12" s="225" t="e">
        <f>F12*Tariefsopbouw!$M$37+Glasbewassing!F12</f>
        <v>#DIV/0!</v>
      </c>
      <c r="H12" s="225" t="e">
        <f>G12*Tariefsopbouw!$O$37+Glasbewassing!G12</f>
        <v>#DIV/0!</v>
      </c>
      <c r="I12" s="225" t="e">
        <f>H12*Tariefsopbouw!$Q$37+Glasbewassing!H12</f>
        <v>#DIV/0!</v>
      </c>
    </row>
    <row r="13" spans="1:9" ht="15" customHeight="1">
      <c r="A13" s="261">
        <v>5</v>
      </c>
      <c r="B13" s="262" t="s">
        <v>421</v>
      </c>
      <c r="C13" s="263">
        <v>0</v>
      </c>
      <c r="D13" s="264" t="s">
        <v>417</v>
      </c>
      <c r="E13" s="225" t="e">
        <f>(InvulGlas[[#This Row],[Prijs excl. BTW]]*Tariefsopbouw!$I$37)+InvulGlas[[#This Row],[Prijs excl. BTW]]</f>
        <v>#DIV/0!</v>
      </c>
      <c r="F13" s="225" t="e">
        <f>E13*Tariefsopbouw!$K$37+Glasbewassing!E13</f>
        <v>#DIV/0!</v>
      </c>
      <c r="G13" s="225" t="e">
        <f>F13*Tariefsopbouw!$M$37+Glasbewassing!F13</f>
        <v>#DIV/0!</v>
      </c>
      <c r="H13" s="225" t="e">
        <f>G13*Tariefsopbouw!$O$37+Glasbewassing!G13</f>
        <v>#DIV/0!</v>
      </c>
      <c r="I13" s="225" t="e">
        <f>H13*Tariefsopbouw!$Q$37+Glasbewassing!H13</f>
        <v>#DIV/0!</v>
      </c>
    </row>
    <row r="14" spans="1:9" ht="15" customHeight="1">
      <c r="A14" s="261">
        <v>6</v>
      </c>
      <c r="B14" s="262" t="s">
        <v>422</v>
      </c>
      <c r="C14" s="263">
        <v>0</v>
      </c>
      <c r="D14" s="264" t="s">
        <v>417</v>
      </c>
      <c r="E14" s="225" t="e">
        <f>(InvulGlas[[#This Row],[Prijs excl. BTW]]*Tariefsopbouw!$I$37)+InvulGlas[[#This Row],[Prijs excl. BTW]]</f>
        <v>#DIV/0!</v>
      </c>
      <c r="F14" s="225" t="e">
        <f>E14*Tariefsopbouw!$K$37+Glasbewassing!E14</f>
        <v>#DIV/0!</v>
      </c>
      <c r="G14" s="225" t="e">
        <f>F14*Tariefsopbouw!$M$37+Glasbewassing!F14</f>
        <v>#DIV/0!</v>
      </c>
      <c r="H14" s="225" t="e">
        <f>G14*Tariefsopbouw!$O$37+Glasbewassing!G14</f>
        <v>#DIV/0!</v>
      </c>
      <c r="I14" s="225" t="e">
        <f>H14*Tariefsopbouw!$Q$37+Glasbewassing!H14</f>
        <v>#DIV/0!</v>
      </c>
    </row>
    <row r="15" spans="1:9" ht="15" customHeight="1">
      <c r="A15" s="261">
        <v>7</v>
      </c>
      <c r="B15" s="262" t="s">
        <v>423</v>
      </c>
      <c r="C15" s="263">
        <v>0</v>
      </c>
      <c r="D15" s="264" t="s">
        <v>417</v>
      </c>
      <c r="E15" s="225" t="e">
        <f>(InvulGlas[[#This Row],[Prijs excl. BTW]]*Tariefsopbouw!$I$37)+InvulGlas[[#This Row],[Prijs excl. BTW]]</f>
        <v>#DIV/0!</v>
      </c>
      <c r="F15" s="225" t="e">
        <f>E15*Tariefsopbouw!$K$37+Glasbewassing!E15</f>
        <v>#DIV/0!</v>
      </c>
      <c r="G15" s="225" t="e">
        <f>F15*Tariefsopbouw!$M$37+Glasbewassing!F15</f>
        <v>#DIV/0!</v>
      </c>
      <c r="H15" s="225" t="e">
        <f>G15*Tariefsopbouw!$O$37+Glasbewassing!G15</f>
        <v>#DIV/0!</v>
      </c>
      <c r="I15" s="225" t="e">
        <f>H15*Tariefsopbouw!$Q$37+Glasbewassing!H15</f>
        <v>#DIV/0!</v>
      </c>
    </row>
    <row r="16" spans="1:9" ht="15" customHeight="1">
      <c r="A16" s="261">
        <v>8</v>
      </c>
      <c r="B16" s="262" t="s">
        <v>424</v>
      </c>
      <c r="C16" s="263">
        <v>0</v>
      </c>
      <c r="D16" s="264" t="s">
        <v>417</v>
      </c>
      <c r="E16" s="225" t="e">
        <f>(InvulGlas[[#This Row],[Prijs excl. BTW]]*Tariefsopbouw!$I$37)+InvulGlas[[#This Row],[Prijs excl. BTW]]</f>
        <v>#DIV/0!</v>
      </c>
      <c r="F16" s="225" t="e">
        <f>E16*Tariefsopbouw!$K$37+Glasbewassing!E16</f>
        <v>#DIV/0!</v>
      </c>
      <c r="G16" s="225" t="e">
        <f>F16*Tariefsopbouw!$M$37+Glasbewassing!F16</f>
        <v>#DIV/0!</v>
      </c>
      <c r="H16" s="225" t="e">
        <f>G16*Tariefsopbouw!$O$37+Glasbewassing!G16</f>
        <v>#DIV/0!</v>
      </c>
      <c r="I16" s="225" t="e">
        <f>H16*Tariefsopbouw!$Q$37+Glasbewassing!H16</f>
        <v>#DIV/0!</v>
      </c>
    </row>
    <row r="17" spans="1:9" ht="15" customHeight="1">
      <c r="A17" s="261">
        <v>9</v>
      </c>
      <c r="B17" s="262" t="s">
        <v>436</v>
      </c>
      <c r="C17" s="263">
        <v>0</v>
      </c>
      <c r="D17" s="264" t="s">
        <v>42</v>
      </c>
      <c r="E17" s="225" t="e">
        <f>(InvulGlas[[#This Row],[Prijs excl. BTW]]*Tariefsopbouw!$I$37)+InvulGlas[[#This Row],[Prijs excl. BTW]]</f>
        <v>#DIV/0!</v>
      </c>
      <c r="F17" s="225" t="e">
        <f>E17*Tariefsopbouw!$K$37+Glasbewassing!E17</f>
        <v>#DIV/0!</v>
      </c>
      <c r="G17" s="225" t="e">
        <f>F17*Tariefsopbouw!$M$37+Glasbewassing!F17</f>
        <v>#DIV/0!</v>
      </c>
      <c r="H17" s="225" t="e">
        <f>G17*Tariefsopbouw!$O$37+Glasbewassing!G17</f>
        <v>#DIV/0!</v>
      </c>
      <c r="I17" s="225" t="e">
        <f>H17*Tariefsopbouw!$Q$37+Glasbewassing!H17</f>
        <v>#DIV/0!</v>
      </c>
    </row>
    <row r="18" spans="1:9" ht="15" customHeight="1">
      <c r="A18" s="261" t="s">
        <v>425</v>
      </c>
      <c r="B18" s="262" t="s">
        <v>426</v>
      </c>
      <c r="C18" s="263">
        <v>0</v>
      </c>
      <c r="D18" s="264" t="s">
        <v>47</v>
      </c>
      <c r="E18" s="225" t="e">
        <f>(InvulGlas[[#This Row],[Prijs excl. BTW]]*Tariefsopbouw!$I$37)+InvulGlas[[#This Row],[Prijs excl. BTW]]</f>
        <v>#DIV/0!</v>
      </c>
      <c r="F18" s="225" t="e">
        <f>E18*Tariefsopbouw!$K$37+Glasbewassing!E18</f>
        <v>#DIV/0!</v>
      </c>
      <c r="G18" s="225" t="e">
        <f>F18*Tariefsopbouw!$M$37+Glasbewassing!F18</f>
        <v>#DIV/0!</v>
      </c>
      <c r="H18" s="225" t="e">
        <f>G18*Tariefsopbouw!$O$37+Glasbewassing!G18</f>
        <v>#DIV/0!</v>
      </c>
      <c r="I18" s="225" t="e">
        <f>H18*Tariefsopbouw!$Q$37+Glasbewassing!H18</f>
        <v>#DIV/0!</v>
      </c>
    </row>
    <row r="19" spans="1:9" ht="15" customHeight="1">
      <c r="A19" s="261" t="s">
        <v>427</v>
      </c>
      <c r="B19" s="262" t="s">
        <v>428</v>
      </c>
      <c r="C19" s="263">
        <v>0</v>
      </c>
      <c r="D19" s="264" t="s">
        <v>47</v>
      </c>
      <c r="E19" s="225" t="e">
        <f>(InvulGlas[[#This Row],[Prijs excl. BTW]]*Tariefsopbouw!$I$37)+InvulGlas[[#This Row],[Prijs excl. BTW]]</f>
        <v>#DIV/0!</v>
      </c>
      <c r="F19" s="225" t="e">
        <f>E19*Tariefsopbouw!$K$37+Glasbewassing!E19</f>
        <v>#DIV/0!</v>
      </c>
      <c r="G19" s="225" t="e">
        <f>F19*Tariefsopbouw!$M$37+Glasbewassing!F19</f>
        <v>#DIV/0!</v>
      </c>
      <c r="H19" s="225" t="e">
        <f>G19*Tariefsopbouw!$O$37+Glasbewassing!G19</f>
        <v>#DIV/0!</v>
      </c>
      <c r="I19" s="225" t="e">
        <f>H19*Tariefsopbouw!$Q$37+Glasbewassing!H19</f>
        <v>#DIV/0!</v>
      </c>
    </row>
    <row r="20" spans="1:9" ht="15" customHeight="1">
      <c r="A20" s="261" t="s">
        <v>429</v>
      </c>
      <c r="B20" s="262" t="s">
        <v>430</v>
      </c>
      <c r="C20" s="263">
        <v>0</v>
      </c>
      <c r="D20" s="264" t="s">
        <v>47</v>
      </c>
      <c r="E20" s="225" t="e">
        <f>(InvulGlas[[#This Row],[Prijs excl. BTW]]*Tariefsopbouw!$I$37)+InvulGlas[[#This Row],[Prijs excl. BTW]]</f>
        <v>#DIV/0!</v>
      </c>
      <c r="F20" s="225" t="e">
        <f>E20*Tariefsopbouw!$K$37+Glasbewassing!E20</f>
        <v>#DIV/0!</v>
      </c>
      <c r="G20" s="225" t="e">
        <f>F20*Tariefsopbouw!$M$37+Glasbewassing!F20</f>
        <v>#DIV/0!</v>
      </c>
      <c r="H20" s="225" t="e">
        <f>G20*Tariefsopbouw!$O$37+Glasbewassing!G20</f>
        <v>#DIV/0!</v>
      </c>
      <c r="I20" s="225" t="e">
        <f>H20*Tariefsopbouw!$Q$37+Glasbewassing!H20</f>
        <v>#DIV/0!</v>
      </c>
    </row>
    <row r="21" spans="1:9" ht="15" customHeight="1">
      <c r="A21" s="261" t="s">
        <v>431</v>
      </c>
      <c r="B21" s="262" t="s">
        <v>432</v>
      </c>
      <c r="C21" s="263">
        <v>0</v>
      </c>
      <c r="D21" s="264" t="s">
        <v>47</v>
      </c>
      <c r="E21" s="265" t="e">
        <f>(InvulGlas[[#This Row],[Prijs excl. BTW]]*Tariefsopbouw!$I$37)+InvulGlas[[#This Row],[Prijs excl. BTW]]</f>
        <v>#DIV/0!</v>
      </c>
      <c r="F21" s="265" t="e">
        <f>E21*Tariefsopbouw!$K$37+Glasbewassing!E21</f>
        <v>#DIV/0!</v>
      </c>
      <c r="G21" s="265" t="e">
        <f>F21*Tariefsopbouw!$M$37+Glasbewassing!F21</f>
        <v>#DIV/0!</v>
      </c>
      <c r="H21" s="225" t="e">
        <f>G21*Tariefsopbouw!$O$37+Glasbewassing!G21</f>
        <v>#DIV/0!</v>
      </c>
      <c r="I21" s="265" t="e">
        <f>H21*Tariefsopbouw!$Q$37+Glasbewassing!H21</f>
        <v>#DIV/0!</v>
      </c>
    </row>
    <row r="22" spans="1:9" ht="15" customHeight="1">
      <c r="C22" s="28"/>
      <c r="D22" s="28"/>
    </row>
    <row r="23" spans="1:9" s="271" customFormat="1" ht="26.25" customHeight="1">
      <c r="A23" s="266" t="s">
        <v>214</v>
      </c>
      <c r="B23" s="266" t="s">
        <v>149</v>
      </c>
      <c r="C23" s="266" t="s">
        <v>414</v>
      </c>
      <c r="D23" s="267" t="s">
        <v>415</v>
      </c>
      <c r="E23" s="267" t="s">
        <v>433</v>
      </c>
      <c r="F23" s="267" t="s">
        <v>434</v>
      </c>
      <c r="G23" s="268" t="s">
        <v>150</v>
      </c>
      <c r="H23" s="269" t="s">
        <v>435</v>
      </c>
      <c r="I23" s="270" t="s">
        <v>174</v>
      </c>
    </row>
    <row r="24" spans="1:9" ht="15" customHeight="1">
      <c r="A24" s="261">
        <v>1</v>
      </c>
      <c r="B24" s="272" t="str">
        <f>VLOOKUP(OverzichtGlas[[#This Row],[Code Locatie]],Totalisatie!$A$7:$B$11,2,FALSE)</f>
        <v>Hoornbeeck College Gouda</v>
      </c>
      <c r="C24" s="261">
        <v>1</v>
      </c>
      <c r="D24" s="273" t="str">
        <f>IF(Glasbewassing!$C24&gt;0,VLOOKUP(Glasbewassing!$C24,$A$8:$B$21,2,FALSE),"Hier vult u de inzet van eventuele hoogwerkers in")</f>
        <v>Gevelglas binnenzijde</v>
      </c>
      <c r="E24" s="288">
        <v>1045</v>
      </c>
      <c r="F24" s="275">
        <v>2</v>
      </c>
      <c r="G24" s="276">
        <f>IF(C24&gt;0,VLOOKUP(OverzichtGlas[[#This Row],[Code taak]],InvulGlas[],3,0)*E24*F24,0)</f>
        <v>0</v>
      </c>
      <c r="H24" s="276">
        <f>OverzichtGlas[[#This Row],[Kosten/jaar excl. BTW]]*1.21</f>
        <v>0</v>
      </c>
      <c r="I24" s="261"/>
    </row>
    <row r="25" spans="1:9" ht="15" customHeight="1">
      <c r="A25" s="261">
        <v>1</v>
      </c>
      <c r="B25" s="272" t="str">
        <f>VLOOKUP(OverzichtGlas[[#This Row],[Code Locatie]],Totalisatie!$A$7:$B$11,2,FALSE)</f>
        <v>Hoornbeeck College Gouda</v>
      </c>
      <c r="C25" s="261">
        <v>2</v>
      </c>
      <c r="D25" s="273" t="str">
        <f>IF(Glasbewassing!$C25&gt;0,VLOOKUP(Glasbewassing!$C25,$A$8:$B$21,2,FALSE),"Hier vult u de inzet van eventuele hoogwerkers in")</f>
        <v>Gevelglas buitenzijde</v>
      </c>
      <c r="E25" s="288">
        <v>1045</v>
      </c>
      <c r="F25" s="275">
        <v>2</v>
      </c>
      <c r="G25" s="276">
        <f>IF(C25&gt;0,VLOOKUP(OverzichtGlas[[#This Row],[Code taak]],InvulGlas[],3,0)*E25*F25,0)</f>
        <v>0</v>
      </c>
      <c r="H25" s="276">
        <f>OverzichtGlas[[#This Row],[Kosten/jaar excl. BTW]]*1.21</f>
        <v>0</v>
      </c>
      <c r="I25" s="261"/>
    </row>
    <row r="26" spans="1:9" ht="15" customHeight="1">
      <c r="A26" s="261">
        <v>1</v>
      </c>
      <c r="B26" s="272" t="str">
        <f>VLOOKUP(OverzichtGlas[[#This Row],[Code Locatie]],Totalisatie!$A$7:$B$11,2,FALSE)</f>
        <v>Hoornbeeck College Gouda</v>
      </c>
      <c r="C26" s="261">
        <v>3</v>
      </c>
      <c r="D26" s="273" t="str">
        <f>IF(Glasbewassing!$C26&gt;0,VLOOKUP(Glasbewassing!$C26,$A$8:$B$21,2,FALSE),"Hier vult u de inzet van eventuele hoogwerkers in")</f>
        <v>Separatieglas (enkel gemeten, dubbel te wassen)</v>
      </c>
      <c r="E26" s="288">
        <v>1848</v>
      </c>
      <c r="F26" s="275">
        <v>2</v>
      </c>
      <c r="G26" s="276">
        <f>IF(C26&gt;0,VLOOKUP(OverzichtGlas[[#This Row],[Code taak]],InvulGlas[],3,0)*E26*F26,0)</f>
        <v>0</v>
      </c>
      <c r="H26" s="276">
        <f>OverzichtGlas[[#This Row],[Kosten/jaar excl. BTW]]*1.21</f>
        <v>0</v>
      </c>
      <c r="I26" s="261"/>
    </row>
    <row r="27" spans="1:9" ht="15" customHeight="1">
      <c r="A27" s="261">
        <v>1</v>
      </c>
      <c r="B27" s="272" t="str">
        <f>VLOOKUP(OverzichtGlas[[#This Row],[Code Locatie]],Totalisatie!$A$7:$B$11,2,FALSE)</f>
        <v>Hoornbeeck College Gouda</v>
      </c>
      <c r="C27" s="261">
        <v>9</v>
      </c>
      <c r="D27" s="257" t="str">
        <f>IF(Glasbewassing!$C27&gt;0,VLOOKUP(Glasbewassing!$C27,$A$8:$B$21,2,FALSE),"Hier vult u de inzet van eventuele hoogwerkers in")</f>
        <v>Zonnepanelen</v>
      </c>
      <c r="E27" s="288">
        <v>274</v>
      </c>
      <c r="F27" s="275">
        <v>1</v>
      </c>
      <c r="G27" s="276">
        <f>IF(C27&gt;0,VLOOKUP(OverzichtGlas[[#This Row],[Code taak]],InvulGlas[],3,0)*E27*F27,0)</f>
        <v>0</v>
      </c>
      <c r="H27" s="276">
        <f>OverzichtGlas[[#This Row],[Kosten/jaar excl. BTW]]*1.21</f>
        <v>0</v>
      </c>
      <c r="I27" s="261"/>
    </row>
    <row r="28" spans="1:9" ht="15" customHeight="1">
      <c r="A28" s="261">
        <v>1</v>
      </c>
      <c r="B28" s="272" t="str">
        <f>VLOOKUP(OverzichtGlas[[#This Row],[Code Locatie]],Totalisatie!$A$7:$B$11,2,FALSE)</f>
        <v>Hoornbeeck College Gouda</v>
      </c>
      <c r="C28" s="277"/>
      <c r="D28" s="257" t="str">
        <f>IF(Glasbewassing!$C28&gt;0,VLOOKUP(Glasbewassing!$C28,$A$8:$B$21,2,FALSE),"Hier vult u de inzet van eventuele hoogwerkers in")</f>
        <v>Hier vult u de inzet van eventuele hoogwerkers in</v>
      </c>
      <c r="E28" s="33"/>
      <c r="F28" s="277"/>
      <c r="G28" s="276">
        <f>IF(C28&gt;0,VLOOKUP(OverzichtGlas[[#This Row],[Code taak]],InvulGlas[],3,0)*E28*F28,0)</f>
        <v>0</v>
      </c>
      <c r="H28" s="276">
        <f>OverzichtGlas[[#This Row],[Kosten/jaar excl. BTW]]*1.21</f>
        <v>0</v>
      </c>
      <c r="I28" s="261"/>
    </row>
    <row r="29" spans="1:9" ht="15" customHeight="1">
      <c r="A29" s="261">
        <v>1</v>
      </c>
      <c r="B29" s="272" t="str">
        <f>VLOOKUP(OverzichtGlas[[#This Row],[Code Locatie]],Totalisatie!$A$7:$B$11,2,FALSE)</f>
        <v>Hoornbeeck College Gouda</v>
      </c>
      <c r="C29" s="277"/>
      <c r="D29" s="257" t="str">
        <f>IF(Glasbewassing!$C29&gt;0,VLOOKUP(Glasbewassing!$C29,$A$8:$B$21,2,FALSE),"Hier vult u de inzet van eventuele hoogwerkers in")</f>
        <v>Hier vult u de inzet van eventuele hoogwerkers in</v>
      </c>
      <c r="E29" s="274"/>
      <c r="F29" s="277"/>
      <c r="G29" s="276">
        <f>IF(C29&gt;0,VLOOKUP(OverzichtGlas[[#This Row],[Code taak]],InvulGlas[],3,0)*E29*F29,0)</f>
        <v>0</v>
      </c>
      <c r="H29" s="276">
        <f>OverzichtGlas[[#This Row],[Kosten/jaar excl. BTW]]*1.21</f>
        <v>0</v>
      </c>
      <c r="I29" s="261"/>
    </row>
    <row r="30" spans="1:9" ht="15" customHeight="1">
      <c r="A30" s="278" t="s">
        <v>33</v>
      </c>
      <c r="B30" s="279"/>
      <c r="C30" s="278"/>
      <c r="D30" s="280"/>
      <c r="E30" s="278"/>
      <c r="F30" s="278"/>
      <c r="G30" s="281">
        <f>SUBTOTAL(109,OverzichtGlas[Kosten/jaar excl. BTW])</f>
        <v>0</v>
      </c>
      <c r="H30" s="281">
        <f>SUBTOTAL(109,OverzichtGlas[Kosten/jaar incl. BTW])</f>
        <v>0</v>
      </c>
      <c r="I30" s="278"/>
    </row>
    <row r="31" spans="1:9" ht="15" customHeight="1">
      <c r="C31" s="33"/>
      <c r="D31" s="4"/>
    </row>
    <row r="32" spans="1:9" ht="15" customHeight="1">
      <c r="C32" s="33"/>
      <c r="D32" s="4"/>
    </row>
    <row r="33" spans="3:4" ht="15" customHeight="1">
      <c r="C33" s="33"/>
      <c r="D33" s="4"/>
    </row>
    <row r="34" spans="3:4" ht="15" customHeight="1">
      <c r="C34" s="33"/>
      <c r="D34" s="4"/>
    </row>
    <row r="35" spans="3:4" ht="15" customHeight="1">
      <c r="C35" s="33"/>
      <c r="D35" s="4"/>
    </row>
    <row r="36" spans="3:4" ht="15" customHeight="1">
      <c r="C36" s="33"/>
      <c r="D36" s="4"/>
    </row>
    <row r="37" spans="3:4" ht="15" customHeight="1">
      <c r="C37" s="33"/>
      <c r="D37" s="4"/>
    </row>
    <row r="38" spans="3:4" ht="15" customHeight="1">
      <c r="C38" s="33"/>
      <c r="D38" s="4"/>
    </row>
    <row r="39" spans="3:4" ht="15" customHeight="1">
      <c r="C39" s="33"/>
      <c r="D39" s="4"/>
    </row>
    <row r="40" spans="3:4" ht="15" customHeight="1">
      <c r="C40" s="33"/>
      <c r="D40" s="4"/>
    </row>
    <row r="41" spans="3:4" ht="15" customHeight="1">
      <c r="C41" s="33"/>
      <c r="D41" s="4"/>
    </row>
    <row r="42" spans="3:4" ht="15" customHeight="1">
      <c r="C42" s="33"/>
      <c r="D42" s="4"/>
    </row>
    <row r="43" spans="3:4" ht="15" customHeight="1">
      <c r="C43" s="33"/>
      <c r="D43" s="4"/>
    </row>
    <row r="44" spans="3:4" ht="15" customHeight="1">
      <c r="C44" s="33"/>
      <c r="D44" s="4"/>
    </row>
    <row r="45" spans="3:4" ht="15" customHeight="1">
      <c r="C45" s="33"/>
      <c r="D45" s="4"/>
    </row>
    <row r="46" spans="3:4" ht="15" customHeight="1">
      <c r="C46" s="33"/>
      <c r="D46" s="4"/>
    </row>
    <row r="47" spans="3:4" ht="15" customHeight="1">
      <c r="C47" s="33"/>
      <c r="D47" s="4"/>
    </row>
    <row r="48" spans="3:4" ht="15" customHeight="1">
      <c r="C48" s="33"/>
      <c r="D48" s="4"/>
    </row>
    <row r="49" spans="3:4" ht="15" customHeight="1">
      <c r="C49" s="33"/>
      <c r="D49" s="4"/>
    </row>
    <row r="50" spans="3:4" ht="15" customHeight="1">
      <c r="C50" s="33"/>
      <c r="D50" s="4"/>
    </row>
    <row r="51" spans="3:4" ht="15" customHeight="1">
      <c r="C51" s="33"/>
      <c r="D51" s="4"/>
    </row>
    <row r="52" spans="3:4" ht="15" customHeight="1">
      <c r="C52" s="33"/>
      <c r="D52" s="4"/>
    </row>
    <row r="53" spans="3:4" ht="15" customHeight="1">
      <c r="C53" s="33"/>
      <c r="D53" s="4"/>
    </row>
    <row r="54" spans="3:4" ht="15" customHeight="1">
      <c r="C54" s="33"/>
      <c r="D54" s="4"/>
    </row>
    <row r="55" spans="3:4" ht="15" customHeight="1">
      <c r="C55" s="33"/>
      <c r="D55" s="4"/>
    </row>
    <row r="56" spans="3:4" ht="15" customHeight="1">
      <c r="C56" s="33"/>
      <c r="D56" s="4"/>
    </row>
    <row r="57" spans="3:4" ht="15" customHeight="1">
      <c r="C57" s="33"/>
      <c r="D57" s="4"/>
    </row>
    <row r="58" spans="3:4" ht="15" customHeight="1">
      <c r="C58" s="33"/>
      <c r="D58" s="4"/>
    </row>
    <row r="59" spans="3:4" ht="15" customHeight="1">
      <c r="C59" s="33"/>
      <c r="D59" s="4"/>
    </row>
    <row r="60" spans="3:4" ht="15" customHeight="1">
      <c r="C60" s="33"/>
      <c r="D60" s="4"/>
    </row>
    <row r="61" spans="3:4" ht="15" customHeight="1">
      <c r="C61" s="33"/>
      <c r="D61" s="4"/>
    </row>
    <row r="62" spans="3:4" ht="15" customHeight="1">
      <c r="C62" s="33"/>
      <c r="D62" s="4"/>
    </row>
    <row r="63" spans="3:4" ht="15" customHeight="1">
      <c r="C63" s="33"/>
      <c r="D63" s="4"/>
    </row>
    <row r="64" spans="3:4" ht="15" customHeight="1">
      <c r="C64" s="33"/>
      <c r="D64" s="4"/>
    </row>
    <row r="65" spans="3:4" ht="15" customHeight="1">
      <c r="C65" s="33"/>
      <c r="D65" s="4"/>
    </row>
    <row r="66" spans="3:4" ht="15" customHeight="1">
      <c r="C66" s="33"/>
      <c r="D66" s="4"/>
    </row>
    <row r="67" spans="3:4" ht="15" customHeight="1">
      <c r="C67" s="33"/>
      <c r="D67" s="4"/>
    </row>
    <row r="68" spans="3:4" ht="15" customHeight="1">
      <c r="C68" s="33"/>
      <c r="D68" s="4"/>
    </row>
    <row r="69" spans="3:4" ht="15" customHeight="1">
      <c r="C69" s="33"/>
      <c r="D69" s="4"/>
    </row>
    <row r="70" spans="3:4" ht="15" customHeight="1">
      <c r="C70" s="33"/>
      <c r="D70" s="4"/>
    </row>
    <row r="71" spans="3:4" ht="15" customHeight="1">
      <c r="C71" s="33"/>
      <c r="D71" s="4"/>
    </row>
    <row r="72" spans="3:4" ht="15" customHeight="1">
      <c r="C72" s="33"/>
      <c r="D72" s="4"/>
    </row>
    <row r="73" spans="3:4" ht="15" customHeight="1">
      <c r="C73" s="33"/>
      <c r="D73" s="4"/>
    </row>
    <row r="74" spans="3:4" ht="15" customHeight="1">
      <c r="C74" s="33"/>
      <c r="D74" s="4"/>
    </row>
    <row r="75" spans="3:4" ht="15" customHeight="1">
      <c r="C75" s="33"/>
      <c r="D75" s="4"/>
    </row>
    <row r="76" spans="3:4" ht="15" customHeight="1">
      <c r="C76" s="33"/>
      <c r="D76" s="4"/>
    </row>
    <row r="77" spans="3:4" ht="15" customHeight="1">
      <c r="C77" s="33"/>
      <c r="D77" s="4"/>
    </row>
    <row r="78" spans="3:4" ht="15" customHeight="1">
      <c r="C78" s="33"/>
      <c r="D78" s="4"/>
    </row>
    <row r="79" spans="3:4" ht="15" customHeight="1">
      <c r="C79" s="33"/>
      <c r="D79" s="4"/>
    </row>
    <row r="80" spans="3:4" ht="15" customHeight="1">
      <c r="C80" s="33"/>
      <c r="D80" s="4"/>
    </row>
    <row r="81" spans="3:4" ht="15" customHeight="1">
      <c r="C81" s="33"/>
      <c r="D81" s="4"/>
    </row>
    <row r="82" spans="3:4" ht="15" customHeight="1">
      <c r="C82" s="33"/>
      <c r="D82" s="4"/>
    </row>
    <row r="83" spans="3:4" ht="15" customHeight="1">
      <c r="C83" s="33"/>
      <c r="D83" s="4"/>
    </row>
    <row r="84" spans="3:4" ht="15" customHeight="1">
      <c r="C84" s="33"/>
      <c r="D84" s="4"/>
    </row>
    <row r="85" spans="3:4" ht="15" customHeight="1">
      <c r="C85" s="33"/>
      <c r="D85" s="4"/>
    </row>
    <row r="86" spans="3:4" ht="15" customHeight="1">
      <c r="C86" s="33"/>
      <c r="D86" s="4"/>
    </row>
    <row r="87" spans="3:4" ht="15" customHeight="1">
      <c r="C87" s="33"/>
      <c r="D87" s="4"/>
    </row>
    <row r="88" spans="3:4" ht="15" customHeight="1">
      <c r="C88" s="33"/>
      <c r="D88" s="4"/>
    </row>
    <row r="89" spans="3:4" ht="15" customHeight="1">
      <c r="C89" s="33"/>
      <c r="D89" s="4"/>
    </row>
    <row r="90" spans="3:4" ht="15" customHeight="1">
      <c r="C90" s="33"/>
      <c r="D90" s="4"/>
    </row>
  </sheetData>
  <mergeCells count="3">
    <mergeCell ref="A1:G1"/>
    <mergeCell ref="A2:G2"/>
    <mergeCell ref="E7:I7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184FD-C69F-44C3-AB1F-E5E3EAAEF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9</vt:i4>
      </vt:variant>
    </vt:vector>
  </HeadingPairs>
  <TitlesOfParts>
    <vt:vector size="24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Reinigingsmiddelen</vt:lpstr>
      <vt:lpstr>korting reinigings</vt:lpstr>
      <vt:lpstr>Logistiek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Willem Maassen van den Brink</cp:lastModifiedBy>
  <cp:lastPrinted>2018-06-11T07:01:37Z</cp:lastPrinted>
  <dcterms:created xsi:type="dcterms:W3CDTF">1999-03-23T11:24:21Z</dcterms:created>
  <dcterms:modified xsi:type="dcterms:W3CDTF">2022-08-22T15:33:57Z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