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mc:AlternateContent xmlns:mc="http://schemas.openxmlformats.org/markup-compatibility/2006">
    <mc:Choice Requires="x15">
      <x15ac:absPath xmlns:x15ac="http://schemas.microsoft.com/office/spreadsheetml/2010/11/ac" url="https://digisam.hhnk.nl/sites/02043/Projectdossier/5 Contractmanagement/5.01 Contractvoorbereiding/Bijlagen Inschrijvingsleidraad/"/>
    </mc:Choice>
  </mc:AlternateContent>
  <xr:revisionPtr revIDLastSave="0" documentId="13_ncr:1_{E18760E4-D77B-4259-8E6C-4D64931C5513}" xr6:coauthVersionLast="47" xr6:coauthVersionMax="47" xr10:uidLastSave="{00000000-0000-0000-0000-000000000000}"/>
  <bookViews>
    <workbookView xWindow="-120" yWindow="-120" windowWidth="29040" windowHeight="15840" tabRatio="723" activeTab="1" xr2:uid="{00000000-000D-0000-FFFF-FFFF00000000}"/>
  </bookViews>
  <sheets>
    <sheet name="Toelichting Berekening" sheetId="14" r:id="rId1"/>
    <sheet name="Kengetallen" sheetId="11" r:id="rId2"/>
    <sheet name="Parameters" sheetId="12" state="hidden" r:id="rId3"/>
    <sheet name="HULP" sheetId="15" state="hidden"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Kengetallen!$D$26</definedName>
    <definedName name="EigenVermogenNmin1">Kengetallen!$E$26</definedName>
    <definedName name="EigenVermogenNmin2">Kengetallen!$F$26</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Kengetallen!$D$22</definedName>
    <definedName name="LiquideMiddelenNmin1">Kengetallen!$E$22</definedName>
    <definedName name="LiquideMiddelenNmin2">Kengetallen!$F$22</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Kengetallen!$T$7</definedName>
    <definedName name="weegfactortotaal">Parameters!$C$8</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4" l="1"/>
  <c r="E15" i="15"/>
  <c r="E24" i="14" s="1"/>
  <c r="C27" i="15"/>
  <c r="D27" i="15" s="1"/>
  <c r="E27" i="15" s="1"/>
  <c r="D60" i="15"/>
  <c r="E60" i="15" s="1"/>
  <c r="F60" i="15" s="1"/>
  <c r="G60" i="15" s="1"/>
  <c r="H60" i="15" s="1"/>
  <c r="I60" i="15" s="1"/>
  <c r="J60" i="15" s="1"/>
  <c r="D67" i="15"/>
  <c r="E67" i="15"/>
  <c r="F67" i="15"/>
  <c r="G67" i="15"/>
  <c r="H67" i="15"/>
  <c r="C56" i="14"/>
  <c r="C55" i="14"/>
  <c r="C28" i="14"/>
  <c r="D24" i="14"/>
  <c r="C24" i="14"/>
  <c r="B24" i="14"/>
  <c r="C23" i="14"/>
  <c r="C19" i="14"/>
  <c r="C18" i="14"/>
  <c r="F27" i="15" l="1"/>
  <c r="G27" i="15" s="1"/>
  <c r="H27" i="15" s="1"/>
  <c r="I27" i="15" s="1"/>
  <c r="J27" i="15" s="1"/>
  <c r="K27" i="15" s="1"/>
  <c r="D36" i="11"/>
  <c r="E36" i="11"/>
  <c r="K39" i="11"/>
  <c r="B52" i="11" l="1"/>
  <c r="B50" i="11"/>
  <c r="F21" i="11"/>
  <c r="F23" i="11"/>
  <c r="F24" i="11" s="1"/>
  <c r="E21" i="11"/>
  <c r="E23" i="11" s="1"/>
  <c r="E24" i="11" s="1"/>
  <c r="F16" i="11"/>
  <c r="E16" i="11"/>
  <c r="G36" i="11" l="1"/>
  <c r="D32" i="11"/>
  <c r="Q9" i="11"/>
  <c r="E17" i="11"/>
  <c r="F17" i="11" s="1"/>
  <c r="D21" i="11"/>
  <c r="D23" i="11" s="1"/>
  <c r="D24" i="11" s="1"/>
  <c r="D28" i="11"/>
  <c r="D30" i="11" s="1"/>
  <c r="E28" i="11"/>
  <c r="E30" i="11" s="1"/>
  <c r="F28" i="11"/>
  <c r="F30" i="11" s="1"/>
  <c r="D29" i="11"/>
  <c r="E29" i="11"/>
  <c r="F29" i="11"/>
  <c r="D34" i="11"/>
  <c r="E34" i="11"/>
  <c r="F34" i="11"/>
  <c r="F36" i="11"/>
  <c r="F44" i="11"/>
  <c r="F45" i="11"/>
  <c r="D46" i="11"/>
  <c r="E46" i="11"/>
  <c r="F46" i="11" s="1"/>
  <c r="F47" i="11"/>
  <c r="C8" i="12"/>
  <c r="F15" i="12"/>
  <c r="F16" i="12"/>
  <c r="F17" i="12"/>
  <c r="F18" i="12"/>
  <c r="E19" i="12"/>
  <c r="G37" i="11" l="1"/>
  <c r="F37" i="11"/>
  <c r="E37" i="11"/>
  <c r="D37" i="11"/>
  <c r="F19" i="12"/>
  <c r="G20" i="12" s="1"/>
  <c r="H36" i="11"/>
  <c r="J36" i="11" s="1"/>
  <c r="B60" i="11"/>
  <c r="B59" i="11"/>
  <c r="E32" i="11"/>
  <c r="H37" i="11" l="1"/>
  <c r="J37" i="11" s="1"/>
  <c r="J39" i="11" s="1"/>
  <c r="F32" i="11"/>
  <c r="B58" i="11"/>
  <c r="G9" i="15" l="1"/>
</calcChain>
</file>

<file path=xl/sharedStrings.xml><?xml version="1.0" encoding="utf-8"?>
<sst xmlns="http://schemas.openxmlformats.org/spreadsheetml/2006/main" count="160" uniqueCount="137">
  <si>
    <t>Naam</t>
  </si>
  <si>
    <t>Jaarcijfers</t>
  </si>
  <si>
    <t xml:space="preserve">   Opmerkingen</t>
  </si>
  <si>
    <t>Totaal Vermogen (balanstotaal)</t>
  </si>
  <si>
    <t>Activa</t>
  </si>
  <si>
    <t>Vaste activa</t>
  </si>
  <si>
    <t>Liquide middelen</t>
  </si>
  <si>
    <t>Totale activa</t>
  </si>
  <si>
    <t>Passiva</t>
  </si>
  <si>
    <t>Eigen Vermogen</t>
  </si>
  <si>
    <t>Vreemd Vermogen Lang (&gt; 1 jaar)</t>
  </si>
  <si>
    <t>Vreemd Vermogen Kort (=&lt; 1 jaar)</t>
  </si>
  <si>
    <t>Totaal vreemd vermogen</t>
  </si>
  <si>
    <t>Totale passiva</t>
  </si>
  <si>
    <t>Kengetallen</t>
  </si>
  <si>
    <t>Weegfactor</t>
  </si>
  <si>
    <t>Solvabiliteit</t>
  </si>
  <si>
    <t>EV/TV</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</si>
  <si>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</si>
  <si>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</si>
  <si>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</si>
  <si>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</si>
  <si>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</si>
  <si>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</si>
  <si>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</si>
  <si>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</si>
  <si>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</si>
  <si>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</si>
  <si>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</si>
  <si>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</si>
  <si>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</si>
  <si>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</si>
  <si>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</si>
  <si>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</si>
  <si>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</si>
  <si>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</si>
  <si>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</si>
  <si>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</si>
  <si>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</si>
  <si>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</si>
  <si>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</si>
  <si>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</si>
  <si>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</si>
  <si>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</si>
  <si>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</si>
  <si>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</si>
  <si>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</si>
  <si>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</si>
  <si>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</si>
  <si>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EUR</t>
  </si>
  <si>
    <t>GBP</t>
  </si>
  <si>
    <t>Gewogen gem.</t>
  </si>
  <si>
    <t>Bedragen maal €</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</si>
  <si>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</si>
  <si>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</si>
  <si>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</si>
  <si>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</si>
  <si>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</si>
  <si>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</si>
  <si>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</si>
  <si>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</si>
  <si>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</si>
  <si>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</si>
  <si>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</si>
  <si>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</si>
  <si>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1.4</t>
  </si>
  <si>
    <t>Naam juridische entiteit  onderstaande gegevens</t>
  </si>
  <si>
    <t>&lt; conform opgave jaarverslagen</t>
  </si>
  <si>
    <t>Naam Inschrijver:</t>
  </si>
  <si>
    <t>Versie:</t>
  </si>
  <si>
    <t>1.0</t>
  </si>
  <si>
    <t>Datum:</t>
  </si>
  <si>
    <t>Vul het boekjaar in</t>
  </si>
  <si>
    <t>Maximum-range</t>
  </si>
  <si>
    <t>&lt;Naam aanbesteding&gt;</t>
  </si>
  <si>
    <t>Toelichting berekening financieel economische draagkracht</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</si>
  <si>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</si>
  <si>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</si>
  <si>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</si>
  <si>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</si>
  <si>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</si>
  <si>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</si>
  <si>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</si>
  <si>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</si>
  <si>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</si>
  <si>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</si>
  <si>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</si>
  <si>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</si>
  <si>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</si>
  <si>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</si>
  <si>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</si>
  <si>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Optimum:</t>
  </si>
  <si>
    <t>Kengetal liquiditeit</t>
  </si>
  <si>
    <t>Gehanteerde ratio: current ratio (CR):</t>
  </si>
  <si>
    <t>CR = vlottende activa / kort vreemd vermogen (KVV)</t>
  </si>
  <si>
    <t>Minimum:</t>
  </si>
  <si>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</si>
  <si>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</si>
  <si>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</si>
  <si>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</si>
  <si>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</si>
  <si>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</si>
  <si>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Aanbesteder stelt in deze aanbesteding minimumeisen op het gebied van financiële economische draagkracht. De financiële economische draagkracht wordt op basis van de volgende kengetallen vastgesteld:</t>
  </si>
  <si>
    <t>Punten</t>
  </si>
  <si>
    <t>Currentratio</t>
  </si>
  <si>
    <t>Grafiek Currentratio</t>
  </si>
  <si>
    <t>Rentabiliteit</t>
  </si>
  <si>
    <t>Grafiek Rentabiliteit</t>
  </si>
  <si>
    <t>Grafiek solvabiliteit</t>
  </si>
  <si>
    <t>Grafieken</t>
  </si>
  <si>
    <t>Laatste boekjaar</t>
  </si>
  <si>
    <t>Maximum 0,5 meer dan minimum</t>
  </si>
  <si>
    <t>Maximum 30% meer dan minimum</t>
  </si>
  <si>
    <t>Opmerking</t>
  </si>
  <si>
    <t>eis</t>
  </si>
  <si>
    <t>Max.</t>
  </si>
  <si>
    <t>Min.</t>
  </si>
  <si>
    <t>Normen</t>
  </si>
  <si>
    <t>Omrekenfactor</t>
  </si>
  <si>
    <t xml:space="preserve"> jaar N-2</t>
  </si>
  <si>
    <t xml:space="preserve"> jaar N-1</t>
  </si>
  <si>
    <t xml:space="preserve"> jaar N</t>
  </si>
  <si>
    <t>Deelfactor</t>
  </si>
  <si>
    <t>Eenheid</t>
  </si>
  <si>
    <t>Knock Out</t>
  </si>
  <si>
    <t>Jaar</t>
  </si>
  <si>
    <t>factor</t>
  </si>
  <si>
    <t>Weeg-</t>
  </si>
  <si>
    <t xml:space="preserve">&lt; DIT TABBLAD VERBERGEN ALS MODEL WORDT VERZONDEN !!!&gt; </t>
  </si>
  <si>
    <t xml:space="preserve">      Figuur 2: Aantal punten toegekend voor current ratio</t>
  </si>
  <si>
    <t>= invulveld</t>
  </si>
  <si>
    <r>
      <t xml:space="preserve">met TenderNed kenmerk </t>
    </r>
    <r>
      <rPr>
        <b/>
        <i/>
        <sz val="10"/>
        <color rgb="FFFF0000"/>
        <rFont val="Verdana"/>
        <family val="2"/>
      </rPr>
      <t>[invullen]</t>
    </r>
  </si>
  <si>
    <t>Vaste activa is inclusief financiële vaste activa</t>
  </si>
  <si>
    <t>Minderheidsdeelnemingen meenemen als eigen vermogen</t>
  </si>
  <si>
    <t>Voorzieningen zijn lang vreemd vermogen</t>
  </si>
  <si>
    <t>BIJLAGE 5. GEGEVENS OMTRENT FINANCIEEL ECONOMISCH DRAAGKRACHT</t>
  </si>
  <si>
    <t>Nationale aanbesteding ontwerp en realisatie gemaal Dijkse 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</si>
</sst>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2"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
      <b/>
      <i/>
      <sz val="10"/>
      <color rgb="FFFF0000"/>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75">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0" fontId="8" fillId="0" borderId="0" xfId="1" applyFont="1" applyFill="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Border="1" applyAlignment="1" applyProtection="1">
      <alignment horizontal="right" wrapText="1"/>
      <protection hidden="1"/>
    </xf>
    <xf numFmtId="0" fontId="20" fillId="3" borderId="0" xfId="1" applyFont="1" applyFill="1" applyBorder="1" applyProtection="1">
      <protection hidden="1"/>
    </xf>
    <xf numFmtId="0" fontId="18" fillId="3" borderId="0" xfId="1" applyFont="1" applyFill="1" applyBorder="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Border="1" applyProtection="1">
      <protection hidden="1"/>
    </xf>
    <xf numFmtId="0" fontId="18" fillId="3" borderId="0" xfId="1" applyFont="1" applyFill="1" applyBorder="1" applyAlignment="1" applyProtection="1">
      <alignment horizontal="center"/>
      <protection hidden="1"/>
    </xf>
    <xf numFmtId="0" fontId="18" fillId="3" borderId="10" xfId="1" applyFont="1" applyFill="1" applyBorder="1" applyProtection="1">
      <protection hidden="1"/>
    </xf>
    <xf numFmtId="0" fontId="20" fillId="3" borderId="0" xfId="1" applyFont="1" applyFill="1" applyBorder="1" applyAlignment="1" applyProtection="1">
      <alignment horizontal="right" vertical="center"/>
      <protection hidden="1"/>
    </xf>
    <xf numFmtId="3" fontId="15" fillId="6" borderId="0" xfId="1" applyNumberFormat="1" applyFont="1" applyFill="1" applyBorder="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Border="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Border="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Fill="1" applyBorder="1" applyProtection="1">
      <protection hidden="1"/>
    </xf>
    <xf numFmtId="0" fontId="8" fillId="0" borderId="0" xfId="1" applyFont="1" applyBorder="1" applyProtection="1">
      <protection hidden="1"/>
    </xf>
    <xf numFmtId="0" fontId="9" fillId="0" borderId="0" xfId="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Border="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Border="1" applyAlignment="1" applyProtection="1">
      <alignment horizontal="right"/>
      <protection hidden="1"/>
    </xf>
    <xf numFmtId="166" fontId="8" fillId="0" borderId="4" xfId="1" applyNumberFormat="1" applyFont="1" applyBorder="1" applyProtection="1">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Border="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Fill="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2" fillId="0" borderId="0"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Fill="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Fill="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Fill="1" applyBorder="1" applyAlignment="1" applyProtection="1">
      <alignment horizontal="center"/>
      <protection hidden="1"/>
    </xf>
    <xf numFmtId="2" fontId="11" fillId="0" borderId="0" xfId="1" applyNumberFormat="1" applyFont="1" applyBorder="1" applyAlignment="1" applyProtection="1">
      <alignment horizontal="center"/>
      <protection hidden="1"/>
    </xf>
    <xf numFmtId="4" fontId="8" fillId="0" borderId="9" xfId="1" applyNumberFormat="1" applyFont="1" applyFill="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Border="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Fill="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Fill="1" applyBorder="1" applyAlignment="1" applyProtection="1">
      <alignment horizontal="left"/>
      <protection hidden="1"/>
    </xf>
    <xf numFmtId="0" fontId="22" fillId="0" borderId="0" xfId="1" applyFont="1" applyFill="1" applyBorder="1" applyAlignment="1" applyProtection="1">
      <alignment horizontal="center"/>
      <protection hidden="1"/>
    </xf>
    <xf numFmtId="4" fontId="8" fillId="0" borderId="0" xfId="1" applyNumberFormat="1" applyFont="1" applyFill="1" applyBorder="1" applyAlignment="1" applyProtection="1">
      <alignment horizontal="center"/>
      <protection hidden="1"/>
    </xf>
    <xf numFmtId="2" fontId="11" fillId="0" borderId="0" xfId="1" applyNumberFormat="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Border="1" applyAlignment="1" applyProtection="1">
      <alignment horizontal="left"/>
      <protection hidden="1"/>
    </xf>
    <xf numFmtId="0" fontId="9" fillId="0" borderId="0" xfId="1" applyFont="1" applyBorder="1" applyAlignment="1" applyProtection="1">
      <alignment horizontal="center"/>
      <protection hidden="1"/>
    </xf>
    <xf numFmtId="4" fontId="9" fillId="0" borderId="0" xfId="1" applyNumberFormat="1" applyFont="1" applyFill="1" applyBorder="1" applyAlignment="1" applyProtection="1">
      <alignment horizontal="center"/>
      <protection hidden="1"/>
    </xf>
    <xf numFmtId="0" fontId="12" fillId="0" borderId="0" xfId="1" applyFont="1" applyFill="1" applyBorder="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Fill="1" applyBorder="1" applyProtection="1">
      <protection hidden="1"/>
    </xf>
    <xf numFmtId="0" fontId="9" fillId="0" borderId="0" xfId="1" applyFont="1" applyFill="1" applyBorder="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4" xfId="1" applyNumberFormat="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11" fillId="0" borderId="2" xfId="1" applyFont="1" applyBorder="1" applyAlignment="1" applyProtection="1">
      <alignment horizontal="center"/>
      <protection hidden="1"/>
    </xf>
    <xf numFmtId="0" fontId="11" fillId="0" borderId="2" xfId="1" applyNumberFormat="1" applyFont="1" applyBorder="1" applyAlignment="1" applyProtection="1">
      <alignment horizontal="center"/>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Border="1" applyProtection="1">
      <protection hidden="1"/>
    </xf>
    <xf numFmtId="0" fontId="28" fillId="0" borderId="10" xfId="1" applyFont="1" applyBorder="1" applyProtection="1">
      <protection hidden="1"/>
    </xf>
    <xf numFmtId="0" fontId="28" fillId="0" borderId="0" xfId="1" applyFont="1" applyBorder="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27" fillId="0" borderId="0" xfId="1" applyFont="1" applyProtection="1">
      <protection hidden="1"/>
    </xf>
    <xf numFmtId="49" fontId="9" fillId="0" borderId="0" xfId="1" applyNumberFormat="1" applyFont="1" applyBorder="1" applyProtection="1">
      <protection hidden="1"/>
    </xf>
    <xf numFmtId="0"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Alignment="1" applyProtection="1">
      <protection hidden="1"/>
    </xf>
    <xf numFmtId="0" fontId="32" fillId="9" borderId="0" xfId="4" applyFont="1" applyFill="1" applyBorder="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Border="1" applyAlignment="1" applyProtection="1">
      <alignment horizontal="center" wrapText="1"/>
      <protection hidden="1"/>
    </xf>
    <xf numFmtId="0" fontId="31" fillId="9" borderId="0" xfId="4" applyFont="1" applyFill="1" applyBorder="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Border="1" applyProtection="1">
      <protection hidden="1"/>
    </xf>
    <xf numFmtId="0" fontId="36" fillId="9" borderId="0" xfId="4" applyFont="1" applyFill="1" applyBorder="1" applyProtection="1">
      <protection hidden="1"/>
    </xf>
    <xf numFmtId="0" fontId="36" fillId="9" borderId="0" xfId="4" applyFont="1" applyFill="1" applyBorder="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Border="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Border="1" applyAlignment="1" applyProtection="1">
      <alignment horizontal="right"/>
      <protection hidden="1"/>
    </xf>
    <xf numFmtId="0" fontId="8" fillId="9" borderId="0" xfId="1" applyFont="1" applyFill="1" applyBorder="1" applyProtection="1">
      <protection hidden="1"/>
    </xf>
    <xf numFmtId="0" fontId="11" fillId="9" borderId="9" xfId="1" applyFont="1" applyFill="1" applyBorder="1" applyAlignment="1" applyProtection="1">
      <alignment horizontal="right"/>
      <protection hidden="1"/>
    </xf>
    <xf numFmtId="0" fontId="13" fillId="9" borderId="0" xfId="1" applyFont="1" applyFill="1" applyBorder="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Border="1" applyAlignment="1" applyProtection="1">
      <alignment horizontal="center" wrapText="1"/>
      <protection hidden="1"/>
    </xf>
    <xf numFmtId="0" fontId="11" fillId="9" borderId="0" xfId="1" applyFont="1" applyFill="1" applyBorder="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Alignment="1" applyProtection="1">
      <protection hidden="1"/>
    </xf>
    <xf numFmtId="0" fontId="12" fillId="9" borderId="0" xfId="1" applyFont="1" applyFill="1" applyBorder="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Border="1" applyAlignment="1">
      <alignment horizontal="right"/>
    </xf>
    <xf numFmtId="9" fontId="30" fillId="7" borderId="0" xfId="3" applyFont="1" applyFill="1" applyBorder="1"/>
    <xf numFmtId="169" fontId="12" fillId="9" borderId="0" xfId="1" applyNumberFormat="1" applyFont="1" applyFill="1" applyBorder="1" applyAlignment="1" applyProtection="1">
      <alignment horizontal="right"/>
      <protection hidden="1"/>
    </xf>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10" xfId="1" applyFont="1" applyFill="1" applyBorder="1" applyAlignment="1" applyProtection="1">
      <alignment horizontal="left" wrapText="1"/>
      <protection hidden="1"/>
    </xf>
    <xf numFmtId="0" fontId="13" fillId="9" borderId="0" xfId="1" applyFont="1" applyFill="1" applyBorder="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NumberFormat="1" applyFont="1" applyBorder="1" applyAlignment="1" applyProtection="1">
      <alignment horizontal="left" wrapText="1" indent="3"/>
      <protection hidden="1"/>
    </xf>
    <xf numFmtId="0" fontId="9" fillId="0" borderId="0" xfId="1" applyNumberFormat="1" applyFont="1" applyAlignment="1" applyProtection="1">
      <alignment horizontal="left" wrapText="1" indent="3"/>
      <protection hidden="1"/>
    </xf>
    <xf numFmtId="0" fontId="12" fillId="6" borderId="0" xfId="1" applyFont="1" applyFill="1" applyBorder="1" applyAlignment="1" applyProtection="1">
      <alignment horizontal="left" vertical="center"/>
      <protection locked="0" hidden="1"/>
    </xf>
    <xf numFmtId="0" fontId="16" fillId="6" borderId="5" xfId="1" applyNumberFormat="1" applyFont="1" applyFill="1" applyBorder="1" applyAlignment="1" applyProtection="1">
      <alignment horizontal="left"/>
      <protection locked="0"/>
    </xf>
    <xf numFmtId="0" fontId="16" fillId="6" borderId="6" xfId="1" applyNumberFormat="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Border="1" applyAlignment="1" applyProtection="1">
      <alignment horizontal="left" wrapText="1"/>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ont>
        <b/>
        <i/>
        <condense val="0"/>
        <extend val="0"/>
        <color indexed="10"/>
      </font>
    </dxf>
    <dxf>
      <fill>
        <patternFill>
          <bgColor theme="0"/>
        </patternFill>
      </fill>
    </dxf>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289673</xdr:colOff>
      <xdr:row>0</xdr:row>
      <xdr:rowOff>95250</xdr:rowOff>
    </xdr:from>
    <xdr:to>
      <xdr:col>16</xdr:col>
      <xdr:colOff>433020</xdr:colOff>
      <xdr:row>5</xdr:row>
      <xdr:rowOff>142875</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85998" y="95250"/>
          <a:ext cx="752947"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58615</xdr:colOff>
      <xdr:row>1</xdr:row>
      <xdr:rowOff>95250</xdr:rowOff>
    </xdr:from>
    <xdr:to>
      <xdr:col>9</xdr:col>
      <xdr:colOff>946150</xdr:colOff>
      <xdr:row>5</xdr:row>
      <xdr:rowOff>28428</xdr:rowOff>
    </xdr:to>
    <xdr:pic>
      <xdr:nvPicPr>
        <xdr:cNvPr id="3" name="Afbeelding 2">
          <a:extLst>
            <a:ext uri="{FF2B5EF4-FFF2-40B4-BE49-F238E27FC236}">
              <a16:creationId xmlns:a16="http://schemas.microsoft.com/office/drawing/2014/main" id="{569BD7BC-96A3-460D-A5F0-FFD85F50DB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9596" y="241788"/>
          <a:ext cx="1136650" cy="739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F93" sqref="F93"/>
    </sheetView>
  </sheetViews>
  <sheetFormatPr defaultColWidth="0" defaultRowHeight="15" customHeight="1" zeroHeight="1" x14ac:dyDescent="0.2"/>
  <cols>
    <col min="1" max="1" width="3.7109375" style="169" customWidth="1"/>
    <col min="2" max="2" width="16.7109375" style="169" customWidth="1"/>
    <col min="3" max="3" width="6.5703125" style="169" bestFit="1" customWidth="1"/>
    <col min="4" max="4" width="5.5703125" style="169" customWidth="1"/>
    <col min="5" max="5" width="6.42578125" style="169" bestFit="1" customWidth="1"/>
    <col min="6" max="17" width="9.140625" style="169" customWidth="1"/>
    <col min="18" max="18" width="3.7109375" style="169" customWidth="1"/>
    <col min="19" max="16384" width="9.140625" style="169" hidden="1"/>
  </cols>
  <sheetData>
    <row r="1" spans="2:17" ht="15" customHeight="1" thickBot="1" x14ac:dyDescent="0.25"/>
    <row r="2" spans="2:17" ht="15" customHeight="1" x14ac:dyDescent="0.2">
      <c r="B2" s="170"/>
      <c r="C2" s="171"/>
      <c r="D2" s="171"/>
      <c r="E2" s="171"/>
      <c r="F2" s="171"/>
      <c r="G2" s="171"/>
      <c r="H2" s="171"/>
      <c r="I2" s="171"/>
      <c r="J2" s="171"/>
      <c r="K2" s="171"/>
      <c r="L2" s="171"/>
      <c r="M2" s="171"/>
      <c r="N2" s="171"/>
      <c r="O2" s="171"/>
      <c r="P2" s="171"/>
      <c r="Q2" s="172"/>
    </row>
    <row r="3" spans="2:17" s="176" customFormat="1" ht="15" customHeight="1" x14ac:dyDescent="0.25">
      <c r="B3" s="173" t="s">
        <v>74</v>
      </c>
      <c r="C3" s="174"/>
      <c r="D3" s="174"/>
      <c r="E3" s="174"/>
      <c r="F3" s="174"/>
      <c r="G3" s="174"/>
      <c r="H3" s="174"/>
      <c r="I3" s="174"/>
      <c r="J3" s="174"/>
      <c r="K3" s="174"/>
      <c r="L3" s="174"/>
      <c r="M3" s="174"/>
      <c r="N3" s="174"/>
      <c r="O3" s="174"/>
      <c r="P3" s="174"/>
      <c r="Q3" s="175"/>
    </row>
    <row r="4" spans="2:17" ht="15" customHeight="1" x14ac:dyDescent="0.2">
      <c r="B4" s="177"/>
      <c r="C4" s="178"/>
      <c r="D4" s="178"/>
      <c r="E4" s="179"/>
      <c r="F4" s="179"/>
      <c r="G4" s="179"/>
      <c r="H4" s="179"/>
      <c r="I4" s="179"/>
      <c r="J4" s="179"/>
      <c r="K4" s="179"/>
      <c r="L4" s="179"/>
      <c r="M4" s="179"/>
      <c r="N4" s="179"/>
      <c r="O4" s="179"/>
      <c r="P4" s="179"/>
      <c r="Q4" s="180"/>
    </row>
    <row r="5" spans="2:17" s="176" customFormat="1" ht="18" x14ac:dyDescent="0.25">
      <c r="B5" s="181" t="s">
        <v>75</v>
      </c>
      <c r="C5" s="182"/>
      <c r="D5" s="182"/>
      <c r="E5" s="183"/>
      <c r="F5" s="182"/>
      <c r="G5" s="182"/>
      <c r="H5" s="182"/>
      <c r="I5" s="182"/>
      <c r="J5" s="182"/>
      <c r="K5" s="182"/>
      <c r="L5" s="182"/>
      <c r="M5" s="182"/>
      <c r="N5" s="182"/>
      <c r="O5" s="182"/>
      <c r="P5" s="184"/>
      <c r="Q5" s="175"/>
    </row>
    <row r="6" spans="2:17" ht="15" customHeight="1" thickBot="1" x14ac:dyDescent="0.25">
      <c r="B6" s="185"/>
      <c r="C6" s="186"/>
      <c r="D6" s="186"/>
      <c r="E6" s="187"/>
      <c r="F6" s="186"/>
      <c r="G6" s="186"/>
      <c r="H6" s="186"/>
      <c r="I6" s="186"/>
      <c r="J6" s="186"/>
      <c r="K6" s="186"/>
      <c r="L6" s="186"/>
      <c r="M6" s="186"/>
      <c r="N6" s="186"/>
      <c r="O6" s="186"/>
      <c r="P6" s="188"/>
      <c r="Q6" s="189"/>
    </row>
    <row r="7" spans="2:17" ht="15" customHeight="1" x14ac:dyDescent="0.2"/>
    <row r="8" spans="2:17" ht="15" customHeight="1" x14ac:dyDescent="0.2">
      <c r="B8" s="190" t="s">
        <v>75</v>
      </c>
      <c r="C8" s="191"/>
      <c r="D8" s="191"/>
      <c r="E8" s="191"/>
      <c r="F8" s="191"/>
      <c r="G8" s="191"/>
      <c r="H8" s="191"/>
      <c r="I8" s="191"/>
      <c r="J8" s="191"/>
      <c r="K8" s="191"/>
      <c r="L8" s="191"/>
      <c r="M8" s="191"/>
      <c r="N8" s="191"/>
      <c r="O8" s="191"/>
      <c r="P8" s="191"/>
      <c r="Q8" s="191"/>
    </row>
    <row r="9" spans="2:17" ht="31.5" customHeight="1" x14ac:dyDescent="0.2">
      <c r="B9" s="261" t="s">
        <v>102</v>
      </c>
      <c r="C9" s="261"/>
      <c r="D9" s="261"/>
      <c r="E9" s="261"/>
      <c r="F9" s="261"/>
      <c r="G9" s="261"/>
      <c r="H9" s="261"/>
      <c r="I9" s="261"/>
      <c r="J9" s="261"/>
      <c r="K9" s="261"/>
      <c r="L9" s="261"/>
      <c r="M9" s="261"/>
      <c r="N9" s="261"/>
      <c r="O9" s="261"/>
      <c r="P9" s="261"/>
      <c r="Q9" s="261"/>
    </row>
    <row r="10" spans="2:17" ht="15" customHeight="1" x14ac:dyDescent="0.2">
      <c r="B10" s="192" t="s">
        <v>76</v>
      </c>
      <c r="C10" s="191"/>
      <c r="D10" s="191"/>
      <c r="E10" s="191"/>
      <c r="F10" s="191"/>
      <c r="G10" s="191"/>
      <c r="H10" s="191"/>
      <c r="I10" s="191"/>
      <c r="J10" s="191"/>
      <c r="K10" s="191"/>
      <c r="L10" s="191"/>
      <c r="M10" s="191"/>
      <c r="N10" s="191"/>
      <c r="O10" s="191"/>
      <c r="P10" s="191"/>
      <c r="Q10" s="191"/>
    </row>
    <row r="11" spans="2:17" ht="15" customHeight="1" x14ac:dyDescent="0.2">
      <c r="B11" s="193" t="s">
        <v>77</v>
      </c>
      <c r="C11" s="191"/>
      <c r="D11" s="191"/>
      <c r="E11" s="191"/>
      <c r="F11" s="191"/>
      <c r="G11" s="191"/>
      <c r="H11" s="191"/>
      <c r="I11" s="191"/>
      <c r="J11" s="191"/>
      <c r="K11" s="191"/>
      <c r="L11" s="191"/>
      <c r="M11" s="191"/>
      <c r="N11" s="191"/>
      <c r="O11" s="191"/>
      <c r="P11" s="191"/>
      <c r="Q11" s="191"/>
    </row>
    <row r="12" spans="2:17" ht="15" customHeight="1" x14ac:dyDescent="0.2"/>
    <row r="13" spans="2:17" ht="72" customHeight="1" x14ac:dyDescent="0.2">
      <c r="B13" s="262"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2017 nog niet beschikbaar is, nog niet gepubliceerd en/of gedeponeerd bij Kamer van Koophandel, kan volstaan worden met minimaal het boekjaar 2016 als meest recent. Ondernemingen die in hun jaarrekening een gebroken boekjaar hanteren moeten in deze situatie het boekjaar 2017/2016 als het meest recent afgesloten boekjaar beschouwen.</v>
      </c>
      <c r="C13" s="262"/>
      <c r="D13" s="262"/>
      <c r="E13" s="262"/>
      <c r="F13" s="262"/>
      <c r="G13" s="262"/>
      <c r="H13" s="262"/>
      <c r="I13" s="262"/>
      <c r="J13" s="262"/>
      <c r="K13" s="262"/>
      <c r="L13" s="262"/>
      <c r="M13" s="262"/>
      <c r="N13" s="262"/>
      <c r="O13" s="262"/>
      <c r="P13" s="262"/>
      <c r="Q13" s="262"/>
    </row>
    <row r="14" spans="2:17" ht="15" customHeight="1" x14ac:dyDescent="0.2">
      <c r="B14" s="194"/>
      <c r="C14" s="194"/>
      <c r="D14" s="194"/>
      <c r="E14" s="194"/>
      <c r="F14" s="194"/>
      <c r="G14" s="194"/>
      <c r="H14" s="194"/>
      <c r="I14" s="194"/>
      <c r="J14" s="194"/>
      <c r="K14" s="194"/>
      <c r="L14" s="194"/>
      <c r="M14" s="194"/>
      <c r="N14" s="194"/>
      <c r="O14" s="194"/>
      <c r="P14" s="194"/>
      <c r="Q14" s="194"/>
    </row>
    <row r="15" spans="2:17" ht="15" customHeight="1" x14ac:dyDescent="0.25">
      <c r="B15" s="195" t="s">
        <v>78</v>
      </c>
      <c r="C15" s="194"/>
      <c r="D15" s="194"/>
      <c r="E15" s="194"/>
      <c r="F15" s="194"/>
      <c r="G15" s="194"/>
      <c r="H15" s="194"/>
      <c r="I15" s="194"/>
      <c r="J15" s="194"/>
      <c r="K15" s="194"/>
      <c r="L15" s="194"/>
      <c r="M15" s="194"/>
      <c r="N15" s="194"/>
      <c r="O15" s="194"/>
      <c r="P15" s="194"/>
      <c r="Q15" s="194"/>
    </row>
    <row r="16" spans="2:17" ht="15" customHeight="1" x14ac:dyDescent="0.2">
      <c r="B16" s="192" t="s">
        <v>79</v>
      </c>
      <c r="C16" s="194"/>
      <c r="D16" s="194"/>
      <c r="E16" s="194"/>
      <c r="F16" s="194"/>
      <c r="G16" s="194"/>
      <c r="H16" s="194"/>
      <c r="I16" s="194"/>
      <c r="J16" s="194"/>
      <c r="K16" s="194"/>
      <c r="L16" s="194"/>
      <c r="M16" s="194"/>
      <c r="N16" s="194"/>
      <c r="O16" s="194"/>
      <c r="P16" s="194"/>
      <c r="Q16" s="194"/>
    </row>
    <row r="17" spans="2:17" ht="15" customHeight="1" x14ac:dyDescent="0.2">
      <c r="B17" s="194"/>
      <c r="C17" s="194"/>
      <c r="D17" s="194"/>
      <c r="E17" s="194"/>
      <c r="F17" s="194"/>
      <c r="G17" s="194"/>
      <c r="H17" s="194"/>
      <c r="I17" s="194"/>
      <c r="J17" s="194"/>
      <c r="K17" s="194"/>
      <c r="L17" s="194"/>
      <c r="M17" s="194"/>
      <c r="N17" s="194"/>
      <c r="O17" s="194"/>
      <c r="P17" s="194"/>
      <c r="Q17" s="194"/>
    </row>
    <row r="18" spans="2:17" ht="15" customHeight="1" x14ac:dyDescent="0.3">
      <c r="B18" s="192" t="s">
        <v>80</v>
      </c>
      <c r="C18" s="196">
        <f>+HULP!D15</f>
        <v>0.2</v>
      </c>
      <c r="D18" s="193" t="s">
        <v>81</v>
      </c>
    </row>
    <row r="19" spans="2:17" ht="15" customHeight="1" x14ac:dyDescent="0.3">
      <c r="B19" s="192" t="s">
        <v>82</v>
      </c>
      <c r="C19" s="196">
        <f>+HULP!E15</f>
        <v>0.5</v>
      </c>
      <c r="D19" s="193" t="s">
        <v>81</v>
      </c>
    </row>
    <row r="20" spans="2:17" ht="15" customHeight="1" x14ac:dyDescent="0.3">
      <c r="B20" s="197" t="s">
        <v>83</v>
      </c>
      <c r="D20" s="192" t="s">
        <v>84</v>
      </c>
    </row>
    <row r="21" spans="2:17" ht="15" customHeight="1" x14ac:dyDescent="0.2">
      <c r="B21" s="192"/>
    </row>
    <row r="22" spans="2:17" ht="15" customHeight="1" x14ac:dyDescent="0.2">
      <c r="B22" s="192" t="s">
        <v>85</v>
      </c>
    </row>
    <row r="23" spans="2:17" ht="15" customHeight="1" x14ac:dyDescent="0.2">
      <c r="B23" s="192" t="s">
        <v>86</v>
      </c>
      <c r="C23" s="196">
        <f>+HULP!D15</f>
        <v>0.2</v>
      </c>
      <c r="D23" s="193" t="s">
        <v>87</v>
      </c>
    </row>
    <row r="24" spans="2:17" ht="15" customHeight="1" x14ac:dyDescent="0.2">
      <c r="B24" s="192" t="str">
        <f>"● Solvabiliteit &gt; = "</f>
        <v xml:space="preserve">● Solvabiliteit &gt; = </v>
      </c>
      <c r="C24" s="196">
        <f>+HULP!D15</f>
        <v>0.2</v>
      </c>
      <c r="D24" s="192" t="str">
        <f>" en &lt; "</f>
        <v xml:space="preserve"> en &lt; </v>
      </c>
      <c r="E24" s="196">
        <f>+HULP!E15</f>
        <v>0.5</v>
      </c>
      <c r="F24" s="192"/>
    </row>
    <row r="25" spans="2:17" ht="15" customHeight="1" x14ac:dyDescent="0.2"/>
    <row r="26" spans="2:17" ht="15" customHeight="1" x14ac:dyDescent="0.2"/>
    <row r="27" spans="2:17" ht="15" customHeight="1" x14ac:dyDescent="0.2"/>
    <row r="28" spans="2:17" ht="15" customHeight="1" x14ac:dyDescent="0.2">
      <c r="B28" s="192" t="s">
        <v>88</v>
      </c>
      <c r="C28" s="196">
        <f>+HULP!E15</f>
        <v>0.5</v>
      </c>
      <c r="D28" s="192" t="s">
        <v>89</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98" t="s">
        <v>90</v>
      </c>
    </row>
    <row r="50" spans="2:4" ht="15" customHeight="1" x14ac:dyDescent="0.2"/>
    <row r="51" spans="2:4" ht="18" x14ac:dyDescent="0.25">
      <c r="B51" s="195" t="s">
        <v>92</v>
      </c>
    </row>
    <row r="52" spans="2:4" ht="15" customHeight="1" x14ac:dyDescent="0.2">
      <c r="B52" s="192" t="s">
        <v>93</v>
      </c>
    </row>
    <row r="53" spans="2:4" ht="15" customHeight="1" x14ac:dyDescent="0.2">
      <c r="B53" s="192" t="s">
        <v>94</v>
      </c>
    </row>
    <row r="54" spans="2:4" ht="15" customHeight="1" x14ac:dyDescent="0.2">
      <c r="B54" s="192"/>
    </row>
    <row r="55" spans="2:4" ht="15" customHeight="1" x14ac:dyDescent="0.3">
      <c r="B55" s="192" t="s">
        <v>95</v>
      </c>
      <c r="C55" s="199">
        <f>+HULP!$D$16</f>
        <v>1</v>
      </c>
      <c r="D55" s="193" t="s">
        <v>96</v>
      </c>
    </row>
    <row r="56" spans="2:4" ht="15" customHeight="1" x14ac:dyDescent="0.3">
      <c r="B56" s="192" t="s">
        <v>91</v>
      </c>
      <c r="C56" s="169">
        <f>+HULP!$E$16</f>
        <v>1.5</v>
      </c>
      <c r="D56" s="193" t="s">
        <v>96</v>
      </c>
    </row>
    <row r="57" spans="2:4" ht="15" customHeight="1" x14ac:dyDescent="0.3">
      <c r="B57" s="192" t="s">
        <v>83</v>
      </c>
      <c r="C57" s="192" t="s">
        <v>97</v>
      </c>
    </row>
    <row r="58" spans="2:4" ht="15" customHeight="1" x14ac:dyDescent="0.2">
      <c r="B58" s="192"/>
    </row>
    <row r="59" spans="2:4" ht="15" customHeight="1" x14ac:dyDescent="0.2">
      <c r="B59" s="192" t="s">
        <v>98</v>
      </c>
    </row>
    <row r="60" spans="2:4" ht="15" customHeight="1" x14ac:dyDescent="0.2">
      <c r="B60" s="192" t="s">
        <v>99</v>
      </c>
    </row>
    <row r="61" spans="2:4" ht="15" customHeight="1" x14ac:dyDescent="0.2">
      <c r="B61" s="192" t="s">
        <v>100</v>
      </c>
    </row>
    <row r="62" spans="2:4" ht="15" customHeight="1" x14ac:dyDescent="0.2">
      <c r="B62" s="191"/>
    </row>
    <row r="63" spans="2:4" ht="15" customHeight="1" x14ac:dyDescent="0.2">
      <c r="B63" s="192"/>
    </row>
    <row r="64" spans="2:4" ht="15" customHeight="1" x14ac:dyDescent="0.2">
      <c r="B64" s="192"/>
    </row>
    <row r="65" spans="2:2" ht="15" customHeight="1" x14ac:dyDescent="0.2">
      <c r="B65" s="192" t="s">
        <v>101</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200" t="s">
        <v>129</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T75"/>
  <sheetViews>
    <sheetView showGridLines="0" tabSelected="1" showOutlineSymbols="0" zoomScale="130" zoomScaleNormal="130" zoomScaleSheetLayoutView="100" workbookViewId="0">
      <pane ySplit="10" topLeftCell="A11" activePane="bottomLeft" state="frozen"/>
      <selection activeCell="C25" sqref="C25"/>
      <selection pane="bottomLeft" activeCell="B6" sqref="B6:G6"/>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20" ht="11.25" thickBot="1" x14ac:dyDescent="0.2"/>
    <row r="2" spans="1:20" ht="15" x14ac:dyDescent="0.2">
      <c r="A2" s="14"/>
      <c r="B2" s="238" t="s">
        <v>135</v>
      </c>
      <c r="C2" s="239"/>
      <c r="D2" s="239"/>
      <c r="E2" s="239"/>
      <c r="F2" s="239"/>
      <c r="G2" s="239"/>
      <c r="H2" s="239"/>
      <c r="I2" s="239"/>
      <c r="J2" s="240"/>
      <c r="K2" s="14"/>
      <c r="L2" s="14"/>
      <c r="M2" s="14"/>
      <c r="N2" s="14"/>
      <c r="O2" s="14"/>
    </row>
    <row r="3" spans="1:20" ht="12.75" x14ac:dyDescent="0.2">
      <c r="A3" s="14"/>
      <c r="B3" s="241" t="s">
        <v>69</v>
      </c>
      <c r="C3" s="242" t="s">
        <v>70</v>
      </c>
      <c r="D3" s="243"/>
      <c r="E3" s="243"/>
      <c r="F3" s="243"/>
      <c r="G3" s="243"/>
      <c r="H3" s="243"/>
      <c r="I3" s="243"/>
      <c r="J3" s="244"/>
      <c r="K3" s="14"/>
      <c r="L3" s="14"/>
      <c r="M3" s="14"/>
      <c r="N3" s="14"/>
      <c r="O3" s="14"/>
    </row>
    <row r="4" spans="1:20" ht="12.75" x14ac:dyDescent="0.2">
      <c r="A4" s="14"/>
      <c r="B4" s="241" t="s">
        <v>71</v>
      </c>
      <c r="C4" s="260">
        <v>44586</v>
      </c>
      <c r="D4" s="243"/>
      <c r="E4" s="243"/>
      <c r="F4" s="243"/>
      <c r="G4" s="243"/>
      <c r="H4" s="243"/>
      <c r="I4" s="243"/>
      <c r="J4" s="244"/>
      <c r="K4" s="14"/>
      <c r="L4" s="14"/>
      <c r="M4" s="14"/>
      <c r="N4" s="14"/>
      <c r="O4" s="14"/>
    </row>
    <row r="5" spans="1:20" ht="23.25" customHeight="1" x14ac:dyDescent="0.2">
      <c r="A5" s="14"/>
      <c r="B5" s="263" t="s">
        <v>136</v>
      </c>
      <c r="C5" s="264"/>
      <c r="D5" s="264"/>
      <c r="E5" s="264"/>
      <c r="F5" s="264"/>
      <c r="G5" s="264"/>
      <c r="H5" s="264"/>
      <c r="I5" s="245"/>
      <c r="J5" s="246"/>
      <c r="K5" s="14"/>
      <c r="L5" s="14"/>
      <c r="M5" s="14"/>
      <c r="O5" s="15" t="s">
        <v>54</v>
      </c>
      <c r="P5" s="15" t="s">
        <v>55</v>
      </c>
      <c r="Q5" s="15" t="s">
        <v>53</v>
      </c>
    </row>
    <row r="6" spans="1:20" ht="15" customHeight="1" x14ac:dyDescent="0.2">
      <c r="A6" s="14"/>
      <c r="B6" s="273" t="s">
        <v>131</v>
      </c>
      <c r="C6" s="274"/>
      <c r="D6" s="274"/>
      <c r="E6" s="274"/>
      <c r="F6" s="274"/>
      <c r="G6" s="274"/>
      <c r="H6" s="245"/>
      <c r="I6" s="245"/>
      <c r="J6" s="246"/>
      <c r="K6" s="14"/>
      <c r="L6" s="14"/>
      <c r="M6" s="14"/>
      <c r="O6" s="15"/>
      <c r="P6" s="15"/>
      <c r="Q6" s="15"/>
    </row>
    <row r="7" spans="1:20" ht="12.75" customHeight="1" x14ac:dyDescent="0.2">
      <c r="A7" s="14"/>
      <c r="B7" s="247"/>
      <c r="C7" s="248"/>
      <c r="D7" s="248"/>
      <c r="E7" s="249"/>
      <c r="F7" s="249"/>
      <c r="G7" s="249"/>
      <c r="H7" s="249"/>
      <c r="I7" s="249"/>
      <c r="J7" s="250"/>
      <c r="K7" s="14"/>
      <c r="L7" s="14"/>
      <c r="M7" s="14"/>
      <c r="N7" s="16">
        <v>2010</v>
      </c>
      <c r="O7" s="14" t="s">
        <v>49</v>
      </c>
      <c r="P7" s="17">
        <v>1</v>
      </c>
      <c r="Q7" s="18">
        <v>1000000</v>
      </c>
      <c r="T7" s="19"/>
    </row>
    <row r="8" spans="1:20" s="14" customFormat="1" ht="12.75" x14ac:dyDescent="0.2">
      <c r="B8" s="251" t="s">
        <v>68</v>
      </c>
      <c r="C8" s="271"/>
      <c r="D8" s="272"/>
      <c r="E8" s="249"/>
      <c r="F8" s="252"/>
      <c r="G8" s="252"/>
      <c r="H8" s="252"/>
      <c r="I8" s="237"/>
      <c r="J8" s="250" t="s">
        <v>130</v>
      </c>
      <c r="N8" s="16">
        <v>2011</v>
      </c>
      <c r="O8" s="14" t="s">
        <v>50</v>
      </c>
      <c r="P8" s="17">
        <v>1000</v>
      </c>
      <c r="Q8" s="18">
        <v>1000</v>
      </c>
    </row>
    <row r="9" spans="1:20" s="14" customFormat="1" ht="13.5" thickBot="1" x14ac:dyDescent="0.25">
      <c r="B9" s="253"/>
      <c r="C9" s="254"/>
      <c r="D9" s="254"/>
      <c r="E9" s="255"/>
      <c r="F9" s="254"/>
      <c r="G9" s="254"/>
      <c r="H9" s="254"/>
      <c r="I9" s="256"/>
      <c r="J9" s="257"/>
      <c r="N9" s="16"/>
      <c r="Q9" s="20">
        <f>VLOOKUP(D14,P7:$Q$8,2,FALSE)</f>
        <v>1000000</v>
      </c>
      <c r="R9" s="14" t="s">
        <v>56</v>
      </c>
    </row>
    <row r="10" spans="1:20" s="14" customFormat="1" ht="13.5" thickBot="1" x14ac:dyDescent="0.25">
      <c r="B10" s="21"/>
      <c r="E10" s="22"/>
      <c r="I10" s="23"/>
    </row>
    <row r="11" spans="1:20" s="14" customFormat="1" ht="15.75" thickBot="1" x14ac:dyDescent="0.25">
      <c r="B11" s="24" t="s">
        <v>1</v>
      </c>
      <c r="C11" s="25"/>
      <c r="D11" s="26"/>
      <c r="E11" s="27"/>
      <c r="F11" s="25"/>
      <c r="G11" s="25"/>
      <c r="H11" s="25"/>
      <c r="I11" s="28"/>
      <c r="J11" s="29"/>
    </row>
    <row r="12" spans="1:20" s="14" customFormat="1" ht="22.5" thickBot="1" x14ac:dyDescent="0.25">
      <c r="B12" s="30"/>
      <c r="C12" s="31" t="s">
        <v>66</v>
      </c>
      <c r="D12" s="270"/>
      <c r="E12" s="270"/>
      <c r="F12" s="270"/>
      <c r="G12" s="32"/>
      <c r="H12" s="32"/>
      <c r="I12" s="33"/>
      <c r="J12" s="34"/>
    </row>
    <row r="13" spans="1:20" s="14" customFormat="1" ht="13.5" thickBot="1" x14ac:dyDescent="0.25">
      <c r="B13" s="30"/>
      <c r="C13" s="32"/>
      <c r="D13" s="35"/>
      <c r="E13" s="36"/>
      <c r="F13" s="32"/>
      <c r="G13" s="32"/>
      <c r="H13" s="32"/>
      <c r="I13" s="33"/>
      <c r="J13" s="34"/>
    </row>
    <row r="14" spans="1:20" s="14" customFormat="1" ht="12.75" x14ac:dyDescent="0.2">
      <c r="B14" s="37"/>
      <c r="C14" s="38" t="s">
        <v>52</v>
      </c>
      <c r="D14" s="39">
        <v>1</v>
      </c>
      <c r="E14" s="32" t="s">
        <v>67</v>
      </c>
      <c r="F14" s="32"/>
      <c r="G14" s="32"/>
      <c r="H14" s="40"/>
      <c r="I14" s="33"/>
      <c r="J14" s="34"/>
    </row>
    <row r="15" spans="1:20" s="14" customFormat="1" ht="12.75" x14ac:dyDescent="0.2">
      <c r="B15" s="37"/>
      <c r="C15" s="38"/>
      <c r="D15" s="41"/>
      <c r="E15" s="32"/>
      <c r="F15" s="32"/>
      <c r="G15" s="32"/>
      <c r="H15" s="32"/>
      <c r="I15" s="33"/>
      <c r="J15" s="34"/>
    </row>
    <row r="16" spans="1:20" s="14" customFormat="1" ht="13.5" thickBot="1" x14ac:dyDescent="0.25">
      <c r="B16" s="30" t="s">
        <v>72</v>
      </c>
      <c r="C16" s="42"/>
      <c r="D16" s="43">
        <v>2020</v>
      </c>
      <c r="E16" s="44">
        <f>IF(D16="","", IF(D16&gt;1,D16-1))</f>
        <v>2019</v>
      </c>
      <c r="F16" s="44">
        <f>IF(D16="","", IF(D16&gt;1,D16-2))</f>
        <v>2018</v>
      </c>
      <c r="G16" s="42"/>
      <c r="H16" s="45"/>
      <c r="I16" s="45"/>
      <c r="J16" s="46"/>
    </row>
    <row r="17" spans="2:10" s="14" customFormat="1" ht="13.5" thickBot="1" x14ac:dyDescent="0.25">
      <c r="B17" s="37"/>
      <c r="C17" s="47"/>
      <c r="D17" s="48" t="s">
        <v>49</v>
      </c>
      <c r="E17" s="49" t="str">
        <f>+D17</f>
        <v>EUR</v>
      </c>
      <c r="F17" s="49" t="str">
        <f>+E17</f>
        <v>EUR</v>
      </c>
      <c r="G17" s="42" t="s">
        <v>2</v>
      </c>
      <c r="H17" s="32"/>
      <c r="I17" s="32"/>
      <c r="J17" s="34"/>
    </row>
    <row r="18" spans="2:10" s="14" customFormat="1" ht="12.75" x14ac:dyDescent="0.2">
      <c r="B18" s="50" t="s">
        <v>3</v>
      </c>
      <c r="C18" s="51"/>
      <c r="D18" s="52"/>
      <c r="E18" s="52"/>
      <c r="F18" s="52"/>
      <c r="G18" s="53"/>
      <c r="H18" s="54"/>
      <c r="I18" s="54"/>
      <c r="J18" s="55"/>
    </row>
    <row r="19" spans="2:10" s="14" customFormat="1" ht="12.75" x14ac:dyDescent="0.2">
      <c r="B19" s="56" t="s">
        <v>4</v>
      </c>
      <c r="C19" s="57"/>
      <c r="D19" s="58"/>
      <c r="E19" s="58"/>
      <c r="F19" s="58"/>
      <c r="G19" s="59"/>
      <c r="H19" s="60"/>
      <c r="I19" s="60"/>
      <c r="J19" s="61"/>
    </row>
    <row r="20" spans="2:10" s="14" customFormat="1" ht="12.75" x14ac:dyDescent="0.2">
      <c r="B20" s="62" t="s">
        <v>5</v>
      </c>
      <c r="C20" s="63"/>
      <c r="D20" s="52"/>
      <c r="E20" s="52"/>
      <c r="F20" s="52"/>
      <c r="G20" s="64" t="s">
        <v>132</v>
      </c>
      <c r="H20" s="60"/>
      <c r="I20" s="60"/>
      <c r="J20" s="61"/>
    </row>
    <row r="21" spans="2:10" s="14" customFormat="1" ht="12.75" x14ac:dyDescent="0.2">
      <c r="B21" s="65" t="s">
        <v>59</v>
      </c>
      <c r="C21" s="59"/>
      <c r="D21" s="66">
        <f>+TotaalVermogenN-VasteActivaN-LiquideMiddelenN</f>
        <v>0</v>
      </c>
      <c r="E21" s="66">
        <f>+TotaalVermogenNmin1-VasteActivaNmin1-LiquideMiddelenNmin1</f>
        <v>0</v>
      </c>
      <c r="F21" s="66">
        <f>+TotaalVermogenNmin2-VasteActivaNmin2-LiquideMiddelenNmin2</f>
        <v>0</v>
      </c>
      <c r="G21" s="64"/>
      <c r="H21" s="60"/>
      <c r="I21" s="60"/>
      <c r="J21" s="61"/>
    </row>
    <row r="22" spans="2:10" s="14" customFormat="1" ht="12.75" x14ac:dyDescent="0.2">
      <c r="B22" s="62" t="s">
        <v>6</v>
      </c>
      <c r="C22" s="63"/>
      <c r="D22" s="52"/>
      <c r="E22" s="52"/>
      <c r="F22" s="52"/>
      <c r="G22" s="59"/>
      <c r="H22" s="60"/>
      <c r="I22" s="60"/>
      <c r="J22" s="61"/>
    </row>
    <row r="23" spans="2:10" s="14" customFormat="1" ht="12.75" x14ac:dyDescent="0.2">
      <c r="B23" s="67"/>
      <c r="C23" s="68" t="s">
        <v>63</v>
      </c>
      <c r="D23" s="69">
        <f>+LiquideMiddelenN+D21</f>
        <v>0</v>
      </c>
      <c r="E23" s="69">
        <f>+LiquideMiddelenNmin1+E21</f>
        <v>0</v>
      </c>
      <c r="F23" s="69">
        <f>TotaalVermogenNmin2-VasteActivaNmin2</f>
        <v>0</v>
      </c>
      <c r="G23" s="59"/>
      <c r="H23" s="60"/>
      <c r="I23" s="60"/>
      <c r="J23" s="61"/>
    </row>
    <row r="24" spans="2:10" s="14" customFormat="1" ht="12.75" x14ac:dyDescent="0.2">
      <c r="B24" s="70"/>
      <c r="C24" s="71" t="s">
        <v>7</v>
      </c>
      <c r="D24" s="58">
        <f>+VlottendeActivaN+VasteActivaN</f>
        <v>0</v>
      </c>
      <c r="E24" s="58">
        <f>+VlottendeActivaNmin1+VasteActivaNmin1</f>
        <v>0</v>
      </c>
      <c r="F24" s="58">
        <f>+VlottendeActivaNmin2+VasteActivaNmin2</f>
        <v>0</v>
      </c>
      <c r="G24" s="72"/>
      <c r="H24" s="60"/>
      <c r="I24" s="60"/>
      <c r="J24" s="61"/>
    </row>
    <row r="25" spans="2:10" s="14" customFormat="1" ht="12.75" x14ac:dyDescent="0.2">
      <c r="B25" s="56" t="s">
        <v>8</v>
      </c>
      <c r="C25" s="57"/>
      <c r="D25" s="58"/>
      <c r="E25" s="58"/>
      <c r="F25" s="58"/>
      <c r="G25" s="59"/>
      <c r="H25" s="60"/>
      <c r="I25" s="60"/>
      <c r="J25" s="61"/>
    </row>
    <row r="26" spans="2:10" s="14" customFormat="1" ht="12.75" x14ac:dyDescent="0.2">
      <c r="B26" s="62" t="s">
        <v>9</v>
      </c>
      <c r="C26" s="63"/>
      <c r="D26" s="52"/>
      <c r="E26" s="52"/>
      <c r="F26" s="52"/>
      <c r="G26" s="64" t="s">
        <v>133</v>
      </c>
      <c r="H26" s="60"/>
      <c r="I26" s="60"/>
      <c r="J26" s="61"/>
    </row>
    <row r="27" spans="2:10" s="14" customFormat="1" ht="12.75" x14ac:dyDescent="0.2">
      <c r="B27" s="62" t="s">
        <v>10</v>
      </c>
      <c r="C27" s="63"/>
      <c r="D27" s="52"/>
      <c r="E27" s="52"/>
      <c r="F27" s="52"/>
      <c r="G27" s="64" t="s">
        <v>134</v>
      </c>
      <c r="H27" s="60"/>
      <c r="I27" s="60"/>
      <c r="J27" s="61"/>
    </row>
    <row r="28" spans="2:10" s="14" customFormat="1" ht="12.75" x14ac:dyDescent="0.2">
      <c r="B28" s="65" t="s">
        <v>11</v>
      </c>
      <c r="C28" s="59"/>
      <c r="D28" s="69">
        <f>TotaalVermogenN-EigenVermogenN-VreemdVermogenLangN</f>
        <v>0</v>
      </c>
      <c r="E28" s="69">
        <f>TotaalVermogenNmin1-EigenVermogenNmin1-VreemdVermogenLangNmin1</f>
        <v>0</v>
      </c>
      <c r="F28" s="69">
        <f>TotaalVermogenNmin2-EigenVermogenNmin2-VreemdVermogenLangNmin2</f>
        <v>0</v>
      </c>
      <c r="G28" s="59"/>
      <c r="H28" s="60"/>
      <c r="I28" s="60"/>
      <c r="J28" s="61"/>
    </row>
    <row r="29" spans="2:10" s="14" customFormat="1" ht="12.75" x14ac:dyDescent="0.2">
      <c r="B29" s="73"/>
      <c r="C29" s="74" t="s">
        <v>12</v>
      </c>
      <c r="D29" s="58">
        <f>TotaalVermogenN-EigenVermogenN</f>
        <v>0</v>
      </c>
      <c r="E29" s="58">
        <f>TotaalVermogenNmin1-EigenVermogenNmin1</f>
        <v>0</v>
      </c>
      <c r="F29" s="58">
        <f>TotaalVermogenNmin2-EigenVermogenNmin2</f>
        <v>0</v>
      </c>
      <c r="G29" s="64"/>
      <c r="H29" s="60"/>
      <c r="I29" s="60"/>
      <c r="J29" s="61"/>
    </row>
    <row r="30" spans="2:10" s="14" customFormat="1" ht="13.5" thickBot="1" x14ac:dyDescent="0.25">
      <c r="B30" s="75"/>
      <c r="C30" s="76" t="s">
        <v>13</v>
      </c>
      <c r="D30" s="77">
        <f>SUM(D26:D28)</f>
        <v>0</v>
      </c>
      <c r="E30" s="77">
        <f>SUM(E26:E28)</f>
        <v>0</v>
      </c>
      <c r="F30" s="77">
        <f>SUM(F26:F28)</f>
        <v>0</v>
      </c>
      <c r="G30" s="78"/>
      <c r="H30" s="79"/>
      <c r="I30" s="79"/>
      <c r="J30" s="80"/>
    </row>
    <row r="31" spans="2:10" s="14" customFormat="1" ht="13.5" thickBot="1" x14ac:dyDescent="0.25">
      <c r="H31" s="60"/>
    </row>
    <row r="32" spans="2:10" s="14" customFormat="1" ht="22.5" thickBot="1" x14ac:dyDescent="0.25">
      <c r="B32" s="81" t="s">
        <v>14</v>
      </c>
      <c r="C32" s="82"/>
      <c r="D32" s="83">
        <f>D16</f>
        <v>2020</v>
      </c>
      <c r="E32" s="83">
        <f>E16</f>
        <v>2019</v>
      </c>
      <c r="F32" s="83">
        <f>F16</f>
        <v>2018</v>
      </c>
      <c r="G32" s="83" t="s">
        <v>62</v>
      </c>
      <c r="H32" s="84" t="s">
        <v>51</v>
      </c>
      <c r="I32" s="85"/>
      <c r="J32" s="86" t="s">
        <v>48</v>
      </c>
    </row>
    <row r="33" spans="1:11" s="14" customFormat="1" ht="14.25" customHeight="1" x14ac:dyDescent="0.2">
      <c r="B33" s="87"/>
      <c r="C33" s="88"/>
      <c r="D33" s="89"/>
      <c r="E33" s="89"/>
      <c r="F33" s="89"/>
      <c r="G33" s="90"/>
      <c r="H33" s="91"/>
      <c r="I33" s="85"/>
      <c r="J33" s="92"/>
    </row>
    <row r="34" spans="1:11" s="14" customFormat="1" ht="12.75" customHeight="1" x14ac:dyDescent="0.2">
      <c r="B34" s="93"/>
      <c r="C34" s="94" t="s">
        <v>15</v>
      </c>
      <c r="D34" s="95">
        <f>WeegfactorjaarN</f>
        <v>4</v>
      </c>
      <c r="E34" s="95">
        <f>WeegfactorjaarNmin1</f>
        <v>2</v>
      </c>
      <c r="F34" s="95">
        <f>WeegfactorjaarNmin2</f>
        <v>1</v>
      </c>
      <c r="G34" s="96"/>
      <c r="H34" s="97"/>
      <c r="I34" s="85"/>
      <c r="J34" s="92"/>
    </row>
    <row r="35" spans="1:11" s="103" customFormat="1" ht="12" customHeight="1" thickBot="1" x14ac:dyDescent="0.25">
      <c r="A35" s="14"/>
      <c r="B35" s="93"/>
      <c r="C35" s="98"/>
      <c r="D35" s="99"/>
      <c r="E35" s="100"/>
      <c r="F35" s="100"/>
      <c r="G35" s="101"/>
      <c r="H35" s="102"/>
      <c r="I35" s="85"/>
      <c r="J35" s="92"/>
    </row>
    <row r="36" spans="1:11" s="103" customFormat="1" ht="12.75" x14ac:dyDescent="0.2">
      <c r="A36" s="14"/>
      <c r="B36" s="104" t="s">
        <v>16</v>
      </c>
      <c r="C36" s="94" t="s">
        <v>17</v>
      </c>
      <c r="D36" s="105">
        <f>IF(TotaalVermogenN=0,0,EigenVermogenN/TotaalVermogenN)</f>
        <v>0</v>
      </c>
      <c r="E36" s="105">
        <f>IF(TotaalVermogenNmin1=0,0,EigenVermogenNmin1/TotaalVermogenNmin1)</f>
        <v>0</v>
      </c>
      <c r="F36" s="105">
        <f>IF(TotaalVermogenNmin2=0,0,EigenVermogenNmin2/TotaalVermogenNmin2)</f>
        <v>0</v>
      </c>
      <c r="G36" s="106">
        <f>C44</f>
        <v>0.2</v>
      </c>
      <c r="H36" s="107">
        <f>(((SolvabiliteitN*D34)+(SolvabiliteitNmin1*E34)+(SolvabiliteitNmin2*F34))/weegfactortotaal)</f>
        <v>0</v>
      </c>
      <c r="I36" s="60"/>
      <c r="J36" s="108" t="str">
        <f>IF(TotaalVermogenN=0,"",IF(SolvabiliteitGemiddeld&gt;=G44,G45,IF(AND(E44&lt;SolvabiliteitGemiddeld,SolvabiliteitGemiddeld&lt;G44),ROUND(1+((SolvabiliteitGemiddeld-E44)*((G45-E45)/(G44-E44))),2),IF(SolvabiliteitGemiddeld=E44,1,0))))</f>
        <v/>
      </c>
    </row>
    <row r="37" spans="1:11" s="103" customFormat="1" ht="13.5" thickBot="1" x14ac:dyDescent="0.25">
      <c r="A37" s="14"/>
      <c r="B37" s="109" t="s">
        <v>18</v>
      </c>
      <c r="C37" s="110" t="s">
        <v>19</v>
      </c>
      <c r="D37" s="111">
        <f>IF(TotaalVermogenN=0,0,IF(VreemdVermogenKortN=0,1.5,VlottendeActivaN/VreemdVermogenKortN))</f>
        <v>0</v>
      </c>
      <c r="E37" s="111">
        <f>IF(TotaalVermogenNmin1=0,0,IF(VreemdVermogenKortNmin1=0,1.5,VlottendeActivaNmin1/VreemdVermogenKortNmin1))</f>
        <v>0</v>
      </c>
      <c r="F37" s="111">
        <f>IF(TotaalVermogenNmin2=0,0,IF(VreemdVermogenKortNmin2=0,1.5,VlottendeActivaNmin2/VreemdVermogenKortNmin2))</f>
        <v>0</v>
      </c>
      <c r="G37" s="112">
        <f>E46</f>
        <v>1</v>
      </c>
      <c r="H37" s="113">
        <f>(((CurrentRatioNmin2*F34)+(CurrentRatioNmin1*E34)+(CurrentRatioN*D34))/weegfactortotaal)</f>
        <v>0</v>
      </c>
      <c r="I37" s="60"/>
      <c r="J37" s="114" t="str">
        <f>IF(LiquideMiddelenN="","",IF(CurrentRatioGemiddeld&gt;=G46,G47,IF(AND(E46&lt;CurrentRatioGemiddeld,CurrentRatioGemiddeld&lt;G46),ROUND(1+(((CurrentRatioGemiddeld-E46)/(G46-E46))*(G47-E47)),2),IF(CurrentRatioGemiddeld=E46,1,0))))</f>
        <v/>
      </c>
    </row>
    <row r="38" spans="1:11" s="103" customFormat="1" ht="13.5" thickBot="1" x14ac:dyDescent="0.25">
      <c r="A38" s="14"/>
      <c r="B38" s="115"/>
      <c r="C38" s="116"/>
      <c r="D38" s="117"/>
      <c r="E38" s="117"/>
      <c r="F38" s="117"/>
      <c r="G38" s="118"/>
      <c r="H38" s="117"/>
      <c r="I38" s="60"/>
      <c r="J38" s="92"/>
    </row>
    <row r="39" spans="1:11" s="103" customFormat="1" ht="13.5" thickBot="1" x14ac:dyDescent="0.25">
      <c r="A39" s="14"/>
      <c r="B39" s="115"/>
      <c r="C39" s="116"/>
      <c r="D39" s="117"/>
      <c r="E39" s="117"/>
      <c r="G39" s="118"/>
      <c r="H39" s="119" t="s">
        <v>47</v>
      </c>
      <c r="I39" s="60"/>
      <c r="J39" s="120">
        <f>SUM(J36:J37)</f>
        <v>0</v>
      </c>
      <c r="K39" s="103">
        <f>SUM(K36:K37)</f>
        <v>0</v>
      </c>
    </row>
    <row r="40" spans="1:11" s="103" customFormat="1" ht="13.5" thickBot="1" x14ac:dyDescent="0.25">
      <c r="A40" s="14"/>
      <c r="B40" s="121"/>
      <c r="C40" s="122"/>
      <c r="D40" s="14"/>
      <c r="E40" s="123"/>
      <c r="F40" s="123"/>
      <c r="G40" s="123"/>
      <c r="H40" s="123"/>
      <c r="I40" s="124"/>
      <c r="J40" s="60"/>
    </row>
    <row r="41" spans="1:11" s="14" customFormat="1" ht="13.5" thickBot="1" x14ac:dyDescent="0.25">
      <c r="B41" s="125" t="s">
        <v>20</v>
      </c>
      <c r="C41" s="126"/>
      <c r="D41" s="126"/>
      <c r="E41" s="126"/>
      <c r="F41" s="126"/>
      <c r="G41" s="126"/>
      <c r="H41" s="127"/>
      <c r="I41" s="54"/>
      <c r="J41" s="55"/>
    </row>
    <row r="42" spans="1:11" s="14" customFormat="1" ht="24.75" customHeight="1" thickBot="1" x14ac:dyDescent="0.25">
      <c r="B42" s="129" t="s">
        <v>21</v>
      </c>
      <c r="C42" s="130" t="s">
        <v>22</v>
      </c>
      <c r="D42" s="130" t="s">
        <v>21</v>
      </c>
      <c r="E42" s="130" t="s">
        <v>62</v>
      </c>
      <c r="F42" s="130" t="s">
        <v>64</v>
      </c>
      <c r="G42" s="168" t="s">
        <v>73</v>
      </c>
      <c r="H42" s="131"/>
      <c r="I42" s="133"/>
      <c r="J42" s="61"/>
    </row>
    <row r="43" spans="1:11" s="14" customFormat="1" ht="7.5" customHeight="1" thickBot="1" x14ac:dyDescent="0.25">
      <c r="B43" s="128"/>
      <c r="C43" s="60"/>
      <c r="D43" s="132"/>
      <c r="E43" s="133"/>
      <c r="F43" s="134"/>
      <c r="G43" s="134"/>
      <c r="H43" s="134"/>
      <c r="I43" s="133"/>
      <c r="J43" s="61"/>
    </row>
    <row r="44" spans="1:11" s="14" customFormat="1" ht="12.75" x14ac:dyDescent="0.2">
      <c r="B44" s="135" t="s">
        <v>16</v>
      </c>
      <c r="C44" s="136">
        <v>0.2</v>
      </c>
      <c r="D44" s="137" t="s">
        <v>23</v>
      </c>
      <c r="E44" s="138">
        <v>0.2</v>
      </c>
      <c r="F44" s="139" t="str">
        <f>E44*100&amp;"% - "&amp;G44*100&amp;"%"</f>
        <v>20% - 50%</v>
      </c>
      <c r="G44" s="140">
        <v>0.5</v>
      </c>
      <c r="H44" s="141"/>
      <c r="I44" s="60"/>
      <c r="J44" s="61"/>
    </row>
    <row r="45" spans="1:11" s="14" customFormat="1" ht="12.75" x14ac:dyDescent="0.2">
      <c r="B45" s="142" t="s">
        <v>17</v>
      </c>
      <c r="C45" s="143"/>
      <c r="D45" s="94" t="s">
        <v>24</v>
      </c>
      <c r="E45" s="143">
        <v>1</v>
      </c>
      <c r="F45" s="144" t="str">
        <f>E45&amp;" tot "&amp;G45</f>
        <v>1 tot 4</v>
      </c>
      <c r="G45" s="145">
        <v>4</v>
      </c>
      <c r="H45" s="146"/>
      <c r="I45" s="60"/>
      <c r="J45" s="61"/>
    </row>
    <row r="46" spans="1:11" s="14" customFormat="1" ht="12.75" x14ac:dyDescent="0.2">
      <c r="B46" s="147" t="s">
        <v>18</v>
      </c>
      <c r="C46" s="148">
        <v>1</v>
      </c>
      <c r="D46" s="149" t="str">
        <f>D44</f>
        <v>Norm: &gt;=</v>
      </c>
      <c r="E46" s="150">
        <f>C46</f>
        <v>1</v>
      </c>
      <c r="F46" s="150" t="str">
        <f>E46&amp;" - "&amp;G46</f>
        <v>1 - 1,5</v>
      </c>
      <c r="G46" s="150">
        <v>1.5</v>
      </c>
      <c r="H46" s="151"/>
      <c r="I46" s="60"/>
      <c r="J46" s="61"/>
    </row>
    <row r="47" spans="1:11" s="14" customFormat="1" ht="13.5" thickBot="1" x14ac:dyDescent="0.25">
      <c r="B47" s="152" t="s">
        <v>25</v>
      </c>
      <c r="C47" s="153"/>
      <c r="D47" s="110" t="s">
        <v>24</v>
      </c>
      <c r="E47" s="153">
        <v>1</v>
      </c>
      <c r="F47" s="154" t="str">
        <f>E47&amp;" tot "&amp;G47</f>
        <v>1 tot 3</v>
      </c>
      <c r="G47" s="153">
        <v>3</v>
      </c>
      <c r="H47" s="155"/>
      <c r="I47" s="60"/>
      <c r="J47" s="61"/>
    </row>
    <row r="48" spans="1:11" s="14" customFormat="1" ht="12.75" x14ac:dyDescent="0.2">
      <c r="B48" s="156"/>
      <c r="C48" s="157"/>
      <c r="D48" s="132"/>
      <c r="E48" s="133"/>
      <c r="F48" s="134"/>
      <c r="G48" s="134"/>
      <c r="H48" s="134"/>
      <c r="I48" s="133"/>
      <c r="J48" s="61"/>
    </row>
    <row r="49" spans="2:10" s="14" customFormat="1" ht="12.75" x14ac:dyDescent="0.2">
      <c r="B49" s="158" t="s">
        <v>26</v>
      </c>
      <c r="C49" s="159"/>
      <c r="D49" s="60"/>
      <c r="E49" s="60"/>
      <c r="F49" s="60"/>
      <c r="G49" s="60"/>
      <c r="H49" s="60"/>
      <c r="I49" s="60"/>
      <c r="J49" s="61"/>
    </row>
    <row r="50" spans="2:10" s="14" customFormat="1" ht="12.75" x14ac:dyDescent="0.2">
      <c r="B50" s="160" t="str">
        <f>"1) De inschrijver dient gemiddeld een waardering te verkrijgen van minimaal 2 punten, onder de volgende voorwaarden:"</f>
        <v>1) De inschrijver dient gemiddeld een waardering te verkrijgen van minimaal 2 punten, onder de volgende voorwaarden:</v>
      </c>
      <c r="C50" s="157"/>
      <c r="D50" s="60"/>
      <c r="E50" s="60"/>
      <c r="F50" s="60"/>
      <c r="G50" s="60"/>
      <c r="H50" s="60"/>
      <c r="I50" s="60"/>
      <c r="J50" s="61"/>
    </row>
    <row r="51" spans="2:10" s="14" customFormat="1" ht="12.75" customHeight="1" x14ac:dyDescent="0.2">
      <c r="B51" s="265" t="s">
        <v>61</v>
      </c>
      <c r="C51" s="267"/>
      <c r="D51" s="267"/>
      <c r="E51" s="267"/>
      <c r="F51" s="267"/>
      <c r="G51" s="267"/>
      <c r="H51" s="267"/>
      <c r="I51" s="60"/>
      <c r="J51" s="61"/>
    </row>
    <row r="52" spans="2:10" s="14" customFormat="1" ht="12.75" customHeight="1" x14ac:dyDescent="0.2">
      <c r="B52" s="268" t="str">
        <f>"- er dient een minimale score van 1 punt op rentabiliteit behaald te worden. "</f>
        <v xml:space="preserve">- er dient een minimale score van 1 punt op rentabiliteit behaald te worden. </v>
      </c>
      <c r="C52" s="269"/>
      <c r="D52" s="269"/>
      <c r="E52" s="269"/>
      <c r="F52" s="269"/>
      <c r="G52" s="269"/>
      <c r="H52" s="269"/>
      <c r="I52" s="60"/>
      <c r="J52" s="61"/>
    </row>
    <row r="53" spans="2:10" s="14" customFormat="1" ht="12.75" x14ac:dyDescent="0.2">
      <c r="B53" s="265" t="s">
        <v>60</v>
      </c>
      <c r="C53" s="266"/>
      <c r="D53" s="266"/>
      <c r="E53" s="266"/>
      <c r="F53" s="266"/>
      <c r="G53" s="266"/>
      <c r="H53" s="266"/>
      <c r="I53" s="60"/>
      <c r="J53" s="61"/>
    </row>
    <row r="54" spans="2:10" s="14" customFormat="1" ht="12.75" x14ac:dyDescent="0.2">
      <c r="B54" s="161"/>
      <c r="C54" s="162"/>
      <c r="D54" s="163"/>
      <c r="E54" s="133"/>
      <c r="F54" s="133"/>
      <c r="G54" s="133"/>
      <c r="H54" s="133"/>
      <c r="I54" s="133"/>
      <c r="J54" s="61"/>
    </row>
    <row r="55" spans="2:10" s="14" customFormat="1" ht="12.75" x14ac:dyDescent="0.2">
      <c r="B55" s="158" t="s">
        <v>27</v>
      </c>
      <c r="C55" s="162"/>
      <c r="D55" s="163"/>
      <c r="E55" s="133"/>
      <c r="F55" s="133"/>
      <c r="G55" s="133"/>
      <c r="H55" s="133"/>
      <c r="I55" s="133"/>
      <c r="J55" s="61"/>
    </row>
    <row r="56" spans="2:10" s="14" customFormat="1" ht="12.75" x14ac:dyDescent="0.2">
      <c r="B56" s="160" t="s">
        <v>28</v>
      </c>
      <c r="C56" s="157"/>
      <c r="D56" s="132"/>
      <c r="E56" s="133"/>
      <c r="F56" s="133"/>
      <c r="G56" s="133"/>
      <c r="H56" s="133"/>
      <c r="I56" s="133"/>
      <c r="J56" s="61"/>
    </row>
    <row r="57" spans="2:10" s="14" customFormat="1" ht="12.75" x14ac:dyDescent="0.2">
      <c r="B57" s="156" t="s">
        <v>57</v>
      </c>
      <c r="C57" s="157"/>
      <c r="D57" s="132"/>
      <c r="E57" s="133"/>
      <c r="F57" s="133"/>
      <c r="G57" s="133"/>
      <c r="H57" s="133"/>
      <c r="I57" s="133"/>
      <c r="J57" s="61"/>
    </row>
    <row r="58" spans="2:10" s="14" customFormat="1" ht="12.75" x14ac:dyDescent="0.2">
      <c r="B58" s="164" t="str">
        <f>"           - jaar "&amp;F16&amp;" "&amp;F34&amp; "/"&amp;SUM(D34:F34)</f>
        <v xml:space="preserve">           - jaar 2018 1/7</v>
      </c>
      <c r="C58" s="157"/>
      <c r="D58" s="132"/>
      <c r="E58" s="133"/>
      <c r="F58" s="133"/>
      <c r="G58" s="133"/>
      <c r="H58" s="133"/>
      <c r="I58" s="133"/>
      <c r="J58" s="61"/>
    </row>
    <row r="59" spans="2:10" s="14" customFormat="1" ht="12.75" x14ac:dyDescent="0.2">
      <c r="B59" s="164" t="str">
        <f>"           - jaar "&amp;E16&amp;" "&amp;E34&amp;"/"&amp;SUM(D34:F34)</f>
        <v xml:space="preserve">           - jaar 2019 2/7</v>
      </c>
      <c r="C59" s="157"/>
      <c r="D59" s="132"/>
      <c r="E59" s="133"/>
      <c r="F59" s="133"/>
      <c r="G59" s="133"/>
      <c r="H59" s="133"/>
      <c r="I59" s="133"/>
      <c r="J59" s="61"/>
    </row>
    <row r="60" spans="2:10" s="14" customFormat="1" ht="12.75" x14ac:dyDescent="0.2">
      <c r="B60" s="164" t="str">
        <f>"           - jaar "&amp;D16&amp;" "&amp;D34&amp; "/"&amp;SUM(D34:F34)</f>
        <v xml:space="preserve">           - jaar 2020 4/7</v>
      </c>
      <c r="C60" s="157"/>
      <c r="D60" s="133"/>
      <c r="E60" s="133"/>
      <c r="F60" s="133"/>
      <c r="G60" s="133"/>
      <c r="H60" s="133"/>
      <c r="I60" s="133"/>
      <c r="J60" s="61"/>
    </row>
    <row r="61" spans="2:10" s="14" customFormat="1" ht="13.5" thickBot="1" x14ac:dyDescent="0.25">
      <c r="B61" s="165"/>
      <c r="C61" s="79"/>
      <c r="D61" s="79"/>
      <c r="E61" s="79"/>
      <c r="F61" s="79"/>
      <c r="G61" s="79"/>
      <c r="H61" s="79"/>
      <c r="I61" s="79"/>
      <c r="J61" s="80"/>
    </row>
    <row r="62" spans="2:10" s="14" customFormat="1" ht="12.75" x14ac:dyDescent="0.2"/>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c r="D68" s="166"/>
      <c r="E68" s="166"/>
      <c r="F68" s="166"/>
    </row>
    <row r="69" spans="4:6" s="14" customFormat="1" ht="12.75" x14ac:dyDescent="0.2">
      <c r="F69" s="167"/>
    </row>
    <row r="70" spans="4:6" s="14" customFormat="1" ht="12.75" x14ac:dyDescent="0.2"/>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sheetData>
  <sheetProtection selectLockedCells="1"/>
  <mergeCells count="7">
    <mergeCell ref="B5:H5"/>
    <mergeCell ref="B53:H53"/>
    <mergeCell ref="B51:H51"/>
    <mergeCell ref="B52:H52"/>
    <mergeCell ref="D12:F12"/>
    <mergeCell ref="C8:D8"/>
    <mergeCell ref="B6:G6"/>
  </mergeCells>
  <conditionalFormatting sqref="J39">
    <cfRule type="expression" dxfId="3" priority="13" stopIfTrue="1">
      <formula>AND($J$36&gt;=1,$J$37&gt;=1)</formula>
    </cfRule>
    <cfRule type="expression" dxfId="2" priority="14" stopIfTrue="1">
      <formula>OR($K$39&lt;3,$J$39&lt;4)</formula>
    </cfRule>
    <cfRule type="expression" dxfId="1" priority="1">
      <formula>AND($J$36="",$J$37="")</formula>
    </cfRule>
  </conditionalFormatting>
  <conditionalFormatting sqref="E22:F22">
    <cfRule type="cellIs" dxfId="0" priority="15" stopIfTrue="1" operator="greaterThan">
      <formula>"VlottendeActivaNmin1"</formula>
    </cfRule>
  </conditionalFormatting>
  <conditionalFormatting sqref="K36">
    <cfRule type="expression" priority="11">
      <formula>$J$36&gt;=1</formula>
    </cfRule>
    <cfRule type="iconSet" priority="12">
      <iconSet iconSet="3TrafficLights2">
        <cfvo type="percent" val="0"/>
        <cfvo type="percent" val="33"/>
        <cfvo type="percent" val="67"/>
      </iconSet>
    </cfRule>
  </conditionalFormatting>
  <conditionalFormatting sqref="J37">
    <cfRule type="iconSet" priority="9">
      <iconSet>
        <cfvo type="percent" val="0"/>
        <cfvo type="num" val="0"/>
        <cfvo type="num" val="1"/>
      </iconSet>
    </cfRule>
  </conditionalFormatting>
  <dataValidations count="2">
    <dataValidation type="list" allowBlank="1" showInputMessage="1" showErrorMessage="1" sqref="D14" xr:uid="{00000000-0002-0000-0100-000000000000}">
      <formula1>$P$7:$P$8</formula1>
    </dataValidation>
    <dataValidation type="list" allowBlank="1" showInputMessage="1" showErrorMessage="1" promptTitle="Meest recente boekjaar" prompt="Vul hier het meest recente boekjaar in, keuze uit 2019 of 2020_x000a_" sqref="D16" xr:uid="{00000000-0002-0000-0100-000001000000}">
      <formula1>"2019,2020"</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58</v>
      </c>
      <c r="C1" s="1" t="s">
        <v>65</v>
      </c>
    </row>
    <row r="3" spans="2:6" x14ac:dyDescent="0.2">
      <c r="B3" s="1" t="s">
        <v>29</v>
      </c>
      <c r="C3" s="1" t="s">
        <v>29</v>
      </c>
    </row>
    <row r="5" spans="2:6" x14ac:dyDescent="0.2">
      <c r="B5" s="1" t="s">
        <v>30</v>
      </c>
      <c r="C5" s="1">
        <v>4</v>
      </c>
    </row>
    <row r="6" spans="2:6" x14ac:dyDescent="0.2">
      <c r="B6" s="1" t="s">
        <v>31</v>
      </c>
      <c r="C6" s="1">
        <v>2</v>
      </c>
    </row>
    <row r="7" spans="2:6" x14ac:dyDescent="0.2">
      <c r="B7" s="1" t="s">
        <v>32</v>
      </c>
      <c r="C7" s="1">
        <v>1</v>
      </c>
    </row>
    <row r="8" spans="2:6" x14ac:dyDescent="0.2">
      <c r="B8" s="1" t="s">
        <v>33</v>
      </c>
      <c r="C8" s="1">
        <f>SUM(C5:C7)</f>
        <v>7</v>
      </c>
    </row>
    <row r="10" spans="2:6" x14ac:dyDescent="0.2">
      <c r="B10" s="1" t="s">
        <v>34</v>
      </c>
      <c r="C10" s="2">
        <v>1</v>
      </c>
    </row>
    <row r="12" spans="2:6" x14ac:dyDescent="0.2">
      <c r="B12" s="3" t="s">
        <v>35</v>
      </c>
      <c r="C12" s="4"/>
      <c r="D12" s="5"/>
      <c r="E12" s="4"/>
      <c r="F12" s="4"/>
    </row>
    <row r="13" spans="2:6" x14ac:dyDescent="0.2">
      <c r="B13" s="4"/>
      <c r="C13" s="4"/>
      <c r="D13" s="6"/>
      <c r="E13" s="6"/>
      <c r="F13" s="6"/>
    </row>
    <row r="14" spans="2:6" x14ac:dyDescent="0.2">
      <c r="B14" s="6" t="s">
        <v>36</v>
      </c>
      <c r="C14" s="4" t="s">
        <v>0</v>
      </c>
      <c r="D14" s="6" t="s">
        <v>37</v>
      </c>
      <c r="E14" s="6" t="s">
        <v>38</v>
      </c>
      <c r="F14" s="6"/>
    </row>
    <row r="15" spans="2:6" x14ac:dyDescent="0.2">
      <c r="B15" s="7">
        <v>1</v>
      </c>
      <c r="C15" s="8" t="s">
        <v>39</v>
      </c>
      <c r="D15" s="8">
        <v>0</v>
      </c>
      <c r="E15" s="8">
        <v>1</v>
      </c>
      <c r="F15" s="8">
        <f>IF(InschrijvenPerceel1=1,D15,0)</f>
        <v>0</v>
      </c>
    </row>
    <row r="16" spans="2:6" x14ac:dyDescent="0.2">
      <c r="B16" s="7">
        <v>2</v>
      </c>
      <c r="C16" s="8" t="s">
        <v>40</v>
      </c>
      <c r="D16" s="8">
        <v>0</v>
      </c>
      <c r="E16" s="8">
        <v>1</v>
      </c>
      <c r="F16" s="8">
        <f>IF(InschrijvenPerceel2=1,D16,0)</f>
        <v>0</v>
      </c>
    </row>
    <row r="17" spans="2:7" x14ac:dyDescent="0.2">
      <c r="B17" s="7">
        <v>3</v>
      </c>
      <c r="C17" s="8" t="s">
        <v>41</v>
      </c>
      <c r="D17" s="8">
        <v>0</v>
      </c>
      <c r="E17" s="8">
        <v>1</v>
      </c>
      <c r="F17" s="8">
        <f>IF(InschrijvenPerceel3=1,D17,0)</f>
        <v>0</v>
      </c>
    </row>
    <row r="18" spans="2:7" x14ac:dyDescent="0.2">
      <c r="B18" s="7">
        <v>4</v>
      </c>
      <c r="C18" s="8" t="s">
        <v>42</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43</v>
      </c>
    </row>
    <row r="20" spans="2:7" x14ac:dyDescent="0.2">
      <c r="G20" s="1">
        <f>+Omzetwaarde</f>
        <v>0</v>
      </c>
    </row>
    <row r="21" spans="2:7" x14ac:dyDescent="0.2">
      <c r="B21" s="1" t="s">
        <v>44</v>
      </c>
      <c r="C21" s="1" t="s">
        <v>45</v>
      </c>
    </row>
    <row r="22" spans="2:7" x14ac:dyDescent="0.2">
      <c r="C22" s="1" t="s">
        <v>46</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A58" workbookViewId="0">
      <selection activeCell="J96" sqref="J96"/>
    </sheetView>
  </sheetViews>
  <sheetFormatPr defaultColWidth="0" defaultRowHeight="14.25" zeroHeight="1" x14ac:dyDescent="0.2"/>
  <cols>
    <col min="1" max="1" width="3.28515625" style="201" customWidth="1"/>
    <col min="2" max="2" width="17.5703125" style="201" customWidth="1"/>
    <col min="3" max="11" width="14.7109375" style="201" customWidth="1"/>
    <col min="12" max="13" width="9.140625" style="201" customWidth="1"/>
    <col min="14" max="22" width="0" style="201" hidden="1" customWidth="1"/>
    <col min="23" max="16384" width="9.140625" style="201" hidden="1"/>
  </cols>
  <sheetData>
    <row r="1" spans="2:22" x14ac:dyDescent="0.2"/>
    <row r="2" spans="2:22" ht="22.5" x14ac:dyDescent="0.3">
      <c r="B2" s="236" t="s">
        <v>128</v>
      </c>
      <c r="C2" s="215"/>
      <c r="D2" s="214"/>
      <c r="E2" s="214"/>
      <c r="F2" s="214"/>
      <c r="G2" s="214"/>
      <c r="H2" s="214"/>
      <c r="I2" s="214"/>
    </row>
    <row r="3" spans="2:22" x14ac:dyDescent="0.2">
      <c r="B3" s="235"/>
      <c r="C3" s="215"/>
      <c r="D3" s="214"/>
      <c r="E3" s="214"/>
      <c r="F3" s="214"/>
      <c r="G3" s="214"/>
      <c r="H3" s="214"/>
      <c r="I3" s="214"/>
    </row>
    <row r="4" spans="2:22" x14ac:dyDescent="0.2">
      <c r="B4" s="235"/>
      <c r="C4" s="215"/>
      <c r="D4" s="214"/>
      <c r="E4" s="214"/>
      <c r="F4" s="214"/>
      <c r="G4" s="214"/>
      <c r="H4" s="214"/>
      <c r="I4" s="214"/>
    </row>
    <row r="5" spans="2:22" ht="12.75" customHeight="1" x14ac:dyDescent="0.2">
      <c r="B5" s="234"/>
      <c r="C5" s="211" t="s">
        <v>127</v>
      </c>
      <c r="D5" s="211"/>
      <c r="E5" s="211"/>
      <c r="F5" s="211"/>
      <c r="G5" s="211"/>
      <c r="H5" s="211"/>
      <c r="I5" s="210"/>
      <c r="N5" s="224"/>
      <c r="O5" s="224"/>
      <c r="P5" s="224"/>
      <c r="Q5" s="224"/>
      <c r="R5" s="224"/>
      <c r="S5" s="224"/>
      <c r="T5" s="224"/>
      <c r="U5" s="224"/>
      <c r="V5" s="224"/>
    </row>
    <row r="6" spans="2:22" x14ac:dyDescent="0.2">
      <c r="B6" s="209" t="s">
        <v>125</v>
      </c>
      <c r="C6" s="207" t="s">
        <v>126</v>
      </c>
      <c r="D6" s="207" t="s">
        <v>125</v>
      </c>
      <c r="E6" s="207" t="s">
        <v>54</v>
      </c>
      <c r="F6" s="207"/>
      <c r="G6" s="207" t="s">
        <v>124</v>
      </c>
      <c r="H6" s="207" t="s">
        <v>123</v>
      </c>
      <c r="I6" s="206" t="s">
        <v>122</v>
      </c>
      <c r="M6" s="224"/>
      <c r="N6" s="224"/>
      <c r="O6" s="224"/>
      <c r="P6" s="224"/>
      <c r="Q6" s="224"/>
      <c r="R6" s="224"/>
      <c r="S6" s="224"/>
      <c r="T6" s="224"/>
      <c r="U6" s="224"/>
      <c r="V6" s="224"/>
    </row>
    <row r="7" spans="2:22" x14ac:dyDescent="0.2">
      <c r="B7" s="233" t="s">
        <v>121</v>
      </c>
      <c r="C7" s="232">
        <v>4</v>
      </c>
      <c r="D7" s="216">
        <v>2017</v>
      </c>
      <c r="E7" s="231" t="s">
        <v>49</v>
      </c>
      <c r="F7" s="230"/>
      <c r="G7" s="229">
        <v>1</v>
      </c>
      <c r="H7" s="228">
        <v>1</v>
      </c>
      <c r="I7" s="227">
        <v>1000000</v>
      </c>
      <c r="M7" s="224"/>
      <c r="N7" s="224"/>
      <c r="O7" s="224"/>
      <c r="P7" s="224"/>
      <c r="Q7" s="224"/>
      <c r="R7" s="224"/>
      <c r="S7" s="224"/>
      <c r="T7" s="224"/>
      <c r="U7" s="224"/>
      <c r="V7" s="224"/>
    </row>
    <row r="8" spans="2:22" x14ac:dyDescent="0.2">
      <c r="B8" s="233" t="s">
        <v>120</v>
      </c>
      <c r="C8" s="232">
        <v>2</v>
      </c>
      <c r="D8" s="216">
        <v>2016</v>
      </c>
      <c r="E8" s="231" t="s">
        <v>49</v>
      </c>
      <c r="F8" s="230"/>
      <c r="G8" s="229">
        <v>0</v>
      </c>
      <c r="H8" s="228">
        <v>1000</v>
      </c>
      <c r="I8" s="227">
        <v>1000</v>
      </c>
      <c r="M8" s="224"/>
      <c r="N8" s="224"/>
      <c r="O8" s="224"/>
      <c r="P8" s="224"/>
      <c r="Q8" s="224"/>
      <c r="R8" s="224"/>
      <c r="S8" s="224"/>
      <c r="T8" s="224"/>
      <c r="U8" s="224"/>
      <c r="V8" s="224"/>
    </row>
    <row r="9" spans="2:22" x14ac:dyDescent="0.2">
      <c r="B9" s="233" t="s">
        <v>119</v>
      </c>
      <c r="C9" s="232">
        <v>1</v>
      </c>
      <c r="D9" s="216">
        <v>2015</v>
      </c>
      <c r="E9" s="231" t="s">
        <v>49</v>
      </c>
      <c r="F9" s="230"/>
      <c r="G9" s="229">
        <f>SUM(G7:G8)</f>
        <v>1</v>
      </c>
      <c r="H9" s="228">
        <v>1000000</v>
      </c>
      <c r="I9" s="227">
        <v>1</v>
      </c>
      <c r="M9" s="224"/>
      <c r="N9" s="224"/>
      <c r="O9" s="224"/>
      <c r="P9" s="224"/>
      <c r="Q9" s="224"/>
      <c r="R9" s="224"/>
      <c r="S9" s="224"/>
      <c r="T9" s="224"/>
      <c r="U9" s="224"/>
      <c r="V9" s="224"/>
    </row>
    <row r="10" spans="2:22" x14ac:dyDescent="0.2">
      <c r="B10" s="214"/>
      <c r="C10" s="215"/>
      <c r="D10" s="226"/>
      <c r="E10" s="215"/>
      <c r="F10" s="215"/>
      <c r="G10" s="215"/>
      <c r="H10" s="214"/>
      <c r="I10" s="225">
        <v>1000</v>
      </c>
      <c r="J10" s="201" t="s">
        <v>118</v>
      </c>
      <c r="M10" s="224"/>
      <c r="N10" s="224"/>
      <c r="O10" s="224"/>
      <c r="P10" s="224"/>
      <c r="Q10" s="224"/>
      <c r="R10" s="224"/>
      <c r="S10" s="224"/>
      <c r="T10" s="224"/>
      <c r="U10" s="224"/>
      <c r="V10" s="224"/>
    </row>
    <row r="11" spans="2:22" x14ac:dyDescent="0.2">
      <c r="B11" s="214"/>
      <c r="C11" s="215"/>
      <c r="D11" s="214"/>
      <c r="E11" s="214"/>
      <c r="F11" s="214"/>
      <c r="G11" s="214"/>
      <c r="H11" s="214"/>
      <c r="I11" s="214"/>
    </row>
    <row r="12" spans="2:22" x14ac:dyDescent="0.2">
      <c r="B12" s="214"/>
      <c r="C12" s="215"/>
      <c r="D12" s="214"/>
      <c r="E12" s="214"/>
      <c r="F12" s="214"/>
      <c r="G12" s="214"/>
      <c r="H12" s="214"/>
      <c r="I12" s="214"/>
    </row>
    <row r="13" spans="2:22" x14ac:dyDescent="0.2">
      <c r="B13" s="213" t="s">
        <v>117</v>
      </c>
      <c r="C13" s="211"/>
      <c r="D13" s="212" t="s">
        <v>116</v>
      </c>
      <c r="E13" s="212" t="s">
        <v>115</v>
      </c>
      <c r="F13" s="211"/>
      <c r="G13" s="211"/>
      <c r="H13" s="211"/>
      <c r="I13" s="210"/>
    </row>
    <row r="14" spans="2:22" x14ac:dyDescent="0.2">
      <c r="B14" s="209"/>
      <c r="C14" s="207"/>
      <c r="D14" s="208" t="s">
        <v>114</v>
      </c>
      <c r="E14" s="208" t="s">
        <v>114</v>
      </c>
      <c r="F14" s="207" t="s">
        <v>113</v>
      </c>
      <c r="G14" s="207"/>
      <c r="H14" s="207"/>
      <c r="I14" s="206"/>
    </row>
    <row r="15" spans="2:22" x14ac:dyDescent="0.2">
      <c r="B15" s="218"/>
      <c r="C15" s="217" t="s">
        <v>16</v>
      </c>
      <c r="D15" s="223">
        <v>0.2</v>
      </c>
      <c r="E15" s="222">
        <f>+D15+0.3</f>
        <v>0.5</v>
      </c>
      <c r="F15" s="218" t="s">
        <v>112</v>
      </c>
      <c r="G15" s="220"/>
      <c r="H15" s="220"/>
      <c r="I15" s="219"/>
    </row>
    <row r="16" spans="2:22" x14ac:dyDescent="0.2">
      <c r="B16" s="218"/>
      <c r="C16" s="217" t="s">
        <v>18</v>
      </c>
      <c r="D16" s="221">
        <v>1</v>
      </c>
      <c r="E16" s="221">
        <v>1.5</v>
      </c>
      <c r="F16" s="218" t="s">
        <v>111</v>
      </c>
      <c r="G16" s="220"/>
      <c r="H16" s="220"/>
      <c r="I16" s="219"/>
    </row>
    <row r="17" spans="2:11" x14ac:dyDescent="0.2">
      <c r="B17" s="214"/>
      <c r="C17" s="215"/>
      <c r="D17" s="214"/>
      <c r="E17" s="214"/>
      <c r="F17" s="214"/>
      <c r="G17" s="214"/>
      <c r="H17" s="214"/>
      <c r="I17" s="214"/>
    </row>
    <row r="18" spans="2:11" x14ac:dyDescent="0.2">
      <c r="B18" s="218"/>
      <c r="C18" s="217" t="s">
        <v>110</v>
      </c>
      <c r="D18" s="216">
        <v>2017</v>
      </c>
      <c r="E18" s="214"/>
      <c r="F18" s="214"/>
      <c r="G18" s="214"/>
      <c r="H18" s="214"/>
      <c r="I18" s="214"/>
    </row>
    <row r="19" spans="2:11" x14ac:dyDescent="0.2">
      <c r="B19" s="214"/>
      <c r="C19" s="215"/>
      <c r="D19" s="214"/>
      <c r="E19" s="214"/>
      <c r="F19" s="214"/>
      <c r="G19" s="214"/>
      <c r="H19" s="214"/>
      <c r="I19" s="214"/>
    </row>
    <row r="20" spans="2:11" x14ac:dyDescent="0.2"/>
    <row r="21" spans="2:11" x14ac:dyDescent="0.2">
      <c r="B21" s="213" t="s">
        <v>109</v>
      </c>
      <c r="C21" s="211"/>
      <c r="D21" s="212"/>
      <c r="E21" s="212"/>
      <c r="F21" s="211"/>
      <c r="G21" s="211"/>
      <c r="H21" s="211"/>
      <c r="I21" s="211"/>
      <c r="J21" s="211"/>
      <c r="K21" s="210"/>
    </row>
    <row r="22" spans="2:11" x14ac:dyDescent="0.2">
      <c r="B22" s="209"/>
      <c r="C22" s="207"/>
      <c r="D22" s="208"/>
      <c r="E22" s="208"/>
      <c r="F22" s="207"/>
      <c r="G22" s="207"/>
      <c r="H22" s="207"/>
      <c r="I22" s="207"/>
      <c r="J22" s="207"/>
      <c r="K22" s="206"/>
    </row>
    <row r="23" spans="2:11" x14ac:dyDescent="0.2"/>
    <row r="24" spans="2:11" x14ac:dyDescent="0.2"/>
    <row r="25" spans="2:11" x14ac:dyDescent="0.2">
      <c r="B25" s="204" t="s">
        <v>108</v>
      </c>
      <c r="C25" s="204"/>
      <c r="E25" s="258"/>
    </row>
    <row r="26" spans="2:11" x14ac:dyDescent="0.2">
      <c r="E26" s="258"/>
    </row>
    <row r="27" spans="2:11" x14ac:dyDescent="0.2">
      <c r="B27" s="201" t="s">
        <v>16</v>
      </c>
      <c r="C27" s="205">
        <f>+D15</f>
        <v>0.2</v>
      </c>
      <c r="D27" s="205">
        <f t="shared" ref="D27:K27" si="0">+C27+0.1</f>
        <v>0.30000000000000004</v>
      </c>
      <c r="E27" s="259">
        <f t="shared" si="0"/>
        <v>0.4</v>
      </c>
      <c r="F27" s="205">
        <f t="shared" si="0"/>
        <v>0.5</v>
      </c>
      <c r="G27" s="205">
        <f t="shared" si="0"/>
        <v>0.6</v>
      </c>
      <c r="H27" s="205">
        <f t="shared" si="0"/>
        <v>0.7</v>
      </c>
      <c r="I27" s="205">
        <f t="shared" si="0"/>
        <v>0.79999999999999993</v>
      </c>
      <c r="J27" s="205">
        <f t="shared" si="0"/>
        <v>0.89999999999999991</v>
      </c>
      <c r="K27" s="205">
        <f t="shared" si="0"/>
        <v>0.99999999999999989</v>
      </c>
    </row>
    <row r="28" spans="2:11" x14ac:dyDescent="0.2">
      <c r="B28" s="201" t="s">
        <v>103</v>
      </c>
      <c r="C28" s="201">
        <v>1</v>
      </c>
      <c r="D28" s="201">
        <v>2</v>
      </c>
      <c r="E28" s="201">
        <v>3</v>
      </c>
      <c r="F28" s="201">
        <v>4</v>
      </c>
      <c r="G28" s="201">
        <v>4</v>
      </c>
      <c r="H28" s="201">
        <v>4</v>
      </c>
      <c r="I28" s="201">
        <v>4</v>
      </c>
      <c r="J28" s="201">
        <v>4</v>
      </c>
      <c r="K28" s="201">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204" t="s">
        <v>107</v>
      </c>
      <c r="C58" s="204"/>
    </row>
    <row r="59" spans="2:12" x14ac:dyDescent="0.2"/>
    <row r="60" spans="2:12" x14ac:dyDescent="0.2">
      <c r="B60" s="201" t="s">
        <v>106</v>
      </c>
      <c r="C60" s="205">
        <v>0</v>
      </c>
      <c r="D60" s="205">
        <f t="shared" ref="D60:J60" si="1">+C60+0.1</f>
        <v>0.1</v>
      </c>
      <c r="E60" s="205">
        <f t="shared" si="1"/>
        <v>0.2</v>
      </c>
      <c r="F60" s="205">
        <f t="shared" si="1"/>
        <v>0.30000000000000004</v>
      </c>
      <c r="G60" s="205">
        <f t="shared" si="1"/>
        <v>0.4</v>
      </c>
      <c r="H60" s="205">
        <f t="shared" si="1"/>
        <v>0.5</v>
      </c>
      <c r="I60" s="205">
        <f t="shared" si="1"/>
        <v>0.6</v>
      </c>
      <c r="J60" s="205">
        <f t="shared" si="1"/>
        <v>0.7</v>
      </c>
      <c r="K60" s="205"/>
      <c r="L60" s="205"/>
    </row>
    <row r="61" spans="2:12" x14ac:dyDescent="0.2">
      <c r="B61" s="201" t="s">
        <v>103</v>
      </c>
      <c r="C61" s="201">
        <v>1</v>
      </c>
      <c r="D61" s="201">
        <v>2</v>
      </c>
      <c r="E61" s="201">
        <v>2</v>
      </c>
      <c r="F61" s="201">
        <v>2</v>
      </c>
      <c r="G61" s="201">
        <v>2</v>
      </c>
      <c r="H61" s="201">
        <v>2</v>
      </c>
      <c r="I61" s="201">
        <v>2</v>
      </c>
      <c r="J61" s="201">
        <v>2</v>
      </c>
    </row>
    <row r="62" spans="2:12" x14ac:dyDescent="0.2"/>
    <row r="63" spans="2:12" x14ac:dyDescent="0.2"/>
    <row r="64" spans="2:12" x14ac:dyDescent="0.2">
      <c r="B64" s="204" t="s">
        <v>105</v>
      </c>
      <c r="C64" s="204"/>
    </row>
    <row r="65" spans="2:11" x14ac:dyDescent="0.2"/>
    <row r="66" spans="2:11" x14ac:dyDescent="0.2">
      <c r="B66" s="201" t="s">
        <v>104</v>
      </c>
      <c r="C66" s="203">
        <v>1</v>
      </c>
      <c r="D66" s="203">
        <v>1.1000000000000001</v>
      </c>
      <c r="E66" s="203">
        <v>1.2</v>
      </c>
      <c r="F66" s="203">
        <v>1.3</v>
      </c>
      <c r="G66" s="203">
        <v>1.4</v>
      </c>
      <c r="H66" s="203">
        <v>1.5</v>
      </c>
      <c r="I66" s="203">
        <v>2</v>
      </c>
      <c r="J66" s="203">
        <v>3</v>
      </c>
      <c r="K66" s="203">
        <v>3</v>
      </c>
    </row>
    <row r="67" spans="2:11" x14ac:dyDescent="0.2">
      <c r="B67" s="201" t="s">
        <v>103</v>
      </c>
      <c r="C67" s="201">
        <v>1</v>
      </c>
      <c r="D67" s="202">
        <f>1+((+D66-$C$66)/0.5)*2</f>
        <v>1.4000000000000004</v>
      </c>
      <c r="E67" s="202">
        <f>1+((+E66-$C$66)/0.5)*2</f>
        <v>1.7999999999999998</v>
      </c>
      <c r="F67" s="202">
        <f>1+((+F66-$C$66)/0.5)*2</f>
        <v>2.2000000000000002</v>
      </c>
      <c r="G67" s="202">
        <f>1+((+G66-$C$66)/0.5)*2</f>
        <v>2.5999999999999996</v>
      </c>
      <c r="H67" s="202">
        <f>1+((+H66-$C$66)/0.5)*2</f>
        <v>3</v>
      </c>
      <c r="I67" s="202">
        <v>3</v>
      </c>
      <c r="J67" s="201">
        <v>3</v>
      </c>
      <c r="K67" s="201">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ssiernummer xmlns="50bd7b6c-278f-4085-b58b-8f8be0ea259b">CMIS0000003</Dossiernummer>
    <_Status xmlns="http://schemas.microsoft.com/sharepoint/v3/fields">Niet gestart</_Status>
    <PMW-rol xmlns="50bd7b6c-278f-4085-b58b-8f8be0ea259b">5 Contractmanagement</PMW-rol>
    <Taakveld xmlns="50bd7b6c-278f-4085-b58b-8f8be0ea259b">5.01 Contractvoorbereiding</Taakv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5EA1E246B5BA40963419934BDFB8C9" ma:contentTypeVersion="0" ma:contentTypeDescription="Een nieuw document maken." ma:contentTypeScope="" ma:versionID="a40f98d0c76bc6845b8c5cf1a856e2e1">
  <xsd:schema xmlns:xsd="http://www.w3.org/2001/XMLSchema" xmlns:xs="http://www.w3.org/2001/XMLSchema" xmlns:p="http://schemas.microsoft.com/office/2006/metadata/properties" xmlns:ns2="50bd7b6c-278f-4085-b58b-8f8be0ea259b" xmlns:ns3="http://schemas.microsoft.com/sharepoint/v3/fields" targetNamespace="http://schemas.microsoft.com/office/2006/metadata/properties" ma:root="true" ma:fieldsID="22a13e7ece22143c61db65253b0a313c" ns2:_="" ns3:_="">
    <xsd:import namespace="50bd7b6c-278f-4085-b58b-8f8be0ea259b"/>
    <xsd:import namespace="http://schemas.microsoft.com/sharepoint/v3/fields"/>
    <xsd:element name="properties">
      <xsd:complexType>
        <xsd:sequence>
          <xsd:element name="documentManagement">
            <xsd:complexType>
              <xsd:all>
                <xsd:element ref="ns2:Dossiernummer" minOccurs="0"/>
                <xsd:element ref="ns3:_Status" minOccurs="0"/>
                <xsd:element ref="ns2:PMW-rol" minOccurs="0"/>
                <xsd:element ref="ns2:Taakv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bd7b6c-278f-4085-b58b-8f8be0ea259b" elementFormDefault="qualified">
    <xsd:import namespace="http://schemas.microsoft.com/office/2006/documentManagement/types"/>
    <xsd:import namespace="http://schemas.microsoft.com/office/infopath/2007/PartnerControls"/>
    <xsd:element name="Dossiernummer" ma:index="8" nillable="true" ma:displayName="Dossiernummer" ma:default="HHNK/20002167" ma:internalName="Dossiernummer">
      <xsd:simpleType>
        <xsd:restriction base="dms:Text">
          <xsd:maxLength value="255"/>
        </xsd:restriction>
      </xsd:simpleType>
    </xsd:element>
    <xsd:element name="PMW-rol" ma:index="10" nillable="true" ma:displayName="PMW-rol" ma:format="Dropdown" ma:internalName="PMW_x002d_rol">
      <xsd:simpleType>
        <xsd:restriction base="dms:Choice">
          <xsd:enumeration value="1 Project Management"/>
          <xsd:enumeration value="2 Projectbeheersing"/>
          <xsd:enumeration value="3 Omgevingsmanagement"/>
          <xsd:enumeration value="4 Technisch Management"/>
          <xsd:enumeration value="5 Contractmanagement"/>
        </xsd:restriction>
      </xsd:simpleType>
    </xsd:element>
    <xsd:element name="Taakveld" ma:index="11" nillable="true" ma:displayName="Taakveld" ma:format="Dropdown" ma:internalName="Taakveld">
      <xsd:simpleType>
        <xsd:restriction base="dms:Choice">
          <xsd:enumeration value="1.01 Opdracht en of Opdrachtwijzigingen"/>
          <xsd:enumeration value="1.02 Plan van Aanpak en of Project Management Plan"/>
          <xsd:enumeration value="1.03 Bestuurs- en directiestukken"/>
          <xsd:enumeration value="1.04 Oplevering faseresultaat en of eindresultaat"/>
          <xsd:enumeration value="1.05 Samenwerkingsovereenkomsten"/>
          <xsd:enumeration value="1.06 Verbetermanagement"/>
          <xsd:enumeration value="1.07 Personeelszorg"/>
          <xsd:enumeration value="1.99 Periodiek overleg"/>
          <xsd:enumeration value="2.01 Financien"/>
          <xsd:enumeration value="2.02 Planning"/>
          <xsd:enumeration value="2.03 Risicomanagement"/>
          <xsd:enumeration value="2.04 Voortgangsrapportages"/>
          <xsd:enumeration value="2.05 Kwaliteit"/>
          <xsd:enumeration value="2.06 Organisatie"/>
          <xsd:enumeration value="2.99 Periodiek overleg"/>
          <xsd:enumeration value="3.01 Stakeholders"/>
          <xsd:enumeration value="3.02 Klanten Eisen Specificatie"/>
          <xsd:enumeration value="3.03 Communicatie"/>
          <xsd:enumeration value="3.04 Archeologie"/>
          <xsd:enumeration value="3.05 Cultuurhistorie"/>
          <xsd:enumeration value="3.06 Niet gesprongen explosieven"/>
          <xsd:enumeration value="3.07 Vergunningen en of Inspraakprocedures"/>
          <xsd:enumeration value="3.08 Milieu Effecten Rapportage"/>
          <xsd:enumeration value="3.09 Gecoordineerde besluitvorming"/>
          <xsd:enumeration value="3.10 Kabels en Leidingen"/>
          <xsd:enumeration value="3.11 Grondzaken"/>
          <xsd:enumeration value="3.12 Verkeersmanagement"/>
          <xsd:enumeration value="3.13 Juridica"/>
          <xsd:enumeration value="3.14 Natuur"/>
          <xsd:enumeration value="3.15 Bodem en Milieu"/>
          <xsd:enumeration value="3.99 Periodiek overleg"/>
          <xsd:enumeration value="4.01 Basisdata ontwerp"/>
          <xsd:enumeration value="4.02 Technische onderzoeken"/>
          <xsd:enumeration value="4.03 Programma van Eisen en of Systeem Eisen Specificatie"/>
          <xsd:enumeration value="4.04 Ontwerp"/>
          <xsd:enumeration value="4.05 Projectplan"/>
          <xsd:enumeration value="4.06 Realisatie en of AsBuilt"/>
          <xsd:enumeration value="4.07 Afspraken Beheer en Onderhoud"/>
          <xsd:enumeration value="4.99 Periodiek overleg"/>
          <xsd:enumeration value="5.01 Contractvoorbereiding"/>
          <xsd:enumeration value="5.02 Aanbesteding"/>
          <xsd:enumeration value="5.03 Gunning"/>
          <xsd:enumeration value="5.04 Contractbeheersing"/>
          <xsd:enumeration value="5.05 Oplevering"/>
          <xsd:enumeration value="5.99 Periodiek overleg"/>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nillable="true" ma:displayName="Status" ma:default="Niet gestart" ma:internalName="_Status">
      <xsd:simpleType>
        <xsd:union memberTypes="dms:Text">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7602CE-303E-448A-B11B-0554305B5168}">
  <ds:schemaRefs>
    <ds:schemaRef ds:uri="http://schemas.microsoft.com/sharepoint/v3/contenttype/forms"/>
  </ds:schemaRefs>
</ds:datastoreItem>
</file>

<file path=customXml/itemProps2.xml><?xml version="1.0" encoding="utf-8"?>
<ds:datastoreItem xmlns:ds="http://schemas.openxmlformats.org/officeDocument/2006/customXml" ds:itemID="{F3DC2C1C-4811-44BD-A5EC-16FBCEC832B1}">
  <ds:schemaRef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http://schemas.microsoft.com/sharepoint/v3/fields"/>
    <ds:schemaRef ds:uri="50bd7b6c-278f-4085-b58b-8f8be0ea259b"/>
    <ds:schemaRef ds:uri="http://purl.org/dc/terms/"/>
  </ds:schemaRefs>
</ds:datastoreItem>
</file>

<file path=customXml/itemProps3.xml><?xml version="1.0" encoding="utf-8"?>
<ds:datastoreItem xmlns:ds="http://schemas.openxmlformats.org/officeDocument/2006/customXml" ds:itemID="{B5B009E0-4516-4748-B110-264419C10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bd7b6c-278f-4085-b58b-8f8be0ea259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creator>M.A.</dc:creator>
  <cp:lastModifiedBy>Arends, Johan</cp:lastModifiedBy>
  <cp:lastPrinted>2010-03-19T08:33:14Z</cp:lastPrinted>
  <dcterms:created xsi:type="dcterms:W3CDTF">2005-12-12T14:07:38Z</dcterms:created>
  <dcterms:modified xsi:type="dcterms:W3CDTF">2022-01-25T16:42:51Z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0x010100A75EA1E246B5BA40963419934BDFB8C9</vt:lpwstr>
  </property>
</Properties>
</file>