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Stichting Proominent\Aanbesteding 2022\Uitlever\"/>
    </mc:Choice>
  </mc:AlternateContent>
  <xr:revisionPtr revIDLastSave="0" documentId="13_ncr:1_{6F8904C2-CDFF-4975-B771-ADC853F17AEB}" xr6:coauthVersionLast="45" xr6:coauthVersionMax="45" xr10:uidLastSave="{00000000-0000-0000-0000-000000000000}"/>
  <bookViews>
    <workbookView xWindow="-120" yWindow="-120" windowWidth="29040" windowHeight="15840" firstSheet="6" activeTab="11" xr2:uid="{252A87FD-262E-47AD-9776-02EB4A1FC7CB}"/>
  </bookViews>
  <sheets>
    <sheet name="Omreken" sheetId="1" r:id="rId1"/>
    <sheet name="Categorienormen" sheetId="2" r:id="rId2"/>
    <sheet name="Regulier werk" sheetId="3" r:id="rId3"/>
    <sheet name="Objectinformatie" sheetId="4" r:id="rId4"/>
    <sheet name="Objecten" sheetId="5" r:id="rId5"/>
    <sheet name="Niet-meewerkende objectleiding" sheetId="6" r:id="rId6"/>
    <sheet name="Totaalblad Objecten" sheetId="7" r:id="rId7"/>
    <sheet name="Afroep" sheetId="8" r:id="rId8"/>
    <sheet name="Afroep incidenteel" sheetId="9" r:id="rId9"/>
    <sheet name="Glas" sheetId="10" r:id="rId10"/>
    <sheet name="Glas per locatie" sheetId="11" r:id="rId11"/>
    <sheet name="Totaal" sheetId="12" r:id="rId12"/>
  </sheets>
  <definedNames>
    <definedName name="_xlnm.Print_Titles" localSheetId="7">Afroep!$1:$3</definedName>
    <definedName name="_xlnm.Print_Titles" localSheetId="8">'Afroep incidenteel'!$1:$3</definedName>
    <definedName name="_xlnm.Print_Titles" localSheetId="1">Categorienormen!$1:$3</definedName>
    <definedName name="_xlnm.Print_Titles" localSheetId="9">Glas!$1:$3</definedName>
    <definedName name="_xlnm.Print_Titles" localSheetId="10">'Glas per locatie'!$1:$3</definedName>
    <definedName name="_xlnm.Print_Titles" localSheetId="5">'Niet-meewerkende objectleiding'!$1:$3</definedName>
    <definedName name="_xlnm.Print_Titles" localSheetId="4">Objecten!$1:$3</definedName>
    <definedName name="_xlnm.Print_Titles" localSheetId="3">Objectinformatie!$A:$D,Objectinformatie!$1:$4</definedName>
    <definedName name="_xlnm.Print_Titles" localSheetId="2">'Regulier werk'!$1:$3</definedName>
    <definedName name="_xlnm.Print_Titles" localSheetId="11">Totaal!$1:$3</definedName>
    <definedName name="_xlnm.Print_Titles" localSheetId="6">'Totaalblad Objecten'!$1:$3</definedName>
    <definedName name="catdw_1_AHB_1">Categorienormen!$F$16</definedName>
    <definedName name="catdw_1_AHV_40">Categorienormen!$F$17</definedName>
    <definedName name="catdw_1_AZB_1">Categorienormen!$F$18</definedName>
    <definedName name="catdw_1_AZV_40">Categorienormen!$F$19</definedName>
    <definedName name="catdw_1_BHB_1">Categorienormen!$F$6</definedName>
    <definedName name="catdw_1_BHV_40">Categorienormen!$F$7</definedName>
    <definedName name="catdw_1_BZB_1">Categorienormen!$F$8</definedName>
    <definedName name="catdw_1_BZV_40">Categorienormen!$F$9</definedName>
    <definedName name="catdw_1_EHB_1">Categorienormen!$F$20</definedName>
    <definedName name="catdw_1_EHV_40">Categorienormen!$F$21</definedName>
    <definedName name="catdw_1_EZB_1">Categorienormen!$F$22</definedName>
    <definedName name="catdw_1_EZV_40">Categorienormen!$F$23</definedName>
    <definedName name="catdw_1_GHB_1">Categorienormen!$F$24</definedName>
    <definedName name="catdw_1_GHV_40">Categorienormen!$F$25</definedName>
    <definedName name="catdw_1_KHB_1">Categorienormen!$F$10</definedName>
    <definedName name="catdw_1_KHV_40">Categorienormen!$F$11</definedName>
    <definedName name="catdw_1_KZB_1">Categorienormen!$F$12</definedName>
    <definedName name="catdw_1_KZV_40">Categorienormen!$F$13</definedName>
    <definedName name="catdw_1_PHB_1">Categorienormen!$F$26</definedName>
    <definedName name="catdw_1_PHV_40">Categorienormen!$F$27</definedName>
    <definedName name="catdw_1_SHB_1">Categorienormen!$F$14</definedName>
    <definedName name="catdw_1_SHV_40">Categorienormen!$F$15</definedName>
    <definedName name="catdw_1_THB_1">Categorienormen!$F$28</definedName>
    <definedName name="catdw_1_THV_40">Categorienormen!$F$29</definedName>
    <definedName name="catdw_1_TZB_1">Categorienormen!$F$30</definedName>
    <definedName name="catdw_1_TZV_40">Categorienormen!$F$31</definedName>
    <definedName name="catdw_1_VHB_1">Categorienormen!$F$32</definedName>
    <definedName name="catdw_1_VHV_40">Categorienormen!$F$33</definedName>
    <definedName name="catdw_1_VZB_1">Categorienormen!$F$34</definedName>
    <definedName name="catdw_1_VZV_40">Categorienormen!$F$35</definedName>
    <definedName name="catdw_1_XBB_1">Categorienormen!$F$36</definedName>
    <definedName name="catfd_1_AHB_1">Categorienormen!$C$16</definedName>
    <definedName name="catfd_1_AHV_40">Categorienormen!$C$17</definedName>
    <definedName name="catfd_1_AZB_1">Categorienormen!$C$18</definedName>
    <definedName name="catfd_1_AZV_40">Categorienormen!$C$19</definedName>
    <definedName name="catfd_1_BHB_1">Categorienormen!$C$6</definedName>
    <definedName name="catfd_1_BHV_40">Categorienormen!$C$7</definedName>
    <definedName name="catfd_1_BZB_1">Categorienormen!$C$8</definedName>
    <definedName name="catfd_1_BZV_40">Categorienormen!$C$9</definedName>
    <definedName name="catfd_1_EHB_1">Categorienormen!$C$20</definedName>
    <definedName name="catfd_1_EHV_40">Categorienormen!$C$21</definedName>
    <definedName name="catfd_1_EZB_1">Categorienormen!$C$22</definedName>
    <definedName name="catfd_1_EZV_40">Categorienormen!$C$23</definedName>
    <definedName name="catfd_1_GHB_1">Categorienormen!$C$24</definedName>
    <definedName name="catfd_1_GHV_40">Categorienormen!$C$25</definedName>
    <definedName name="catfd_1_KHB_1">Categorienormen!$C$10</definedName>
    <definedName name="catfd_1_KHV_40">Categorienormen!$C$11</definedName>
    <definedName name="catfd_1_KZB_1">Categorienormen!$C$12</definedName>
    <definedName name="catfd_1_KZV_40">Categorienormen!$C$13</definedName>
    <definedName name="catfd_1_PHB_1">Categorienormen!$C$26</definedName>
    <definedName name="catfd_1_PHV_40">Categorienormen!$C$27</definedName>
    <definedName name="catfd_1_SHB_1">Categorienormen!$C$14</definedName>
    <definedName name="catfd_1_SHV_40">Categorienormen!$C$15</definedName>
    <definedName name="catfd_1_THB_1">Categorienormen!$C$28</definedName>
    <definedName name="catfd_1_THV_40">Categorienormen!$C$29</definedName>
    <definedName name="catfd_1_TZB_1">Categorienormen!$C$30</definedName>
    <definedName name="catfd_1_TZV_40">Categorienormen!$C$31</definedName>
    <definedName name="catfd_1_VHB_1">Categorienormen!$C$32</definedName>
    <definedName name="catfd_1_VHV_40">Categorienormen!$C$33</definedName>
    <definedName name="catfd_1_VZB_1">Categorienormen!$C$34</definedName>
    <definedName name="catfd_1_VZV_40">Categorienormen!$C$35</definedName>
    <definedName name="catfd_1_XBB_1">Categorienormen!$C$36</definedName>
    <definedName name="catpn_1_AHB_1">Categorienormen!$E$16</definedName>
    <definedName name="catpn_1_AHV_40">Categorienormen!$E$17</definedName>
    <definedName name="catpn_1_AZB_1">Categorienormen!$E$18</definedName>
    <definedName name="catpn_1_AZV_40">Categorienormen!$E$19</definedName>
    <definedName name="catpn_1_BHB_1">Categorienormen!$E$6</definedName>
    <definedName name="catpn_1_BHV_40">Categorienormen!$E$7</definedName>
    <definedName name="catpn_1_BZB_1">Categorienormen!$E$8</definedName>
    <definedName name="catpn_1_BZV_40">Categorienormen!$E$9</definedName>
    <definedName name="catpn_1_EHB_1">Categorienormen!$E$20</definedName>
    <definedName name="catpn_1_EHV_40">Categorienormen!$E$21</definedName>
    <definedName name="catpn_1_EZB_1">Categorienormen!$E$22</definedName>
    <definedName name="catpn_1_EZV_40">Categorienormen!$E$23</definedName>
    <definedName name="catpn_1_GHB_1">Categorienormen!$E$24</definedName>
    <definedName name="catpn_1_GHV_40">Categorienormen!$E$25</definedName>
    <definedName name="catpn_1_KHB_1">Categorienormen!$E$10</definedName>
    <definedName name="catpn_1_KHV_40">Categorienormen!$E$11</definedName>
    <definedName name="catpn_1_KZB_1">Categorienormen!$E$12</definedName>
    <definedName name="catpn_1_KZV_40">Categorienormen!$E$13</definedName>
    <definedName name="catpn_1_PHB_1">Categorienormen!$E$26</definedName>
    <definedName name="catpn_1_PHV_40">Categorienormen!$E$27</definedName>
    <definedName name="catpn_1_SHB_1">Categorienormen!$E$14</definedName>
    <definedName name="catpn_1_SHV_40">Categorienormen!$E$15</definedName>
    <definedName name="catpn_1_THB_1">Categorienormen!$E$28</definedName>
    <definedName name="catpn_1_THV_40">Categorienormen!$E$29</definedName>
    <definedName name="catpn_1_TZB_1">Categorienormen!$E$30</definedName>
    <definedName name="catpn_1_TZV_40">Categorienormen!$E$31</definedName>
    <definedName name="catpn_1_VHB_1">Categorienormen!$E$32</definedName>
    <definedName name="catpn_1_VHV_40">Categorienormen!$E$33</definedName>
    <definedName name="catpn_1_VZB_1">Categorienormen!$E$34</definedName>
    <definedName name="catpn_1_VZV_40">Categorienormen!$E$35</definedName>
    <definedName name="catpn_1_XBB_1">Categorienormen!$E$36</definedName>
    <definedName name="cattf_1_AHB_1">Categorienormen!$H$16</definedName>
    <definedName name="cattf_1_AHV_40">Categorienormen!$H$17</definedName>
    <definedName name="cattf_1_AZB_1">Categorienormen!$H$18</definedName>
    <definedName name="cattf_1_AZV_40">Categorienormen!$H$19</definedName>
    <definedName name="cattf_1_BHB_1">Categorienormen!$H$6</definedName>
    <definedName name="cattf_1_BHV_40">Categorienormen!$H$7</definedName>
    <definedName name="cattf_1_BZB_1">Categorienormen!$H$8</definedName>
    <definedName name="cattf_1_BZV_40">Categorienormen!$H$9</definedName>
    <definedName name="cattf_1_EHB_1">Categorienormen!$H$20</definedName>
    <definedName name="cattf_1_EHV_40">Categorienormen!$H$21</definedName>
    <definedName name="cattf_1_EZB_1">Categorienormen!$H$22</definedName>
    <definedName name="cattf_1_EZV_40">Categorienormen!$H$23</definedName>
    <definedName name="cattf_1_GHB_1">Categorienormen!$H$24</definedName>
    <definedName name="cattf_1_GHV_40">Categorienormen!$H$25</definedName>
    <definedName name="cattf_1_KHB_1">Categorienormen!$H$10</definedName>
    <definedName name="cattf_1_KHV_40">Categorienormen!$H$11</definedName>
    <definedName name="cattf_1_KZB_1">Categorienormen!$H$12</definedName>
    <definedName name="cattf_1_KZV_40">Categorienormen!$H$13</definedName>
    <definedName name="cattf_1_PHB_1">Categorienormen!$H$26</definedName>
    <definedName name="cattf_1_PHV_40">Categorienormen!$H$27</definedName>
    <definedName name="cattf_1_SHB_1">Categorienormen!$H$14</definedName>
    <definedName name="cattf_1_SHV_40">Categorienormen!$H$15</definedName>
    <definedName name="cattf_1_THB_1">Categorienormen!$H$28</definedName>
    <definedName name="cattf_1_THV_40">Categorienormen!$H$29</definedName>
    <definedName name="cattf_1_TZB_1">Categorienormen!$H$30</definedName>
    <definedName name="cattf_1_TZV_40">Categorienormen!$H$31</definedName>
    <definedName name="cattf_1_VHB_1">Categorienormen!$H$32</definedName>
    <definedName name="cattf_1_VHV_40">Categorienormen!$H$33</definedName>
    <definedName name="cattf_1_VZB_1">Categorienormen!$H$34</definedName>
    <definedName name="cattf_1_VZV_40">Categorienormen!$H$35</definedName>
    <definedName name="cattf_1_XBB_1">Categorienormen!$H$36</definedName>
    <definedName name="dagenperjaar1">Omreken!$B$9</definedName>
    <definedName name="dagenperweek1">Omreken!$B$10</definedName>
    <definedName name="dagsoorttabel1">Omreken!$A$13:$B$31</definedName>
    <definedName name="dagwerk10">'Regulier werk'!$H$7</definedName>
    <definedName name="dagwerk11">'Regulier werk'!$H$8</definedName>
    <definedName name="dagwerk12">'Regulier werk'!$H$9</definedName>
    <definedName name="dagwerk13">'Regulier werk'!$H$10</definedName>
    <definedName name="dagwerk14">'Regulier werk'!$H$11</definedName>
    <definedName name="dagwerk15">'Regulier werk'!$H$12</definedName>
    <definedName name="dagwerk16">'Regulier werk'!$H$13</definedName>
    <definedName name="dagwerk17">'Regulier werk'!$H$14</definedName>
    <definedName name="dagwerk18">'Regulier werk'!$H$15</definedName>
    <definedName name="dagwerk19">'Regulier werk'!$H$16</definedName>
    <definedName name="dagwerk20">'Regulier werk'!$H$17</definedName>
    <definedName name="dagwerk21">'Regulier werk'!$H$18</definedName>
    <definedName name="dagwerk22">'Regulier werk'!$H$19</definedName>
    <definedName name="dagwerk23">'Regulier werk'!$H$20</definedName>
    <definedName name="dagwerk24">'Regulier werk'!$H$21</definedName>
    <definedName name="dagwerk25">'Regulier werk'!$H$22</definedName>
    <definedName name="dagwerk26">'Regulier werk'!$H$23</definedName>
    <definedName name="dagwerk27">'Regulier werk'!$H$24</definedName>
    <definedName name="dagwerk28">'Regulier werk'!$H$25</definedName>
    <definedName name="dagwerk29">'Regulier werk'!$H$26</definedName>
    <definedName name="dagwerk30">'Regulier werk'!$H$27</definedName>
    <definedName name="dagwerk31">'Regulier werk'!$H$28</definedName>
    <definedName name="dagwerk32">'Regulier werk'!$H$29</definedName>
    <definedName name="dagwerk33">'Regulier werk'!$H$30</definedName>
    <definedName name="dagwerk34">'Regulier werk'!$H$31</definedName>
    <definedName name="dagwerk35">'Regulier werk'!$H$32</definedName>
    <definedName name="dagwerk36">'Regulier werk'!$H$33</definedName>
    <definedName name="dagwerk37">'Regulier werk'!$H$34</definedName>
    <definedName name="dagwerk38">'Regulier werk'!$H$35</definedName>
    <definedName name="dagwerk39">'Regulier werk'!$H$36</definedName>
    <definedName name="dagwerk40">'Regulier werk'!$H$37</definedName>
    <definedName name="dagwerk41">'Regulier werk'!$H$38</definedName>
    <definedName name="dagwerk42">'Regulier werk'!$H$39</definedName>
    <definedName name="dagwerk43">'Regulier werk'!$H$40</definedName>
    <definedName name="dagwerk44">'Regulier werk'!$H$41</definedName>
    <definedName name="dagwerk9">'Regulier werk'!$H$6</definedName>
    <definedName name="dagwerktabel1">Objectinformatie!$H$5:$H$40</definedName>
    <definedName name="gemuurtarief1">'Regulier werk'!$J$44</definedName>
    <definedName name="kengetaltabel1">Objectinformatie!$G$5:$G$40</definedName>
    <definedName name="object1_opptabel1">Objectinformatie!$J$5:$J$40</definedName>
    <definedName name="object10_opptabel1">Objectinformatie!$S$5:$S$40</definedName>
    <definedName name="object11_opptabel1">Objectinformatie!$T$5:$T$40</definedName>
    <definedName name="object12_opptabel1">Objectinformatie!$U$5:$U$40</definedName>
    <definedName name="object13_opptabel1">Objectinformatie!$V$5:$V$40</definedName>
    <definedName name="object2_opptabel1">Objectinformatie!$K$5:$K$40</definedName>
    <definedName name="object3_opptabel1">Objectinformatie!$L$5:$L$40</definedName>
    <definedName name="object4_opptabel1">Objectinformatie!$M$5:$M$40</definedName>
    <definedName name="object5_opptabel1">Objectinformatie!$N$5:$N$40</definedName>
    <definedName name="object6_opptabel1">Objectinformatie!$O$5:$O$40</definedName>
    <definedName name="object7_opptabel1">Objectinformatie!$P$5:$P$40</definedName>
    <definedName name="object8_opptabel1">Objectinformatie!$Q$5:$Q$40</definedName>
    <definedName name="object9_opptabel1">Objectinformatie!$R$5:$R$40</definedName>
    <definedName name="objectprijs1_1">Objecten!$Q$6</definedName>
    <definedName name="objectprijs10_1">Objecten!$Q$15</definedName>
    <definedName name="objectprijs11_1">Objecten!$Q$16</definedName>
    <definedName name="objectprijs12_1">Objecten!$Q$17</definedName>
    <definedName name="objectprijs13_1">Objecten!$Q$18</definedName>
    <definedName name="objectprijs2_1">Objecten!$Q$7</definedName>
    <definedName name="objectprijs3_1">Objecten!$Q$8</definedName>
    <definedName name="objectprijs4_1">Objecten!$Q$9</definedName>
    <definedName name="objectprijs5_1">Objecten!$Q$10</definedName>
    <definedName name="objectprijs6_1">Objecten!$Q$11</definedName>
    <definedName name="objectprijs7_1">Objecten!$Q$12</definedName>
    <definedName name="objectprijs8_1">Objecten!$Q$13</definedName>
    <definedName name="objectprijs9_1">Objecten!$Q$14</definedName>
    <definedName name="objecturen1_1">Objecten!$P$6</definedName>
    <definedName name="objecturen10_1">Objecten!$P$15</definedName>
    <definedName name="objecturen11_1">Objecten!$P$16</definedName>
    <definedName name="objecturen12_1">Objecten!$P$17</definedName>
    <definedName name="objecturen13_1">Objecten!$P$18</definedName>
    <definedName name="objecturen2_1">Objecten!$P$7</definedName>
    <definedName name="objecturen3_1">Objecten!$P$8</definedName>
    <definedName name="objecturen4_1">Objecten!$P$9</definedName>
    <definedName name="objecturen5_1">Objecten!$P$10</definedName>
    <definedName name="objecturen6_1">Objecten!$P$11</definedName>
    <definedName name="objecturen7_1">Objecten!$P$12</definedName>
    <definedName name="objecturen8_1">Objecten!$P$13</definedName>
    <definedName name="objecturen9_1">Objecten!$P$14</definedName>
    <definedName name="objecturenhf1_1">Objecten!$O$6</definedName>
    <definedName name="objecturenhf10_1">Objecten!$O$15</definedName>
    <definedName name="objecturenhf11_1">Objecten!$O$16</definedName>
    <definedName name="objecturenhf12_1">Objecten!$O$17</definedName>
    <definedName name="objecturenhf13_1">Objecten!$O$18</definedName>
    <definedName name="objecturenhf2_1">Objecten!$O$7</definedName>
    <definedName name="objecturenhf3_1">Objecten!$O$8</definedName>
    <definedName name="objecturenhf4_1">Objecten!$O$9</definedName>
    <definedName name="objecturenhf5_1">Objecten!$O$10</definedName>
    <definedName name="objecturenhf6_1">Objecten!$O$11</definedName>
    <definedName name="objecturenhf7_1">Objecten!$O$12</definedName>
    <definedName name="objecturenhf8_1">Objecten!$O$13</definedName>
    <definedName name="objecturenhf9_1">Objecten!$O$14</definedName>
    <definedName name="prijsdag1">'Regulier werk'!$L$42</definedName>
    <definedName name="prijsjaar">'Regulier werk'!$N$47</definedName>
    <definedName name="prijsjaar1">'Regulier werk'!$N$42</definedName>
    <definedName name="prijsjaarafroep">Afroep!$K$14</definedName>
    <definedName name="prijsjaarafroep1">Afroep!$K$12</definedName>
    <definedName name="prijsjaarglas">Glas!$K$12</definedName>
    <definedName name="prijsjaarglas1">Glas!$K$10</definedName>
    <definedName name="prijsjaarnietmeewerkend">'Niet-meewerkende objectleiding'!$J$141</definedName>
    <definedName name="prijsjaartotaal">Objecten!$Q$22</definedName>
    <definedName name="prijsjaartotaal1">Objecten!$Q$19</definedName>
    <definedName name="prijsjaartotaaloverzicht">'Totaalblad Objecten'!$G$18</definedName>
    <definedName name="prijsmaandtotaal1">Objecten!$R$19</definedName>
    <definedName name="prodnorm10">'Regulier werk'!$G$7</definedName>
    <definedName name="prodnorm11">'Regulier werk'!$G$8</definedName>
    <definedName name="prodnorm12">'Regulier werk'!$G$9</definedName>
    <definedName name="prodnorm13">'Regulier werk'!$G$10</definedName>
    <definedName name="prodnorm14">'Regulier werk'!$G$11</definedName>
    <definedName name="prodnorm15">'Regulier werk'!$G$12</definedName>
    <definedName name="prodnorm16">'Regulier werk'!$G$13</definedName>
    <definedName name="prodnorm17">'Regulier werk'!$G$14</definedName>
    <definedName name="prodnorm18">'Regulier werk'!$G$15</definedName>
    <definedName name="prodnorm19">'Regulier werk'!$G$16</definedName>
    <definedName name="prodnorm20">'Regulier werk'!$G$17</definedName>
    <definedName name="prodnorm21">'Regulier werk'!$G$18</definedName>
    <definedName name="prodnorm22">'Regulier werk'!$G$19</definedName>
    <definedName name="prodnorm23">'Regulier werk'!$G$20</definedName>
    <definedName name="prodnorm24">'Regulier werk'!$G$21</definedName>
    <definedName name="prodnorm25">'Regulier werk'!$G$22</definedName>
    <definedName name="prodnorm26">'Regulier werk'!$G$23</definedName>
    <definedName name="prodnorm27">'Regulier werk'!$G$24</definedName>
    <definedName name="prodnorm28">'Regulier werk'!$G$25</definedName>
    <definedName name="prodnorm29">'Regulier werk'!$G$26</definedName>
    <definedName name="prodnorm30">'Regulier werk'!$G$27</definedName>
    <definedName name="prodnorm31">'Regulier werk'!$G$28</definedName>
    <definedName name="prodnorm32">'Regulier werk'!$G$29</definedName>
    <definedName name="prodnorm33">'Regulier werk'!$G$30</definedName>
    <definedName name="prodnorm34">'Regulier werk'!$G$31</definedName>
    <definedName name="prodnorm35">'Regulier werk'!$G$32</definedName>
    <definedName name="prodnorm36">'Regulier werk'!$G$33</definedName>
    <definedName name="prodnorm37">'Regulier werk'!$G$34</definedName>
    <definedName name="prodnorm38">'Regulier werk'!$G$35</definedName>
    <definedName name="prodnorm39">'Regulier werk'!$G$36</definedName>
    <definedName name="prodnorm40">'Regulier werk'!$G$37</definedName>
    <definedName name="prodnorm41">'Regulier werk'!$G$38</definedName>
    <definedName name="prodnorm42">'Regulier werk'!$G$39</definedName>
    <definedName name="prodnorm43">'Regulier werk'!$G$40</definedName>
    <definedName name="prodnorm44">'Regulier werk'!$G$41</definedName>
    <definedName name="prodnorm9">'Regulier werk'!$G$6</definedName>
    <definedName name="taakfreqtabel1">Objectinformatie!$E$5:$E$40</definedName>
    <definedName name="tabeltype">Omreken!$B$5:$B$5</definedName>
    <definedName name="tarieftabel1">Objectinformatie!$I$5:$I$40</definedName>
    <definedName name="tzpjt1">'Niet-meewerkende objectleiding'!$J$138</definedName>
    <definedName name="tzpjt1_1">'Niet-meewerkende objectleiding'!$J$14</definedName>
    <definedName name="tzpjt10_1">'Niet-meewerkende objectleiding'!$J$104</definedName>
    <definedName name="tzpjt11_1">'Niet-meewerkende objectleiding'!$J$114</definedName>
    <definedName name="tzpjt12_1">'Niet-meewerkende objectleiding'!$J$126</definedName>
    <definedName name="tzpjt13_1">'Niet-meewerkende objectleiding'!$J$136</definedName>
    <definedName name="tzpjt2_1">'Niet-meewerkende objectleiding'!$J$24</definedName>
    <definedName name="tzpjt3_1">'Niet-meewerkende objectleiding'!$J$34</definedName>
    <definedName name="tzpjt4_1">'Niet-meewerkende objectleiding'!$J$44</definedName>
    <definedName name="tzpjt5_1">'Niet-meewerkende objectleiding'!$J$54</definedName>
    <definedName name="tzpjt6_1">'Niet-meewerkende objectleiding'!$J$64</definedName>
    <definedName name="tzpjt7_1">'Niet-meewerkende objectleiding'!$J$74</definedName>
    <definedName name="tzpjt8_1">'Niet-meewerkende objectleiding'!$J$84</definedName>
    <definedName name="tzpjt9_1">'Niet-meewerkende objectleiding'!$J$94</definedName>
    <definedName name="tzpmt1">'Niet-meewerkende objectleiding'!$K$138</definedName>
    <definedName name="tzpmt1_1">'Niet-meewerkende objectleiding'!$K$14</definedName>
    <definedName name="tzpmt10_1">'Niet-meewerkende objectleiding'!$K$104</definedName>
    <definedName name="tzpmt11_1">'Niet-meewerkende objectleiding'!$K$114</definedName>
    <definedName name="tzpmt12_1">'Niet-meewerkende objectleiding'!$K$126</definedName>
    <definedName name="tzpmt13_1">'Niet-meewerkende objectleiding'!$K$136</definedName>
    <definedName name="tzpmt2_1">'Niet-meewerkende objectleiding'!$K$24</definedName>
    <definedName name="tzpmt3_1">'Niet-meewerkende objectleiding'!$K$34</definedName>
    <definedName name="tzpmt4_1">'Niet-meewerkende objectleiding'!$K$44</definedName>
    <definedName name="tzpmt5_1">'Niet-meewerkende objectleiding'!$K$54</definedName>
    <definedName name="tzpmt6_1">'Niet-meewerkende objectleiding'!$K$64</definedName>
    <definedName name="tzpmt7_1">'Niet-meewerkende objectleiding'!$K$74</definedName>
    <definedName name="tzpmt8_1">'Niet-meewerkende objectleiding'!$K$84</definedName>
    <definedName name="tzpmt9_1">'Niet-meewerkende objectleiding'!$K$94</definedName>
    <definedName name="tzujt1">'Niet-meewerkende objectleiding'!$H$138</definedName>
    <definedName name="tzujt1_1">'Niet-meewerkende objectleiding'!$H$14</definedName>
    <definedName name="tzujt10_1">'Niet-meewerkende objectleiding'!$H$104</definedName>
    <definedName name="tzujt11_1">'Niet-meewerkende objectleiding'!$H$114</definedName>
    <definedName name="tzujt12_1">'Niet-meewerkende objectleiding'!$H$126</definedName>
    <definedName name="tzujt13_1">'Niet-meewerkende objectleiding'!$H$136</definedName>
    <definedName name="tzujt2_1">'Niet-meewerkende objectleiding'!$H$24</definedName>
    <definedName name="tzujt3_1">'Niet-meewerkende objectleiding'!$H$34</definedName>
    <definedName name="tzujt4_1">'Niet-meewerkende objectleiding'!$H$44</definedName>
    <definedName name="tzujt5_1">'Niet-meewerkende objectleiding'!$H$54</definedName>
    <definedName name="tzujt6_1">'Niet-meewerkende objectleiding'!$H$64</definedName>
    <definedName name="tzujt7_1">'Niet-meewerkende objectleiding'!$H$74</definedName>
    <definedName name="tzujt8_1">'Niet-meewerkende objectleiding'!$H$84</definedName>
    <definedName name="tzujt9_1">'Niet-meewerkende objectleiding'!$H$94</definedName>
    <definedName name="urendag1">'Regulier werk'!$K$42</definedName>
    <definedName name="urenjaar">'Regulier werk'!$M$47</definedName>
    <definedName name="urenjaar1">'Regulier werk'!$M$42</definedName>
    <definedName name="urenjaarnietmeewerkend">'Niet-meewerkende objectleiding'!$H$141</definedName>
    <definedName name="urenjaartotaal">Objecten!$P$22</definedName>
    <definedName name="urenjaartotaal1">Objecten!$P$19</definedName>
    <definedName name="urenjaartotaalhf">Objecten!$O$22</definedName>
    <definedName name="urenjaartotaalhf1">Objecten!$O$19</definedName>
    <definedName name="urenjaartotaaloverzicht">'Totaalblad Objecten'!$F$18</definedName>
    <definedName name="urenjaartotaaloverzichthf">'Totaalblad Objecten'!$E$18</definedName>
    <definedName name="uurfactortabel1">Objectinformatie!$F$5:$F$40</definedName>
    <definedName name="uurtarief10">'Regulier werk'!$J$7</definedName>
    <definedName name="uurtarief11">'Regulier werk'!$J$8</definedName>
    <definedName name="uurtarief12">'Regulier werk'!$J$9</definedName>
    <definedName name="uurtarief13">'Regulier werk'!$J$10</definedName>
    <definedName name="uurtarief14">'Regulier werk'!$J$11</definedName>
    <definedName name="uurtarief15">'Regulier werk'!$J$12</definedName>
    <definedName name="uurtarief16">'Regulier werk'!$J$13</definedName>
    <definedName name="uurtarief17">'Regulier werk'!$J$14</definedName>
    <definedName name="uurtarief18">'Regulier werk'!$J$15</definedName>
    <definedName name="uurtarief19">'Regulier werk'!$J$16</definedName>
    <definedName name="uurtarief20">'Regulier werk'!$J$17</definedName>
    <definedName name="uurtarief21">'Regulier werk'!$J$18</definedName>
    <definedName name="uurtarief22">'Regulier werk'!$J$19</definedName>
    <definedName name="uurtarief23">'Regulier werk'!$J$20</definedName>
    <definedName name="uurtarief24">'Regulier werk'!$J$21</definedName>
    <definedName name="uurtarief25">'Regulier werk'!$J$22</definedName>
    <definedName name="uurtarief26">'Regulier werk'!$J$23</definedName>
    <definedName name="uurtarief27">'Regulier werk'!$J$24</definedName>
    <definedName name="uurtarief28">'Regulier werk'!$J$25</definedName>
    <definedName name="uurtarief29">'Regulier werk'!$J$26</definedName>
    <definedName name="uurtarief30">'Regulier werk'!$J$27</definedName>
    <definedName name="uurtarief31">'Regulier werk'!$J$28</definedName>
    <definedName name="uurtarief32">'Regulier werk'!$J$29</definedName>
    <definedName name="uurtarief33">'Regulier werk'!$J$30</definedName>
    <definedName name="uurtarief34">'Regulier werk'!$J$31</definedName>
    <definedName name="uurtarief35">'Regulier werk'!$J$32</definedName>
    <definedName name="uurtarief36">'Regulier werk'!$J$33</definedName>
    <definedName name="uurtarief37">'Regulier werk'!$J$34</definedName>
    <definedName name="uurtarief38">'Regulier werk'!$J$35</definedName>
    <definedName name="uurtarief39">'Regulier werk'!$J$36</definedName>
    <definedName name="uurtarief40">'Regulier werk'!$J$37</definedName>
    <definedName name="uurtarief41">'Regulier werk'!$J$38</definedName>
    <definedName name="uurtarief42">'Regulier werk'!$J$39</definedName>
    <definedName name="uurtarief43">'Regulier werk'!$J$40</definedName>
    <definedName name="uurtarief44">'Regulier werk'!$J$41</definedName>
    <definedName name="uurtarief9">'Regulier werk'!$J$6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2" l="1"/>
  <c r="E17" i="12"/>
  <c r="A1" i="12" l="1"/>
  <c r="J80" i="11"/>
  <c r="K80" i="11" s="1"/>
  <c r="H80" i="11"/>
  <c r="C80" i="11"/>
  <c r="J79" i="11"/>
  <c r="K79" i="11" s="1"/>
  <c r="K81" i="11" s="1"/>
  <c r="H79" i="11"/>
  <c r="J75" i="11"/>
  <c r="K75" i="11" s="1"/>
  <c r="H75" i="11"/>
  <c r="K74" i="11"/>
  <c r="J74" i="11"/>
  <c r="H74" i="11"/>
  <c r="J73" i="11"/>
  <c r="K73" i="11" s="1"/>
  <c r="K76" i="11" s="1"/>
  <c r="H73" i="11"/>
  <c r="C73" i="11"/>
  <c r="L73" i="11" s="1"/>
  <c r="K69" i="11"/>
  <c r="J69" i="11"/>
  <c r="H69" i="11"/>
  <c r="C69" i="11"/>
  <c r="L69" i="11" s="1"/>
  <c r="M69" i="11" s="1"/>
  <c r="J68" i="11"/>
  <c r="K68" i="11" s="1"/>
  <c r="H68" i="11"/>
  <c r="J67" i="11"/>
  <c r="K67" i="11" s="1"/>
  <c r="K70" i="11" s="1"/>
  <c r="H67" i="11"/>
  <c r="J63" i="11"/>
  <c r="K63" i="11" s="1"/>
  <c r="H63" i="11"/>
  <c r="J62" i="11"/>
  <c r="K62" i="11" s="1"/>
  <c r="L62" i="11" s="1"/>
  <c r="M62" i="11" s="1"/>
  <c r="H62" i="11"/>
  <c r="C62" i="11"/>
  <c r="J61" i="11"/>
  <c r="K61" i="11" s="1"/>
  <c r="K64" i="11" s="1"/>
  <c r="H61" i="11"/>
  <c r="C61" i="11"/>
  <c r="L61" i="11" s="1"/>
  <c r="J57" i="11"/>
  <c r="K57" i="11" s="1"/>
  <c r="H57" i="11"/>
  <c r="J56" i="11"/>
  <c r="K56" i="11" s="1"/>
  <c r="H56" i="11"/>
  <c r="C56" i="11"/>
  <c r="L56" i="11" s="1"/>
  <c r="M56" i="11" s="1"/>
  <c r="K55" i="11"/>
  <c r="J55" i="11"/>
  <c r="H55" i="11"/>
  <c r="C55" i="11"/>
  <c r="L55" i="11" s="1"/>
  <c r="K51" i="11"/>
  <c r="L51" i="11" s="1"/>
  <c r="M51" i="11" s="1"/>
  <c r="J51" i="11"/>
  <c r="H51" i="11"/>
  <c r="C51" i="11"/>
  <c r="K50" i="11"/>
  <c r="K52" i="11" s="1"/>
  <c r="J50" i="11"/>
  <c r="H50" i="11"/>
  <c r="K49" i="11"/>
  <c r="J49" i="11"/>
  <c r="H49" i="11"/>
  <c r="K45" i="11"/>
  <c r="J45" i="11"/>
  <c r="H45" i="11"/>
  <c r="C45" i="11"/>
  <c r="L45" i="11" s="1"/>
  <c r="M45" i="11" s="1"/>
  <c r="K44" i="11"/>
  <c r="L44" i="11" s="1"/>
  <c r="M44" i="11" s="1"/>
  <c r="J44" i="11"/>
  <c r="H44" i="11"/>
  <c r="C44" i="11"/>
  <c r="L43" i="11"/>
  <c r="M43" i="11" s="1"/>
  <c r="K43" i="11"/>
  <c r="J43" i="11"/>
  <c r="H43" i="11"/>
  <c r="C43" i="11"/>
  <c r="J42" i="11"/>
  <c r="K42" i="11" s="1"/>
  <c r="K46" i="11" s="1"/>
  <c r="H42" i="11"/>
  <c r="C42" i="11"/>
  <c r="K38" i="11"/>
  <c r="J38" i="11"/>
  <c r="H38" i="11"/>
  <c r="C38" i="11"/>
  <c r="L38" i="11" s="1"/>
  <c r="M38" i="11" s="1"/>
  <c r="J37" i="11"/>
  <c r="K37" i="11" s="1"/>
  <c r="H37" i="11"/>
  <c r="J36" i="11"/>
  <c r="K36" i="11" s="1"/>
  <c r="H36" i="11"/>
  <c r="C36" i="11"/>
  <c r="K32" i="11"/>
  <c r="J32" i="11"/>
  <c r="H32" i="11"/>
  <c r="J31" i="11"/>
  <c r="K31" i="11" s="1"/>
  <c r="H31" i="11"/>
  <c r="J30" i="11"/>
  <c r="K30" i="11" s="1"/>
  <c r="K33" i="11" s="1"/>
  <c r="H30" i="11"/>
  <c r="C30" i="11"/>
  <c r="L30" i="11" s="1"/>
  <c r="J26" i="11"/>
  <c r="K26" i="11" s="1"/>
  <c r="H26" i="11"/>
  <c r="C26" i="11"/>
  <c r="L26" i="11" s="1"/>
  <c r="M26" i="11" s="1"/>
  <c r="K25" i="11"/>
  <c r="L25" i="11" s="1"/>
  <c r="M25" i="11" s="1"/>
  <c r="J25" i="11"/>
  <c r="H25" i="11"/>
  <c r="C25" i="11"/>
  <c r="K24" i="11"/>
  <c r="K27" i="11" s="1"/>
  <c r="J24" i="11"/>
  <c r="H24" i="11"/>
  <c r="K20" i="11"/>
  <c r="J20" i="11"/>
  <c r="H20" i="11"/>
  <c r="C20" i="11"/>
  <c r="L20" i="11" s="1"/>
  <c r="M20" i="11" s="1"/>
  <c r="K19" i="11"/>
  <c r="J19" i="11"/>
  <c r="H19" i="11"/>
  <c r="C19" i="11"/>
  <c r="L19" i="11" s="1"/>
  <c r="M19" i="11" s="1"/>
  <c r="K18" i="11"/>
  <c r="K21" i="11" s="1"/>
  <c r="J18" i="11"/>
  <c r="H18" i="11"/>
  <c r="C18" i="11"/>
  <c r="J14" i="11"/>
  <c r="K14" i="11" s="1"/>
  <c r="H14" i="11"/>
  <c r="K13" i="11"/>
  <c r="J13" i="11"/>
  <c r="H13" i="11"/>
  <c r="K12" i="11"/>
  <c r="K15" i="11" s="1"/>
  <c r="J12" i="11"/>
  <c r="H12" i="11"/>
  <c r="C12" i="11"/>
  <c r="L12" i="11" s="1"/>
  <c r="J8" i="11"/>
  <c r="K8" i="11" s="1"/>
  <c r="H8" i="11"/>
  <c r="J7" i="11"/>
  <c r="K7" i="11" s="1"/>
  <c r="H7" i="11"/>
  <c r="C7" i="11"/>
  <c r="K6" i="11"/>
  <c r="J6" i="11"/>
  <c r="H6" i="11"/>
  <c r="A1" i="11"/>
  <c r="J9" i="10"/>
  <c r="J8" i="10"/>
  <c r="J7" i="10"/>
  <c r="J6" i="10"/>
  <c r="C6" i="10"/>
  <c r="K6" i="10" s="1"/>
  <c r="A1" i="10"/>
  <c r="A1" i="9"/>
  <c r="J11" i="8"/>
  <c r="J10" i="8"/>
  <c r="J9" i="8"/>
  <c r="J8" i="8"/>
  <c r="C8" i="8"/>
  <c r="K8" i="8" s="1"/>
  <c r="L8" i="8" s="1"/>
  <c r="J7" i="8"/>
  <c r="C7" i="8"/>
  <c r="K7" i="8" s="1"/>
  <c r="L7" i="8" s="1"/>
  <c r="J6" i="8"/>
  <c r="C6" i="8"/>
  <c r="K6" i="8" s="1"/>
  <c r="A1" i="8"/>
  <c r="A1" i="7"/>
  <c r="H136" i="6"/>
  <c r="H16" i="7" s="1"/>
  <c r="J135" i="6"/>
  <c r="K135" i="6" s="1"/>
  <c r="H135" i="6"/>
  <c r="C135" i="6"/>
  <c r="I135" i="6" s="1"/>
  <c r="J134" i="6"/>
  <c r="K134" i="6" s="1"/>
  <c r="I134" i="6"/>
  <c r="H134" i="6"/>
  <c r="C134" i="6"/>
  <c r="J133" i="6"/>
  <c r="K133" i="6" s="1"/>
  <c r="I133" i="6"/>
  <c r="H133" i="6"/>
  <c r="C133" i="6"/>
  <c r="J132" i="6"/>
  <c r="K132" i="6" s="1"/>
  <c r="H132" i="6"/>
  <c r="I132" i="6" s="1"/>
  <c r="C132" i="6"/>
  <c r="K131" i="6"/>
  <c r="J131" i="6"/>
  <c r="H131" i="6"/>
  <c r="J130" i="6"/>
  <c r="K130" i="6" s="1"/>
  <c r="K136" i="6" s="1"/>
  <c r="H130" i="6"/>
  <c r="J125" i="6"/>
  <c r="K125" i="6" s="1"/>
  <c r="H125" i="6"/>
  <c r="C125" i="6"/>
  <c r="I125" i="6" s="1"/>
  <c r="J124" i="6"/>
  <c r="K124" i="6" s="1"/>
  <c r="H124" i="6"/>
  <c r="C124" i="6"/>
  <c r="I124" i="6" s="1"/>
  <c r="J123" i="6"/>
  <c r="J126" i="6" s="1"/>
  <c r="I15" i="7" s="1"/>
  <c r="I123" i="6"/>
  <c r="H123" i="6"/>
  <c r="C123" i="6"/>
  <c r="J122" i="6"/>
  <c r="K122" i="6" s="1"/>
  <c r="I122" i="6"/>
  <c r="H122" i="6"/>
  <c r="C122" i="6"/>
  <c r="J121" i="6"/>
  <c r="K121" i="6" s="1"/>
  <c r="H121" i="6"/>
  <c r="K120" i="6"/>
  <c r="J120" i="6"/>
  <c r="H120" i="6"/>
  <c r="K119" i="6"/>
  <c r="J119" i="6"/>
  <c r="H119" i="6"/>
  <c r="K118" i="6"/>
  <c r="J118" i="6"/>
  <c r="H118" i="6"/>
  <c r="H126" i="6" s="1"/>
  <c r="H15" i="7" s="1"/>
  <c r="C118" i="6"/>
  <c r="I118" i="6" s="1"/>
  <c r="K113" i="6"/>
  <c r="J113" i="6"/>
  <c r="H113" i="6"/>
  <c r="C113" i="6"/>
  <c r="I113" i="6" s="1"/>
  <c r="J112" i="6"/>
  <c r="K112" i="6" s="1"/>
  <c r="H112" i="6"/>
  <c r="C112" i="6"/>
  <c r="I112" i="6" s="1"/>
  <c r="K111" i="6"/>
  <c r="J111" i="6"/>
  <c r="H111" i="6"/>
  <c r="C111" i="6"/>
  <c r="I111" i="6" s="1"/>
  <c r="K110" i="6"/>
  <c r="J110" i="6"/>
  <c r="H110" i="6"/>
  <c r="C110" i="6"/>
  <c r="I110" i="6" s="1"/>
  <c r="J109" i="6"/>
  <c r="K109" i="6" s="1"/>
  <c r="H109" i="6"/>
  <c r="J108" i="6"/>
  <c r="K108" i="6" s="1"/>
  <c r="H108" i="6"/>
  <c r="H114" i="6" s="1"/>
  <c r="H14" i="7" s="1"/>
  <c r="J104" i="6"/>
  <c r="I13" i="7" s="1"/>
  <c r="H104" i="6"/>
  <c r="H13" i="7" s="1"/>
  <c r="K103" i="6"/>
  <c r="J103" i="6"/>
  <c r="H103" i="6"/>
  <c r="C103" i="6"/>
  <c r="I103" i="6" s="1"/>
  <c r="K102" i="6"/>
  <c r="J102" i="6"/>
  <c r="I102" i="6"/>
  <c r="H102" i="6"/>
  <c r="C102" i="6"/>
  <c r="J101" i="6"/>
  <c r="K101" i="6" s="1"/>
  <c r="H101" i="6"/>
  <c r="I101" i="6" s="1"/>
  <c r="C101" i="6"/>
  <c r="K100" i="6"/>
  <c r="J100" i="6"/>
  <c r="H100" i="6"/>
  <c r="I100" i="6" s="1"/>
  <c r="C100" i="6"/>
  <c r="J99" i="6"/>
  <c r="K99" i="6" s="1"/>
  <c r="H99" i="6"/>
  <c r="J98" i="6"/>
  <c r="K98" i="6" s="1"/>
  <c r="H98" i="6"/>
  <c r="J94" i="6"/>
  <c r="I12" i="7" s="1"/>
  <c r="K93" i="6"/>
  <c r="J93" i="6"/>
  <c r="H93" i="6"/>
  <c r="C93" i="6"/>
  <c r="I93" i="6" s="1"/>
  <c r="J92" i="6"/>
  <c r="K92" i="6" s="1"/>
  <c r="H92" i="6"/>
  <c r="I92" i="6" s="1"/>
  <c r="C92" i="6"/>
  <c r="J91" i="6"/>
  <c r="K91" i="6" s="1"/>
  <c r="I91" i="6"/>
  <c r="H91" i="6"/>
  <c r="C91" i="6"/>
  <c r="J90" i="6"/>
  <c r="K90" i="6" s="1"/>
  <c r="I90" i="6"/>
  <c r="H90" i="6"/>
  <c r="C90" i="6"/>
  <c r="K89" i="6"/>
  <c r="J89" i="6"/>
  <c r="H89" i="6"/>
  <c r="J88" i="6"/>
  <c r="K88" i="6" s="1"/>
  <c r="K94" i="6" s="1"/>
  <c r="H88" i="6"/>
  <c r="H94" i="6" s="1"/>
  <c r="H12" i="7" s="1"/>
  <c r="C88" i="6"/>
  <c r="I88" i="6" s="1"/>
  <c r="J83" i="6"/>
  <c r="K83" i="6" s="1"/>
  <c r="H83" i="6"/>
  <c r="I83" i="6" s="1"/>
  <c r="C83" i="6"/>
  <c r="K82" i="6"/>
  <c r="J82" i="6"/>
  <c r="H82" i="6"/>
  <c r="C82" i="6"/>
  <c r="I82" i="6" s="1"/>
  <c r="J81" i="6"/>
  <c r="K81" i="6" s="1"/>
  <c r="I81" i="6"/>
  <c r="H81" i="6"/>
  <c r="C81" i="6"/>
  <c r="J80" i="6"/>
  <c r="K80" i="6" s="1"/>
  <c r="H80" i="6"/>
  <c r="C80" i="6"/>
  <c r="I80" i="6" s="1"/>
  <c r="J79" i="6"/>
  <c r="K79" i="6" s="1"/>
  <c r="H79" i="6"/>
  <c r="C79" i="6"/>
  <c r="I79" i="6" s="1"/>
  <c r="K78" i="6"/>
  <c r="J78" i="6"/>
  <c r="J84" i="6" s="1"/>
  <c r="I11" i="7" s="1"/>
  <c r="H78" i="6"/>
  <c r="H84" i="6" s="1"/>
  <c r="H11" i="7" s="1"/>
  <c r="C78" i="6"/>
  <c r="I78" i="6" s="1"/>
  <c r="J73" i="6"/>
  <c r="K73" i="6" s="1"/>
  <c r="I73" i="6"/>
  <c r="H73" i="6"/>
  <c r="C73" i="6"/>
  <c r="J72" i="6"/>
  <c r="K72" i="6" s="1"/>
  <c r="H72" i="6"/>
  <c r="C72" i="6"/>
  <c r="I72" i="6" s="1"/>
  <c r="K71" i="6"/>
  <c r="J71" i="6"/>
  <c r="H71" i="6"/>
  <c r="C71" i="6"/>
  <c r="I71" i="6" s="1"/>
  <c r="K70" i="6"/>
  <c r="J70" i="6"/>
  <c r="H70" i="6"/>
  <c r="I70" i="6" s="1"/>
  <c r="C70" i="6"/>
  <c r="K69" i="6"/>
  <c r="J69" i="6"/>
  <c r="H69" i="6"/>
  <c r="C69" i="6"/>
  <c r="I69" i="6" s="1"/>
  <c r="K68" i="6"/>
  <c r="J68" i="6"/>
  <c r="J74" i="6" s="1"/>
  <c r="I10" i="7" s="1"/>
  <c r="H68" i="6"/>
  <c r="H74" i="6" s="1"/>
  <c r="H10" i="7" s="1"/>
  <c r="J63" i="6"/>
  <c r="K63" i="6" s="1"/>
  <c r="H63" i="6"/>
  <c r="C63" i="6"/>
  <c r="I63" i="6" s="1"/>
  <c r="K62" i="6"/>
  <c r="J62" i="6"/>
  <c r="H62" i="6"/>
  <c r="C62" i="6"/>
  <c r="I62" i="6" s="1"/>
  <c r="K61" i="6"/>
  <c r="J61" i="6"/>
  <c r="H61" i="6"/>
  <c r="C61" i="6"/>
  <c r="I61" i="6" s="1"/>
  <c r="J60" i="6"/>
  <c r="K60" i="6" s="1"/>
  <c r="H60" i="6"/>
  <c r="C60" i="6"/>
  <c r="I60" i="6" s="1"/>
  <c r="J59" i="6"/>
  <c r="K59" i="6" s="1"/>
  <c r="H59" i="6"/>
  <c r="J58" i="6"/>
  <c r="J64" i="6" s="1"/>
  <c r="I9" i="7" s="1"/>
  <c r="H58" i="6"/>
  <c r="H64" i="6" s="1"/>
  <c r="H9" i="7" s="1"/>
  <c r="K53" i="6"/>
  <c r="J53" i="6"/>
  <c r="I53" i="6"/>
  <c r="H53" i="6"/>
  <c r="C53" i="6"/>
  <c r="J52" i="6"/>
  <c r="K52" i="6" s="1"/>
  <c r="H52" i="6"/>
  <c r="I52" i="6" s="1"/>
  <c r="C52" i="6"/>
  <c r="K51" i="6"/>
  <c r="J51" i="6"/>
  <c r="H51" i="6"/>
  <c r="I51" i="6" s="1"/>
  <c r="C51" i="6"/>
  <c r="J50" i="6"/>
  <c r="K50" i="6" s="1"/>
  <c r="H50" i="6"/>
  <c r="C50" i="6"/>
  <c r="I50" i="6" s="1"/>
  <c r="J49" i="6"/>
  <c r="K49" i="6" s="1"/>
  <c r="H49" i="6"/>
  <c r="H54" i="6" s="1"/>
  <c r="H8" i="7" s="1"/>
  <c r="J48" i="6"/>
  <c r="J54" i="6" s="1"/>
  <c r="I8" i="7" s="1"/>
  <c r="H48" i="6"/>
  <c r="J43" i="6"/>
  <c r="K43" i="6" s="1"/>
  <c r="H43" i="6"/>
  <c r="I43" i="6" s="1"/>
  <c r="C43" i="6"/>
  <c r="J42" i="6"/>
  <c r="K42" i="6" s="1"/>
  <c r="I42" i="6"/>
  <c r="H42" i="6"/>
  <c r="C42" i="6"/>
  <c r="J41" i="6"/>
  <c r="K41" i="6" s="1"/>
  <c r="I41" i="6"/>
  <c r="H41" i="6"/>
  <c r="C41" i="6"/>
  <c r="K40" i="6"/>
  <c r="J40" i="6"/>
  <c r="I40" i="6"/>
  <c r="H40" i="6"/>
  <c r="C40" i="6"/>
  <c r="J39" i="6"/>
  <c r="J44" i="6" s="1"/>
  <c r="I7" i="7" s="1"/>
  <c r="H39" i="6"/>
  <c r="H44" i="6" s="1"/>
  <c r="H7" i="7" s="1"/>
  <c r="C39" i="6"/>
  <c r="I39" i="6" s="1"/>
  <c r="K38" i="6"/>
  <c r="J38" i="6"/>
  <c r="H38" i="6"/>
  <c r="K33" i="6"/>
  <c r="J33" i="6"/>
  <c r="H33" i="6"/>
  <c r="C33" i="6"/>
  <c r="I33" i="6" s="1"/>
  <c r="J32" i="6"/>
  <c r="K32" i="6" s="1"/>
  <c r="I32" i="6"/>
  <c r="H32" i="6"/>
  <c r="C32" i="6"/>
  <c r="J31" i="6"/>
  <c r="K31" i="6" s="1"/>
  <c r="H31" i="6"/>
  <c r="C31" i="6"/>
  <c r="I31" i="6" s="1"/>
  <c r="J30" i="6"/>
  <c r="K30" i="6" s="1"/>
  <c r="H30" i="6"/>
  <c r="C30" i="6"/>
  <c r="I30" i="6" s="1"/>
  <c r="K29" i="6"/>
  <c r="K34" i="6" s="1"/>
  <c r="J29" i="6"/>
  <c r="J34" i="6" s="1"/>
  <c r="I6" i="7" s="1"/>
  <c r="H29" i="6"/>
  <c r="C29" i="6"/>
  <c r="I29" i="6" s="1"/>
  <c r="K28" i="6"/>
  <c r="J28" i="6"/>
  <c r="H28" i="6"/>
  <c r="H34" i="6" s="1"/>
  <c r="H6" i="7" s="1"/>
  <c r="J23" i="6"/>
  <c r="K23" i="6" s="1"/>
  <c r="H23" i="6"/>
  <c r="C23" i="6"/>
  <c r="I23" i="6" s="1"/>
  <c r="K22" i="6"/>
  <c r="J22" i="6"/>
  <c r="H22" i="6"/>
  <c r="C22" i="6"/>
  <c r="I22" i="6" s="1"/>
  <c r="K21" i="6"/>
  <c r="J21" i="6"/>
  <c r="H21" i="6"/>
  <c r="I21" i="6" s="1"/>
  <c r="C21" i="6"/>
  <c r="K20" i="6"/>
  <c r="J20" i="6"/>
  <c r="H20" i="6"/>
  <c r="C20" i="6"/>
  <c r="I20" i="6" s="1"/>
  <c r="K19" i="6"/>
  <c r="J19" i="6"/>
  <c r="H19" i="6"/>
  <c r="K18" i="6"/>
  <c r="J18" i="6"/>
  <c r="J24" i="6" s="1"/>
  <c r="I5" i="7" s="1"/>
  <c r="H18" i="6"/>
  <c r="H24" i="6" s="1"/>
  <c r="H5" i="7" s="1"/>
  <c r="K13" i="6"/>
  <c r="J13" i="6"/>
  <c r="H13" i="6"/>
  <c r="C13" i="6"/>
  <c r="I13" i="6" s="1"/>
  <c r="K12" i="6"/>
  <c r="J12" i="6"/>
  <c r="H12" i="6"/>
  <c r="C12" i="6"/>
  <c r="I12" i="6" s="1"/>
  <c r="J11" i="6"/>
  <c r="K11" i="6" s="1"/>
  <c r="H11" i="6"/>
  <c r="C11" i="6"/>
  <c r="I11" i="6" s="1"/>
  <c r="J10" i="6"/>
  <c r="K10" i="6" s="1"/>
  <c r="H10" i="6"/>
  <c r="I10" i="6" s="1"/>
  <c r="C10" i="6"/>
  <c r="J9" i="6"/>
  <c r="K9" i="6" s="1"/>
  <c r="H9" i="6"/>
  <c r="J8" i="6"/>
  <c r="K8" i="6" s="1"/>
  <c r="K14" i="6" s="1"/>
  <c r="H8" i="6"/>
  <c r="H14" i="6" s="1"/>
  <c r="A1" i="6"/>
  <c r="A1" i="5"/>
  <c r="I40" i="4"/>
  <c r="E40" i="4"/>
  <c r="H39" i="4"/>
  <c r="G39" i="4"/>
  <c r="E38" i="4"/>
  <c r="I37" i="4"/>
  <c r="H37" i="4"/>
  <c r="E37" i="4"/>
  <c r="I36" i="4"/>
  <c r="H36" i="4"/>
  <c r="H35" i="4"/>
  <c r="I33" i="4"/>
  <c r="I32" i="4"/>
  <c r="H31" i="4"/>
  <c r="G31" i="4"/>
  <c r="E31" i="4"/>
  <c r="E30" i="4"/>
  <c r="I29" i="4"/>
  <c r="H29" i="4"/>
  <c r="E29" i="4"/>
  <c r="I28" i="4"/>
  <c r="H28" i="4"/>
  <c r="H27" i="4"/>
  <c r="I25" i="4"/>
  <c r="I24" i="4"/>
  <c r="H23" i="4"/>
  <c r="G23" i="4"/>
  <c r="E22" i="4"/>
  <c r="I21" i="4"/>
  <c r="H21" i="4"/>
  <c r="E21" i="4"/>
  <c r="I20" i="4"/>
  <c r="H20" i="4"/>
  <c r="H19" i="4"/>
  <c r="I16" i="4"/>
  <c r="E16" i="4"/>
  <c r="H15" i="4"/>
  <c r="G15" i="4"/>
  <c r="E14" i="4"/>
  <c r="I13" i="4"/>
  <c r="H13" i="4"/>
  <c r="E13" i="4"/>
  <c r="I12" i="4"/>
  <c r="H12" i="4"/>
  <c r="H11" i="4"/>
  <c r="E9" i="4"/>
  <c r="I8" i="4"/>
  <c r="E8" i="4"/>
  <c r="H7" i="4"/>
  <c r="G7" i="4"/>
  <c r="E6" i="4"/>
  <c r="I5" i="4"/>
  <c r="H5" i="4"/>
  <c r="E5" i="4"/>
  <c r="J41" i="3"/>
  <c r="H41" i="3"/>
  <c r="H40" i="4" s="1"/>
  <c r="G41" i="3"/>
  <c r="K41" i="3" s="1"/>
  <c r="F41" i="3"/>
  <c r="J40" i="3"/>
  <c r="H40" i="3"/>
  <c r="G40" i="3"/>
  <c r="K40" i="3" s="1"/>
  <c r="M40" i="3" s="1"/>
  <c r="N40" i="3" s="1"/>
  <c r="F40" i="3"/>
  <c r="J39" i="3"/>
  <c r="H39" i="3"/>
  <c r="H38" i="4" s="1"/>
  <c r="G39" i="3"/>
  <c r="G38" i="4" s="1"/>
  <c r="F39" i="3"/>
  <c r="J38" i="3"/>
  <c r="H38" i="3"/>
  <c r="G38" i="3"/>
  <c r="K38" i="3" s="1"/>
  <c r="J37" i="3"/>
  <c r="H37" i="3"/>
  <c r="G37" i="3"/>
  <c r="G36" i="4" s="1"/>
  <c r="J36" i="3"/>
  <c r="I35" i="4" s="1"/>
  <c r="H36" i="3"/>
  <c r="G36" i="3"/>
  <c r="G35" i="4" s="1"/>
  <c r="F36" i="3"/>
  <c r="J35" i="3"/>
  <c r="I34" i="4" s="1"/>
  <c r="H35" i="3"/>
  <c r="H34" i="4" s="1"/>
  <c r="G35" i="3"/>
  <c r="G34" i="4" s="1"/>
  <c r="J34" i="3"/>
  <c r="H34" i="3"/>
  <c r="H33" i="4" s="1"/>
  <c r="G34" i="3"/>
  <c r="K34" i="3" s="1"/>
  <c r="J33" i="3"/>
  <c r="H33" i="3"/>
  <c r="H32" i="4" s="1"/>
  <c r="G33" i="3"/>
  <c r="K33" i="3" s="1"/>
  <c r="J32" i="3"/>
  <c r="H32" i="3"/>
  <c r="G32" i="3"/>
  <c r="K32" i="3" s="1"/>
  <c r="M32" i="3" s="1"/>
  <c r="N32" i="3" s="1"/>
  <c r="F32" i="3"/>
  <c r="J31" i="3"/>
  <c r="I30" i="4" s="1"/>
  <c r="H31" i="3"/>
  <c r="H30" i="4" s="1"/>
  <c r="G31" i="3"/>
  <c r="G30" i="4" s="1"/>
  <c r="F31" i="3"/>
  <c r="J30" i="3"/>
  <c r="H30" i="3"/>
  <c r="G30" i="3"/>
  <c r="K30" i="3" s="1"/>
  <c r="J29" i="3"/>
  <c r="H29" i="3"/>
  <c r="G29" i="3"/>
  <c r="G28" i="4" s="1"/>
  <c r="J28" i="3"/>
  <c r="I27" i="4" s="1"/>
  <c r="H28" i="3"/>
  <c r="G28" i="3"/>
  <c r="G27" i="4" s="1"/>
  <c r="F28" i="3"/>
  <c r="J27" i="3"/>
  <c r="H27" i="3"/>
  <c r="H26" i="4" s="1"/>
  <c r="G27" i="3"/>
  <c r="G26" i="4" s="1"/>
  <c r="J26" i="3"/>
  <c r="H26" i="3"/>
  <c r="H25" i="4" s="1"/>
  <c r="G26" i="3"/>
  <c r="K26" i="3" s="1"/>
  <c r="J25" i="3"/>
  <c r="H25" i="3"/>
  <c r="H24" i="4" s="1"/>
  <c r="G25" i="3"/>
  <c r="K25" i="3" s="1"/>
  <c r="J24" i="3"/>
  <c r="H24" i="3"/>
  <c r="G24" i="3"/>
  <c r="K24" i="3" s="1"/>
  <c r="M24" i="3" s="1"/>
  <c r="N24" i="3" s="1"/>
  <c r="J23" i="3"/>
  <c r="H23" i="3"/>
  <c r="H22" i="4" s="1"/>
  <c r="G23" i="3"/>
  <c r="G22" i="4" s="1"/>
  <c r="J22" i="3"/>
  <c r="H22" i="3"/>
  <c r="G22" i="3"/>
  <c r="K22" i="3" s="1"/>
  <c r="F22" i="3"/>
  <c r="J21" i="3"/>
  <c r="H21" i="3"/>
  <c r="G21" i="3"/>
  <c r="G20" i="4" s="1"/>
  <c r="J20" i="3"/>
  <c r="I19" i="4" s="1"/>
  <c r="H20" i="3"/>
  <c r="G20" i="3"/>
  <c r="G19" i="4" s="1"/>
  <c r="F20" i="3"/>
  <c r="J19" i="3"/>
  <c r="H19" i="3"/>
  <c r="H18" i="4" s="1"/>
  <c r="G19" i="3"/>
  <c r="G18" i="4" s="1"/>
  <c r="J18" i="3"/>
  <c r="I17" i="4" s="1"/>
  <c r="H18" i="3"/>
  <c r="H17" i="4" s="1"/>
  <c r="G18" i="3"/>
  <c r="K18" i="3" s="1"/>
  <c r="F18" i="3"/>
  <c r="J17" i="3"/>
  <c r="H17" i="3"/>
  <c r="H16" i="4" s="1"/>
  <c r="G17" i="3"/>
  <c r="K17" i="3" s="1"/>
  <c r="F17" i="3"/>
  <c r="J16" i="3"/>
  <c r="H16" i="3"/>
  <c r="G16" i="3"/>
  <c r="K16" i="3" s="1"/>
  <c r="M16" i="3" s="1"/>
  <c r="N16" i="3" s="1"/>
  <c r="F16" i="3"/>
  <c r="J15" i="3"/>
  <c r="I14" i="4" s="1"/>
  <c r="H15" i="3"/>
  <c r="H14" i="4" s="1"/>
  <c r="G15" i="3"/>
  <c r="G14" i="4" s="1"/>
  <c r="J14" i="3"/>
  <c r="H14" i="3"/>
  <c r="G14" i="3"/>
  <c r="K14" i="3" s="1"/>
  <c r="J13" i="3"/>
  <c r="H13" i="3"/>
  <c r="G13" i="3"/>
  <c r="G12" i="4" s="1"/>
  <c r="J12" i="3"/>
  <c r="I11" i="4" s="1"/>
  <c r="H12" i="3"/>
  <c r="G12" i="3"/>
  <c r="G11" i="4" s="1"/>
  <c r="F12" i="3"/>
  <c r="J11" i="3"/>
  <c r="I10" i="4" s="1"/>
  <c r="H11" i="3"/>
  <c r="H10" i="4" s="1"/>
  <c r="G11" i="3"/>
  <c r="G10" i="4" s="1"/>
  <c r="F11" i="3"/>
  <c r="J10" i="3"/>
  <c r="I9" i="4" s="1"/>
  <c r="H10" i="3"/>
  <c r="H9" i="4" s="1"/>
  <c r="G10" i="3"/>
  <c r="K10" i="3" s="1"/>
  <c r="F10" i="3"/>
  <c r="J9" i="3"/>
  <c r="H9" i="3"/>
  <c r="H8" i="4" s="1"/>
  <c r="G9" i="3"/>
  <c r="K9" i="3" s="1"/>
  <c r="F9" i="3"/>
  <c r="J8" i="3"/>
  <c r="H8" i="3"/>
  <c r="G8" i="3"/>
  <c r="K8" i="3" s="1"/>
  <c r="M8" i="3" s="1"/>
  <c r="N8" i="3" s="1"/>
  <c r="F8" i="3"/>
  <c r="J7" i="3"/>
  <c r="H7" i="3"/>
  <c r="H6" i="4" s="1"/>
  <c r="G7" i="3"/>
  <c r="G6" i="4" s="1"/>
  <c r="J6" i="3"/>
  <c r="H6" i="3"/>
  <c r="G6" i="3"/>
  <c r="K6" i="3" s="1"/>
  <c r="F6" i="3"/>
  <c r="A1" i="3"/>
  <c r="A1" i="2"/>
  <c r="B31" i="1"/>
  <c r="C79" i="11" s="1"/>
  <c r="L79" i="11" s="1"/>
  <c r="B30" i="1"/>
  <c r="C6" i="11" s="1"/>
  <c r="L6" i="11" s="1"/>
  <c r="B29" i="1"/>
  <c r="B28" i="1"/>
  <c r="B27" i="1"/>
  <c r="B26" i="1"/>
  <c r="C11" i="8" s="1"/>
  <c r="K11" i="8" s="1"/>
  <c r="L11" i="8" s="1"/>
  <c r="B25" i="1"/>
  <c r="B24" i="1"/>
  <c r="B23" i="1"/>
  <c r="E35" i="4" s="1"/>
  <c r="B22" i="1"/>
  <c r="B21" i="1"/>
  <c r="E36" i="4" s="1"/>
  <c r="B20" i="1"/>
  <c r="B19" i="1"/>
  <c r="E28" i="4" s="1"/>
  <c r="B18" i="1"/>
  <c r="B17" i="1"/>
  <c r="F34" i="3" s="1"/>
  <c r="B16" i="1"/>
  <c r="B15" i="1"/>
  <c r="C68" i="6" s="1"/>
  <c r="I68" i="6" s="1"/>
  <c r="B14" i="1"/>
  <c r="B13" i="1"/>
  <c r="H4" i="7" l="1"/>
  <c r="H18" i="7" s="1"/>
  <c r="H138" i="6"/>
  <c r="H141" i="6" s="1"/>
  <c r="D5" i="12" s="1"/>
  <c r="D9" i="12" s="1"/>
  <c r="K9" i="11"/>
  <c r="L7" i="11"/>
  <c r="M7" i="11" s="1"/>
  <c r="M6" i="11"/>
  <c r="L32" i="3"/>
  <c r="M30" i="11"/>
  <c r="M12" i="11"/>
  <c r="M61" i="11"/>
  <c r="L30" i="3"/>
  <c r="M30" i="3"/>
  <c r="N30" i="3" s="1"/>
  <c r="M73" i="11"/>
  <c r="L40" i="3"/>
  <c r="L34" i="3"/>
  <c r="M34" i="3"/>
  <c r="N34" i="3" s="1"/>
  <c r="M41" i="3"/>
  <c r="N41" i="3" s="1"/>
  <c r="L41" i="3"/>
  <c r="L14" i="3"/>
  <c r="M14" i="3"/>
  <c r="N14" i="3" s="1"/>
  <c r="K114" i="6"/>
  <c r="L6" i="8"/>
  <c r="L22" i="3"/>
  <c r="M22" i="3"/>
  <c r="N22" i="3" s="1"/>
  <c r="K84" i="6"/>
  <c r="K39" i="11"/>
  <c r="L36" i="11"/>
  <c r="L6" i="10"/>
  <c r="L16" i="3"/>
  <c r="M17" i="3"/>
  <c r="N17" i="3" s="1"/>
  <c r="L17" i="3"/>
  <c r="L8" i="3"/>
  <c r="M55" i="11"/>
  <c r="L26" i="3"/>
  <c r="M26" i="3"/>
  <c r="N26" i="3" s="1"/>
  <c r="L39" i="3"/>
  <c r="L24" i="3"/>
  <c r="M25" i="3"/>
  <c r="N25" i="3" s="1"/>
  <c r="L25" i="3"/>
  <c r="L27" i="3"/>
  <c r="L19" i="3"/>
  <c r="L6" i="3"/>
  <c r="M6" i="3"/>
  <c r="L18" i="3"/>
  <c r="M18" i="3"/>
  <c r="N18" i="3" s="1"/>
  <c r="K24" i="6"/>
  <c r="K58" i="11"/>
  <c r="L80" i="11"/>
  <c r="M80" i="11" s="1"/>
  <c r="M33" i="3"/>
  <c r="N33" i="3" s="1"/>
  <c r="L33" i="3"/>
  <c r="L38" i="3"/>
  <c r="M38" i="3"/>
  <c r="N38" i="3" s="1"/>
  <c r="K74" i="6"/>
  <c r="K104" i="6"/>
  <c r="L81" i="11"/>
  <c r="M81" i="11" s="1"/>
  <c r="M79" i="11"/>
  <c r="L7" i="3"/>
  <c r="M9" i="3"/>
  <c r="N9" i="3" s="1"/>
  <c r="L9" i="3"/>
  <c r="L10" i="3"/>
  <c r="M10" i="3"/>
  <c r="N10" i="3" s="1"/>
  <c r="L42" i="11"/>
  <c r="K48" i="6"/>
  <c r="K54" i="6" s="1"/>
  <c r="K123" i="6"/>
  <c r="K126" i="6" s="1"/>
  <c r="F7" i="3"/>
  <c r="F15" i="3"/>
  <c r="F19" i="3"/>
  <c r="F23" i="3"/>
  <c r="F27" i="3"/>
  <c r="F35" i="3"/>
  <c r="G5" i="4"/>
  <c r="G13" i="4"/>
  <c r="G21" i="4"/>
  <c r="G29" i="4"/>
  <c r="G37" i="4"/>
  <c r="C49" i="6"/>
  <c r="I49" i="6" s="1"/>
  <c r="K58" i="6"/>
  <c r="K64" i="6" s="1"/>
  <c r="C98" i="6"/>
  <c r="I98" i="6" s="1"/>
  <c r="J114" i="6"/>
  <c r="I14" i="7" s="1"/>
  <c r="C59" i="6"/>
  <c r="I59" i="6" s="1"/>
  <c r="C108" i="6"/>
  <c r="I108" i="6" s="1"/>
  <c r="K7" i="3"/>
  <c r="M7" i="3" s="1"/>
  <c r="N7" i="3" s="1"/>
  <c r="K11" i="3"/>
  <c r="M11" i="3" s="1"/>
  <c r="N11" i="3" s="1"/>
  <c r="K15" i="3"/>
  <c r="M15" i="3" s="1"/>
  <c r="N15" i="3" s="1"/>
  <c r="K19" i="3"/>
  <c r="M19" i="3" s="1"/>
  <c r="N19" i="3" s="1"/>
  <c r="K23" i="3"/>
  <c r="M23" i="3" s="1"/>
  <c r="N23" i="3" s="1"/>
  <c r="K27" i="3"/>
  <c r="M27" i="3" s="1"/>
  <c r="N27" i="3" s="1"/>
  <c r="K31" i="3"/>
  <c r="M31" i="3" s="1"/>
  <c r="N31" i="3" s="1"/>
  <c r="K35" i="3"/>
  <c r="M35" i="3" s="1"/>
  <c r="N35" i="3" s="1"/>
  <c r="K39" i="3"/>
  <c r="M39" i="3" s="1"/>
  <c r="N39" i="3" s="1"/>
  <c r="C89" i="6"/>
  <c r="I89" i="6" s="1"/>
  <c r="C99" i="6"/>
  <c r="I99" i="6" s="1"/>
  <c r="E7" i="4"/>
  <c r="E15" i="4"/>
  <c r="E23" i="4"/>
  <c r="E39" i="4"/>
  <c r="C119" i="6"/>
  <c r="I119" i="6" s="1"/>
  <c r="C8" i="11"/>
  <c r="L8" i="11" s="1"/>
  <c r="M8" i="11" s="1"/>
  <c r="I6" i="4"/>
  <c r="L18" i="11"/>
  <c r="I7" i="4"/>
  <c r="I15" i="4"/>
  <c r="I23" i="4"/>
  <c r="I31" i="4"/>
  <c r="I39" i="4"/>
  <c r="C7" i="10"/>
  <c r="K7" i="10" s="1"/>
  <c r="L7" i="10" s="1"/>
  <c r="C37" i="11"/>
  <c r="L37" i="11" s="1"/>
  <c r="M37" i="11" s="1"/>
  <c r="C63" i="11"/>
  <c r="L63" i="11" s="1"/>
  <c r="M63" i="11" s="1"/>
  <c r="F24" i="3"/>
  <c r="E32" i="4"/>
  <c r="K12" i="3"/>
  <c r="M12" i="3" s="1"/>
  <c r="N12" i="3" s="1"/>
  <c r="K36" i="3"/>
  <c r="M36" i="3" s="1"/>
  <c r="N36" i="3" s="1"/>
  <c r="G8" i="4"/>
  <c r="G24" i="4"/>
  <c r="G40" i="4"/>
  <c r="L12" i="3"/>
  <c r="L36" i="3"/>
  <c r="C130" i="6"/>
  <c r="I130" i="6" s="1"/>
  <c r="E24" i="4"/>
  <c r="K20" i="3"/>
  <c r="M20" i="3" s="1"/>
  <c r="N20" i="3" s="1"/>
  <c r="K28" i="3"/>
  <c r="M28" i="3" s="1"/>
  <c r="N28" i="3" s="1"/>
  <c r="G16" i="4"/>
  <c r="G32" i="4"/>
  <c r="C120" i="6"/>
  <c r="I120" i="6" s="1"/>
  <c r="J136" i="6"/>
  <c r="I16" i="7" s="1"/>
  <c r="C8" i="10"/>
  <c r="K8" i="10" s="1"/>
  <c r="L8" i="10" s="1"/>
  <c r="C74" i="11"/>
  <c r="L74" i="11" s="1"/>
  <c r="M74" i="11" s="1"/>
  <c r="K39" i="6"/>
  <c r="K44" i="6" s="1"/>
  <c r="E17" i="4"/>
  <c r="G16" i="5" s="1"/>
  <c r="K16" i="5" s="1"/>
  <c r="P16" i="5" s="1"/>
  <c r="F14" i="7" s="1"/>
  <c r="E25" i="4"/>
  <c r="E33" i="4"/>
  <c r="C109" i="6"/>
  <c r="I109" i="6" s="1"/>
  <c r="L11" i="3"/>
  <c r="I22" i="4"/>
  <c r="G25" i="4"/>
  <c r="C131" i="6"/>
  <c r="I131" i="6" s="1"/>
  <c r="C9" i="10"/>
  <c r="K9" i="10" s="1"/>
  <c r="L9" i="10" s="1"/>
  <c r="L31" i="3"/>
  <c r="F33" i="3"/>
  <c r="E10" i="4"/>
  <c r="E18" i="4"/>
  <c r="E26" i="4"/>
  <c r="E34" i="4"/>
  <c r="C67" i="11"/>
  <c r="L67" i="11" s="1"/>
  <c r="L15" i="3"/>
  <c r="L35" i="3"/>
  <c r="I38" i="4"/>
  <c r="F13" i="3"/>
  <c r="F29" i="3"/>
  <c r="G9" i="4"/>
  <c r="K13" i="3"/>
  <c r="K42" i="3" s="1"/>
  <c r="K21" i="3"/>
  <c r="K29" i="3"/>
  <c r="K37" i="3"/>
  <c r="C9" i="8"/>
  <c r="K9" i="8" s="1"/>
  <c r="L9" i="8" s="1"/>
  <c r="C49" i="11"/>
  <c r="L49" i="11" s="1"/>
  <c r="C75" i="11"/>
  <c r="L75" i="11" s="1"/>
  <c r="M75" i="11" s="1"/>
  <c r="F25" i="3"/>
  <c r="G17" i="4"/>
  <c r="C121" i="6"/>
  <c r="I121" i="6" s="1"/>
  <c r="C31" i="11"/>
  <c r="L31" i="11" s="1"/>
  <c r="M31" i="11" s="1"/>
  <c r="C57" i="11"/>
  <c r="L57" i="11" s="1"/>
  <c r="M57" i="11" s="1"/>
  <c r="F21" i="3"/>
  <c r="G33" i="4"/>
  <c r="I18" i="4"/>
  <c r="I26" i="4"/>
  <c r="H17" i="5"/>
  <c r="J17" i="5" s="1"/>
  <c r="O17" i="5" s="1"/>
  <c r="E15" i="7" s="1"/>
  <c r="J14" i="6"/>
  <c r="C13" i="11"/>
  <c r="L13" i="11" s="1"/>
  <c r="M13" i="11" s="1"/>
  <c r="F37" i="3"/>
  <c r="E11" i="4"/>
  <c r="L6" i="5" s="1"/>
  <c r="E19" i="4"/>
  <c r="E27" i="4"/>
  <c r="C8" i="6"/>
  <c r="I8" i="6" s="1"/>
  <c r="F26" i="3"/>
  <c r="F30" i="3"/>
  <c r="F38" i="3"/>
  <c r="C18" i="6"/>
  <c r="I18" i="6" s="1"/>
  <c r="C10" i="8"/>
  <c r="K10" i="8" s="1"/>
  <c r="L10" i="8" s="1"/>
  <c r="F14" i="3"/>
  <c r="C28" i="6"/>
  <c r="I28" i="6" s="1"/>
  <c r="C68" i="11"/>
  <c r="L68" i="11" s="1"/>
  <c r="M68" i="11" s="1"/>
  <c r="C38" i="6"/>
  <c r="I38" i="6" s="1"/>
  <c r="C24" i="11"/>
  <c r="L24" i="11" s="1"/>
  <c r="C50" i="11"/>
  <c r="L50" i="11" s="1"/>
  <c r="M50" i="11" s="1"/>
  <c r="E12" i="4"/>
  <c r="E20" i="4"/>
  <c r="H16" i="5" s="1"/>
  <c r="J16" i="5" s="1"/>
  <c r="O16" i="5" s="1"/>
  <c r="E14" i="7" s="1"/>
  <c r="C48" i="6"/>
  <c r="I48" i="6" s="1"/>
  <c r="C32" i="11"/>
  <c r="L32" i="11" s="1"/>
  <c r="M32" i="11" s="1"/>
  <c r="C9" i="6"/>
  <c r="I9" i="6" s="1"/>
  <c r="C58" i="6"/>
  <c r="I58" i="6" s="1"/>
  <c r="C14" i="11"/>
  <c r="L14" i="11" s="1"/>
  <c r="M14" i="11" s="1"/>
  <c r="C19" i="6"/>
  <c r="I19" i="6" s="1"/>
  <c r="K138" i="6" l="1"/>
  <c r="K141" i="6" s="1"/>
  <c r="K143" i="6" s="1"/>
  <c r="G8" i="5"/>
  <c r="K8" i="5" s="1"/>
  <c r="P8" i="5" s="1"/>
  <c r="F6" i="7" s="1"/>
  <c r="K12" i="8"/>
  <c r="H11" i="5"/>
  <c r="J11" i="5" s="1"/>
  <c r="O11" i="5" s="1"/>
  <c r="E9" i="7" s="1"/>
  <c r="H12" i="5"/>
  <c r="J12" i="5" s="1"/>
  <c r="O12" i="5" s="1"/>
  <c r="E10" i="7" s="1"/>
  <c r="M21" i="3"/>
  <c r="N21" i="3" s="1"/>
  <c r="L21" i="3"/>
  <c r="H9" i="5"/>
  <c r="J9" i="5" s="1"/>
  <c r="O9" i="5" s="1"/>
  <c r="E7" i="7" s="1"/>
  <c r="L13" i="5"/>
  <c r="M49" i="11"/>
  <c r="L52" i="11"/>
  <c r="M52" i="11" s="1"/>
  <c r="M13" i="3"/>
  <c r="N13" i="3" s="1"/>
  <c r="L13" i="3"/>
  <c r="L42" i="3" s="1"/>
  <c r="L16" i="5"/>
  <c r="G10" i="5"/>
  <c r="K10" i="5" s="1"/>
  <c r="P10" i="5" s="1"/>
  <c r="F8" i="7" s="1"/>
  <c r="L10" i="5"/>
  <c r="L7" i="5"/>
  <c r="L15" i="5"/>
  <c r="L76" i="11"/>
  <c r="M76" i="11" s="1"/>
  <c r="G11" i="5"/>
  <c r="K11" i="5" s="1"/>
  <c r="P11" i="5" s="1"/>
  <c r="F9" i="7" s="1"/>
  <c r="L46" i="11"/>
  <c r="M46" i="11" s="1"/>
  <c r="M42" i="11"/>
  <c r="L58" i="11"/>
  <c r="M58" i="11" s="1"/>
  <c r="L18" i="5"/>
  <c r="H8" i="5"/>
  <c r="J8" i="5" s="1"/>
  <c r="O8" i="5" s="1"/>
  <c r="E6" i="7" s="1"/>
  <c r="L12" i="5"/>
  <c r="G12" i="5"/>
  <c r="K12" i="5" s="1"/>
  <c r="P12" i="5" s="1"/>
  <c r="F10" i="7" s="1"/>
  <c r="L9" i="5"/>
  <c r="L17" i="5"/>
  <c r="L8" i="5"/>
  <c r="G6" i="5"/>
  <c r="K6" i="5" s="1"/>
  <c r="P6" i="5" s="1"/>
  <c r="L28" i="3"/>
  <c r="L64" i="11"/>
  <c r="M64" i="11" s="1"/>
  <c r="H6" i="5"/>
  <c r="J6" i="5" s="1"/>
  <c r="O6" i="5" s="1"/>
  <c r="L20" i="3"/>
  <c r="L15" i="11"/>
  <c r="M15" i="11" s="1"/>
  <c r="N6" i="3"/>
  <c r="L21" i="11"/>
  <c r="M21" i="11" s="1"/>
  <c r="M18" i="11"/>
  <c r="L11" i="5"/>
  <c r="H10" i="5"/>
  <c r="J10" i="5" s="1"/>
  <c r="O10" i="5" s="1"/>
  <c r="E8" i="7" s="1"/>
  <c r="M37" i="3"/>
  <c r="N37" i="3" s="1"/>
  <c r="L37" i="3"/>
  <c r="H13" i="5"/>
  <c r="J13" i="5" s="1"/>
  <c r="O13" i="5" s="1"/>
  <c r="E11" i="7" s="1"/>
  <c r="I4" i="7"/>
  <c r="I18" i="7" s="1"/>
  <c r="J138" i="6"/>
  <c r="J141" i="6" s="1"/>
  <c r="G13" i="5"/>
  <c r="K13" i="5" s="1"/>
  <c r="P13" i="5" s="1"/>
  <c r="F11" i="7" s="1"/>
  <c r="H18" i="5"/>
  <c r="J18" i="5" s="1"/>
  <c r="O18" i="5" s="1"/>
  <c r="E16" i="7" s="1"/>
  <c r="L33" i="11"/>
  <c r="M33" i="11" s="1"/>
  <c r="H15" i="5"/>
  <c r="J15" i="5" s="1"/>
  <c r="O15" i="5" s="1"/>
  <c r="E13" i="7" s="1"/>
  <c r="M67" i="11"/>
  <c r="L70" i="11"/>
  <c r="M70" i="11" s="1"/>
  <c r="H7" i="5"/>
  <c r="J7" i="5" s="1"/>
  <c r="O7" i="5" s="1"/>
  <c r="E5" i="7" s="1"/>
  <c r="H14" i="5"/>
  <c r="J14" i="5" s="1"/>
  <c r="O14" i="5" s="1"/>
  <c r="E12" i="7" s="1"/>
  <c r="G7" i="5"/>
  <c r="K7" i="5" s="1"/>
  <c r="P7" i="5" s="1"/>
  <c r="F5" i="7" s="1"/>
  <c r="G17" i="5"/>
  <c r="K17" i="5" s="1"/>
  <c r="P17" i="5" s="1"/>
  <c r="F15" i="7" s="1"/>
  <c r="G15" i="5"/>
  <c r="K15" i="5" s="1"/>
  <c r="P15" i="5" s="1"/>
  <c r="F13" i="7" s="1"/>
  <c r="L14" i="5"/>
  <c r="L9" i="11"/>
  <c r="M9" i="11" s="1"/>
  <c r="G9" i="5"/>
  <c r="K9" i="5" s="1"/>
  <c r="P9" i="5" s="1"/>
  <c r="F7" i="7" s="1"/>
  <c r="K10" i="10"/>
  <c r="L39" i="11"/>
  <c r="M39" i="11" s="1"/>
  <c r="M36" i="11"/>
  <c r="M29" i="3"/>
  <c r="N29" i="3" s="1"/>
  <c r="L29" i="3"/>
  <c r="L27" i="11"/>
  <c r="M27" i="11" s="1"/>
  <c r="M24" i="11"/>
  <c r="G14" i="5"/>
  <c r="K14" i="5" s="1"/>
  <c r="P14" i="5" s="1"/>
  <c r="F12" i="7" s="1"/>
  <c r="G18" i="5"/>
  <c r="K18" i="5" s="1"/>
  <c r="P18" i="5" s="1"/>
  <c r="F16" i="7" s="1"/>
  <c r="L23" i="3"/>
  <c r="J143" i="6" l="1"/>
  <c r="E5" i="12"/>
  <c r="F5" i="12" s="1"/>
  <c r="N42" i="3"/>
  <c r="N47" i="3" s="1"/>
  <c r="M42" i="3"/>
  <c r="E4" i="7"/>
  <c r="E18" i="7" s="1"/>
  <c r="C4" i="12" s="1"/>
  <c r="C9" i="12" s="1"/>
  <c r="O19" i="5"/>
  <c r="O22" i="5" s="1"/>
  <c r="K14" i="8"/>
  <c r="L12" i="8"/>
  <c r="K12" i="10"/>
  <c r="L10" i="10"/>
  <c r="F4" i="7"/>
  <c r="F18" i="7" s="1"/>
  <c r="B4" i="12" s="1"/>
  <c r="B9" i="12" s="1"/>
  <c r="B11" i="12" s="1"/>
  <c r="P19" i="5"/>
  <c r="P22" i="5" s="1"/>
  <c r="L14" i="8" l="1"/>
  <c r="E6" i="12"/>
  <c r="F6" i="12" s="1"/>
  <c r="L12" i="10"/>
  <c r="E7" i="12"/>
  <c r="F7" i="12" s="1"/>
  <c r="M47" i="3"/>
  <c r="J44" i="3"/>
  <c r="F15" i="5" l="1"/>
  <c r="M15" i="5" s="1"/>
  <c r="N15" i="5" s="1"/>
  <c r="Q15" i="5" s="1"/>
  <c r="F7" i="5"/>
  <c r="M7" i="5" s="1"/>
  <c r="N7" i="5" s="1"/>
  <c r="Q7" i="5" s="1"/>
  <c r="F12" i="5"/>
  <c r="M12" i="5" s="1"/>
  <c r="N12" i="5" s="1"/>
  <c r="Q12" i="5" s="1"/>
  <c r="F8" i="5"/>
  <c r="M8" i="5" s="1"/>
  <c r="N8" i="5" s="1"/>
  <c r="Q8" i="5" s="1"/>
  <c r="F17" i="5"/>
  <c r="M17" i="5" s="1"/>
  <c r="N17" i="5" s="1"/>
  <c r="Q17" i="5" s="1"/>
  <c r="F9" i="5"/>
  <c r="M9" i="5" s="1"/>
  <c r="N9" i="5" s="1"/>
  <c r="Q9" i="5" s="1"/>
  <c r="F14" i="5"/>
  <c r="M14" i="5" s="1"/>
  <c r="N14" i="5" s="1"/>
  <c r="Q14" i="5" s="1"/>
  <c r="F6" i="5"/>
  <c r="M6" i="5" s="1"/>
  <c r="N6" i="5" s="1"/>
  <c r="Q6" i="5" s="1"/>
  <c r="F16" i="5"/>
  <c r="M16" i="5" s="1"/>
  <c r="N16" i="5" s="1"/>
  <c r="Q16" i="5" s="1"/>
  <c r="F11" i="5"/>
  <c r="M11" i="5" s="1"/>
  <c r="N11" i="5" s="1"/>
  <c r="Q11" i="5" s="1"/>
  <c r="F13" i="5"/>
  <c r="M13" i="5" s="1"/>
  <c r="N13" i="5" s="1"/>
  <c r="Q13" i="5" s="1"/>
  <c r="F18" i="5"/>
  <c r="M18" i="5" s="1"/>
  <c r="N18" i="5" s="1"/>
  <c r="Q18" i="5" s="1"/>
  <c r="F10" i="5"/>
  <c r="M10" i="5" s="1"/>
  <c r="N10" i="5" s="1"/>
  <c r="Q10" i="5" s="1"/>
  <c r="G8" i="7" l="1"/>
  <c r="J8" i="7" s="1"/>
  <c r="K8" i="7" s="1"/>
  <c r="L8" i="7" s="1"/>
  <c r="R10" i="5"/>
  <c r="G16" i="7"/>
  <c r="J16" i="7" s="1"/>
  <c r="K16" i="7" s="1"/>
  <c r="L16" i="7" s="1"/>
  <c r="R18" i="5"/>
  <c r="G11" i="7"/>
  <c r="J11" i="7" s="1"/>
  <c r="K11" i="7" s="1"/>
  <c r="L11" i="7" s="1"/>
  <c r="R13" i="5"/>
  <c r="R16" i="5"/>
  <c r="G14" i="7"/>
  <c r="J14" i="7" s="1"/>
  <c r="K14" i="7" s="1"/>
  <c r="L14" i="7" s="1"/>
  <c r="R6" i="5"/>
  <c r="G4" i="7"/>
  <c r="Q19" i="5"/>
  <c r="Q22" i="5" s="1"/>
  <c r="Q24" i="5" s="1"/>
  <c r="R14" i="5"/>
  <c r="G12" i="7"/>
  <c r="J12" i="7" s="1"/>
  <c r="K12" i="7" s="1"/>
  <c r="L12" i="7" s="1"/>
  <c r="R9" i="5"/>
  <c r="G7" i="7"/>
  <c r="J7" i="7" s="1"/>
  <c r="K7" i="7" s="1"/>
  <c r="L7" i="7" s="1"/>
  <c r="G15" i="7"/>
  <c r="J15" i="7" s="1"/>
  <c r="K15" i="7" s="1"/>
  <c r="L15" i="7" s="1"/>
  <c r="R17" i="5"/>
  <c r="R8" i="5"/>
  <c r="G6" i="7"/>
  <c r="J6" i="7" s="1"/>
  <c r="K6" i="7" s="1"/>
  <c r="L6" i="7" s="1"/>
  <c r="R12" i="5"/>
  <c r="G10" i="7"/>
  <c r="J10" i="7" s="1"/>
  <c r="K10" i="7" s="1"/>
  <c r="L10" i="7" s="1"/>
  <c r="R7" i="5"/>
  <c r="G5" i="7"/>
  <c r="J5" i="7" s="1"/>
  <c r="K5" i="7" s="1"/>
  <c r="L5" i="7" s="1"/>
  <c r="R11" i="5"/>
  <c r="G9" i="7"/>
  <c r="J9" i="7" s="1"/>
  <c r="K9" i="7" s="1"/>
  <c r="L9" i="7" s="1"/>
  <c r="R15" i="5"/>
  <c r="G13" i="7"/>
  <c r="J13" i="7" s="1"/>
  <c r="K13" i="7" s="1"/>
  <c r="L13" i="7" s="1"/>
  <c r="J4" i="7" l="1"/>
  <c r="G18" i="7"/>
  <c r="E4" i="12" s="1"/>
  <c r="R19" i="5"/>
  <c r="R22" i="5" s="1"/>
  <c r="R24" i="5" s="1"/>
  <c r="E9" i="12" l="1"/>
  <c r="F9" i="12" s="1"/>
  <c r="F4" i="12"/>
  <c r="K4" i="7"/>
  <c r="J18" i="7"/>
  <c r="L4" i="7" l="1"/>
  <c r="L18" i="7" s="1"/>
  <c r="K18" i="7"/>
</calcChain>
</file>

<file path=xl/sharedStrings.xml><?xml version="1.0" encoding="utf-8"?>
<sst xmlns="http://schemas.openxmlformats.org/spreadsheetml/2006/main" count="1523" uniqueCount="440">
  <si>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</si>
  <si>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</si>
  <si>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</si>
  <si>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</si>
  <si>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</si>
  <si>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</si>
  <si>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</si>
  <si>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</si>
  <si>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</si>
  <si>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210J</t>
  </si>
  <si>
    <t>5W</t>
  </si>
  <si>
    <t>200J</t>
  </si>
  <si>
    <t>4W</t>
  </si>
  <si>
    <t>160J</t>
  </si>
  <si>
    <t>3W</t>
  </si>
  <si>
    <t>120J</t>
  </si>
  <si>
    <t>2W</t>
  </si>
  <si>
    <t>80J</t>
  </si>
  <si>
    <t>1W</t>
  </si>
  <si>
    <t>40J</t>
  </si>
  <si>
    <t>26J</t>
  </si>
  <si>
    <t>12J</t>
  </si>
  <si>
    <t>10J</t>
  </si>
  <si>
    <t>6J</t>
  </si>
  <si>
    <t>4J</t>
  </si>
  <si>
    <t>3J</t>
  </si>
  <si>
    <t>2J</t>
  </si>
  <si>
    <t>1J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</si>
  <si>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</si>
  <si>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</si>
  <si>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</si>
  <si>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</si>
  <si>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</si>
  <si>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</si>
  <si>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</si>
  <si>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</si>
  <si>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</si>
  <si>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BHB</t>
  </si>
  <si>
    <t xml:space="preserve">B    </t>
  </si>
  <si>
    <t>Kantoor-/personeels-/vergaderruimte - hard (basis)</t>
  </si>
  <si>
    <t>m²/uur</t>
  </si>
  <si>
    <t>BHV</t>
  </si>
  <si>
    <t>Kantoor-/personeels-/vergaderruimte - hard (volledig)</t>
  </si>
  <si>
    <t>BZB</t>
  </si>
  <si>
    <t>Kantoor-/personeels-/vergaderruimte - zacht (basis)</t>
  </si>
  <si>
    <t>BZV</t>
  </si>
  <si>
    <t>Kantoor-/personeels-/vergaderruimte - zacht (volledig)</t>
  </si>
  <si>
    <t>KHB</t>
  </si>
  <si>
    <t>Leslokalen/studieruimte - hard (basis)</t>
  </si>
  <si>
    <t>KHV</t>
  </si>
  <si>
    <t>Leslokalen/studieruimte - hard (volledig)</t>
  </si>
  <si>
    <t>KZB</t>
  </si>
  <si>
    <t>Leslokalen/studieruimte - zacht (basis)</t>
  </si>
  <si>
    <t>KZV</t>
  </si>
  <si>
    <t>Leslokalen/studieruimte - zacht (volledig)</t>
  </si>
  <si>
    <t>SHB</t>
  </si>
  <si>
    <t xml:space="preserve">S    </t>
  </si>
  <si>
    <t>Sanitaire ruimte/toiletgroep - hard (basis)</t>
  </si>
  <si>
    <t>SHV</t>
  </si>
  <si>
    <t>Sanitaire ruimte/toiletgroep - hard (volledig)</t>
  </si>
  <si>
    <t>AHB</t>
  </si>
  <si>
    <t xml:space="preserve">V    </t>
  </si>
  <si>
    <t>Aula/pauzeruimte - hard (basis)</t>
  </si>
  <si>
    <t>AHV</t>
  </si>
  <si>
    <t>Aula/pauzeruimte - hard (volledig)</t>
  </si>
  <si>
    <t>AZB</t>
  </si>
  <si>
    <t>Aula/pauzeruimte - zacht (basis)</t>
  </si>
  <si>
    <t>AZV</t>
  </si>
  <si>
    <t>Aula/pauzeruimte - zacht (volledig)</t>
  </si>
  <si>
    <t>EHB</t>
  </si>
  <si>
    <t>Entree - hard (basis)</t>
  </si>
  <si>
    <t>EHV</t>
  </si>
  <si>
    <t>Entree - hard (volledig)</t>
  </si>
  <si>
    <t>EZB</t>
  </si>
  <si>
    <t>Entree - zacht (basis)</t>
  </si>
  <si>
    <t>EZV</t>
  </si>
  <si>
    <t>Entree - zacht (volledig)</t>
  </si>
  <si>
    <t>GHB</t>
  </si>
  <si>
    <t>Gymzaal/sportruimte - hard (basis)</t>
  </si>
  <si>
    <t>GHV</t>
  </si>
  <si>
    <t>Gymzaal/sportruimte - hard (volledig)</t>
  </si>
  <si>
    <t>PHB</t>
  </si>
  <si>
    <t>Pantry/keuken - hard (basis)</t>
  </si>
  <si>
    <t>PHV</t>
  </si>
  <si>
    <t>Pantry/keuken - hard (volledig)</t>
  </si>
  <si>
    <t>THB</t>
  </si>
  <si>
    <t>Trap - hard (basis)</t>
  </si>
  <si>
    <t>THV</t>
  </si>
  <si>
    <t>Trap - hard (volledig)</t>
  </si>
  <si>
    <t>TZB</t>
  </si>
  <si>
    <t>Trap - zacht (basis)</t>
  </si>
  <si>
    <t>TZV</t>
  </si>
  <si>
    <t>Trap - zacht (volledig)</t>
  </si>
  <si>
    <t>VHB</t>
  </si>
  <si>
    <t>Verkeersruimte/garderobe/reprografie - hard (basis)</t>
  </si>
  <si>
    <t>VHV</t>
  </si>
  <si>
    <t>Verkeersruimte/garderobe/reprografie - hard (volledig)</t>
  </si>
  <si>
    <t>VZB</t>
  </si>
  <si>
    <t>Verkeersruimte/garderobe/reprografie - zacht (basis)</t>
  </si>
  <si>
    <t>VZV</t>
  </si>
  <si>
    <t>Verkeersruimte/garderobe/reprografie - zacht (volledig)</t>
  </si>
  <si>
    <t>XBB</t>
  </si>
  <si>
    <t xml:space="preserve">X    </t>
  </si>
  <si>
    <t>Periodiek vloeren beschermd (basis)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</si>
  <si>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</si>
  <si>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</si>
  <si>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</si>
  <si>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</si>
  <si>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</si>
  <si>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</si>
  <si>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</si>
  <si>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</si>
  <si>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</si>
  <si>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</si>
  <si>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Aula/pauzeruimte</t>
  </si>
  <si>
    <t>AZ</t>
  </si>
  <si>
    <t>BH</t>
  </si>
  <si>
    <t>Kantoor/personeels-/vergaderrruimte</t>
  </si>
  <si>
    <t>BZ</t>
  </si>
  <si>
    <t>EH</t>
  </si>
  <si>
    <t>Entree</t>
  </si>
  <si>
    <t>EZ</t>
  </si>
  <si>
    <t>GH</t>
  </si>
  <si>
    <t>Gymzaal/sportruimte/toestelberging</t>
  </si>
  <si>
    <t>KH</t>
  </si>
  <si>
    <t>Leslokaal/studieruimte</t>
  </si>
  <si>
    <t>KZ</t>
  </si>
  <si>
    <t>PH</t>
  </si>
  <si>
    <t>Pantry/keuken</t>
  </si>
  <si>
    <t>SH</t>
  </si>
  <si>
    <t>Sanitaire ruimte/toiletten</t>
  </si>
  <si>
    <t>TH</t>
  </si>
  <si>
    <t>Trap</t>
  </si>
  <si>
    <t>TZ</t>
  </si>
  <si>
    <t>VH</t>
  </si>
  <si>
    <t>Verkeersruimte/garderobe/reprografie</t>
  </si>
  <si>
    <t>VZ</t>
  </si>
  <si>
    <t>XB</t>
  </si>
  <si>
    <t>Periodiek vloeren beschermd</t>
  </si>
  <si>
    <t xml:space="preserve">Totaal werkdag             </t>
  </si>
  <si>
    <t xml:space="preserve">Gemiddeld uurtarief werkdag             </t>
  </si>
  <si>
    <t>Totaal regulier werk excl. BTW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</si>
  <si>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</si>
  <si>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</si>
  <si>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</si>
  <si>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</si>
  <si>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</si>
  <si>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</si>
  <si>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</si>
  <si>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  01</t>
  </si>
  <si>
    <t xml:space="preserve">      02</t>
  </si>
  <si>
    <t xml:space="preserve">      03</t>
  </si>
  <si>
    <t xml:space="preserve">      04</t>
  </si>
  <si>
    <t xml:space="preserve">      05</t>
  </si>
  <si>
    <t xml:space="preserve">      06</t>
  </si>
  <si>
    <t xml:space="preserve">      07</t>
  </si>
  <si>
    <t xml:space="preserve">      09</t>
  </si>
  <si>
    <t xml:space="preserve">      10</t>
  </si>
  <si>
    <t xml:space="preserve">      11</t>
  </si>
  <si>
    <t xml:space="preserve">      12</t>
  </si>
  <si>
    <t xml:space="preserve">      13</t>
  </si>
  <si>
    <t xml:space="preserve">      15</t>
  </si>
  <si>
    <t>werkdag</t>
  </si>
  <si>
    <t>OBJECT</t>
  </si>
  <si>
    <t>NAAM</t>
  </si>
  <si>
    <t>ADRES</t>
  </si>
  <si>
    <t>PLAATS</t>
  </si>
  <si>
    <t>BASIS UUR- TARIEF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</si>
  <si>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</si>
  <si>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</si>
  <si>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</si>
  <si>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</si>
  <si>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</si>
  <si>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</si>
  <si>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</si>
  <si>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</si>
  <si>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</si>
  <si>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JAAR (EURO)</t>
  </si>
  <si>
    <t>PRIJS/ MAAND (EURO)</t>
  </si>
  <si>
    <t>01</t>
  </si>
  <si>
    <t>Montessorischool Veldhuizen</t>
  </si>
  <si>
    <t>Ridderhof 9</t>
  </si>
  <si>
    <t>Ede</t>
  </si>
  <si>
    <t>02</t>
  </si>
  <si>
    <t>Edese Montessorischool</t>
  </si>
  <si>
    <t>Professor Oudpark 4</t>
  </si>
  <si>
    <t>03</t>
  </si>
  <si>
    <t>De Zuiderpoort</t>
  </si>
  <si>
    <t>Kerkweg 19</t>
  </si>
  <si>
    <t>04</t>
  </si>
  <si>
    <t>Calluna Montessorischool</t>
  </si>
  <si>
    <t>Sijsseltselaan 16</t>
  </si>
  <si>
    <t>05</t>
  </si>
  <si>
    <t>De Bongerd</t>
  </si>
  <si>
    <t>Lindenhorst 1</t>
  </si>
  <si>
    <t>06</t>
  </si>
  <si>
    <t>De Kern</t>
  </si>
  <si>
    <t>Kleine Houtplein 1</t>
  </si>
  <si>
    <t>07</t>
  </si>
  <si>
    <t>OBS Uniek</t>
  </si>
  <si>
    <t>Nicolaas Maesstraat 7</t>
  </si>
  <si>
    <t>09</t>
  </si>
  <si>
    <t>De Prinsenakker</t>
  </si>
  <si>
    <t>Commandeursweg 87</t>
  </si>
  <si>
    <t>Bennekom</t>
  </si>
  <si>
    <t>10</t>
  </si>
  <si>
    <t>De Sprong</t>
  </si>
  <si>
    <t>Marterlaan 20</t>
  </si>
  <si>
    <t>Lunteren</t>
  </si>
  <si>
    <t>11</t>
  </si>
  <si>
    <t>De Roedel</t>
  </si>
  <si>
    <t>Edeseweg 216</t>
  </si>
  <si>
    <t>Harskamp</t>
  </si>
  <si>
    <t>12</t>
  </si>
  <si>
    <t>Ericaschool</t>
  </si>
  <si>
    <t>Kerklaan 1</t>
  </si>
  <si>
    <t>Otterlo</t>
  </si>
  <si>
    <t>13</t>
  </si>
  <si>
    <t>De Lettertuin</t>
  </si>
  <si>
    <t>De Ruyterstraat 1</t>
  </si>
  <si>
    <t>15</t>
  </si>
  <si>
    <t>De Lettertuin - dependance</t>
  </si>
  <si>
    <t>Bettekamp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</si>
  <si>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</si>
  <si>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</si>
  <si>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</si>
  <si>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</si>
  <si>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</si>
  <si>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</si>
  <si>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</si>
  <si>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</si>
  <si>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</si>
  <si>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(euro)</t>
  </si>
  <si>
    <t>PRIJS/ MAAND (euro)</t>
  </si>
  <si>
    <t>01 - Montessorischool Veldhuizen, Ridderhof 9, Ede</t>
  </si>
  <si>
    <t>1000</t>
  </si>
  <si>
    <t>Niet meewerkende objectleiding</t>
  </si>
  <si>
    <t>1200</t>
  </si>
  <si>
    <t>Rayonmanager/objectleider</t>
  </si>
  <si>
    <t>&lt;invullen functie afh. van uren uitvoering per jaar&gt;</t>
  </si>
  <si>
    <t>&lt;invullen functie met vaste uren per dag&gt;</t>
  </si>
  <si>
    <t>Totaal 01 - Montessorischool Veldhuizen, Ridderhof 9, Ede</t>
  </si>
  <si>
    <t>02 - Edese Montessorischool, Professor Oudpark 4, Ede</t>
  </si>
  <si>
    <t>Totaal 02 - Edese Montessorischool, Professor Oudpark 4, Ede</t>
  </si>
  <si>
    <t>03 - De Zuiderpoort, Kerkweg 19, Ede</t>
  </si>
  <si>
    <t>Totaal 03 - De Zuiderpoort, Kerkweg 19, Ede</t>
  </si>
  <si>
    <t>04 - Calluna Montessorischool, Sijsseltselaan 16, Ede</t>
  </si>
  <si>
    <t>Totaal 04 - Calluna Montessorischool, Sijsseltselaan 16, Ede</t>
  </si>
  <si>
    <t>05 - De Bongerd, Lindenhorst 1, Ede</t>
  </si>
  <si>
    <t>Totaal 05 - De Bongerd, Lindenhorst 1, Ede</t>
  </si>
  <si>
    <t>06 - De Kern, Kleine Houtplein 1, Ede</t>
  </si>
  <si>
    <t>Totaal 06 - De Kern, Kleine Houtplein 1, Ede</t>
  </si>
  <si>
    <t>07 - OBS Uniek, Nicolaas Maesstraat 7, Ede</t>
  </si>
  <si>
    <t>Totaal 07 - OBS Uniek, Nicolaas Maesstraat 7, Ede</t>
  </si>
  <si>
    <t>09 - De Prinsenakker, Commandeursweg 87, Bennekom</t>
  </si>
  <si>
    <t>Totaal 09 - De Prinsenakker, Commandeursweg 87, Bennekom</t>
  </si>
  <si>
    <t>10 - De Sprong, Marterlaan 20, Lunteren</t>
  </si>
  <si>
    <t>Totaal 10 - De Sprong, Marterlaan 20, Lunteren</t>
  </si>
  <si>
    <t>11 - De Roedel, Edeseweg 216, Harskamp</t>
  </si>
  <si>
    <t>Totaal 11 - De Roedel, Edeseweg 216, Harskamp</t>
  </si>
  <si>
    <t>12 - Ericaschool, Kerklaan 1, Otterlo</t>
  </si>
  <si>
    <t>Totaal 12 - Ericaschool, Kerklaan 1, Otterlo</t>
  </si>
  <si>
    <t>13 - De Lettertuin, De Ruyterstraat 1, Ede</t>
  </si>
  <si>
    <t>Totaal 13 - De Lettertuin, De Ruyterstraat 1, Ede</t>
  </si>
  <si>
    <t>15 - De Lettertuin - dependance, Bettekamp, Ede</t>
  </si>
  <si>
    <t>Totaal 15 - De Lettertuin - dependance, Bettekamp, Ede</t>
  </si>
  <si>
    <t>Totaal niet-meewerkende objectleiding</t>
  </si>
  <si>
    <t>Totaal niet-meewerkende objectleiding (incl. BTW)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</si>
  <si>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</si>
  <si>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</si>
  <si>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</si>
  <si>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</si>
  <si>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</si>
  <si>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</si>
  <si>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</si>
  <si>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</si>
  <si>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</si>
  <si>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</si>
  <si>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</si>
  <si>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</si>
  <si>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</si>
  <si>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</si>
  <si>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4060A</t>
  </si>
  <si>
    <t>Tapijt reinigen sproei/extractie - Truckmount methode &lt;50 m²</t>
  </si>
  <si>
    <t>prijs per m²</t>
  </si>
  <si>
    <t>4060B</t>
  </si>
  <si>
    <t>Tapijt reinigen sproei/extractie - Truckmount methode 50 &lt; 100 m²</t>
  </si>
  <si>
    <t>4060C</t>
  </si>
  <si>
    <t>Tapijt reinigen sproei/extractie - Truckmount methode 100 &lt; 200 m²</t>
  </si>
  <si>
    <t>4060D</t>
  </si>
  <si>
    <t>Tapijt reinigen sproei/extractie - Truckmount methode &gt;= 200 m²</t>
  </si>
  <si>
    <t>9000</t>
  </si>
  <si>
    <t>Medewerker regiewerkzaamheden</t>
  </si>
  <si>
    <t>prijs per uur</t>
  </si>
  <si>
    <t>9100</t>
  </si>
  <si>
    <t>Medewerker specialistische werkzaamheden</t>
  </si>
  <si>
    <t>Totaal afroep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</si>
  <si>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</si>
  <si>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</si>
  <si>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</si>
  <si>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</si>
  <si>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</si>
  <si>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</si>
  <si>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</si>
  <si>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</si>
  <si>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</si>
  <si>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</si>
  <si>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</si>
  <si>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</si>
  <si>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</si>
  <si>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</si>
  <si>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</si>
  <si>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</si>
  <si>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2020A</t>
  </si>
  <si>
    <t>Fax uitwendig reinigen</t>
  </si>
  <si>
    <t>2020B</t>
  </si>
  <si>
    <t>2020C</t>
  </si>
  <si>
    <t>2020D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</si>
  <si>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</si>
  <si>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</si>
  <si>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</si>
  <si>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</si>
  <si>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</si>
  <si>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</si>
  <si>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</si>
  <si>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</si>
  <si>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</si>
  <si>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</si>
  <si>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</si>
  <si>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</si>
  <si>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</si>
  <si>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</si>
  <si>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</si>
  <si>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</si>
  <si>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</si>
  <si>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</si>
  <si>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</si>
  <si>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</si>
  <si>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</si>
  <si>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</si>
  <si>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</si>
  <si>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</si>
  <si>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</si>
  <si>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</si>
  <si>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</si>
  <si>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</si>
  <si>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</si>
  <si>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</si>
  <si>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</si>
  <si>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</si>
  <si>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</si>
  <si>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</si>
  <si>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</si>
  <si>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</si>
  <si>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</si>
  <si>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</si>
  <si>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</si>
  <si>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</si>
  <si>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</si>
  <si>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</si>
  <si>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</si>
  <si>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</si>
  <si>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</si>
  <si>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</si>
  <si>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/>
  </si>
  <si>
    <t>3040</t>
  </si>
  <si>
    <t>Graffiti verwijderen spec.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</si>
  <si>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</si>
  <si>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</si>
  <si>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</si>
  <si>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</si>
  <si>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</si>
  <si>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</si>
  <si>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</si>
  <si>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</si>
  <si>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</si>
  <si>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</si>
  <si>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</si>
  <si>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</si>
  <si>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</si>
  <si>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</si>
  <si>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</si>
  <si>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</si>
  <si>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</si>
  <si>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</si>
  <si>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</si>
  <si>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</si>
  <si>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</si>
  <si>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</si>
  <si>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</si>
  <si>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</si>
  <si>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</si>
  <si>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</si>
  <si>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</si>
  <si>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</si>
  <si>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</si>
  <si>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</si>
  <si>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</si>
  <si>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</si>
  <si>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</si>
  <si>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</si>
  <si>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</si>
  <si>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</si>
  <si>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</si>
  <si>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</si>
  <si>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</si>
  <si>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</si>
  <si>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</si>
  <si>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</si>
  <si>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</si>
  <si>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</si>
  <si>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4090A</t>
  </si>
  <si>
    <t>Inloopmatten uitkloppen</t>
  </si>
  <si>
    <t>4090B</t>
  </si>
  <si>
    <t>4090C</t>
  </si>
  <si>
    <t>4090D</t>
  </si>
  <si>
    <t>Totaal afroep incidenteel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</si>
  <si>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</si>
  <si>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</si>
  <si>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</si>
  <si>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</si>
  <si>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</si>
  <si>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</si>
  <si>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8030</t>
  </si>
  <si>
    <t>Dakkoepel binnezijde</t>
  </si>
  <si>
    <t>Totaal glas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</si>
  <si>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</si>
  <si>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</si>
  <si>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</si>
  <si>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</si>
  <si>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</si>
  <si>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Bedrag per jaar incl. BTW (euro)</t>
  </si>
  <si>
    <t>Regulier werk</t>
  </si>
  <si>
    <t>Objectleiding</t>
  </si>
  <si>
    <t>Afroepwerk (geschatte frequenties)</t>
  </si>
  <si>
    <t>Glas</t>
  </si>
  <si>
    <t>Totaal generaal</t>
  </si>
  <si>
    <t>Percentage objectleiding</t>
  </si>
  <si>
    <t>BEGROOT BEDRAG REGULIERE WERKZAAMHEDEN EN GLASBEWASSING (NIET HOGER DAN BUDGET)</t>
  </si>
  <si>
    <t>VERGELIJKINGSBEDRAG NULBEURT/AFROEP/REGIE/GLASBEWASSINGSWERK (GESCHAT) VOOR PRIJSCRITERIUM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</si>
</sst>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9" fontId="0" fillId="2" borderId="16" xfId="0" applyNumberFormat="1" applyFill="1" applyBorder="1"/>
    <xf numFmtId="1" fontId="0" fillId="2" borderId="16" xfId="0" applyNumberFormat="1" applyFill="1" applyBorder="1"/>
    <xf numFmtId="4" fontId="0" fillId="0" borderId="16" xfId="0" applyNumberFormat="1" applyBorder="1" applyProtection="1">
      <protection locked="0"/>
    </xf>
    <xf numFmtId="10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0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0" fontId="0" fillId="2" borderId="15" xfId="0" applyNumberFormat="1" applyFill="1" applyBorder="1"/>
    <xf numFmtId="164" fontId="0" fillId="2" borderId="15" xfId="0" applyNumberFormat="1" applyFill="1" applyBorder="1"/>
    <xf numFmtId="4" fontId="0" fillId="2" borderId="16" xfId="0" applyNumberFormat="1" applyFill="1" applyBorder="1"/>
    <xf numFmtId="165" fontId="0" fillId="2" borderId="16" xfId="0" applyNumberFormat="1" applyFill="1" applyBorder="1"/>
    <xf numFmtId="10" fontId="0" fillId="2" borderId="16" xfId="0" applyNumberFormat="1" applyFill="1" applyBorder="1"/>
    <xf numFmtId="164" fontId="0" fillId="2" borderId="16" xfId="0" applyNumberFormat="1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7" xfId="0" applyNumberFormat="1" applyFill="1" applyBorder="1"/>
    <xf numFmtId="0" fontId="0" fillId="3" borderId="10" xfId="0" applyFill="1" applyBorder="1"/>
    <xf numFmtId="0" fontId="0" fillId="3" borderId="18" xfId="0" applyFill="1" applyBorder="1"/>
    <xf numFmtId="49" fontId="0" fillId="3" borderId="3" xfId="0" applyNumberFormat="1" applyFill="1" applyBorder="1"/>
    <xf numFmtId="0" fontId="0" fillId="3" borderId="19" xfId="0" applyFill="1" applyBorder="1"/>
    <xf numFmtId="49" fontId="0" fillId="3" borderId="19" xfId="0" applyNumberFormat="1" applyFill="1" applyBorder="1"/>
    <xf numFmtId="0" fontId="0" fillId="3" borderId="6" xfId="0" applyFill="1" applyBorder="1"/>
    <xf numFmtId="49" fontId="0" fillId="4" borderId="14" xfId="0" applyNumberFormat="1" applyFill="1" applyBorder="1" applyProtection="1">
      <protection locked="0"/>
    </xf>
    <xf numFmtId="164" fontId="0" fillId="4" borderId="14" xfId="0" applyNumberFormat="1" applyFill="1" applyBorder="1" applyProtection="1">
      <protection locked="0"/>
    </xf>
    <xf numFmtId="4" fontId="0" fillId="0" borderId="14" xfId="0" applyNumberFormat="1" applyBorder="1"/>
    <xf numFmtId="49" fontId="0" fillId="4" borderId="15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4" fontId="0" fillId="0" borderId="15" xfId="0" applyNumberFormat="1" applyBorder="1"/>
    <xf numFmtId="49" fontId="0" fillId="4" borderId="16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4" fontId="0" fillId="0" borderId="16" xfId="0" applyNumberFormat="1" applyBorder="1"/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3" borderId="7" xfId="0" applyFill="1" applyBorder="1" applyAlignment="1"/>
    <xf numFmtId="4" fontId="0" fillId="3" borderId="14" xfId="0" applyNumberFormat="1" applyFill="1" applyBorder="1"/>
    <xf numFmtId="4" fontId="0" fillId="3" borderId="15" xfId="0" applyNumberFormat="1" applyFill="1" applyBorder="1"/>
    <xf numFmtId="1" fontId="0" fillId="0" borderId="15" xfId="0" applyNumberFormat="1" applyBorder="1"/>
    <xf numFmtId="49" fontId="0" fillId="0" borderId="15" xfId="0" applyNumberFormat="1" applyBorder="1"/>
    <xf numFmtId="10" fontId="0" fillId="3" borderId="15" xfId="0" applyNumberFormat="1" applyFill="1" applyBorder="1"/>
    <xf numFmtId="1" fontId="0" fillId="0" borderId="16" xfId="0" applyNumberFormat="1" applyBorder="1"/>
    <xf numFmtId="49" fontId="0" fillId="0" borderId="16" xfId="0" applyNumberFormat="1" applyBorder="1"/>
    <xf numFmtId="10" fontId="0" fillId="3" borderId="16" xfId="0" applyNumberFormat="1" applyFill="1" applyBorder="1"/>
    <xf numFmtId="49" fontId="0" fillId="3" borderId="10" xfId="0" applyNumberFormat="1" applyFill="1" applyBorder="1" applyAlignment="1"/>
    <xf numFmtId="4" fontId="0" fillId="4" borderId="14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164" fontId="0" fillId="3" borderId="12" xfId="0" applyNumberFormat="1" applyFill="1" applyBorder="1"/>
    <xf numFmtId="0" fontId="0" fillId="3" borderId="12" xfId="0" applyFill="1" applyBorder="1"/>
    <xf numFmtId="0" fontId="0" fillId="3" borderId="10" xfId="0" applyFill="1" applyBorder="1" applyAlignment="1"/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3" borderId="14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6" xfId="0" applyNumberFormat="1" applyFill="1" applyBorder="1" applyAlignment="1">
      <alignment wrapText="1"/>
    </xf>
    <xf numFmtId="4" fontId="0" fillId="3" borderId="16" xfId="0" applyNumberFormat="1" applyFill="1" applyBorder="1"/>
    <xf numFmtId="10" fontId="0" fillId="3" borderId="6" xfId="0" applyNumberFormat="1" applyFill="1" applyBorder="1"/>
    <xf numFmtId="0" fontId="2" fillId="5" borderId="17" xfId="0" applyFont="1" applyFill="1" applyBorder="1"/>
    <xf numFmtId="0" fontId="3" fillId="5" borderId="17" xfId="0" applyFont="1" applyFill="1" applyBorder="1"/>
    <xf numFmtId="164" fontId="2" fillId="6" borderId="17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DEE3-FEEF-417F-8EEB-FFD090185B4C}">
  <dimension ref="A1:B31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200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 t="shared" ref="B13:B31" si="0">IF(A13="2½W",2.5/dagenperweek1,IF(RIGHT(A13,1)="W",VALUE(LEFT(A13,LEN(A13)-1))/dagenperweek1,IF(RIGHT(A13,1)="J",VALUE(LEFT(A13,LEN(A13)-1))/dagenperjaar1,"handmatig!")))</f>
        <v>1.05</v>
      </c>
    </row>
    <row r="14" spans="1:2" x14ac:dyDescent="0.2">
      <c r="A14" s="2" t="s">
        <v>10</v>
      </c>
      <c r="B14" s="3">
        <f t="shared" si="0"/>
        <v>1</v>
      </c>
    </row>
    <row r="15" spans="1:2" x14ac:dyDescent="0.2">
      <c r="A15" s="2" t="s">
        <v>11</v>
      </c>
      <c r="B15" s="3">
        <f t="shared" si="0"/>
        <v>1</v>
      </c>
    </row>
    <row r="16" spans="1:2" x14ac:dyDescent="0.2">
      <c r="A16" s="2" t="s">
        <v>12</v>
      </c>
      <c r="B16" s="3">
        <f t="shared" si="0"/>
        <v>0.8</v>
      </c>
    </row>
    <row r="17" spans="1:2" x14ac:dyDescent="0.2">
      <c r="A17" s="2" t="s">
        <v>13</v>
      </c>
      <c r="B17" s="3">
        <f t="shared" si="0"/>
        <v>0.8</v>
      </c>
    </row>
    <row r="18" spans="1:2" x14ac:dyDescent="0.2">
      <c r="A18" s="2" t="s">
        <v>14</v>
      </c>
      <c r="B18" s="3">
        <f t="shared" si="0"/>
        <v>0.6</v>
      </c>
    </row>
    <row r="19" spans="1:2" x14ac:dyDescent="0.2">
      <c r="A19" s="2" t="s">
        <v>15</v>
      </c>
      <c r="B19" s="3">
        <f t="shared" si="0"/>
        <v>0.6</v>
      </c>
    </row>
    <row r="20" spans="1:2" x14ac:dyDescent="0.2">
      <c r="A20" s="2" t="s">
        <v>16</v>
      </c>
      <c r="B20" s="3">
        <f t="shared" si="0"/>
        <v>0.4</v>
      </c>
    </row>
    <row r="21" spans="1:2" x14ac:dyDescent="0.2">
      <c r="A21" s="2" t="s">
        <v>17</v>
      </c>
      <c r="B21" s="3">
        <f t="shared" si="0"/>
        <v>0.4</v>
      </c>
    </row>
    <row r="22" spans="1:2" x14ac:dyDescent="0.2">
      <c r="A22" s="2" t="s">
        <v>18</v>
      </c>
      <c r="B22" s="3">
        <f t="shared" si="0"/>
        <v>0.2</v>
      </c>
    </row>
    <row r="23" spans="1:2" x14ac:dyDescent="0.2">
      <c r="A23" s="2" t="s">
        <v>19</v>
      </c>
      <c r="B23" s="3">
        <f t="shared" si="0"/>
        <v>0.2</v>
      </c>
    </row>
    <row r="24" spans="1:2" x14ac:dyDescent="0.2">
      <c r="A24" s="2" t="s">
        <v>20</v>
      </c>
      <c r="B24" s="3">
        <f t="shared" si="0"/>
        <v>0.13</v>
      </c>
    </row>
    <row r="25" spans="1:2" x14ac:dyDescent="0.2">
      <c r="A25" s="2" t="s">
        <v>21</v>
      </c>
      <c r="B25" s="3">
        <f t="shared" si="0"/>
        <v>0.06</v>
      </c>
    </row>
    <row r="26" spans="1:2" x14ac:dyDescent="0.2">
      <c r="A26" s="2" t="s">
        <v>22</v>
      </c>
      <c r="B26" s="3">
        <f t="shared" si="0"/>
        <v>0.05</v>
      </c>
    </row>
    <row r="27" spans="1:2" x14ac:dyDescent="0.2">
      <c r="A27" s="2" t="s">
        <v>23</v>
      </c>
      <c r="B27" s="3">
        <f t="shared" si="0"/>
        <v>0.03</v>
      </c>
    </row>
    <row r="28" spans="1:2" x14ac:dyDescent="0.2">
      <c r="A28" s="2" t="s">
        <v>24</v>
      </c>
      <c r="B28" s="3">
        <f t="shared" si="0"/>
        <v>0.02</v>
      </c>
    </row>
    <row r="29" spans="1:2" x14ac:dyDescent="0.2">
      <c r="A29" s="2" t="s">
        <v>25</v>
      </c>
      <c r="B29" s="3">
        <f t="shared" si="0"/>
        <v>1.4999999999999999E-2</v>
      </c>
    </row>
    <row r="30" spans="1:2" x14ac:dyDescent="0.2">
      <c r="A30" s="2" t="s">
        <v>26</v>
      </c>
      <c r="B30" s="3">
        <f t="shared" si="0"/>
        <v>0.01</v>
      </c>
    </row>
    <row r="31" spans="1:2" x14ac:dyDescent="0.2">
      <c r="A31" s="6" t="s">
        <v>27</v>
      </c>
      <c r="B31" s="7">
        <f t="shared" si="0"/>
        <v>5.0000000000000001E-3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1737-AA9C-4A9E-B136-F0D2A4946062}">
  <dimension ref="A1:L12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H.8: ",tabeltype," glas")</f>
        <v>Bijlage H.8: Invultabel glas</v>
      </c>
    </row>
    <row r="3" spans="1:12" ht="38.25" x14ac:dyDescent="0.2">
      <c r="A3" s="8" t="s">
        <v>275</v>
      </c>
      <c r="B3" s="8" t="s">
        <v>7</v>
      </c>
      <c r="C3" s="8" t="s">
        <v>276</v>
      </c>
      <c r="D3" s="8" t="s">
        <v>31</v>
      </c>
      <c r="E3" s="8" t="s">
        <v>34</v>
      </c>
      <c r="F3" s="8" t="s">
        <v>277</v>
      </c>
      <c r="G3" s="8" t="s">
        <v>278</v>
      </c>
      <c r="H3" s="8" t="s">
        <v>279</v>
      </c>
      <c r="I3" s="8" t="s">
        <v>280</v>
      </c>
      <c r="J3" s="8" t="s">
        <v>281</v>
      </c>
      <c r="K3" s="8" t="s">
        <v>111</v>
      </c>
      <c r="L3" s="8" t="s">
        <v>178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417</v>
      </c>
      <c r="B6" s="15" t="s">
        <v>26</v>
      </c>
      <c r="C6" s="16">
        <f>IF(ISBLANK(B6),0,IF(ISERROR(VALUE(B6)),VLOOKUP(B6,dagsoorttabel1,2,FALSE)*dagenperjaar1,VALUE(B6)))</f>
        <v>2</v>
      </c>
      <c r="D6" s="15" t="s">
        <v>418</v>
      </c>
      <c r="E6" s="15" t="s">
        <v>284</v>
      </c>
      <c r="F6" s="75">
        <v>3390.73</v>
      </c>
      <c r="G6" s="19"/>
      <c r="H6" s="76"/>
      <c r="I6" s="19"/>
      <c r="J6" s="33">
        <f>IF(ISBLANK(F6),0,F6)*I6</f>
        <v>0</v>
      </c>
      <c r="K6" s="33">
        <f>C6*J6</f>
        <v>0</v>
      </c>
      <c r="L6" s="33">
        <f>K6/12</f>
        <v>0</v>
      </c>
    </row>
    <row r="7" spans="1:12" x14ac:dyDescent="0.2">
      <c r="A7" s="20" t="s">
        <v>419</v>
      </c>
      <c r="B7" s="20" t="s">
        <v>27</v>
      </c>
      <c r="C7" s="21">
        <f>IF(ISBLANK(B7),0,IF(ISERROR(VALUE(B7)),VLOOKUP(B7,dagsoorttabel1,2,FALSE)*dagenperjaar1,VALUE(B7)))</f>
        <v>1</v>
      </c>
      <c r="D7" s="20" t="s">
        <v>420</v>
      </c>
      <c r="E7" s="20" t="s">
        <v>284</v>
      </c>
      <c r="F7" s="77">
        <v>3570.73</v>
      </c>
      <c r="G7" s="24"/>
      <c r="H7" s="78"/>
      <c r="I7" s="24"/>
      <c r="J7" s="37">
        <f>IF(ISBLANK(F7),0,F7)*I7</f>
        <v>0</v>
      </c>
      <c r="K7" s="37">
        <f>C7*J7</f>
        <v>0</v>
      </c>
      <c r="L7" s="37">
        <f>K7/12</f>
        <v>0</v>
      </c>
    </row>
    <row r="8" spans="1:12" x14ac:dyDescent="0.2">
      <c r="A8" s="20" t="s">
        <v>421</v>
      </c>
      <c r="B8" s="20" t="s">
        <v>27</v>
      </c>
      <c r="C8" s="21">
        <f>IF(ISBLANK(B8),0,IF(ISERROR(VALUE(B8)),VLOOKUP(B8,dagsoorttabel1,2,FALSE)*dagenperjaar1,VALUE(B8)))</f>
        <v>1</v>
      </c>
      <c r="D8" s="20" t="s">
        <v>422</v>
      </c>
      <c r="E8" s="20" t="s">
        <v>284</v>
      </c>
      <c r="F8" s="77">
        <v>1683.6300000000003</v>
      </c>
      <c r="G8" s="24"/>
      <c r="H8" s="78"/>
      <c r="I8" s="24"/>
      <c r="J8" s="37">
        <f>IF(ISBLANK(F8),0,F8)*I8</f>
        <v>0</v>
      </c>
      <c r="K8" s="37">
        <f>C8*J8</f>
        <v>0</v>
      </c>
      <c r="L8" s="37">
        <f>K8/12</f>
        <v>0</v>
      </c>
    </row>
    <row r="9" spans="1:12" x14ac:dyDescent="0.2">
      <c r="A9" s="25" t="s">
        <v>423</v>
      </c>
      <c r="B9" s="25" t="s">
        <v>27</v>
      </c>
      <c r="C9" s="26">
        <f>IF(ISBLANK(B9),0,IF(ISERROR(VALUE(B9)),VLOOKUP(B9,dagsoorttabel1,2,FALSE)*dagenperjaar1,VALUE(B9)))</f>
        <v>1</v>
      </c>
      <c r="D9" s="25" t="s">
        <v>424</v>
      </c>
      <c r="E9" s="25" t="s">
        <v>284</v>
      </c>
      <c r="F9" s="79">
        <v>25</v>
      </c>
      <c r="G9" s="29"/>
      <c r="H9" s="80"/>
      <c r="I9" s="29"/>
      <c r="J9" s="41">
        <f>IF(ISBLANK(F9),0,F9)*I9</f>
        <v>0</v>
      </c>
      <c r="K9" s="41">
        <f>C9*J9</f>
        <v>0</v>
      </c>
      <c r="L9" s="41">
        <f>K9/12</f>
        <v>0</v>
      </c>
    </row>
    <row r="10" spans="1:12" x14ac:dyDescent="0.2">
      <c r="A10" s="42" t="s">
        <v>139</v>
      </c>
      <c r="B10" s="43"/>
      <c r="C10" s="43"/>
      <c r="D10" s="43"/>
      <c r="E10" s="43"/>
      <c r="F10" s="43"/>
      <c r="G10" s="43"/>
      <c r="H10" s="43"/>
      <c r="I10" s="43"/>
      <c r="J10" s="43"/>
      <c r="K10" s="45">
        <f>SUM(K6:K9)</f>
        <v>0</v>
      </c>
      <c r="L10" s="81">
        <f>K10/12</f>
        <v>0</v>
      </c>
    </row>
    <row r="12" spans="1:12" x14ac:dyDescent="0.2">
      <c r="A12" s="42" t="s">
        <v>425</v>
      </c>
      <c r="B12" s="43"/>
      <c r="C12" s="43"/>
      <c r="D12" s="43"/>
      <c r="E12" s="43"/>
      <c r="F12" s="43"/>
      <c r="G12" s="43"/>
      <c r="H12" s="43"/>
      <c r="I12" s="43"/>
      <c r="J12" s="43"/>
      <c r="K12" s="45">
        <f>prijsjaarglas1</f>
        <v>0</v>
      </c>
      <c r="L12" s="81">
        <f>K12/12</f>
        <v>0</v>
      </c>
    </row>
  </sheetData>
  <pageMargins left="0.7" right="0.7" top="0.75" bottom="0.75" header="0.3" footer="0.3"/>
  <pageSetup paperSize="9" scale="65" orientation="landscape" r:id="rId1"/>
  <headerFooter>
    <oddFooter>&amp;LStichting Proominent EA 2022                                &amp;ROpmaakdatum: 13-06-2022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DB8A8-4EF7-4C5F-ABA8-ED2390FB9179}">
  <dimension ref="A1:M81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11.625" customWidth="1"/>
    <col min="5" max="5" width="50.625" customWidth="1"/>
    <col min="6" max="7" width="14.625" customWidth="1"/>
    <col min="8" max="10" width="11.625" customWidth="1"/>
    <col min="11" max="11" width="12.625" customWidth="1"/>
    <col min="12" max="12" width="14.625" customWidth="1"/>
    <col min="13" max="13" width="13.625" customWidth="1"/>
  </cols>
  <sheetData>
    <row r="1" spans="1:13" x14ac:dyDescent="0.2">
      <c r="A1" s="1" t="str">
        <f>CONCATENATE("Bijlage H.9: ",tabeltype," glas per locatie")</f>
        <v>Bijlage H.9: Invultabel glas per locatie</v>
      </c>
    </row>
    <row r="3" spans="1:13" ht="38.25" x14ac:dyDescent="0.2">
      <c r="A3" s="8" t="s">
        <v>275</v>
      </c>
      <c r="B3" s="8" t="s">
        <v>7</v>
      </c>
      <c r="C3" s="8" t="s">
        <v>276</v>
      </c>
      <c r="D3" s="8" t="s">
        <v>143</v>
      </c>
      <c r="E3" s="8" t="s">
        <v>31</v>
      </c>
      <c r="F3" s="8" t="s">
        <v>34</v>
      </c>
      <c r="G3" s="8" t="s">
        <v>277</v>
      </c>
      <c r="H3" s="8" t="s">
        <v>278</v>
      </c>
      <c r="I3" s="8" t="s">
        <v>279</v>
      </c>
      <c r="J3" s="8" t="s">
        <v>280</v>
      </c>
      <c r="K3" s="8" t="s">
        <v>281</v>
      </c>
      <c r="L3" s="8" t="s">
        <v>111</v>
      </c>
      <c r="M3" s="8" t="s">
        <v>178</v>
      </c>
    </row>
    <row r="5" spans="1:13" x14ac:dyDescent="0.2">
      <c r="A5" s="83" t="s">
        <v>234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82"/>
    </row>
    <row r="6" spans="1:13" x14ac:dyDescent="0.2">
      <c r="A6" s="15" t="s">
        <v>417</v>
      </c>
      <c r="B6" s="15" t="s">
        <v>26</v>
      </c>
      <c r="C6" s="16">
        <f>IF(ISBLANK(B6),0,IF(ISERROR(VALUE(B6)),VLOOKUP(B6,dagsoorttabel1,2,FALSE)*dagenperjaar1,VALUE(B6)))</f>
        <v>2</v>
      </c>
      <c r="D6" s="15" t="s">
        <v>162</v>
      </c>
      <c r="E6" s="15" t="s">
        <v>418</v>
      </c>
      <c r="F6" s="15" t="s">
        <v>284</v>
      </c>
      <c r="G6" s="75">
        <v>369.36</v>
      </c>
      <c r="H6" s="84">
        <f>Glas!G6</f>
        <v>0</v>
      </c>
      <c r="I6" s="76"/>
      <c r="J6" s="84">
        <f>Glas!I6</f>
        <v>0</v>
      </c>
      <c r="K6" s="33">
        <f>IF(ISBLANK(G6),0,G6)*J6</f>
        <v>0</v>
      </c>
      <c r="L6" s="33">
        <f>C6*K6</f>
        <v>0</v>
      </c>
      <c r="M6" s="33">
        <f>L6/12</f>
        <v>0</v>
      </c>
    </row>
    <row r="7" spans="1:13" x14ac:dyDescent="0.2">
      <c r="A7" s="20" t="s">
        <v>419</v>
      </c>
      <c r="B7" s="20" t="s">
        <v>27</v>
      </c>
      <c r="C7" s="21">
        <f>IF(ISBLANK(B7),0,IF(ISERROR(VALUE(B7)),VLOOKUP(B7,dagsoorttabel1,2,FALSE)*dagenperjaar1,VALUE(B7)))</f>
        <v>1</v>
      </c>
      <c r="D7" s="20" t="s">
        <v>162</v>
      </c>
      <c r="E7" s="20" t="s">
        <v>420</v>
      </c>
      <c r="F7" s="20" t="s">
        <v>284</v>
      </c>
      <c r="G7" s="77">
        <v>369.36</v>
      </c>
      <c r="H7" s="85">
        <f>Glas!G7</f>
        <v>0</v>
      </c>
      <c r="I7" s="78"/>
      <c r="J7" s="85">
        <f>Glas!I7</f>
        <v>0</v>
      </c>
      <c r="K7" s="37">
        <f>IF(ISBLANK(G7),0,G7)*J7</f>
        <v>0</v>
      </c>
      <c r="L7" s="37">
        <f>C7*K7</f>
        <v>0</v>
      </c>
      <c r="M7" s="37">
        <f>L7/12</f>
        <v>0</v>
      </c>
    </row>
    <row r="8" spans="1:13" x14ac:dyDescent="0.2">
      <c r="A8" s="25" t="s">
        <v>421</v>
      </c>
      <c r="B8" s="25" t="s">
        <v>27</v>
      </c>
      <c r="C8" s="26">
        <f>IF(ISBLANK(B8),0,IF(ISERROR(VALUE(B8)),VLOOKUP(B8,dagsoorttabel1,2,FALSE)*dagenperjaar1,VALUE(B8)))</f>
        <v>1</v>
      </c>
      <c r="D8" s="25" t="s">
        <v>162</v>
      </c>
      <c r="E8" s="25" t="s">
        <v>422</v>
      </c>
      <c r="F8" s="25" t="s">
        <v>284</v>
      </c>
      <c r="G8" s="79">
        <v>145.83000000000001</v>
      </c>
      <c r="H8" s="86">
        <f>Glas!G8</f>
        <v>0</v>
      </c>
      <c r="I8" s="80"/>
      <c r="J8" s="86">
        <f>Glas!I8</f>
        <v>0</v>
      </c>
      <c r="K8" s="41">
        <f>IF(ISBLANK(G8),0,G8)*J8</f>
        <v>0</v>
      </c>
      <c r="L8" s="41">
        <f>C8*K8</f>
        <v>0</v>
      </c>
      <c r="M8" s="41">
        <f>L8/12</f>
        <v>0</v>
      </c>
    </row>
    <row r="9" spans="1:13" x14ac:dyDescent="0.2">
      <c r="A9" s="74" t="s">
        <v>241</v>
      </c>
      <c r="B9" s="43"/>
      <c r="C9" s="43"/>
      <c r="D9" s="43"/>
      <c r="E9" s="43"/>
      <c r="F9" s="43"/>
      <c r="G9" s="43"/>
      <c r="H9" s="43"/>
      <c r="I9" s="43"/>
      <c r="J9" s="43"/>
      <c r="K9" s="45">
        <f>SUM(K6:K8)</f>
        <v>0</v>
      </c>
      <c r="L9" s="45">
        <f>SUM(L6:L8)</f>
        <v>0</v>
      </c>
      <c r="M9" s="81">
        <f>L9/12</f>
        <v>0</v>
      </c>
    </row>
    <row r="11" spans="1:13" x14ac:dyDescent="0.2">
      <c r="A11" s="83" t="s">
        <v>242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82"/>
    </row>
    <row r="12" spans="1:13" x14ac:dyDescent="0.2">
      <c r="A12" s="15" t="s">
        <v>417</v>
      </c>
      <c r="B12" s="15" t="s">
        <v>26</v>
      </c>
      <c r="C12" s="16">
        <f>IF(ISBLANK(B12),0,IF(ISERROR(VALUE(B12)),VLOOKUP(B12,dagsoorttabel1,2,FALSE)*dagenperjaar1,VALUE(B12)))</f>
        <v>2</v>
      </c>
      <c r="D12" s="15" t="s">
        <v>162</v>
      </c>
      <c r="E12" s="15" t="s">
        <v>418</v>
      </c>
      <c r="F12" s="15" t="s">
        <v>284</v>
      </c>
      <c r="G12" s="75">
        <v>176.14</v>
      </c>
      <c r="H12" s="84">
        <f>Glas!G6</f>
        <v>0</v>
      </c>
      <c r="I12" s="76"/>
      <c r="J12" s="84">
        <f>Glas!I6</f>
        <v>0</v>
      </c>
      <c r="K12" s="33">
        <f>IF(ISBLANK(G12),0,G12)*J12</f>
        <v>0</v>
      </c>
      <c r="L12" s="33">
        <f>C12*K12</f>
        <v>0</v>
      </c>
      <c r="M12" s="33">
        <f>L12/12</f>
        <v>0</v>
      </c>
    </row>
    <row r="13" spans="1:13" x14ac:dyDescent="0.2">
      <c r="A13" s="20" t="s">
        <v>419</v>
      </c>
      <c r="B13" s="20" t="s">
        <v>27</v>
      </c>
      <c r="C13" s="21">
        <f>IF(ISBLANK(B13),0,IF(ISERROR(VALUE(B13)),VLOOKUP(B13,dagsoorttabel1,2,FALSE)*dagenperjaar1,VALUE(B13)))</f>
        <v>1</v>
      </c>
      <c r="D13" s="20" t="s">
        <v>162</v>
      </c>
      <c r="E13" s="20" t="s">
        <v>420</v>
      </c>
      <c r="F13" s="20" t="s">
        <v>284</v>
      </c>
      <c r="G13" s="77">
        <v>176.14</v>
      </c>
      <c r="H13" s="85">
        <f>Glas!G7</f>
        <v>0</v>
      </c>
      <c r="I13" s="78"/>
      <c r="J13" s="85">
        <f>Glas!I7</f>
        <v>0</v>
      </c>
      <c r="K13" s="37">
        <f>IF(ISBLANK(G13),0,G13)*J13</f>
        <v>0</v>
      </c>
      <c r="L13" s="37">
        <f>C13*K13</f>
        <v>0</v>
      </c>
      <c r="M13" s="37">
        <f>L13/12</f>
        <v>0</v>
      </c>
    </row>
    <row r="14" spans="1:13" x14ac:dyDescent="0.2">
      <c r="A14" s="25" t="s">
        <v>421</v>
      </c>
      <c r="B14" s="25" t="s">
        <v>27</v>
      </c>
      <c r="C14" s="26">
        <f>IF(ISBLANK(B14),0,IF(ISERROR(VALUE(B14)),VLOOKUP(B14,dagsoorttabel1,2,FALSE)*dagenperjaar1,VALUE(B14)))</f>
        <v>1</v>
      </c>
      <c r="D14" s="25" t="s">
        <v>162</v>
      </c>
      <c r="E14" s="25" t="s">
        <v>422</v>
      </c>
      <c r="F14" s="25" t="s">
        <v>284</v>
      </c>
      <c r="G14" s="79">
        <v>136.9</v>
      </c>
      <c r="H14" s="86">
        <f>Glas!G8</f>
        <v>0</v>
      </c>
      <c r="I14" s="80"/>
      <c r="J14" s="86">
        <f>Glas!I8</f>
        <v>0</v>
      </c>
      <c r="K14" s="41">
        <f>IF(ISBLANK(G14),0,G14)*J14</f>
        <v>0</v>
      </c>
      <c r="L14" s="41">
        <f>C14*K14</f>
        <v>0</v>
      </c>
      <c r="M14" s="41">
        <f>L14/12</f>
        <v>0</v>
      </c>
    </row>
    <row r="15" spans="1:13" x14ac:dyDescent="0.2">
      <c r="A15" s="74" t="s">
        <v>243</v>
      </c>
      <c r="B15" s="43"/>
      <c r="C15" s="43"/>
      <c r="D15" s="43"/>
      <c r="E15" s="43"/>
      <c r="F15" s="43"/>
      <c r="G15" s="43"/>
      <c r="H15" s="43"/>
      <c r="I15" s="43"/>
      <c r="J15" s="43"/>
      <c r="K15" s="45">
        <f>SUM(K12:K14)</f>
        <v>0</v>
      </c>
      <c r="L15" s="45">
        <f>SUM(L12:L14)</f>
        <v>0</v>
      </c>
      <c r="M15" s="81">
        <f>L15/12</f>
        <v>0</v>
      </c>
    </row>
    <row r="17" spans="1:13" x14ac:dyDescent="0.2">
      <c r="A17" s="83" t="s">
        <v>244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82"/>
    </row>
    <row r="18" spans="1:13" x14ac:dyDescent="0.2">
      <c r="A18" s="15" t="s">
        <v>417</v>
      </c>
      <c r="B18" s="15" t="s">
        <v>26</v>
      </c>
      <c r="C18" s="16">
        <f>IF(ISBLANK(B18),0,IF(ISERROR(VALUE(B18)),VLOOKUP(B18,dagsoorttabel1,2,FALSE)*dagenperjaar1,VALUE(B18)))</f>
        <v>2</v>
      </c>
      <c r="D18" s="15" t="s">
        <v>162</v>
      </c>
      <c r="E18" s="15" t="s">
        <v>418</v>
      </c>
      <c r="F18" s="15" t="s">
        <v>284</v>
      </c>
      <c r="G18" s="75">
        <v>164.20999999999998</v>
      </c>
      <c r="H18" s="84">
        <f>Glas!G6</f>
        <v>0</v>
      </c>
      <c r="I18" s="76"/>
      <c r="J18" s="84">
        <f>Glas!I6</f>
        <v>0</v>
      </c>
      <c r="K18" s="33">
        <f>IF(ISBLANK(G18),0,G18)*J18</f>
        <v>0</v>
      </c>
      <c r="L18" s="33">
        <f>C18*K18</f>
        <v>0</v>
      </c>
      <c r="M18" s="33">
        <f>L18/12</f>
        <v>0</v>
      </c>
    </row>
    <row r="19" spans="1:13" x14ac:dyDescent="0.2">
      <c r="A19" s="20" t="s">
        <v>419</v>
      </c>
      <c r="B19" s="20" t="s">
        <v>27</v>
      </c>
      <c r="C19" s="21">
        <f>IF(ISBLANK(B19),0,IF(ISERROR(VALUE(B19)),VLOOKUP(B19,dagsoorttabel1,2,FALSE)*dagenperjaar1,VALUE(B19)))</f>
        <v>1</v>
      </c>
      <c r="D19" s="20" t="s">
        <v>162</v>
      </c>
      <c r="E19" s="20" t="s">
        <v>420</v>
      </c>
      <c r="F19" s="20" t="s">
        <v>284</v>
      </c>
      <c r="G19" s="77">
        <v>164.20999999999998</v>
      </c>
      <c r="H19" s="85">
        <f>Glas!G7</f>
        <v>0</v>
      </c>
      <c r="I19" s="78"/>
      <c r="J19" s="85">
        <f>Glas!I7</f>
        <v>0</v>
      </c>
      <c r="K19" s="37">
        <f>IF(ISBLANK(G19),0,G19)*J19</f>
        <v>0</v>
      </c>
      <c r="L19" s="37">
        <f>C19*K19</f>
        <v>0</v>
      </c>
      <c r="M19" s="37">
        <f>L19/12</f>
        <v>0</v>
      </c>
    </row>
    <row r="20" spans="1:13" x14ac:dyDescent="0.2">
      <c r="A20" s="25" t="s">
        <v>421</v>
      </c>
      <c r="B20" s="25" t="s">
        <v>27</v>
      </c>
      <c r="C20" s="26">
        <f>IF(ISBLANK(B20),0,IF(ISERROR(VALUE(B20)),VLOOKUP(B20,dagsoorttabel1,2,FALSE)*dagenperjaar1,VALUE(B20)))</f>
        <v>1</v>
      </c>
      <c r="D20" s="25" t="s">
        <v>162</v>
      </c>
      <c r="E20" s="25" t="s">
        <v>422</v>
      </c>
      <c r="F20" s="25" t="s">
        <v>284</v>
      </c>
      <c r="G20" s="79">
        <v>46.51</v>
      </c>
      <c r="H20" s="86">
        <f>Glas!G8</f>
        <v>0</v>
      </c>
      <c r="I20" s="80"/>
      <c r="J20" s="86">
        <f>Glas!I8</f>
        <v>0</v>
      </c>
      <c r="K20" s="41">
        <f>IF(ISBLANK(G20),0,G20)*J20</f>
        <v>0</v>
      </c>
      <c r="L20" s="41">
        <f>C20*K20</f>
        <v>0</v>
      </c>
      <c r="M20" s="41">
        <f>L20/12</f>
        <v>0</v>
      </c>
    </row>
    <row r="21" spans="1:13" x14ac:dyDescent="0.2">
      <c r="A21" s="74" t="s">
        <v>245</v>
      </c>
      <c r="B21" s="43"/>
      <c r="C21" s="43"/>
      <c r="D21" s="43"/>
      <c r="E21" s="43"/>
      <c r="F21" s="43"/>
      <c r="G21" s="43"/>
      <c r="H21" s="43"/>
      <c r="I21" s="43"/>
      <c r="J21" s="43"/>
      <c r="K21" s="45">
        <f>SUM(K18:K20)</f>
        <v>0</v>
      </c>
      <c r="L21" s="45">
        <f>SUM(L18:L20)</f>
        <v>0</v>
      </c>
      <c r="M21" s="81">
        <f>L21/12</f>
        <v>0</v>
      </c>
    </row>
    <row r="23" spans="1:13" x14ac:dyDescent="0.2">
      <c r="A23" s="83" t="s">
        <v>246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82"/>
    </row>
    <row r="24" spans="1:13" x14ac:dyDescent="0.2">
      <c r="A24" s="15" t="s">
        <v>417</v>
      </c>
      <c r="B24" s="15" t="s">
        <v>26</v>
      </c>
      <c r="C24" s="16">
        <f>IF(ISBLANK(B24),0,IF(ISERROR(VALUE(B24)),VLOOKUP(B24,dagsoorttabel1,2,FALSE)*dagenperjaar1,VALUE(B24)))</f>
        <v>2</v>
      </c>
      <c r="D24" s="15" t="s">
        <v>162</v>
      </c>
      <c r="E24" s="15" t="s">
        <v>418</v>
      </c>
      <c r="F24" s="15" t="s">
        <v>284</v>
      </c>
      <c r="G24" s="75">
        <v>205.03</v>
      </c>
      <c r="H24" s="84">
        <f>Glas!G6</f>
        <v>0</v>
      </c>
      <c r="I24" s="76"/>
      <c r="J24" s="84">
        <f>Glas!I6</f>
        <v>0</v>
      </c>
      <c r="K24" s="33">
        <f>IF(ISBLANK(G24),0,G24)*J24</f>
        <v>0</v>
      </c>
      <c r="L24" s="33">
        <f>C24*K24</f>
        <v>0</v>
      </c>
      <c r="M24" s="33">
        <f>L24/12</f>
        <v>0</v>
      </c>
    </row>
    <row r="25" spans="1:13" x14ac:dyDescent="0.2">
      <c r="A25" s="20" t="s">
        <v>419</v>
      </c>
      <c r="B25" s="20" t="s">
        <v>27</v>
      </c>
      <c r="C25" s="21">
        <f>IF(ISBLANK(B25),0,IF(ISERROR(VALUE(B25)),VLOOKUP(B25,dagsoorttabel1,2,FALSE)*dagenperjaar1,VALUE(B25)))</f>
        <v>1</v>
      </c>
      <c r="D25" s="20" t="s">
        <v>162</v>
      </c>
      <c r="E25" s="20" t="s">
        <v>420</v>
      </c>
      <c r="F25" s="20" t="s">
        <v>284</v>
      </c>
      <c r="G25" s="77">
        <v>205.03</v>
      </c>
      <c r="H25" s="85">
        <f>Glas!G7</f>
        <v>0</v>
      </c>
      <c r="I25" s="78"/>
      <c r="J25" s="85">
        <f>Glas!I7</f>
        <v>0</v>
      </c>
      <c r="K25" s="37">
        <f>IF(ISBLANK(G25),0,G25)*J25</f>
        <v>0</v>
      </c>
      <c r="L25" s="37">
        <f>C25*K25</f>
        <v>0</v>
      </c>
      <c r="M25" s="37">
        <f>L25/12</f>
        <v>0</v>
      </c>
    </row>
    <row r="26" spans="1:13" x14ac:dyDescent="0.2">
      <c r="A26" s="25" t="s">
        <v>421</v>
      </c>
      <c r="B26" s="25" t="s">
        <v>27</v>
      </c>
      <c r="C26" s="26">
        <f>IF(ISBLANK(B26),0,IF(ISERROR(VALUE(B26)),VLOOKUP(B26,dagsoorttabel1,2,FALSE)*dagenperjaar1,VALUE(B26)))</f>
        <v>1</v>
      </c>
      <c r="D26" s="25" t="s">
        <v>162</v>
      </c>
      <c r="E26" s="25" t="s">
        <v>422</v>
      </c>
      <c r="F26" s="25" t="s">
        <v>284</v>
      </c>
      <c r="G26" s="79">
        <v>216.72</v>
      </c>
      <c r="H26" s="86">
        <f>Glas!G8</f>
        <v>0</v>
      </c>
      <c r="I26" s="80"/>
      <c r="J26" s="86">
        <f>Glas!I8</f>
        <v>0</v>
      </c>
      <c r="K26" s="41">
        <f>IF(ISBLANK(G26),0,G26)*J26</f>
        <v>0</v>
      </c>
      <c r="L26" s="41">
        <f>C26*K26</f>
        <v>0</v>
      </c>
      <c r="M26" s="41">
        <f>L26/12</f>
        <v>0</v>
      </c>
    </row>
    <row r="27" spans="1:13" x14ac:dyDescent="0.2">
      <c r="A27" s="74" t="s">
        <v>247</v>
      </c>
      <c r="B27" s="43"/>
      <c r="C27" s="43"/>
      <c r="D27" s="43"/>
      <c r="E27" s="43"/>
      <c r="F27" s="43"/>
      <c r="G27" s="43"/>
      <c r="H27" s="43"/>
      <c r="I27" s="43"/>
      <c r="J27" s="43"/>
      <c r="K27" s="45">
        <f>SUM(K24:K26)</f>
        <v>0</v>
      </c>
      <c r="L27" s="45">
        <f>SUM(L24:L26)</f>
        <v>0</v>
      </c>
      <c r="M27" s="81">
        <f>L27/12</f>
        <v>0</v>
      </c>
    </row>
    <row r="29" spans="1:13" x14ac:dyDescent="0.2">
      <c r="A29" s="83" t="s">
        <v>248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82"/>
    </row>
    <row r="30" spans="1:13" x14ac:dyDescent="0.2">
      <c r="A30" s="15" t="s">
        <v>417</v>
      </c>
      <c r="B30" s="15" t="s">
        <v>26</v>
      </c>
      <c r="C30" s="16">
        <f>IF(ISBLANK(B30),0,IF(ISERROR(VALUE(B30)),VLOOKUP(B30,dagsoorttabel1,2,FALSE)*dagenperjaar1,VALUE(B30)))</f>
        <v>2</v>
      </c>
      <c r="D30" s="15" t="s">
        <v>162</v>
      </c>
      <c r="E30" s="15" t="s">
        <v>418</v>
      </c>
      <c r="F30" s="15" t="s">
        <v>284</v>
      </c>
      <c r="G30" s="75">
        <v>375.41999999999996</v>
      </c>
      <c r="H30" s="84">
        <f>Glas!G6</f>
        <v>0</v>
      </c>
      <c r="I30" s="76"/>
      <c r="J30" s="84">
        <f>Glas!I6</f>
        <v>0</v>
      </c>
      <c r="K30" s="33">
        <f>IF(ISBLANK(G30),0,G30)*J30</f>
        <v>0</v>
      </c>
      <c r="L30" s="33">
        <f>C30*K30</f>
        <v>0</v>
      </c>
      <c r="M30" s="33">
        <f>L30/12</f>
        <v>0</v>
      </c>
    </row>
    <row r="31" spans="1:13" x14ac:dyDescent="0.2">
      <c r="A31" s="20" t="s">
        <v>419</v>
      </c>
      <c r="B31" s="20" t="s">
        <v>27</v>
      </c>
      <c r="C31" s="21">
        <f>IF(ISBLANK(B31),0,IF(ISERROR(VALUE(B31)),VLOOKUP(B31,dagsoorttabel1,2,FALSE)*dagenperjaar1,VALUE(B31)))</f>
        <v>1</v>
      </c>
      <c r="D31" s="20" t="s">
        <v>162</v>
      </c>
      <c r="E31" s="20" t="s">
        <v>420</v>
      </c>
      <c r="F31" s="20" t="s">
        <v>284</v>
      </c>
      <c r="G31" s="77">
        <v>375.41999999999996</v>
      </c>
      <c r="H31" s="85">
        <f>Glas!G7</f>
        <v>0</v>
      </c>
      <c r="I31" s="78"/>
      <c r="J31" s="85">
        <f>Glas!I7</f>
        <v>0</v>
      </c>
      <c r="K31" s="37">
        <f>IF(ISBLANK(G31),0,G31)*J31</f>
        <v>0</v>
      </c>
      <c r="L31" s="37">
        <f>C31*K31</f>
        <v>0</v>
      </c>
      <c r="M31" s="37">
        <f>L31/12</f>
        <v>0</v>
      </c>
    </row>
    <row r="32" spans="1:13" x14ac:dyDescent="0.2">
      <c r="A32" s="25" t="s">
        <v>421</v>
      </c>
      <c r="B32" s="25" t="s">
        <v>27</v>
      </c>
      <c r="C32" s="26">
        <f>IF(ISBLANK(B32),0,IF(ISERROR(VALUE(B32)),VLOOKUP(B32,dagsoorttabel1,2,FALSE)*dagenperjaar1,VALUE(B32)))</f>
        <v>1</v>
      </c>
      <c r="D32" s="25" t="s">
        <v>162</v>
      </c>
      <c r="E32" s="25" t="s">
        <v>422</v>
      </c>
      <c r="F32" s="25" t="s">
        <v>284</v>
      </c>
      <c r="G32" s="79">
        <v>143.76</v>
      </c>
      <c r="H32" s="86">
        <f>Glas!G8</f>
        <v>0</v>
      </c>
      <c r="I32" s="80"/>
      <c r="J32" s="86">
        <f>Glas!I8</f>
        <v>0</v>
      </c>
      <c r="K32" s="41">
        <f>IF(ISBLANK(G32),0,G32)*J32</f>
        <v>0</v>
      </c>
      <c r="L32" s="41">
        <f>C32*K32</f>
        <v>0</v>
      </c>
      <c r="M32" s="41">
        <f>L32/12</f>
        <v>0</v>
      </c>
    </row>
    <row r="33" spans="1:13" x14ac:dyDescent="0.2">
      <c r="A33" s="74" t="s">
        <v>249</v>
      </c>
      <c r="B33" s="43"/>
      <c r="C33" s="43"/>
      <c r="D33" s="43"/>
      <c r="E33" s="43"/>
      <c r="F33" s="43"/>
      <c r="G33" s="43"/>
      <c r="H33" s="43"/>
      <c r="I33" s="43"/>
      <c r="J33" s="43"/>
      <c r="K33" s="45">
        <f>SUM(K30:K32)</f>
        <v>0</v>
      </c>
      <c r="L33" s="45">
        <f>SUM(L30:L32)</f>
        <v>0</v>
      </c>
      <c r="M33" s="81">
        <f>L33/12</f>
        <v>0</v>
      </c>
    </row>
    <row r="35" spans="1:13" x14ac:dyDescent="0.2">
      <c r="A35" s="83" t="s">
        <v>250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82"/>
    </row>
    <row r="36" spans="1:13" x14ac:dyDescent="0.2">
      <c r="A36" s="15" t="s">
        <v>417</v>
      </c>
      <c r="B36" s="15" t="s">
        <v>26</v>
      </c>
      <c r="C36" s="16">
        <f>IF(ISBLANK(B36),0,IF(ISERROR(VALUE(B36)),VLOOKUP(B36,dagsoorttabel1,2,FALSE)*dagenperjaar1,VALUE(B36)))</f>
        <v>2</v>
      </c>
      <c r="D36" s="15" t="s">
        <v>162</v>
      </c>
      <c r="E36" s="15" t="s">
        <v>418</v>
      </c>
      <c r="F36" s="15" t="s">
        <v>284</v>
      </c>
      <c r="G36" s="75">
        <v>589.03</v>
      </c>
      <c r="H36" s="84">
        <f>Glas!G6</f>
        <v>0</v>
      </c>
      <c r="I36" s="76"/>
      <c r="J36" s="84">
        <f>Glas!I6</f>
        <v>0</v>
      </c>
      <c r="K36" s="33">
        <f>IF(ISBLANK(G36),0,G36)*J36</f>
        <v>0</v>
      </c>
      <c r="L36" s="33">
        <f>C36*K36</f>
        <v>0</v>
      </c>
      <c r="M36" s="33">
        <f>L36/12</f>
        <v>0</v>
      </c>
    </row>
    <row r="37" spans="1:13" x14ac:dyDescent="0.2">
      <c r="A37" s="20" t="s">
        <v>419</v>
      </c>
      <c r="B37" s="20" t="s">
        <v>27</v>
      </c>
      <c r="C37" s="21">
        <f>IF(ISBLANK(B37),0,IF(ISERROR(VALUE(B37)),VLOOKUP(B37,dagsoorttabel1,2,FALSE)*dagenperjaar1,VALUE(B37)))</f>
        <v>1</v>
      </c>
      <c r="D37" s="20" t="s">
        <v>162</v>
      </c>
      <c r="E37" s="20" t="s">
        <v>420</v>
      </c>
      <c r="F37" s="20" t="s">
        <v>284</v>
      </c>
      <c r="G37" s="77">
        <v>589.03</v>
      </c>
      <c r="H37" s="85">
        <f>Glas!G7</f>
        <v>0</v>
      </c>
      <c r="I37" s="78"/>
      <c r="J37" s="85">
        <f>Glas!I7</f>
        <v>0</v>
      </c>
      <c r="K37" s="37">
        <f>IF(ISBLANK(G37),0,G37)*J37</f>
        <v>0</v>
      </c>
      <c r="L37" s="37">
        <f>C37*K37</f>
        <v>0</v>
      </c>
      <c r="M37" s="37">
        <f>L37/12</f>
        <v>0</v>
      </c>
    </row>
    <row r="38" spans="1:13" x14ac:dyDescent="0.2">
      <c r="A38" s="25" t="s">
        <v>421</v>
      </c>
      <c r="B38" s="25" t="s">
        <v>27</v>
      </c>
      <c r="C38" s="26">
        <f>IF(ISBLANK(B38),0,IF(ISERROR(VALUE(B38)),VLOOKUP(B38,dagsoorttabel1,2,FALSE)*dagenperjaar1,VALUE(B38)))</f>
        <v>1</v>
      </c>
      <c r="D38" s="25" t="s">
        <v>162</v>
      </c>
      <c r="E38" s="25" t="s">
        <v>422</v>
      </c>
      <c r="F38" s="25" t="s">
        <v>284</v>
      </c>
      <c r="G38" s="79">
        <v>318.56</v>
      </c>
      <c r="H38" s="86">
        <f>Glas!G8</f>
        <v>0</v>
      </c>
      <c r="I38" s="80"/>
      <c r="J38" s="86">
        <f>Glas!I8</f>
        <v>0</v>
      </c>
      <c r="K38" s="41">
        <f>IF(ISBLANK(G38),0,G38)*J38</f>
        <v>0</v>
      </c>
      <c r="L38" s="41">
        <f>C38*K38</f>
        <v>0</v>
      </c>
      <c r="M38" s="41">
        <f>L38/12</f>
        <v>0</v>
      </c>
    </row>
    <row r="39" spans="1:13" x14ac:dyDescent="0.2">
      <c r="A39" s="74" t="s">
        <v>251</v>
      </c>
      <c r="B39" s="43"/>
      <c r="C39" s="43"/>
      <c r="D39" s="43"/>
      <c r="E39" s="43"/>
      <c r="F39" s="43"/>
      <c r="G39" s="43"/>
      <c r="H39" s="43"/>
      <c r="I39" s="43"/>
      <c r="J39" s="43"/>
      <c r="K39" s="45">
        <f>SUM(K36:K38)</f>
        <v>0</v>
      </c>
      <c r="L39" s="45">
        <f>SUM(L36:L38)</f>
        <v>0</v>
      </c>
      <c r="M39" s="81">
        <f>L39/12</f>
        <v>0</v>
      </c>
    </row>
    <row r="41" spans="1:13" x14ac:dyDescent="0.2">
      <c r="A41" s="83" t="s">
        <v>252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82"/>
    </row>
    <row r="42" spans="1:13" x14ac:dyDescent="0.2">
      <c r="A42" s="15" t="s">
        <v>417</v>
      </c>
      <c r="B42" s="15" t="s">
        <v>26</v>
      </c>
      <c r="C42" s="16">
        <f>IF(ISBLANK(B42),0,IF(ISERROR(VALUE(B42)),VLOOKUP(B42,dagsoorttabel1,2,FALSE)*dagenperjaar1,VALUE(B42)))</f>
        <v>2</v>
      </c>
      <c r="D42" s="15" t="s">
        <v>162</v>
      </c>
      <c r="E42" s="15" t="s">
        <v>418</v>
      </c>
      <c r="F42" s="15" t="s">
        <v>284</v>
      </c>
      <c r="G42" s="75">
        <v>163</v>
      </c>
      <c r="H42" s="84">
        <f>Glas!G6</f>
        <v>0</v>
      </c>
      <c r="I42" s="76"/>
      <c r="J42" s="84">
        <f>Glas!I6</f>
        <v>0</v>
      </c>
      <c r="K42" s="33">
        <f>IF(ISBLANK(G42),0,G42)*J42</f>
        <v>0</v>
      </c>
      <c r="L42" s="33">
        <f>C42*K42</f>
        <v>0</v>
      </c>
      <c r="M42" s="33">
        <f>L42/12</f>
        <v>0</v>
      </c>
    </row>
    <row r="43" spans="1:13" x14ac:dyDescent="0.2">
      <c r="A43" s="20" t="s">
        <v>419</v>
      </c>
      <c r="B43" s="20" t="s">
        <v>27</v>
      </c>
      <c r="C43" s="21">
        <f>IF(ISBLANK(B43),0,IF(ISERROR(VALUE(B43)),VLOOKUP(B43,dagsoorttabel1,2,FALSE)*dagenperjaar1,VALUE(B43)))</f>
        <v>1</v>
      </c>
      <c r="D43" s="20" t="s">
        <v>162</v>
      </c>
      <c r="E43" s="20" t="s">
        <v>420</v>
      </c>
      <c r="F43" s="20" t="s">
        <v>284</v>
      </c>
      <c r="G43" s="77">
        <v>163</v>
      </c>
      <c r="H43" s="85">
        <f>Glas!G7</f>
        <v>0</v>
      </c>
      <c r="I43" s="78"/>
      <c r="J43" s="85">
        <f>Glas!I7</f>
        <v>0</v>
      </c>
      <c r="K43" s="37">
        <f>IF(ISBLANK(G43),0,G43)*J43</f>
        <v>0</v>
      </c>
      <c r="L43" s="37">
        <f>C43*K43</f>
        <v>0</v>
      </c>
      <c r="M43" s="37">
        <f>L43/12</f>
        <v>0</v>
      </c>
    </row>
    <row r="44" spans="1:13" x14ac:dyDescent="0.2">
      <c r="A44" s="20" t="s">
        <v>421</v>
      </c>
      <c r="B44" s="20" t="s">
        <v>27</v>
      </c>
      <c r="C44" s="21">
        <f>IF(ISBLANK(B44),0,IF(ISERROR(VALUE(B44)),VLOOKUP(B44,dagsoorttabel1,2,FALSE)*dagenperjaar1,VALUE(B44)))</f>
        <v>1</v>
      </c>
      <c r="D44" s="20" t="s">
        <v>162</v>
      </c>
      <c r="E44" s="20" t="s">
        <v>422</v>
      </c>
      <c r="F44" s="20" t="s">
        <v>284</v>
      </c>
      <c r="G44" s="77">
        <v>194.25</v>
      </c>
      <c r="H44" s="85">
        <f>Glas!G8</f>
        <v>0</v>
      </c>
      <c r="I44" s="78"/>
      <c r="J44" s="85">
        <f>Glas!I8</f>
        <v>0</v>
      </c>
      <c r="K44" s="37">
        <f>IF(ISBLANK(G44),0,G44)*J44</f>
        <v>0</v>
      </c>
      <c r="L44" s="37">
        <f>C44*K44</f>
        <v>0</v>
      </c>
      <c r="M44" s="37">
        <f>L44/12</f>
        <v>0</v>
      </c>
    </row>
    <row r="45" spans="1:13" x14ac:dyDescent="0.2">
      <c r="A45" s="25" t="s">
        <v>423</v>
      </c>
      <c r="B45" s="25" t="s">
        <v>27</v>
      </c>
      <c r="C45" s="26">
        <f>IF(ISBLANK(B45),0,IF(ISERROR(VALUE(B45)),VLOOKUP(B45,dagsoorttabel1,2,FALSE)*dagenperjaar1,VALUE(B45)))</f>
        <v>1</v>
      </c>
      <c r="D45" s="25" t="s">
        <v>162</v>
      </c>
      <c r="E45" s="25" t="s">
        <v>424</v>
      </c>
      <c r="F45" s="25" t="s">
        <v>284</v>
      </c>
      <c r="G45" s="79">
        <v>25</v>
      </c>
      <c r="H45" s="86">
        <f>Glas!G9</f>
        <v>0</v>
      </c>
      <c r="I45" s="80"/>
      <c r="J45" s="86">
        <f>Glas!I9</f>
        <v>0</v>
      </c>
      <c r="K45" s="41">
        <f>IF(ISBLANK(G45),0,G45)*J45</f>
        <v>0</v>
      </c>
      <c r="L45" s="41">
        <f>C45*K45</f>
        <v>0</v>
      </c>
      <c r="M45" s="41">
        <f>L45/12</f>
        <v>0</v>
      </c>
    </row>
    <row r="46" spans="1:13" x14ac:dyDescent="0.2">
      <c r="A46" s="74" t="s">
        <v>253</v>
      </c>
      <c r="B46" s="43"/>
      <c r="C46" s="43"/>
      <c r="D46" s="43"/>
      <c r="E46" s="43"/>
      <c r="F46" s="43"/>
      <c r="G46" s="43"/>
      <c r="H46" s="43"/>
      <c r="I46" s="43"/>
      <c r="J46" s="43"/>
      <c r="K46" s="45">
        <f>SUM(K42:K45)</f>
        <v>0</v>
      </c>
      <c r="L46" s="45">
        <f>SUM(L42:L45)</f>
        <v>0</v>
      </c>
      <c r="M46" s="81">
        <f>L46/12</f>
        <v>0</v>
      </c>
    </row>
    <row r="48" spans="1:13" x14ac:dyDescent="0.2">
      <c r="A48" s="83" t="s">
        <v>254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82"/>
    </row>
    <row r="49" spans="1:13" x14ac:dyDescent="0.2">
      <c r="A49" s="15" t="s">
        <v>417</v>
      </c>
      <c r="B49" s="15" t="s">
        <v>26</v>
      </c>
      <c r="C49" s="16">
        <f>IF(ISBLANK(B49),0,IF(ISERROR(VALUE(B49)),VLOOKUP(B49,dagsoorttabel1,2,FALSE)*dagenperjaar1,VALUE(B49)))</f>
        <v>2</v>
      </c>
      <c r="D49" s="15" t="s">
        <v>162</v>
      </c>
      <c r="E49" s="15" t="s">
        <v>418</v>
      </c>
      <c r="F49" s="15" t="s">
        <v>284</v>
      </c>
      <c r="G49" s="75">
        <v>368.03</v>
      </c>
      <c r="H49" s="84">
        <f>Glas!G6</f>
        <v>0</v>
      </c>
      <c r="I49" s="76"/>
      <c r="J49" s="84">
        <f>Glas!I6</f>
        <v>0</v>
      </c>
      <c r="K49" s="33">
        <f>IF(ISBLANK(G49),0,G49)*J49</f>
        <v>0</v>
      </c>
      <c r="L49" s="33">
        <f>C49*K49</f>
        <v>0</v>
      </c>
      <c r="M49" s="33">
        <f>L49/12</f>
        <v>0</v>
      </c>
    </row>
    <row r="50" spans="1:13" x14ac:dyDescent="0.2">
      <c r="A50" s="20" t="s">
        <v>419</v>
      </c>
      <c r="B50" s="20" t="s">
        <v>27</v>
      </c>
      <c r="C50" s="21">
        <f>IF(ISBLANK(B50),0,IF(ISERROR(VALUE(B50)),VLOOKUP(B50,dagsoorttabel1,2,FALSE)*dagenperjaar1,VALUE(B50)))</f>
        <v>1</v>
      </c>
      <c r="D50" s="20" t="s">
        <v>162</v>
      </c>
      <c r="E50" s="20" t="s">
        <v>420</v>
      </c>
      <c r="F50" s="20" t="s">
        <v>284</v>
      </c>
      <c r="G50" s="77">
        <v>368.03</v>
      </c>
      <c r="H50" s="85">
        <f>Glas!G7</f>
        <v>0</v>
      </c>
      <c r="I50" s="78"/>
      <c r="J50" s="85">
        <f>Glas!I7</f>
        <v>0</v>
      </c>
      <c r="K50" s="37">
        <f>IF(ISBLANK(G50),0,G50)*J50</f>
        <v>0</v>
      </c>
      <c r="L50" s="37">
        <f>C50*K50</f>
        <v>0</v>
      </c>
      <c r="M50" s="37">
        <f>L50/12</f>
        <v>0</v>
      </c>
    </row>
    <row r="51" spans="1:13" x14ac:dyDescent="0.2">
      <c r="A51" s="25" t="s">
        <v>421</v>
      </c>
      <c r="B51" s="25" t="s">
        <v>27</v>
      </c>
      <c r="C51" s="26">
        <f>IF(ISBLANK(B51),0,IF(ISERROR(VALUE(B51)),VLOOKUP(B51,dagsoorttabel1,2,FALSE)*dagenperjaar1,VALUE(B51)))</f>
        <v>1</v>
      </c>
      <c r="D51" s="25" t="s">
        <v>162</v>
      </c>
      <c r="E51" s="25" t="s">
        <v>422</v>
      </c>
      <c r="F51" s="25" t="s">
        <v>284</v>
      </c>
      <c r="G51" s="79">
        <v>217.4</v>
      </c>
      <c r="H51" s="86">
        <f>Glas!G8</f>
        <v>0</v>
      </c>
      <c r="I51" s="80"/>
      <c r="J51" s="86">
        <f>Glas!I8</f>
        <v>0</v>
      </c>
      <c r="K51" s="41">
        <f>IF(ISBLANK(G51),0,G51)*J51</f>
        <v>0</v>
      </c>
      <c r="L51" s="41">
        <f>C51*K51</f>
        <v>0</v>
      </c>
      <c r="M51" s="41">
        <f>L51/12</f>
        <v>0</v>
      </c>
    </row>
    <row r="52" spans="1:13" x14ac:dyDescent="0.2">
      <c r="A52" s="74" t="s">
        <v>255</v>
      </c>
      <c r="B52" s="43"/>
      <c r="C52" s="43"/>
      <c r="D52" s="43"/>
      <c r="E52" s="43"/>
      <c r="F52" s="43"/>
      <c r="G52" s="43"/>
      <c r="H52" s="43"/>
      <c r="I52" s="43"/>
      <c r="J52" s="43"/>
      <c r="K52" s="45">
        <f>SUM(K49:K51)</f>
        <v>0</v>
      </c>
      <c r="L52" s="45">
        <f>SUM(L49:L51)</f>
        <v>0</v>
      </c>
      <c r="M52" s="81">
        <f>L52/12</f>
        <v>0</v>
      </c>
    </row>
    <row r="54" spans="1:13" x14ac:dyDescent="0.2">
      <c r="A54" s="83" t="s">
        <v>256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82"/>
    </row>
    <row r="55" spans="1:13" x14ac:dyDescent="0.2">
      <c r="A55" s="15" t="s">
        <v>417</v>
      </c>
      <c r="B55" s="15" t="s">
        <v>26</v>
      </c>
      <c r="C55" s="16">
        <f>IF(ISBLANK(B55),0,IF(ISERROR(VALUE(B55)),VLOOKUP(B55,dagsoorttabel1,2,FALSE)*dagenperjaar1,VALUE(B55)))</f>
        <v>2</v>
      </c>
      <c r="D55" s="15" t="s">
        <v>162</v>
      </c>
      <c r="E55" s="15" t="s">
        <v>418</v>
      </c>
      <c r="F55" s="15" t="s">
        <v>284</v>
      </c>
      <c r="G55" s="75">
        <v>173.5</v>
      </c>
      <c r="H55" s="84">
        <f>Glas!G6</f>
        <v>0</v>
      </c>
      <c r="I55" s="76"/>
      <c r="J55" s="84">
        <f>Glas!I6</f>
        <v>0</v>
      </c>
      <c r="K55" s="33">
        <f>IF(ISBLANK(G55),0,G55)*J55</f>
        <v>0</v>
      </c>
      <c r="L55" s="33">
        <f>C55*K55</f>
        <v>0</v>
      </c>
      <c r="M55" s="33">
        <f>L55/12</f>
        <v>0</v>
      </c>
    </row>
    <row r="56" spans="1:13" x14ac:dyDescent="0.2">
      <c r="A56" s="20" t="s">
        <v>419</v>
      </c>
      <c r="B56" s="20" t="s">
        <v>27</v>
      </c>
      <c r="C56" s="21">
        <f>IF(ISBLANK(B56),0,IF(ISERROR(VALUE(B56)),VLOOKUP(B56,dagsoorttabel1,2,FALSE)*dagenperjaar1,VALUE(B56)))</f>
        <v>1</v>
      </c>
      <c r="D56" s="20" t="s">
        <v>162</v>
      </c>
      <c r="E56" s="20" t="s">
        <v>420</v>
      </c>
      <c r="F56" s="20" t="s">
        <v>284</v>
      </c>
      <c r="G56" s="77">
        <v>173.5</v>
      </c>
      <c r="H56" s="85">
        <f>Glas!G7</f>
        <v>0</v>
      </c>
      <c r="I56" s="78"/>
      <c r="J56" s="85">
        <f>Glas!I7</f>
        <v>0</v>
      </c>
      <c r="K56" s="37">
        <f>IF(ISBLANK(G56),0,G56)*J56</f>
        <v>0</v>
      </c>
      <c r="L56" s="37">
        <f>C56*K56</f>
        <v>0</v>
      </c>
      <c r="M56" s="37">
        <f>L56/12</f>
        <v>0</v>
      </c>
    </row>
    <row r="57" spans="1:13" x14ac:dyDescent="0.2">
      <c r="A57" s="25" t="s">
        <v>421</v>
      </c>
      <c r="B57" s="25" t="s">
        <v>27</v>
      </c>
      <c r="C57" s="26">
        <f>IF(ISBLANK(B57),0,IF(ISERROR(VALUE(B57)),VLOOKUP(B57,dagsoorttabel1,2,FALSE)*dagenperjaar1,VALUE(B57)))</f>
        <v>1</v>
      </c>
      <c r="D57" s="25" t="s">
        <v>162</v>
      </c>
      <c r="E57" s="25" t="s">
        <v>422</v>
      </c>
      <c r="F57" s="25" t="s">
        <v>284</v>
      </c>
      <c r="G57" s="79">
        <v>88.9</v>
      </c>
      <c r="H57" s="86">
        <f>Glas!G8</f>
        <v>0</v>
      </c>
      <c r="I57" s="80"/>
      <c r="J57" s="86">
        <f>Glas!I8</f>
        <v>0</v>
      </c>
      <c r="K57" s="41">
        <f>IF(ISBLANK(G57),0,G57)*J57</f>
        <v>0</v>
      </c>
      <c r="L57" s="41">
        <f>C57*K57</f>
        <v>0</v>
      </c>
      <c r="M57" s="41">
        <f>L57/12</f>
        <v>0</v>
      </c>
    </row>
    <row r="58" spans="1:13" x14ac:dyDescent="0.2">
      <c r="A58" s="74" t="s">
        <v>257</v>
      </c>
      <c r="B58" s="43"/>
      <c r="C58" s="43"/>
      <c r="D58" s="43"/>
      <c r="E58" s="43"/>
      <c r="F58" s="43"/>
      <c r="G58" s="43"/>
      <c r="H58" s="43"/>
      <c r="I58" s="43"/>
      <c r="J58" s="43"/>
      <c r="K58" s="45">
        <f>SUM(K55:K57)</f>
        <v>0</v>
      </c>
      <c r="L58" s="45">
        <f>SUM(L55:L57)</f>
        <v>0</v>
      </c>
      <c r="M58" s="81">
        <f>L58/12</f>
        <v>0</v>
      </c>
    </row>
    <row r="60" spans="1:13" x14ac:dyDescent="0.2">
      <c r="A60" s="83" t="s">
        <v>258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82"/>
    </row>
    <row r="61" spans="1:13" x14ac:dyDescent="0.2">
      <c r="A61" s="15" t="s">
        <v>417</v>
      </c>
      <c r="B61" s="15" t="s">
        <v>26</v>
      </c>
      <c r="C61" s="16">
        <f>IF(ISBLANK(B61),0,IF(ISERROR(VALUE(B61)),VLOOKUP(B61,dagsoorttabel1,2,FALSE)*dagenperjaar1,VALUE(B61)))</f>
        <v>2</v>
      </c>
      <c r="D61" s="15" t="s">
        <v>162</v>
      </c>
      <c r="E61" s="15" t="s">
        <v>418</v>
      </c>
      <c r="F61" s="15" t="s">
        <v>284</v>
      </c>
      <c r="G61" s="75">
        <v>150.30000000000001</v>
      </c>
      <c r="H61" s="84">
        <f>Glas!G6</f>
        <v>0</v>
      </c>
      <c r="I61" s="76"/>
      <c r="J61" s="84">
        <f>Glas!I6</f>
        <v>0</v>
      </c>
      <c r="K61" s="33">
        <f>IF(ISBLANK(G61),0,G61)*J61</f>
        <v>0</v>
      </c>
      <c r="L61" s="33">
        <f>C61*K61</f>
        <v>0</v>
      </c>
      <c r="M61" s="33">
        <f>L61/12</f>
        <v>0</v>
      </c>
    </row>
    <row r="62" spans="1:13" x14ac:dyDescent="0.2">
      <c r="A62" s="20" t="s">
        <v>419</v>
      </c>
      <c r="B62" s="20" t="s">
        <v>27</v>
      </c>
      <c r="C62" s="21">
        <f>IF(ISBLANK(B62),0,IF(ISERROR(VALUE(B62)),VLOOKUP(B62,dagsoorttabel1,2,FALSE)*dagenperjaar1,VALUE(B62)))</f>
        <v>1</v>
      </c>
      <c r="D62" s="20" t="s">
        <v>162</v>
      </c>
      <c r="E62" s="20" t="s">
        <v>420</v>
      </c>
      <c r="F62" s="20" t="s">
        <v>284</v>
      </c>
      <c r="G62" s="77">
        <v>150.30000000000001</v>
      </c>
      <c r="H62" s="85">
        <f>Glas!G7</f>
        <v>0</v>
      </c>
      <c r="I62" s="78"/>
      <c r="J62" s="85">
        <f>Glas!I7</f>
        <v>0</v>
      </c>
      <c r="K62" s="37">
        <f>IF(ISBLANK(G62),0,G62)*J62</f>
        <v>0</v>
      </c>
      <c r="L62" s="37">
        <f>C62*K62</f>
        <v>0</v>
      </c>
      <c r="M62" s="37">
        <f>L62/12</f>
        <v>0</v>
      </c>
    </row>
    <row r="63" spans="1:13" x14ac:dyDescent="0.2">
      <c r="A63" s="25" t="s">
        <v>421</v>
      </c>
      <c r="B63" s="25" t="s">
        <v>27</v>
      </c>
      <c r="C63" s="26">
        <f>IF(ISBLANK(B63),0,IF(ISERROR(VALUE(B63)),VLOOKUP(B63,dagsoorttabel1,2,FALSE)*dagenperjaar1,VALUE(B63)))</f>
        <v>1</v>
      </c>
      <c r="D63" s="25" t="s">
        <v>162</v>
      </c>
      <c r="E63" s="25" t="s">
        <v>422</v>
      </c>
      <c r="F63" s="25" t="s">
        <v>284</v>
      </c>
      <c r="G63" s="79">
        <v>25.68</v>
      </c>
      <c r="H63" s="86">
        <f>Glas!G8</f>
        <v>0</v>
      </c>
      <c r="I63" s="80"/>
      <c r="J63" s="86">
        <f>Glas!I8</f>
        <v>0</v>
      </c>
      <c r="K63" s="41">
        <f>IF(ISBLANK(G63),0,G63)*J63</f>
        <v>0</v>
      </c>
      <c r="L63" s="41">
        <f>C63*K63</f>
        <v>0</v>
      </c>
      <c r="M63" s="41">
        <f>L63/12</f>
        <v>0</v>
      </c>
    </row>
    <row r="64" spans="1:13" x14ac:dyDescent="0.2">
      <c r="A64" s="74" t="s">
        <v>259</v>
      </c>
      <c r="B64" s="43"/>
      <c r="C64" s="43"/>
      <c r="D64" s="43"/>
      <c r="E64" s="43"/>
      <c r="F64" s="43"/>
      <c r="G64" s="43"/>
      <c r="H64" s="43"/>
      <c r="I64" s="43"/>
      <c r="J64" s="43"/>
      <c r="K64" s="45">
        <f>SUM(K61:K63)</f>
        <v>0</v>
      </c>
      <c r="L64" s="45">
        <f>SUM(L61:L63)</f>
        <v>0</v>
      </c>
      <c r="M64" s="81">
        <f>L64/12</f>
        <v>0</v>
      </c>
    </row>
    <row r="66" spans="1:13" x14ac:dyDescent="0.2">
      <c r="A66" s="83" t="s">
        <v>260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82"/>
    </row>
    <row r="67" spans="1:13" x14ac:dyDescent="0.2">
      <c r="A67" s="15" t="s">
        <v>417</v>
      </c>
      <c r="B67" s="15" t="s">
        <v>26</v>
      </c>
      <c r="C67" s="16">
        <f>IF(ISBLANK(B67),0,IF(ISERROR(VALUE(B67)),VLOOKUP(B67,dagsoorttabel1,2,FALSE)*dagenperjaar1,VALUE(B67)))</f>
        <v>2</v>
      </c>
      <c r="D67" s="15" t="s">
        <v>162</v>
      </c>
      <c r="E67" s="15" t="s">
        <v>418</v>
      </c>
      <c r="F67" s="15" t="s">
        <v>284</v>
      </c>
      <c r="G67" s="75">
        <v>247.15</v>
      </c>
      <c r="H67" s="84">
        <f>Glas!G6</f>
        <v>0</v>
      </c>
      <c r="I67" s="76"/>
      <c r="J67" s="84">
        <f>Glas!I6</f>
        <v>0</v>
      </c>
      <c r="K67" s="33">
        <f>IF(ISBLANK(G67),0,G67)*J67</f>
        <v>0</v>
      </c>
      <c r="L67" s="33">
        <f>C67*K67</f>
        <v>0</v>
      </c>
      <c r="M67" s="33">
        <f>L67/12</f>
        <v>0</v>
      </c>
    </row>
    <row r="68" spans="1:13" x14ac:dyDescent="0.2">
      <c r="A68" s="20" t="s">
        <v>419</v>
      </c>
      <c r="B68" s="20" t="s">
        <v>27</v>
      </c>
      <c r="C68" s="21">
        <f>IF(ISBLANK(B68),0,IF(ISERROR(VALUE(B68)),VLOOKUP(B68,dagsoorttabel1,2,FALSE)*dagenperjaar1,VALUE(B68)))</f>
        <v>1</v>
      </c>
      <c r="D68" s="20" t="s">
        <v>162</v>
      </c>
      <c r="E68" s="20" t="s">
        <v>420</v>
      </c>
      <c r="F68" s="20" t="s">
        <v>284</v>
      </c>
      <c r="G68" s="77">
        <v>247.15</v>
      </c>
      <c r="H68" s="85">
        <f>Glas!G7</f>
        <v>0</v>
      </c>
      <c r="I68" s="78"/>
      <c r="J68" s="85">
        <f>Glas!I7</f>
        <v>0</v>
      </c>
      <c r="K68" s="37">
        <f>IF(ISBLANK(G68),0,G68)*J68</f>
        <v>0</v>
      </c>
      <c r="L68" s="37">
        <f>C68*K68</f>
        <v>0</v>
      </c>
      <c r="M68" s="37">
        <f>L68/12</f>
        <v>0</v>
      </c>
    </row>
    <row r="69" spans="1:13" x14ac:dyDescent="0.2">
      <c r="A69" s="25" t="s">
        <v>421</v>
      </c>
      <c r="B69" s="25" t="s">
        <v>27</v>
      </c>
      <c r="C69" s="26">
        <f>IF(ISBLANK(B69),0,IF(ISERROR(VALUE(B69)),VLOOKUP(B69,dagsoorttabel1,2,FALSE)*dagenperjaar1,VALUE(B69)))</f>
        <v>1</v>
      </c>
      <c r="D69" s="25" t="s">
        <v>162</v>
      </c>
      <c r="E69" s="25" t="s">
        <v>422</v>
      </c>
      <c r="F69" s="25" t="s">
        <v>284</v>
      </c>
      <c r="G69" s="79">
        <v>56.879999999999995</v>
      </c>
      <c r="H69" s="86">
        <f>Glas!G8</f>
        <v>0</v>
      </c>
      <c r="I69" s="80"/>
      <c r="J69" s="86">
        <f>Glas!I8</f>
        <v>0</v>
      </c>
      <c r="K69" s="41">
        <f>IF(ISBLANK(G69),0,G69)*J69</f>
        <v>0</v>
      </c>
      <c r="L69" s="41">
        <f>C69*K69</f>
        <v>0</v>
      </c>
      <c r="M69" s="41">
        <f>L69/12</f>
        <v>0</v>
      </c>
    </row>
    <row r="70" spans="1:13" x14ac:dyDescent="0.2">
      <c r="A70" s="74" t="s">
        <v>261</v>
      </c>
      <c r="B70" s="43"/>
      <c r="C70" s="43"/>
      <c r="D70" s="43"/>
      <c r="E70" s="43"/>
      <c r="F70" s="43"/>
      <c r="G70" s="43"/>
      <c r="H70" s="43"/>
      <c r="I70" s="43"/>
      <c r="J70" s="43"/>
      <c r="K70" s="45">
        <f>SUM(K67:K69)</f>
        <v>0</v>
      </c>
      <c r="L70" s="45">
        <f>SUM(L67:L69)</f>
        <v>0</v>
      </c>
      <c r="M70" s="81">
        <f>L70/12</f>
        <v>0</v>
      </c>
    </row>
    <row r="72" spans="1:13" x14ac:dyDescent="0.2">
      <c r="A72" s="83" t="s">
        <v>262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82"/>
    </row>
    <row r="73" spans="1:13" x14ac:dyDescent="0.2">
      <c r="A73" s="15" t="s">
        <v>417</v>
      </c>
      <c r="B73" s="15" t="s">
        <v>26</v>
      </c>
      <c r="C73" s="16">
        <f>IF(ISBLANK(B73),0,IF(ISERROR(VALUE(B73)),VLOOKUP(B73,dagsoorttabel1,2,FALSE)*dagenperjaar1,VALUE(B73)))</f>
        <v>2</v>
      </c>
      <c r="D73" s="15" t="s">
        <v>162</v>
      </c>
      <c r="E73" s="15" t="s">
        <v>418</v>
      </c>
      <c r="F73" s="15" t="s">
        <v>284</v>
      </c>
      <c r="G73" s="75">
        <v>409.56</v>
      </c>
      <c r="H73" s="84">
        <f>Glas!G6</f>
        <v>0</v>
      </c>
      <c r="I73" s="76"/>
      <c r="J73" s="84">
        <f>Glas!I6</f>
        <v>0</v>
      </c>
      <c r="K73" s="33">
        <f>IF(ISBLANK(G73),0,G73)*J73</f>
        <v>0</v>
      </c>
      <c r="L73" s="33">
        <f>C73*K73</f>
        <v>0</v>
      </c>
      <c r="M73" s="33">
        <f>L73/12</f>
        <v>0</v>
      </c>
    </row>
    <row r="74" spans="1:13" x14ac:dyDescent="0.2">
      <c r="A74" s="20" t="s">
        <v>419</v>
      </c>
      <c r="B74" s="20" t="s">
        <v>27</v>
      </c>
      <c r="C74" s="21">
        <f>IF(ISBLANK(B74),0,IF(ISERROR(VALUE(B74)),VLOOKUP(B74,dagsoorttabel1,2,FALSE)*dagenperjaar1,VALUE(B74)))</f>
        <v>1</v>
      </c>
      <c r="D74" s="20" t="s">
        <v>162</v>
      </c>
      <c r="E74" s="20" t="s">
        <v>420</v>
      </c>
      <c r="F74" s="20" t="s">
        <v>284</v>
      </c>
      <c r="G74" s="77">
        <v>409.56</v>
      </c>
      <c r="H74" s="85">
        <f>Glas!G7</f>
        <v>0</v>
      </c>
      <c r="I74" s="78"/>
      <c r="J74" s="85">
        <f>Glas!I7</f>
        <v>0</v>
      </c>
      <c r="K74" s="37">
        <f>IF(ISBLANK(G74),0,G74)*J74</f>
        <v>0</v>
      </c>
      <c r="L74" s="37">
        <f>C74*K74</f>
        <v>0</v>
      </c>
      <c r="M74" s="37">
        <f>L74/12</f>
        <v>0</v>
      </c>
    </row>
    <row r="75" spans="1:13" x14ac:dyDescent="0.2">
      <c r="A75" s="25" t="s">
        <v>421</v>
      </c>
      <c r="B75" s="25" t="s">
        <v>27</v>
      </c>
      <c r="C75" s="26">
        <f>IF(ISBLANK(B75),0,IF(ISERROR(VALUE(B75)),VLOOKUP(B75,dagsoorttabel1,2,FALSE)*dagenperjaar1,VALUE(B75)))</f>
        <v>1</v>
      </c>
      <c r="D75" s="25" t="s">
        <v>162</v>
      </c>
      <c r="E75" s="25" t="s">
        <v>422</v>
      </c>
      <c r="F75" s="25" t="s">
        <v>284</v>
      </c>
      <c r="G75" s="79">
        <v>72.240000000000009</v>
      </c>
      <c r="H75" s="86">
        <f>Glas!G8</f>
        <v>0</v>
      </c>
      <c r="I75" s="80"/>
      <c r="J75" s="86">
        <f>Glas!I8</f>
        <v>0</v>
      </c>
      <c r="K75" s="41">
        <f>IF(ISBLANK(G75),0,G75)*J75</f>
        <v>0</v>
      </c>
      <c r="L75" s="41">
        <f>C75*K75</f>
        <v>0</v>
      </c>
      <c r="M75" s="41">
        <f>L75/12</f>
        <v>0</v>
      </c>
    </row>
    <row r="76" spans="1:13" x14ac:dyDescent="0.2">
      <c r="A76" s="74" t="s">
        <v>263</v>
      </c>
      <c r="B76" s="43"/>
      <c r="C76" s="43"/>
      <c r="D76" s="43"/>
      <c r="E76" s="43"/>
      <c r="F76" s="43"/>
      <c r="G76" s="43"/>
      <c r="H76" s="43"/>
      <c r="I76" s="43"/>
      <c r="J76" s="43"/>
      <c r="K76" s="45">
        <f>SUM(K73:K75)</f>
        <v>0</v>
      </c>
      <c r="L76" s="45">
        <f>SUM(L73:L75)</f>
        <v>0</v>
      </c>
      <c r="M76" s="81">
        <f>L76/12</f>
        <v>0</v>
      </c>
    </row>
    <row r="78" spans="1:13" x14ac:dyDescent="0.2">
      <c r="A78" s="83" t="s">
        <v>264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82"/>
    </row>
    <row r="79" spans="1:13" x14ac:dyDescent="0.2">
      <c r="A79" s="15" t="s">
        <v>419</v>
      </c>
      <c r="B79" s="15" t="s">
        <v>27</v>
      </c>
      <c r="C79" s="16">
        <f>IF(ISBLANK(B79),0,IF(ISERROR(VALUE(B79)),VLOOKUP(B79,dagsoorttabel1,2,FALSE)*dagenperjaar1,VALUE(B79)))</f>
        <v>1</v>
      </c>
      <c r="D79" s="15" t="s">
        <v>162</v>
      </c>
      <c r="E79" s="15" t="s">
        <v>420</v>
      </c>
      <c r="F79" s="15" t="s">
        <v>284</v>
      </c>
      <c r="G79" s="75">
        <v>180</v>
      </c>
      <c r="H79" s="84">
        <f>Glas!G7</f>
        <v>0</v>
      </c>
      <c r="I79" s="76"/>
      <c r="J79" s="84">
        <f>Glas!I7</f>
        <v>0</v>
      </c>
      <c r="K79" s="33">
        <f>IF(ISBLANK(G79),0,G79)*J79</f>
        <v>0</v>
      </c>
      <c r="L79" s="33">
        <f>C79*K79</f>
        <v>0</v>
      </c>
      <c r="M79" s="33">
        <f>L79/12</f>
        <v>0</v>
      </c>
    </row>
    <row r="80" spans="1:13" x14ac:dyDescent="0.2">
      <c r="A80" s="25" t="s">
        <v>421</v>
      </c>
      <c r="B80" s="25" t="s">
        <v>27</v>
      </c>
      <c r="C80" s="26">
        <f>IF(ISBLANK(B80),0,IF(ISERROR(VALUE(B80)),VLOOKUP(B80,dagsoorttabel1,2,FALSE)*dagenperjaar1,VALUE(B80)))</f>
        <v>1</v>
      </c>
      <c r="D80" s="25" t="s">
        <v>162</v>
      </c>
      <c r="E80" s="25" t="s">
        <v>422</v>
      </c>
      <c r="F80" s="25" t="s">
        <v>284</v>
      </c>
      <c r="G80" s="79">
        <v>20</v>
      </c>
      <c r="H80" s="86">
        <f>Glas!G8</f>
        <v>0</v>
      </c>
      <c r="I80" s="80"/>
      <c r="J80" s="86">
        <f>Glas!I8</f>
        <v>0</v>
      </c>
      <c r="K80" s="41">
        <f>IF(ISBLANK(G80),0,G80)*J80</f>
        <v>0</v>
      </c>
      <c r="L80" s="41">
        <f>C80*K80</f>
        <v>0</v>
      </c>
      <c r="M80" s="41">
        <f>L80/12</f>
        <v>0</v>
      </c>
    </row>
    <row r="81" spans="1:13" x14ac:dyDescent="0.2">
      <c r="A81" s="74" t="s">
        <v>265</v>
      </c>
      <c r="B81" s="43"/>
      <c r="C81" s="43"/>
      <c r="D81" s="43"/>
      <c r="E81" s="43"/>
      <c r="F81" s="43"/>
      <c r="G81" s="43"/>
      <c r="H81" s="43"/>
      <c r="I81" s="43"/>
      <c r="J81" s="43"/>
      <c r="K81" s="45">
        <f>SUM(K79:K80)</f>
        <v>0</v>
      </c>
      <c r="L81" s="45">
        <f>SUM(L79:L80)</f>
        <v>0</v>
      </c>
      <c r="M81" s="81">
        <f>L81/12</f>
        <v>0</v>
      </c>
    </row>
  </sheetData>
  <pageMargins left="0.7" right="0.7" top="0.75" bottom="0.75" header="0.3" footer="0.3"/>
  <pageSetup paperSize="9" scale="65" orientation="landscape" r:id="rId1"/>
  <headerFooter>
    <oddFooter>&amp;LStichting Proominent EA 2022                                &amp;ROpmaakdatum: 13-06-2022
Intexso - De Start 5 -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DB39-07A1-4A1A-A719-71C365303CCA}">
  <dimension ref="A1:F19"/>
  <sheetViews>
    <sheetView tabSelected="1" workbookViewId="0">
      <selection activeCell="C15" sqref="C15"/>
    </sheetView>
  </sheetViews>
  <sheetFormatPr defaultRowHeight="12.75" x14ac:dyDescent="0.2"/>
  <cols>
    <col min="1" max="1" width="30.625" customWidth="1"/>
    <col min="2" max="6" width="20.625" customWidth="1"/>
  </cols>
  <sheetData>
    <row r="1" spans="1:6" x14ac:dyDescent="0.2">
      <c r="A1" s="1" t="str">
        <f>CONCATENATE("Bijlage H.10: ",tabeltype," totaalblad schoonmaakwerk")</f>
        <v>Bijlage H.10: Invultabel totaalblad schoonmaakwerk</v>
      </c>
    </row>
    <row r="3" spans="1:6" ht="25.5" x14ac:dyDescent="0.2">
      <c r="A3" s="8" t="s">
        <v>426</v>
      </c>
      <c r="B3" s="8" t="s">
        <v>427</v>
      </c>
      <c r="C3" s="8" t="s">
        <v>428</v>
      </c>
      <c r="D3" s="8" t="s">
        <v>429</v>
      </c>
      <c r="E3" s="8" t="s">
        <v>430</v>
      </c>
      <c r="F3" s="8" t="s">
        <v>431</v>
      </c>
    </row>
    <row r="4" spans="1:6" x14ac:dyDescent="0.2">
      <c r="A4" s="87" t="s">
        <v>432</v>
      </c>
      <c r="B4" s="30">
        <f>urenjaartotaaloverzicht</f>
        <v>0</v>
      </c>
      <c r="C4" s="30">
        <f>urenjaartotaaloverzichthf</f>
        <v>0</v>
      </c>
      <c r="D4" s="66"/>
      <c r="E4" s="33">
        <f>prijsjaartotaaloverzicht</f>
        <v>0</v>
      </c>
      <c r="F4" s="33">
        <f>E4*1.21</f>
        <v>0</v>
      </c>
    </row>
    <row r="5" spans="1:6" x14ac:dyDescent="0.2">
      <c r="A5" s="88" t="s">
        <v>433</v>
      </c>
      <c r="B5" s="67"/>
      <c r="C5" s="67"/>
      <c r="D5" s="34">
        <f>urenjaarnietmeewerkend</f>
        <v>0</v>
      </c>
      <c r="E5" s="37">
        <f>prijsjaarnietmeewerkend</f>
        <v>0</v>
      </c>
      <c r="F5" s="37">
        <f>E5*1.21</f>
        <v>0</v>
      </c>
    </row>
    <row r="6" spans="1:6" ht="25.5" x14ac:dyDescent="0.2">
      <c r="A6" s="88" t="s">
        <v>434</v>
      </c>
      <c r="B6" s="67"/>
      <c r="C6" s="67"/>
      <c r="D6" s="67"/>
      <c r="E6" s="37">
        <f>prijsjaarafroep</f>
        <v>0</v>
      </c>
      <c r="F6" s="37">
        <f>E6*1.21</f>
        <v>0</v>
      </c>
    </row>
    <row r="7" spans="1:6" x14ac:dyDescent="0.2">
      <c r="A7" s="89" t="s">
        <v>435</v>
      </c>
      <c r="B7" s="90"/>
      <c r="C7" s="90"/>
      <c r="D7" s="90"/>
      <c r="E7" s="41">
        <f>prijsjaarglas</f>
        <v>0</v>
      </c>
      <c r="F7" s="41">
        <f>E7*1.21</f>
        <v>0</v>
      </c>
    </row>
    <row r="9" spans="1:6" x14ac:dyDescent="0.2">
      <c r="A9" s="8" t="s">
        <v>436</v>
      </c>
      <c r="B9" s="44">
        <f>SUM(B4:B7)</f>
        <v>0</v>
      </c>
      <c r="C9" s="44">
        <f>SUM(C4:C7)</f>
        <v>0</v>
      </c>
      <c r="D9" s="44">
        <f>SUM(D4:D7)</f>
        <v>0</v>
      </c>
      <c r="E9" s="45">
        <f>SUM(E4:E7)</f>
        <v>0</v>
      </c>
      <c r="F9" s="45">
        <f>E9*1.21</f>
        <v>0</v>
      </c>
    </row>
    <row r="11" spans="1:6" x14ac:dyDescent="0.2">
      <c r="A11" s="8" t="s">
        <v>437</v>
      </c>
      <c r="B11" s="91">
        <f>IF(B9&gt;0,D9/B9,0)</f>
        <v>0</v>
      </c>
    </row>
    <row r="17" spans="1:5" ht="15" x14ac:dyDescent="0.25">
      <c r="A17" s="92" t="s">
        <v>438</v>
      </c>
      <c r="B17" s="93"/>
      <c r="C17" s="93"/>
      <c r="D17" s="93"/>
      <c r="E17" s="94">
        <f>E4+E5</f>
        <v>0</v>
      </c>
    </row>
    <row r="18" spans="1:5" ht="15" x14ac:dyDescent="0.25">
      <c r="A18" s="93"/>
      <c r="B18" s="93"/>
      <c r="C18" s="93"/>
      <c r="D18" s="93"/>
      <c r="E18" s="93"/>
    </row>
    <row r="19" spans="1:5" ht="15" x14ac:dyDescent="0.25">
      <c r="A19" s="92" t="s">
        <v>439</v>
      </c>
      <c r="B19" s="93"/>
      <c r="C19" s="93"/>
      <c r="D19" s="93"/>
      <c r="E19" s="94">
        <f>E6+E7</f>
        <v>0</v>
      </c>
    </row>
  </sheetData>
  <pageMargins left="0.7" right="0.7" top="0.75" bottom="0.75" header="0.3" footer="0.3"/>
  <pageSetup paperSize="9" scale="70" orientation="landscape" r:id="rId1"/>
  <headerFooter>
    <oddFooter>&amp;LStichting Proominent EA 2022                                &amp;ROpmaakdatum: 13-06-2022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52A0-D616-457B-9D96-DD76BBB0A655}">
  <dimension ref="A1:H36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H.1: ",tabeltype," categorienormen")</f>
        <v>Bijlage H.1: Invultabel categorienormen</v>
      </c>
    </row>
    <row r="3" spans="1:8" ht="38.25" x14ac:dyDescent="0.2">
      <c r="A3" s="8" t="s">
        <v>28</v>
      </c>
      <c r="B3" s="8" t="s">
        <v>29</v>
      </c>
      <c r="C3" s="8" t="s">
        <v>30</v>
      </c>
      <c r="D3" s="8" t="s">
        <v>31</v>
      </c>
      <c r="E3" s="8" t="s">
        <v>32</v>
      </c>
      <c r="F3" s="8" t="s">
        <v>33</v>
      </c>
      <c r="G3" s="8" t="s">
        <v>34</v>
      </c>
      <c r="H3" s="8" t="s">
        <v>35</v>
      </c>
    </row>
    <row r="4" spans="1:8" x14ac:dyDescent="0.2">
      <c r="A4" s="9"/>
      <c r="B4" s="10"/>
      <c r="C4" s="10"/>
      <c r="D4" s="10"/>
      <c r="E4" s="10"/>
      <c r="F4" s="10"/>
      <c r="G4" s="10"/>
      <c r="H4" s="11"/>
    </row>
    <row r="5" spans="1:8" x14ac:dyDescent="0.2">
      <c r="A5" s="12" t="s">
        <v>36</v>
      </c>
      <c r="B5" s="13"/>
      <c r="C5" s="13"/>
      <c r="D5" s="13"/>
      <c r="E5" s="13"/>
      <c r="F5" s="13"/>
      <c r="G5" s="13"/>
      <c r="H5" s="14"/>
    </row>
    <row r="6" spans="1:8" x14ac:dyDescent="0.2">
      <c r="A6" s="15" t="s">
        <v>37</v>
      </c>
      <c r="B6" s="16" t="s">
        <v>38</v>
      </c>
      <c r="C6" s="15">
        <v>1</v>
      </c>
      <c r="D6" s="15" t="s">
        <v>39</v>
      </c>
      <c r="E6" s="17"/>
      <c r="F6" s="18"/>
      <c r="G6" s="15" t="s">
        <v>40</v>
      </c>
      <c r="H6" s="19"/>
    </row>
    <row r="7" spans="1:8" x14ac:dyDescent="0.2">
      <c r="A7" s="20" t="s">
        <v>41</v>
      </c>
      <c r="B7" s="21" t="s">
        <v>38</v>
      </c>
      <c r="C7" s="20">
        <v>40</v>
      </c>
      <c r="D7" s="20" t="s">
        <v>42</v>
      </c>
      <c r="E7" s="22"/>
      <c r="F7" s="23"/>
      <c r="G7" s="20" t="s">
        <v>40</v>
      </c>
      <c r="H7" s="24"/>
    </row>
    <row r="8" spans="1:8" x14ac:dyDescent="0.2">
      <c r="A8" s="20" t="s">
        <v>43</v>
      </c>
      <c r="B8" s="21" t="s">
        <v>38</v>
      </c>
      <c r="C8" s="20">
        <v>1</v>
      </c>
      <c r="D8" s="20" t="s">
        <v>44</v>
      </c>
      <c r="E8" s="22"/>
      <c r="F8" s="23"/>
      <c r="G8" s="20" t="s">
        <v>40</v>
      </c>
      <c r="H8" s="24"/>
    </row>
    <row r="9" spans="1:8" x14ac:dyDescent="0.2">
      <c r="A9" s="20" t="s">
        <v>45</v>
      </c>
      <c r="B9" s="21" t="s">
        <v>38</v>
      </c>
      <c r="C9" s="20">
        <v>40</v>
      </c>
      <c r="D9" s="20" t="s">
        <v>46</v>
      </c>
      <c r="E9" s="22"/>
      <c r="F9" s="23"/>
      <c r="G9" s="20" t="s">
        <v>40</v>
      </c>
      <c r="H9" s="24"/>
    </row>
    <row r="10" spans="1:8" x14ac:dyDescent="0.2">
      <c r="A10" s="20" t="s">
        <v>47</v>
      </c>
      <c r="B10" s="21" t="s">
        <v>38</v>
      </c>
      <c r="C10" s="20">
        <v>1</v>
      </c>
      <c r="D10" s="20" t="s">
        <v>48</v>
      </c>
      <c r="E10" s="22"/>
      <c r="F10" s="23"/>
      <c r="G10" s="20" t="s">
        <v>40</v>
      </c>
      <c r="H10" s="24"/>
    </row>
    <row r="11" spans="1:8" x14ac:dyDescent="0.2">
      <c r="A11" s="20" t="s">
        <v>49</v>
      </c>
      <c r="B11" s="21" t="s">
        <v>38</v>
      </c>
      <c r="C11" s="20">
        <v>40</v>
      </c>
      <c r="D11" s="20" t="s">
        <v>50</v>
      </c>
      <c r="E11" s="22"/>
      <c r="F11" s="23"/>
      <c r="G11" s="20" t="s">
        <v>40</v>
      </c>
      <c r="H11" s="24"/>
    </row>
    <row r="12" spans="1:8" x14ac:dyDescent="0.2">
      <c r="A12" s="20" t="s">
        <v>51</v>
      </c>
      <c r="B12" s="21" t="s">
        <v>38</v>
      </c>
      <c r="C12" s="20">
        <v>1</v>
      </c>
      <c r="D12" s="20" t="s">
        <v>52</v>
      </c>
      <c r="E12" s="22"/>
      <c r="F12" s="23"/>
      <c r="G12" s="20" t="s">
        <v>40</v>
      </c>
      <c r="H12" s="24"/>
    </row>
    <row r="13" spans="1:8" x14ac:dyDescent="0.2">
      <c r="A13" s="20" t="s">
        <v>53</v>
      </c>
      <c r="B13" s="21" t="s">
        <v>38</v>
      </c>
      <c r="C13" s="20">
        <v>40</v>
      </c>
      <c r="D13" s="20" t="s">
        <v>54</v>
      </c>
      <c r="E13" s="22"/>
      <c r="F13" s="23"/>
      <c r="G13" s="20" t="s">
        <v>40</v>
      </c>
      <c r="H13" s="24"/>
    </row>
    <row r="14" spans="1:8" x14ac:dyDescent="0.2">
      <c r="A14" s="20" t="s">
        <v>55</v>
      </c>
      <c r="B14" s="21" t="s">
        <v>56</v>
      </c>
      <c r="C14" s="20">
        <v>1</v>
      </c>
      <c r="D14" s="20" t="s">
        <v>57</v>
      </c>
      <c r="E14" s="22"/>
      <c r="F14" s="23"/>
      <c r="G14" s="20" t="s">
        <v>40</v>
      </c>
      <c r="H14" s="24"/>
    </row>
    <row r="15" spans="1:8" x14ac:dyDescent="0.2">
      <c r="A15" s="20" t="s">
        <v>58</v>
      </c>
      <c r="B15" s="21" t="s">
        <v>56</v>
      </c>
      <c r="C15" s="20">
        <v>40</v>
      </c>
      <c r="D15" s="20" t="s">
        <v>59</v>
      </c>
      <c r="E15" s="22"/>
      <c r="F15" s="23"/>
      <c r="G15" s="20" t="s">
        <v>40</v>
      </c>
      <c r="H15" s="24"/>
    </row>
    <row r="16" spans="1:8" x14ac:dyDescent="0.2">
      <c r="A16" s="20" t="s">
        <v>60</v>
      </c>
      <c r="B16" s="21" t="s">
        <v>61</v>
      </c>
      <c r="C16" s="20">
        <v>1</v>
      </c>
      <c r="D16" s="20" t="s">
        <v>62</v>
      </c>
      <c r="E16" s="22"/>
      <c r="F16" s="23"/>
      <c r="G16" s="20" t="s">
        <v>40</v>
      </c>
      <c r="H16" s="24"/>
    </row>
    <row r="17" spans="1:8" x14ac:dyDescent="0.2">
      <c r="A17" s="20" t="s">
        <v>63</v>
      </c>
      <c r="B17" s="21" t="s">
        <v>61</v>
      </c>
      <c r="C17" s="20">
        <v>40</v>
      </c>
      <c r="D17" s="20" t="s">
        <v>64</v>
      </c>
      <c r="E17" s="22"/>
      <c r="F17" s="23"/>
      <c r="G17" s="20" t="s">
        <v>40</v>
      </c>
      <c r="H17" s="24"/>
    </row>
    <row r="18" spans="1:8" x14ac:dyDescent="0.2">
      <c r="A18" s="20" t="s">
        <v>65</v>
      </c>
      <c r="B18" s="21" t="s">
        <v>61</v>
      </c>
      <c r="C18" s="20">
        <v>1</v>
      </c>
      <c r="D18" s="20" t="s">
        <v>66</v>
      </c>
      <c r="E18" s="22"/>
      <c r="F18" s="23"/>
      <c r="G18" s="20" t="s">
        <v>40</v>
      </c>
      <c r="H18" s="24"/>
    </row>
    <row r="19" spans="1:8" x14ac:dyDescent="0.2">
      <c r="A19" s="20" t="s">
        <v>67</v>
      </c>
      <c r="B19" s="21" t="s">
        <v>61</v>
      </c>
      <c r="C19" s="20">
        <v>40</v>
      </c>
      <c r="D19" s="20" t="s">
        <v>68</v>
      </c>
      <c r="E19" s="22"/>
      <c r="F19" s="23"/>
      <c r="G19" s="20" t="s">
        <v>40</v>
      </c>
      <c r="H19" s="24"/>
    </row>
    <row r="20" spans="1:8" x14ac:dyDescent="0.2">
      <c r="A20" s="20" t="s">
        <v>69</v>
      </c>
      <c r="B20" s="21" t="s">
        <v>61</v>
      </c>
      <c r="C20" s="20">
        <v>1</v>
      </c>
      <c r="D20" s="20" t="s">
        <v>70</v>
      </c>
      <c r="E20" s="22"/>
      <c r="F20" s="23"/>
      <c r="G20" s="20" t="s">
        <v>40</v>
      </c>
      <c r="H20" s="24"/>
    </row>
    <row r="21" spans="1:8" x14ac:dyDescent="0.2">
      <c r="A21" s="20" t="s">
        <v>71</v>
      </c>
      <c r="B21" s="21" t="s">
        <v>61</v>
      </c>
      <c r="C21" s="20">
        <v>40</v>
      </c>
      <c r="D21" s="20" t="s">
        <v>72</v>
      </c>
      <c r="E21" s="22"/>
      <c r="F21" s="23"/>
      <c r="G21" s="20" t="s">
        <v>40</v>
      </c>
      <c r="H21" s="24"/>
    </row>
    <row r="22" spans="1:8" x14ac:dyDescent="0.2">
      <c r="A22" s="20" t="s">
        <v>73</v>
      </c>
      <c r="B22" s="21" t="s">
        <v>61</v>
      </c>
      <c r="C22" s="20">
        <v>1</v>
      </c>
      <c r="D22" s="20" t="s">
        <v>74</v>
      </c>
      <c r="E22" s="22"/>
      <c r="F22" s="23"/>
      <c r="G22" s="20" t="s">
        <v>40</v>
      </c>
      <c r="H22" s="24"/>
    </row>
    <row r="23" spans="1:8" x14ac:dyDescent="0.2">
      <c r="A23" s="20" t="s">
        <v>75</v>
      </c>
      <c r="B23" s="21" t="s">
        <v>61</v>
      </c>
      <c r="C23" s="20">
        <v>40</v>
      </c>
      <c r="D23" s="20" t="s">
        <v>76</v>
      </c>
      <c r="E23" s="22"/>
      <c r="F23" s="23"/>
      <c r="G23" s="20" t="s">
        <v>40</v>
      </c>
      <c r="H23" s="24"/>
    </row>
    <row r="24" spans="1:8" x14ac:dyDescent="0.2">
      <c r="A24" s="20" t="s">
        <v>77</v>
      </c>
      <c r="B24" s="21" t="s">
        <v>61</v>
      </c>
      <c r="C24" s="20">
        <v>1</v>
      </c>
      <c r="D24" s="20" t="s">
        <v>78</v>
      </c>
      <c r="E24" s="22"/>
      <c r="F24" s="23"/>
      <c r="G24" s="20" t="s">
        <v>40</v>
      </c>
      <c r="H24" s="24"/>
    </row>
    <row r="25" spans="1:8" x14ac:dyDescent="0.2">
      <c r="A25" s="20" t="s">
        <v>79</v>
      </c>
      <c r="B25" s="21" t="s">
        <v>61</v>
      </c>
      <c r="C25" s="20">
        <v>40</v>
      </c>
      <c r="D25" s="20" t="s">
        <v>80</v>
      </c>
      <c r="E25" s="22"/>
      <c r="F25" s="23"/>
      <c r="G25" s="20" t="s">
        <v>40</v>
      </c>
      <c r="H25" s="24"/>
    </row>
    <row r="26" spans="1:8" x14ac:dyDescent="0.2">
      <c r="A26" s="20" t="s">
        <v>81</v>
      </c>
      <c r="B26" s="21" t="s">
        <v>61</v>
      </c>
      <c r="C26" s="20">
        <v>1</v>
      </c>
      <c r="D26" s="20" t="s">
        <v>82</v>
      </c>
      <c r="E26" s="22"/>
      <c r="F26" s="23"/>
      <c r="G26" s="20" t="s">
        <v>40</v>
      </c>
      <c r="H26" s="24"/>
    </row>
    <row r="27" spans="1:8" x14ac:dyDescent="0.2">
      <c r="A27" s="20" t="s">
        <v>83</v>
      </c>
      <c r="B27" s="21" t="s">
        <v>61</v>
      </c>
      <c r="C27" s="20">
        <v>40</v>
      </c>
      <c r="D27" s="20" t="s">
        <v>84</v>
      </c>
      <c r="E27" s="22"/>
      <c r="F27" s="23"/>
      <c r="G27" s="20" t="s">
        <v>40</v>
      </c>
      <c r="H27" s="24"/>
    </row>
    <row r="28" spans="1:8" x14ac:dyDescent="0.2">
      <c r="A28" s="20" t="s">
        <v>85</v>
      </c>
      <c r="B28" s="21" t="s">
        <v>61</v>
      </c>
      <c r="C28" s="20">
        <v>1</v>
      </c>
      <c r="D28" s="20" t="s">
        <v>86</v>
      </c>
      <c r="E28" s="22"/>
      <c r="F28" s="23"/>
      <c r="G28" s="20" t="s">
        <v>40</v>
      </c>
      <c r="H28" s="24"/>
    </row>
    <row r="29" spans="1:8" x14ac:dyDescent="0.2">
      <c r="A29" s="20" t="s">
        <v>87</v>
      </c>
      <c r="B29" s="21" t="s">
        <v>61</v>
      </c>
      <c r="C29" s="20">
        <v>40</v>
      </c>
      <c r="D29" s="20" t="s">
        <v>88</v>
      </c>
      <c r="E29" s="22"/>
      <c r="F29" s="23"/>
      <c r="G29" s="20" t="s">
        <v>40</v>
      </c>
      <c r="H29" s="24"/>
    </row>
    <row r="30" spans="1:8" x14ac:dyDescent="0.2">
      <c r="A30" s="20" t="s">
        <v>89</v>
      </c>
      <c r="B30" s="21" t="s">
        <v>61</v>
      </c>
      <c r="C30" s="20">
        <v>1</v>
      </c>
      <c r="D30" s="20" t="s">
        <v>90</v>
      </c>
      <c r="E30" s="22"/>
      <c r="F30" s="23"/>
      <c r="G30" s="20" t="s">
        <v>40</v>
      </c>
      <c r="H30" s="24"/>
    </row>
    <row r="31" spans="1:8" x14ac:dyDescent="0.2">
      <c r="A31" s="20" t="s">
        <v>91</v>
      </c>
      <c r="B31" s="21" t="s">
        <v>61</v>
      </c>
      <c r="C31" s="20">
        <v>40</v>
      </c>
      <c r="D31" s="20" t="s">
        <v>92</v>
      </c>
      <c r="E31" s="22"/>
      <c r="F31" s="23"/>
      <c r="G31" s="20" t="s">
        <v>40</v>
      </c>
      <c r="H31" s="24"/>
    </row>
    <row r="32" spans="1:8" x14ac:dyDescent="0.2">
      <c r="A32" s="20" t="s">
        <v>93</v>
      </c>
      <c r="B32" s="21" t="s">
        <v>61</v>
      </c>
      <c r="C32" s="20">
        <v>1</v>
      </c>
      <c r="D32" s="20" t="s">
        <v>94</v>
      </c>
      <c r="E32" s="22"/>
      <c r="F32" s="23"/>
      <c r="G32" s="20" t="s">
        <v>40</v>
      </c>
      <c r="H32" s="24"/>
    </row>
    <row r="33" spans="1:8" x14ac:dyDescent="0.2">
      <c r="A33" s="20" t="s">
        <v>95</v>
      </c>
      <c r="B33" s="21" t="s">
        <v>61</v>
      </c>
      <c r="C33" s="20">
        <v>40</v>
      </c>
      <c r="D33" s="20" t="s">
        <v>96</v>
      </c>
      <c r="E33" s="22"/>
      <c r="F33" s="23"/>
      <c r="G33" s="20" t="s">
        <v>40</v>
      </c>
      <c r="H33" s="24"/>
    </row>
    <row r="34" spans="1:8" x14ac:dyDescent="0.2">
      <c r="A34" s="20" t="s">
        <v>97</v>
      </c>
      <c r="B34" s="21" t="s">
        <v>61</v>
      </c>
      <c r="C34" s="20">
        <v>1</v>
      </c>
      <c r="D34" s="20" t="s">
        <v>98</v>
      </c>
      <c r="E34" s="22"/>
      <c r="F34" s="23"/>
      <c r="G34" s="20" t="s">
        <v>40</v>
      </c>
      <c r="H34" s="24"/>
    </row>
    <row r="35" spans="1:8" x14ac:dyDescent="0.2">
      <c r="A35" s="20" t="s">
        <v>99</v>
      </c>
      <c r="B35" s="21" t="s">
        <v>61</v>
      </c>
      <c r="C35" s="20">
        <v>40</v>
      </c>
      <c r="D35" s="20" t="s">
        <v>100</v>
      </c>
      <c r="E35" s="22"/>
      <c r="F35" s="23"/>
      <c r="G35" s="20" t="s">
        <v>40</v>
      </c>
      <c r="H35" s="24"/>
    </row>
    <row r="36" spans="1:8" x14ac:dyDescent="0.2">
      <c r="A36" s="25" t="s">
        <v>101</v>
      </c>
      <c r="B36" s="26" t="s">
        <v>102</v>
      </c>
      <c r="C36" s="25">
        <v>1</v>
      </c>
      <c r="D36" s="25" t="s">
        <v>103</v>
      </c>
      <c r="E36" s="27"/>
      <c r="F36" s="28"/>
      <c r="G36" s="25" t="s">
        <v>40</v>
      </c>
      <c r="H36" s="29"/>
    </row>
  </sheetData>
  <pageMargins left="0.7" right="0.7" top="0.75" bottom="0.75" header="0.3" footer="0.3"/>
  <pageSetup paperSize="9" scale="70" orientation="landscape" r:id="rId1"/>
  <headerFooter>
    <oddFooter>&amp;LStichting Proominent EA 2022                                &amp;ROpmaakdatum: 13-06-2022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2A48-AA57-4087-851C-26038607C976}">
  <dimension ref="A1:N47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8" width="11.625" customWidth="1"/>
    <col min="9" max="9" width="9.625" customWidth="1"/>
    <col min="10" max="12" width="11.625" customWidth="1"/>
    <col min="13" max="13" width="12.625" customWidth="1"/>
    <col min="14" max="14" width="14.625" customWidth="1"/>
  </cols>
  <sheetData>
    <row r="1" spans="1:14" x14ac:dyDescent="0.2">
      <c r="A1" s="1" t="str">
        <f>CONCATENATE("Bijlage H.2: ",tabeltype," regulier werk")</f>
        <v>Bijlage H.2: Invultabel regulier werk</v>
      </c>
    </row>
    <row r="3" spans="1:14" ht="38.25" x14ac:dyDescent="0.2">
      <c r="A3" s="8" t="s">
        <v>104</v>
      </c>
      <c r="B3" s="8" t="s">
        <v>7</v>
      </c>
      <c r="C3" s="8" t="s">
        <v>105</v>
      </c>
      <c r="D3" s="8" t="s">
        <v>31</v>
      </c>
      <c r="E3" s="8" t="s">
        <v>106</v>
      </c>
      <c r="F3" s="8" t="s">
        <v>107</v>
      </c>
      <c r="G3" s="8" t="s">
        <v>32</v>
      </c>
      <c r="H3" s="8" t="s">
        <v>33</v>
      </c>
      <c r="I3" s="8" t="s">
        <v>34</v>
      </c>
      <c r="J3" s="8" t="s">
        <v>35</v>
      </c>
      <c r="K3" s="8" t="s">
        <v>108</v>
      </c>
      <c r="L3" s="8" t="s">
        <v>109</v>
      </c>
      <c r="M3" s="8" t="s">
        <v>110</v>
      </c>
      <c r="N3" s="8" t="s">
        <v>111</v>
      </c>
    </row>
    <row r="4" spans="1:14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x14ac:dyDescent="0.2">
      <c r="A5" s="12" t="s">
        <v>36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x14ac:dyDescent="0.2">
      <c r="A6" s="15" t="s">
        <v>112</v>
      </c>
      <c r="B6" s="15" t="s">
        <v>15</v>
      </c>
      <c r="C6" s="15" t="s">
        <v>113</v>
      </c>
      <c r="D6" s="15" t="s">
        <v>114</v>
      </c>
      <c r="E6" s="30">
        <v>126.63</v>
      </c>
      <c r="F6" s="30">
        <f t="shared" ref="F6:F41" si="0">E6*VLOOKUP(B6,dagsoorttabel1,2,FALSE)</f>
        <v>75.977999999999994</v>
      </c>
      <c r="G6" s="31">
        <f>IF(AND(catpn_1_AHB_1&gt;0,catpn_1_AHV_40&gt;0),(dagenperjaar1*VLOOKUP(B6,dagsoorttabel1,2,FALSE))/(((dagenperjaar1*VLOOKUP(B6,dagsoorttabel1,2,FALSE))-catfd_1_AHV_40)/catpn_1_AHB_1+catfd_1_AHV_40/catpn_1_AHV_40),0)</f>
        <v>0</v>
      </c>
      <c r="H6" s="32">
        <f>IF(AND(catpn_1_AHB_1&gt;0,catpn_1_AHV_40&gt;0),(catdw_1_AHB_1*((dagenperjaar1*VLOOKUP(B6,dagsoorttabel1,2,FALSE))-catfd_1_AHV_40)/catpn_1_AHB_1+catdw_1_AHV_40*catfd_1_AHV_40/catpn_1_AHV_40)/(((dagenperjaar1*VLOOKUP(B6,dagsoorttabel1,2,FALSE))-catfd_1_AHV_40)/catpn_1_AHB_1+catfd_1_AHV_40/catpn_1_AHV_40),0)</f>
        <v>0</v>
      </c>
      <c r="I6" s="15" t="s">
        <v>40</v>
      </c>
      <c r="J6" s="33">
        <f>IF(AND(catpn_1_AHB_1&gt;0,catpn_1_AHV_40&gt;0),(cattf_1_AHB_1*((dagenperjaar1*VLOOKUP(B6,dagsoorttabel1,2,FALSE))-catfd_1_AHV_40)/catpn_1_AHB_1+cattf_1_AHV_40*catfd_1_AHV_40/catpn_1_AHV_40)/(((dagenperjaar1*VLOOKUP(B6,dagsoorttabel1,2,FALSE))-catfd_1_AHV_40)/catpn_1_AHB_1+catfd_1_AHV_40/catpn_1_AHV_40),0)</f>
        <v>0</v>
      </c>
      <c r="K6" s="30">
        <f t="shared" ref="K6:K41" si="1">IF(OR(ISBLANK(G6),G6=0),0,F6/ROUND(G6,4))</f>
        <v>0</v>
      </c>
      <c r="L6" s="33">
        <f t="shared" ref="L6:L41" si="2">ROUND(J6,2)*K6</f>
        <v>0</v>
      </c>
      <c r="M6" s="30">
        <f t="shared" ref="M6:M41" si="3">K6*dagenperjaar1</f>
        <v>0</v>
      </c>
      <c r="N6" s="33">
        <f t="shared" ref="N6:N41" si="4">M6*ROUND(J6,2)</f>
        <v>0</v>
      </c>
    </row>
    <row r="7" spans="1:14" x14ac:dyDescent="0.2">
      <c r="A7" s="20" t="s">
        <v>112</v>
      </c>
      <c r="B7" s="20" t="s">
        <v>11</v>
      </c>
      <c r="C7" s="20" t="s">
        <v>113</v>
      </c>
      <c r="D7" s="20" t="s">
        <v>114</v>
      </c>
      <c r="E7" s="34">
        <v>277.8</v>
      </c>
      <c r="F7" s="34">
        <f t="shared" si="0"/>
        <v>277.8</v>
      </c>
      <c r="G7" s="35">
        <f>IF(AND(catpn_1_AHB_1&gt;0,catpn_1_AHV_40&gt;0),(dagenperjaar1*VLOOKUP(B7,dagsoorttabel1,2,FALSE))/(((dagenperjaar1*VLOOKUP(B7,dagsoorttabel1,2,FALSE))-catfd_1_AHV_40)/catpn_1_AHB_1+catfd_1_AHV_40/catpn_1_AHV_40),0)</f>
        <v>0</v>
      </c>
      <c r="H7" s="36">
        <f>IF(AND(catpn_1_AHB_1&gt;0,catpn_1_AHV_40&gt;0),(catdw_1_AHB_1*((dagenperjaar1*VLOOKUP(B7,dagsoorttabel1,2,FALSE))-catfd_1_AHV_40)/catpn_1_AHB_1+catdw_1_AHV_40*catfd_1_AHV_40/catpn_1_AHV_40)/(((dagenperjaar1*VLOOKUP(B7,dagsoorttabel1,2,FALSE))-catfd_1_AHV_40)/catpn_1_AHB_1+catfd_1_AHV_40/catpn_1_AHV_40),0)</f>
        <v>0</v>
      </c>
      <c r="I7" s="20" t="s">
        <v>40</v>
      </c>
      <c r="J7" s="37">
        <f>IF(AND(catpn_1_AHB_1&gt;0,catpn_1_AHV_40&gt;0),(cattf_1_AHB_1*((dagenperjaar1*VLOOKUP(B7,dagsoorttabel1,2,FALSE))-catfd_1_AHV_40)/catpn_1_AHB_1+cattf_1_AHV_40*catfd_1_AHV_40/catpn_1_AHV_40)/(((dagenperjaar1*VLOOKUP(B7,dagsoorttabel1,2,FALSE))-catfd_1_AHV_40)/catpn_1_AHB_1+catfd_1_AHV_40/catpn_1_AHV_40),0)</f>
        <v>0</v>
      </c>
      <c r="K7" s="34">
        <f t="shared" si="1"/>
        <v>0</v>
      </c>
      <c r="L7" s="37">
        <f t="shared" si="2"/>
        <v>0</v>
      </c>
      <c r="M7" s="34">
        <f t="shared" si="3"/>
        <v>0</v>
      </c>
      <c r="N7" s="37">
        <f t="shared" si="4"/>
        <v>0</v>
      </c>
    </row>
    <row r="8" spans="1:14" x14ac:dyDescent="0.2">
      <c r="A8" s="20" t="s">
        <v>112</v>
      </c>
      <c r="B8" s="20" t="s">
        <v>17</v>
      </c>
      <c r="C8" s="20" t="s">
        <v>113</v>
      </c>
      <c r="D8" s="20" t="s">
        <v>114</v>
      </c>
      <c r="E8" s="34">
        <v>80.86999999999999</v>
      </c>
      <c r="F8" s="34">
        <f t="shared" si="0"/>
        <v>32.347999999999999</v>
      </c>
      <c r="G8" s="35">
        <f>IF(AND(catpn_1_AHB_1&gt;0,catpn_1_AHV_40&gt;0),(dagenperjaar1*VLOOKUP(B8,dagsoorttabel1,2,FALSE))/(((dagenperjaar1*VLOOKUP(B8,dagsoorttabel1,2,FALSE))-catfd_1_AHV_40)/catpn_1_AHB_1+catfd_1_AHV_40/catpn_1_AHV_40),0)</f>
        <v>0</v>
      </c>
      <c r="H8" s="36">
        <f>IF(AND(catpn_1_AHB_1&gt;0,catpn_1_AHV_40&gt;0),(catdw_1_AHB_1*((dagenperjaar1*VLOOKUP(B8,dagsoorttabel1,2,FALSE))-catfd_1_AHV_40)/catpn_1_AHB_1+catdw_1_AHV_40*catfd_1_AHV_40/catpn_1_AHV_40)/(((dagenperjaar1*VLOOKUP(B8,dagsoorttabel1,2,FALSE))-catfd_1_AHV_40)/catpn_1_AHB_1+catfd_1_AHV_40/catpn_1_AHV_40),0)</f>
        <v>0</v>
      </c>
      <c r="I8" s="20" t="s">
        <v>40</v>
      </c>
      <c r="J8" s="37">
        <f>IF(AND(catpn_1_AHB_1&gt;0,catpn_1_AHV_40&gt;0),(cattf_1_AHB_1*((dagenperjaar1*VLOOKUP(B8,dagsoorttabel1,2,FALSE))-catfd_1_AHV_40)/catpn_1_AHB_1+cattf_1_AHV_40*catfd_1_AHV_40/catpn_1_AHV_40)/(((dagenperjaar1*VLOOKUP(B8,dagsoorttabel1,2,FALSE))-catfd_1_AHV_40)/catpn_1_AHB_1+catfd_1_AHV_40/catpn_1_AHV_40),0)</f>
        <v>0</v>
      </c>
      <c r="K8" s="34">
        <f t="shared" si="1"/>
        <v>0</v>
      </c>
      <c r="L8" s="37">
        <f t="shared" si="2"/>
        <v>0</v>
      </c>
      <c r="M8" s="34">
        <f t="shared" si="3"/>
        <v>0</v>
      </c>
      <c r="N8" s="37">
        <f t="shared" si="4"/>
        <v>0</v>
      </c>
    </row>
    <row r="9" spans="1:14" x14ac:dyDescent="0.2">
      <c r="A9" s="20" t="s">
        <v>115</v>
      </c>
      <c r="B9" s="20" t="s">
        <v>19</v>
      </c>
      <c r="C9" s="20" t="s">
        <v>113</v>
      </c>
      <c r="D9" s="20" t="s">
        <v>114</v>
      </c>
      <c r="E9" s="34">
        <v>117</v>
      </c>
      <c r="F9" s="34">
        <f t="shared" si="0"/>
        <v>23.400000000000002</v>
      </c>
      <c r="G9" s="35">
        <f>IF(AND(catpn_1_AZB_1&gt;0,catpn_1_AZV_40&gt;0),(dagenperjaar1*VLOOKUP(B9,dagsoorttabel1,2,FALSE))/(((dagenperjaar1*VLOOKUP(B9,dagsoorttabel1,2,FALSE))-catfd_1_AZV_40)/catpn_1_AZB_1+catfd_1_AZV_40/catpn_1_AZV_40),0)</f>
        <v>0</v>
      </c>
      <c r="H9" s="36">
        <f>IF(AND(catpn_1_AZB_1&gt;0,catpn_1_AZV_40&gt;0),(catdw_1_AZB_1*((dagenperjaar1*VLOOKUP(B9,dagsoorttabel1,2,FALSE))-catfd_1_AZV_40)/catpn_1_AZB_1+catdw_1_AZV_40*catfd_1_AZV_40/catpn_1_AZV_40)/(((dagenperjaar1*VLOOKUP(B9,dagsoorttabel1,2,FALSE))-catfd_1_AZV_40)/catpn_1_AZB_1+catfd_1_AZV_40/catpn_1_AZV_40),0)</f>
        <v>0</v>
      </c>
      <c r="I9" s="20" t="s">
        <v>40</v>
      </c>
      <c r="J9" s="37">
        <f>IF(AND(catpn_1_AZB_1&gt;0,catpn_1_AZV_40&gt;0),(cattf_1_AZB_1*((dagenperjaar1*VLOOKUP(B9,dagsoorttabel1,2,FALSE))-catfd_1_AZV_40)/catpn_1_AZB_1+cattf_1_AZV_40*catfd_1_AZV_40/catpn_1_AZV_40)/(((dagenperjaar1*VLOOKUP(B9,dagsoorttabel1,2,FALSE))-catfd_1_AZV_40)/catpn_1_AZB_1+catfd_1_AZV_40/catpn_1_AZV_40),0)</f>
        <v>0</v>
      </c>
      <c r="K9" s="34">
        <f t="shared" si="1"/>
        <v>0</v>
      </c>
      <c r="L9" s="37">
        <f t="shared" si="2"/>
        <v>0</v>
      </c>
      <c r="M9" s="34">
        <f t="shared" si="3"/>
        <v>0</v>
      </c>
      <c r="N9" s="37">
        <f t="shared" si="4"/>
        <v>0</v>
      </c>
    </row>
    <row r="10" spans="1:14" x14ac:dyDescent="0.2">
      <c r="A10" s="20" t="s">
        <v>116</v>
      </c>
      <c r="B10" s="20" t="s">
        <v>19</v>
      </c>
      <c r="C10" s="20" t="s">
        <v>113</v>
      </c>
      <c r="D10" s="20" t="s">
        <v>117</v>
      </c>
      <c r="E10" s="34">
        <v>387.77</v>
      </c>
      <c r="F10" s="34">
        <f t="shared" si="0"/>
        <v>77.554000000000002</v>
      </c>
      <c r="G10" s="35">
        <f>IF(AND(catpn_1_BHB_1&gt;0,catpn_1_BHV_40&gt;0),(dagenperjaar1*VLOOKUP(B10,dagsoorttabel1,2,FALSE))/(((dagenperjaar1*VLOOKUP(B10,dagsoorttabel1,2,FALSE))-catfd_1_BHV_40)/catpn_1_BHB_1+catfd_1_BHV_40/catpn_1_BHV_40),0)</f>
        <v>0</v>
      </c>
      <c r="H10" s="36">
        <f>IF(AND(catpn_1_BHB_1&gt;0,catpn_1_BHV_40&gt;0),(catdw_1_BHB_1*((dagenperjaar1*VLOOKUP(B10,dagsoorttabel1,2,FALSE))-catfd_1_BHV_40)/catpn_1_BHB_1+catdw_1_BHV_40*catfd_1_BHV_40/catpn_1_BHV_40)/(((dagenperjaar1*VLOOKUP(B10,dagsoorttabel1,2,FALSE))-catfd_1_BHV_40)/catpn_1_BHB_1+catfd_1_BHV_40/catpn_1_BHV_40),0)</f>
        <v>0</v>
      </c>
      <c r="I10" s="20" t="s">
        <v>40</v>
      </c>
      <c r="J10" s="37">
        <f>IF(AND(catpn_1_BHB_1&gt;0,catpn_1_BHV_40&gt;0),(cattf_1_BHB_1*((dagenperjaar1*VLOOKUP(B10,dagsoorttabel1,2,FALSE))-catfd_1_BHV_40)/catpn_1_BHB_1+cattf_1_BHV_40*catfd_1_BHV_40/catpn_1_BHV_40)/(((dagenperjaar1*VLOOKUP(B10,dagsoorttabel1,2,FALSE))-catfd_1_BHV_40)/catpn_1_BHB_1+catfd_1_BHV_40/catpn_1_BHV_40),0)</f>
        <v>0</v>
      </c>
      <c r="K10" s="34">
        <f t="shared" si="1"/>
        <v>0</v>
      </c>
      <c r="L10" s="37">
        <f t="shared" si="2"/>
        <v>0</v>
      </c>
      <c r="M10" s="34">
        <f t="shared" si="3"/>
        <v>0</v>
      </c>
      <c r="N10" s="37">
        <f t="shared" si="4"/>
        <v>0</v>
      </c>
    </row>
    <row r="11" spans="1:14" x14ac:dyDescent="0.2">
      <c r="A11" s="20" t="s">
        <v>116</v>
      </c>
      <c r="B11" s="20" t="s">
        <v>17</v>
      </c>
      <c r="C11" s="20" t="s">
        <v>113</v>
      </c>
      <c r="D11" s="20" t="s">
        <v>117</v>
      </c>
      <c r="E11" s="34">
        <v>43.230000000000004</v>
      </c>
      <c r="F11" s="34">
        <f t="shared" si="0"/>
        <v>17.292000000000002</v>
      </c>
      <c r="G11" s="35">
        <f>IF(AND(catpn_1_BHB_1&gt;0,catpn_1_BHV_40&gt;0),(dagenperjaar1*VLOOKUP(B11,dagsoorttabel1,2,FALSE))/(((dagenperjaar1*VLOOKUP(B11,dagsoorttabel1,2,FALSE))-catfd_1_BHV_40)/catpn_1_BHB_1+catfd_1_BHV_40/catpn_1_BHV_40),0)</f>
        <v>0</v>
      </c>
      <c r="H11" s="36">
        <f>IF(AND(catpn_1_BHB_1&gt;0,catpn_1_BHV_40&gt;0),(catdw_1_BHB_1*((dagenperjaar1*VLOOKUP(B11,dagsoorttabel1,2,FALSE))-catfd_1_BHV_40)/catpn_1_BHB_1+catdw_1_BHV_40*catfd_1_BHV_40/catpn_1_BHV_40)/(((dagenperjaar1*VLOOKUP(B11,dagsoorttabel1,2,FALSE))-catfd_1_BHV_40)/catpn_1_BHB_1+catfd_1_BHV_40/catpn_1_BHV_40),0)</f>
        <v>0</v>
      </c>
      <c r="I11" s="20" t="s">
        <v>40</v>
      </c>
      <c r="J11" s="37">
        <f>IF(AND(catpn_1_BHB_1&gt;0,catpn_1_BHV_40&gt;0),(cattf_1_BHB_1*((dagenperjaar1*VLOOKUP(B11,dagsoorttabel1,2,FALSE))-catfd_1_BHV_40)/catpn_1_BHB_1+cattf_1_BHV_40*catfd_1_BHV_40/catpn_1_BHV_40)/(((dagenperjaar1*VLOOKUP(B11,dagsoorttabel1,2,FALSE))-catfd_1_BHV_40)/catpn_1_BHB_1+catfd_1_BHV_40/catpn_1_BHV_40),0)</f>
        <v>0</v>
      </c>
      <c r="K11" s="34">
        <f t="shared" si="1"/>
        <v>0</v>
      </c>
      <c r="L11" s="37">
        <f t="shared" si="2"/>
        <v>0</v>
      </c>
      <c r="M11" s="34">
        <f t="shared" si="3"/>
        <v>0</v>
      </c>
      <c r="N11" s="37">
        <f t="shared" si="4"/>
        <v>0</v>
      </c>
    </row>
    <row r="12" spans="1:14" x14ac:dyDescent="0.2">
      <c r="A12" s="20" t="s">
        <v>118</v>
      </c>
      <c r="B12" s="20" t="s">
        <v>19</v>
      </c>
      <c r="C12" s="20" t="s">
        <v>113</v>
      </c>
      <c r="D12" s="20" t="s">
        <v>117</v>
      </c>
      <c r="E12" s="34">
        <v>193.70000000000002</v>
      </c>
      <c r="F12" s="34">
        <f t="shared" si="0"/>
        <v>38.740000000000009</v>
      </c>
      <c r="G12" s="35">
        <f>IF(AND(catpn_1_BZB_1&gt;0,catpn_1_BZV_40&gt;0),(dagenperjaar1*VLOOKUP(B12,dagsoorttabel1,2,FALSE))/(((dagenperjaar1*VLOOKUP(B12,dagsoorttabel1,2,FALSE))-catfd_1_BZV_40)/catpn_1_BZB_1+catfd_1_BZV_40/catpn_1_BZV_40),0)</f>
        <v>0</v>
      </c>
      <c r="H12" s="36">
        <f>IF(AND(catpn_1_BZB_1&gt;0,catpn_1_BZV_40&gt;0),(catdw_1_BZB_1*((dagenperjaar1*VLOOKUP(B12,dagsoorttabel1,2,FALSE))-catfd_1_BZV_40)/catpn_1_BZB_1+catdw_1_BZV_40*catfd_1_BZV_40/catpn_1_BZV_40)/(((dagenperjaar1*VLOOKUP(B12,dagsoorttabel1,2,FALSE))-catfd_1_BZV_40)/catpn_1_BZB_1+catfd_1_BZV_40/catpn_1_BZV_40),0)</f>
        <v>0</v>
      </c>
      <c r="I12" s="20" t="s">
        <v>40</v>
      </c>
      <c r="J12" s="37">
        <f>IF(AND(catpn_1_BZB_1&gt;0,catpn_1_BZV_40&gt;0),(cattf_1_BZB_1*((dagenperjaar1*VLOOKUP(B12,dagsoorttabel1,2,FALSE))-catfd_1_BZV_40)/catpn_1_BZB_1+cattf_1_BZV_40*catfd_1_BZV_40/catpn_1_BZV_40)/(((dagenperjaar1*VLOOKUP(B12,dagsoorttabel1,2,FALSE))-catfd_1_BZV_40)/catpn_1_BZB_1+catfd_1_BZV_40/catpn_1_BZV_40),0)</f>
        <v>0</v>
      </c>
      <c r="K12" s="34">
        <f t="shared" si="1"/>
        <v>0</v>
      </c>
      <c r="L12" s="37">
        <f t="shared" si="2"/>
        <v>0</v>
      </c>
      <c r="M12" s="34">
        <f t="shared" si="3"/>
        <v>0</v>
      </c>
      <c r="N12" s="37">
        <f t="shared" si="4"/>
        <v>0</v>
      </c>
    </row>
    <row r="13" spans="1:14" x14ac:dyDescent="0.2">
      <c r="A13" s="20" t="s">
        <v>118</v>
      </c>
      <c r="B13" s="20" t="s">
        <v>17</v>
      </c>
      <c r="C13" s="20" t="s">
        <v>113</v>
      </c>
      <c r="D13" s="20" t="s">
        <v>117</v>
      </c>
      <c r="E13" s="34">
        <v>42.980000000000004</v>
      </c>
      <c r="F13" s="34">
        <f t="shared" si="0"/>
        <v>17.192000000000004</v>
      </c>
      <c r="G13" s="35">
        <f>IF(AND(catpn_1_BZB_1&gt;0,catpn_1_BZV_40&gt;0),(dagenperjaar1*VLOOKUP(B13,dagsoorttabel1,2,FALSE))/(((dagenperjaar1*VLOOKUP(B13,dagsoorttabel1,2,FALSE))-catfd_1_BZV_40)/catpn_1_BZB_1+catfd_1_BZV_40/catpn_1_BZV_40),0)</f>
        <v>0</v>
      </c>
      <c r="H13" s="36">
        <f>IF(AND(catpn_1_BZB_1&gt;0,catpn_1_BZV_40&gt;0),(catdw_1_BZB_1*((dagenperjaar1*VLOOKUP(B13,dagsoorttabel1,2,FALSE))-catfd_1_BZV_40)/catpn_1_BZB_1+catdw_1_BZV_40*catfd_1_BZV_40/catpn_1_BZV_40)/(((dagenperjaar1*VLOOKUP(B13,dagsoorttabel1,2,FALSE))-catfd_1_BZV_40)/catpn_1_BZB_1+catfd_1_BZV_40/catpn_1_BZV_40),0)</f>
        <v>0</v>
      </c>
      <c r="I13" s="20" t="s">
        <v>40</v>
      </c>
      <c r="J13" s="37">
        <f>IF(AND(catpn_1_BZB_1&gt;0,catpn_1_BZV_40&gt;0),(cattf_1_BZB_1*((dagenperjaar1*VLOOKUP(B13,dagsoorttabel1,2,FALSE))-catfd_1_BZV_40)/catpn_1_BZB_1+cattf_1_BZV_40*catfd_1_BZV_40/catpn_1_BZV_40)/(((dagenperjaar1*VLOOKUP(B13,dagsoorttabel1,2,FALSE))-catfd_1_BZV_40)/catpn_1_BZB_1+catfd_1_BZV_40/catpn_1_BZV_40),0)</f>
        <v>0</v>
      </c>
      <c r="K13" s="34">
        <f t="shared" si="1"/>
        <v>0</v>
      </c>
      <c r="L13" s="37">
        <f t="shared" si="2"/>
        <v>0</v>
      </c>
      <c r="M13" s="34">
        <f t="shared" si="3"/>
        <v>0</v>
      </c>
      <c r="N13" s="37">
        <f t="shared" si="4"/>
        <v>0</v>
      </c>
    </row>
    <row r="14" spans="1:14" x14ac:dyDescent="0.2">
      <c r="A14" s="20" t="s">
        <v>119</v>
      </c>
      <c r="B14" s="20" t="s">
        <v>11</v>
      </c>
      <c r="C14" s="20" t="s">
        <v>113</v>
      </c>
      <c r="D14" s="20" t="s">
        <v>120</v>
      </c>
      <c r="E14" s="34">
        <v>32.229999999999997</v>
      </c>
      <c r="F14" s="34">
        <f t="shared" si="0"/>
        <v>32.229999999999997</v>
      </c>
      <c r="G14" s="35">
        <f>IF(AND(catpn_1_EHB_1&gt;0,catpn_1_EHV_40&gt;0),(dagenperjaar1*VLOOKUP(B14,dagsoorttabel1,2,FALSE))/(((dagenperjaar1*VLOOKUP(B14,dagsoorttabel1,2,FALSE))-catfd_1_EHV_40)/catpn_1_EHB_1+catfd_1_EHV_40/catpn_1_EHV_40),0)</f>
        <v>0</v>
      </c>
      <c r="H14" s="36">
        <f>IF(AND(catpn_1_EHB_1&gt;0,catpn_1_EHV_40&gt;0),(catdw_1_EHB_1*((dagenperjaar1*VLOOKUP(B14,dagsoorttabel1,2,FALSE))-catfd_1_EHV_40)/catpn_1_EHB_1+catdw_1_EHV_40*catfd_1_EHV_40/catpn_1_EHV_40)/(((dagenperjaar1*VLOOKUP(B14,dagsoorttabel1,2,FALSE))-catfd_1_EHV_40)/catpn_1_EHB_1+catfd_1_EHV_40/catpn_1_EHV_40),0)</f>
        <v>0</v>
      </c>
      <c r="I14" s="20" t="s">
        <v>40</v>
      </c>
      <c r="J14" s="37">
        <f>IF(AND(catpn_1_EHB_1&gt;0,catpn_1_EHV_40&gt;0),(cattf_1_EHB_1*((dagenperjaar1*VLOOKUP(B14,dagsoorttabel1,2,FALSE))-catfd_1_EHV_40)/catpn_1_EHB_1+cattf_1_EHV_40*catfd_1_EHV_40/catpn_1_EHV_40)/(((dagenperjaar1*VLOOKUP(B14,dagsoorttabel1,2,FALSE))-catfd_1_EHV_40)/catpn_1_EHB_1+catfd_1_EHV_40/catpn_1_EHV_40),0)</f>
        <v>0</v>
      </c>
      <c r="K14" s="34">
        <f t="shared" si="1"/>
        <v>0</v>
      </c>
      <c r="L14" s="37">
        <f t="shared" si="2"/>
        <v>0</v>
      </c>
      <c r="M14" s="34">
        <f t="shared" si="3"/>
        <v>0</v>
      </c>
      <c r="N14" s="37">
        <f t="shared" si="4"/>
        <v>0</v>
      </c>
    </row>
    <row r="15" spans="1:14" x14ac:dyDescent="0.2">
      <c r="A15" s="20" t="s">
        <v>121</v>
      </c>
      <c r="B15" s="20" t="s">
        <v>11</v>
      </c>
      <c r="C15" s="20" t="s">
        <v>113</v>
      </c>
      <c r="D15" s="20" t="s">
        <v>120</v>
      </c>
      <c r="E15" s="34">
        <v>215.15999999999997</v>
      </c>
      <c r="F15" s="34">
        <f t="shared" si="0"/>
        <v>215.15999999999997</v>
      </c>
      <c r="G15" s="35">
        <f>IF(AND(catpn_1_EZB_1&gt;0,catpn_1_EZV_40&gt;0),(dagenperjaar1*VLOOKUP(B15,dagsoorttabel1,2,FALSE))/(((dagenperjaar1*VLOOKUP(B15,dagsoorttabel1,2,FALSE))-catfd_1_EZV_40)/catpn_1_EZB_1+catfd_1_EZV_40/catpn_1_EZV_40),0)</f>
        <v>0</v>
      </c>
      <c r="H15" s="36">
        <f>IF(AND(catpn_1_EZB_1&gt;0,catpn_1_EZV_40&gt;0),(catdw_1_EZB_1*((dagenperjaar1*VLOOKUP(B15,dagsoorttabel1,2,FALSE))-catfd_1_EZV_40)/catpn_1_EZB_1+catdw_1_EZV_40*catfd_1_EZV_40/catpn_1_EZV_40)/(((dagenperjaar1*VLOOKUP(B15,dagsoorttabel1,2,FALSE))-catfd_1_EZV_40)/catpn_1_EZB_1+catfd_1_EZV_40/catpn_1_EZV_40),0)</f>
        <v>0</v>
      </c>
      <c r="I15" s="20" t="s">
        <v>40</v>
      </c>
      <c r="J15" s="37">
        <f>IF(AND(catpn_1_EZB_1&gt;0,catpn_1_EZV_40&gt;0),(cattf_1_EZB_1*((dagenperjaar1*VLOOKUP(B15,dagsoorttabel1,2,FALSE))-catfd_1_EZV_40)/catpn_1_EZB_1+cattf_1_EZV_40*catfd_1_EZV_40/catpn_1_EZV_40)/(((dagenperjaar1*VLOOKUP(B15,dagsoorttabel1,2,FALSE))-catfd_1_EZV_40)/catpn_1_EZB_1+catfd_1_EZV_40/catpn_1_EZV_40),0)</f>
        <v>0</v>
      </c>
      <c r="K15" s="34">
        <f t="shared" si="1"/>
        <v>0</v>
      </c>
      <c r="L15" s="37">
        <f t="shared" si="2"/>
        <v>0</v>
      </c>
      <c r="M15" s="34">
        <f t="shared" si="3"/>
        <v>0</v>
      </c>
      <c r="N15" s="37">
        <f t="shared" si="4"/>
        <v>0</v>
      </c>
    </row>
    <row r="16" spans="1:14" x14ac:dyDescent="0.2">
      <c r="A16" s="20" t="s">
        <v>122</v>
      </c>
      <c r="B16" s="20" t="s">
        <v>15</v>
      </c>
      <c r="C16" s="20" t="s">
        <v>113</v>
      </c>
      <c r="D16" s="20" t="s">
        <v>123</v>
      </c>
      <c r="E16" s="34">
        <v>333.33</v>
      </c>
      <c r="F16" s="34">
        <f t="shared" si="0"/>
        <v>199.99799999999999</v>
      </c>
      <c r="G16" s="35">
        <f>IF(AND(catpn_1_GHB_1&gt;0,catpn_1_GHV_40&gt;0),(dagenperjaar1*VLOOKUP(B16,dagsoorttabel1,2,FALSE))/(((dagenperjaar1*VLOOKUP(B16,dagsoorttabel1,2,FALSE))-catfd_1_GHV_40)/catpn_1_GHB_1+catfd_1_GHV_40/catpn_1_GHV_40),0)</f>
        <v>0</v>
      </c>
      <c r="H16" s="36">
        <f>IF(AND(catpn_1_GHB_1&gt;0,catpn_1_GHV_40&gt;0),(catdw_1_GHB_1*((dagenperjaar1*VLOOKUP(B16,dagsoorttabel1,2,FALSE))-catfd_1_GHV_40)/catpn_1_GHB_1+catdw_1_GHV_40*catfd_1_GHV_40/catpn_1_GHV_40)/(((dagenperjaar1*VLOOKUP(B16,dagsoorttabel1,2,FALSE))-catfd_1_GHV_40)/catpn_1_GHB_1+catfd_1_GHV_40/catpn_1_GHV_40),0)</f>
        <v>0</v>
      </c>
      <c r="I16" s="20" t="s">
        <v>40</v>
      </c>
      <c r="J16" s="37">
        <f>IF(AND(catpn_1_GHB_1&gt;0,catpn_1_GHV_40&gt;0),(cattf_1_GHB_1*((dagenperjaar1*VLOOKUP(B16,dagsoorttabel1,2,FALSE))-catfd_1_GHV_40)/catpn_1_GHB_1+cattf_1_GHV_40*catfd_1_GHV_40/catpn_1_GHV_40)/(((dagenperjaar1*VLOOKUP(B16,dagsoorttabel1,2,FALSE))-catfd_1_GHV_40)/catpn_1_GHB_1+catfd_1_GHV_40/catpn_1_GHV_40),0)</f>
        <v>0</v>
      </c>
      <c r="K16" s="34">
        <f t="shared" si="1"/>
        <v>0</v>
      </c>
      <c r="L16" s="37">
        <f t="shared" si="2"/>
        <v>0</v>
      </c>
      <c r="M16" s="34">
        <f t="shared" si="3"/>
        <v>0</v>
      </c>
      <c r="N16" s="37">
        <f t="shared" si="4"/>
        <v>0</v>
      </c>
    </row>
    <row r="17" spans="1:14" x14ac:dyDescent="0.2">
      <c r="A17" s="20" t="s">
        <v>122</v>
      </c>
      <c r="B17" s="20" t="s">
        <v>19</v>
      </c>
      <c r="C17" s="20" t="s">
        <v>113</v>
      </c>
      <c r="D17" s="20" t="s">
        <v>123</v>
      </c>
      <c r="E17" s="34">
        <v>375.37</v>
      </c>
      <c r="F17" s="34">
        <f t="shared" si="0"/>
        <v>75.073999999999998</v>
      </c>
      <c r="G17" s="35">
        <f>IF(AND(catpn_1_GHB_1&gt;0,catpn_1_GHV_40&gt;0),(dagenperjaar1*VLOOKUP(B17,dagsoorttabel1,2,FALSE))/(((dagenperjaar1*VLOOKUP(B17,dagsoorttabel1,2,FALSE))-catfd_1_GHV_40)/catpn_1_GHB_1+catfd_1_GHV_40/catpn_1_GHV_40),0)</f>
        <v>0</v>
      </c>
      <c r="H17" s="36">
        <f>IF(AND(catpn_1_GHB_1&gt;0,catpn_1_GHV_40&gt;0),(catdw_1_GHB_1*((dagenperjaar1*VLOOKUP(B17,dagsoorttabel1,2,FALSE))-catfd_1_GHV_40)/catpn_1_GHB_1+catdw_1_GHV_40*catfd_1_GHV_40/catpn_1_GHV_40)/(((dagenperjaar1*VLOOKUP(B17,dagsoorttabel1,2,FALSE))-catfd_1_GHV_40)/catpn_1_GHB_1+catfd_1_GHV_40/catpn_1_GHV_40),0)</f>
        <v>0</v>
      </c>
      <c r="I17" s="20" t="s">
        <v>40</v>
      </c>
      <c r="J17" s="37">
        <f>IF(AND(catpn_1_GHB_1&gt;0,catpn_1_GHV_40&gt;0),(cattf_1_GHB_1*((dagenperjaar1*VLOOKUP(B17,dagsoorttabel1,2,FALSE))-catfd_1_GHV_40)/catpn_1_GHB_1+cattf_1_GHV_40*catfd_1_GHV_40/catpn_1_GHV_40)/(((dagenperjaar1*VLOOKUP(B17,dagsoorttabel1,2,FALSE))-catfd_1_GHV_40)/catpn_1_GHB_1+catfd_1_GHV_40/catpn_1_GHV_40),0)</f>
        <v>0</v>
      </c>
      <c r="K17" s="34">
        <f t="shared" si="1"/>
        <v>0</v>
      </c>
      <c r="L17" s="37">
        <f t="shared" si="2"/>
        <v>0</v>
      </c>
      <c r="M17" s="34">
        <f t="shared" si="3"/>
        <v>0</v>
      </c>
      <c r="N17" s="37">
        <f t="shared" si="4"/>
        <v>0</v>
      </c>
    </row>
    <row r="18" spans="1:14" x14ac:dyDescent="0.2">
      <c r="A18" s="20" t="s">
        <v>122</v>
      </c>
      <c r="B18" s="20" t="s">
        <v>17</v>
      </c>
      <c r="C18" s="20" t="s">
        <v>113</v>
      </c>
      <c r="D18" s="20" t="s">
        <v>123</v>
      </c>
      <c r="E18" s="34">
        <v>191.76999999999998</v>
      </c>
      <c r="F18" s="34">
        <f t="shared" si="0"/>
        <v>76.707999999999998</v>
      </c>
      <c r="G18" s="35">
        <f>IF(AND(catpn_1_GHB_1&gt;0,catpn_1_GHV_40&gt;0),(dagenperjaar1*VLOOKUP(B18,dagsoorttabel1,2,FALSE))/(((dagenperjaar1*VLOOKUP(B18,dagsoorttabel1,2,FALSE))-catfd_1_GHV_40)/catpn_1_GHB_1+catfd_1_GHV_40/catpn_1_GHV_40),0)</f>
        <v>0</v>
      </c>
      <c r="H18" s="36">
        <f>IF(AND(catpn_1_GHB_1&gt;0,catpn_1_GHV_40&gt;0),(catdw_1_GHB_1*((dagenperjaar1*VLOOKUP(B18,dagsoorttabel1,2,FALSE))-catfd_1_GHV_40)/catpn_1_GHB_1+catdw_1_GHV_40*catfd_1_GHV_40/catpn_1_GHV_40)/(((dagenperjaar1*VLOOKUP(B18,dagsoorttabel1,2,FALSE))-catfd_1_GHV_40)/catpn_1_GHB_1+catfd_1_GHV_40/catpn_1_GHV_40),0)</f>
        <v>0</v>
      </c>
      <c r="I18" s="20" t="s">
        <v>40</v>
      </c>
      <c r="J18" s="37">
        <f>IF(AND(catpn_1_GHB_1&gt;0,catpn_1_GHV_40&gt;0),(cattf_1_GHB_1*((dagenperjaar1*VLOOKUP(B18,dagsoorttabel1,2,FALSE))-catfd_1_GHV_40)/catpn_1_GHB_1+cattf_1_GHV_40*catfd_1_GHV_40/catpn_1_GHV_40)/(((dagenperjaar1*VLOOKUP(B18,dagsoorttabel1,2,FALSE))-catfd_1_GHV_40)/catpn_1_GHB_1+catfd_1_GHV_40/catpn_1_GHV_40),0)</f>
        <v>0</v>
      </c>
      <c r="K18" s="34">
        <f t="shared" si="1"/>
        <v>0</v>
      </c>
      <c r="L18" s="37">
        <f t="shared" si="2"/>
        <v>0</v>
      </c>
      <c r="M18" s="34">
        <f t="shared" si="3"/>
        <v>0</v>
      </c>
      <c r="N18" s="37">
        <f t="shared" si="4"/>
        <v>0</v>
      </c>
    </row>
    <row r="19" spans="1:14" x14ac:dyDescent="0.2">
      <c r="A19" s="20" t="s">
        <v>124</v>
      </c>
      <c r="B19" s="20" t="s">
        <v>15</v>
      </c>
      <c r="C19" s="20" t="s">
        <v>113</v>
      </c>
      <c r="D19" s="20" t="s">
        <v>125</v>
      </c>
      <c r="E19" s="34">
        <v>321.10000000000002</v>
      </c>
      <c r="F19" s="34">
        <f t="shared" si="0"/>
        <v>192.66</v>
      </c>
      <c r="G19" s="35">
        <f>IF(AND(catpn_1_KHB_1&gt;0,catpn_1_KHV_40&gt;0),(dagenperjaar1*VLOOKUP(B19,dagsoorttabel1,2,FALSE))/(((dagenperjaar1*VLOOKUP(B19,dagsoorttabel1,2,FALSE))-catfd_1_KHV_40)/catpn_1_KHB_1+catfd_1_KHV_40/catpn_1_KHV_40),0)</f>
        <v>0</v>
      </c>
      <c r="H19" s="36">
        <f>IF(AND(catpn_1_KHB_1&gt;0,catpn_1_KHV_40&gt;0),(catdw_1_KHB_1*((dagenperjaar1*VLOOKUP(B19,dagsoorttabel1,2,FALSE))-catfd_1_KHV_40)/catpn_1_KHB_1+catdw_1_KHV_40*catfd_1_KHV_40/catpn_1_KHV_40)/(((dagenperjaar1*VLOOKUP(B19,dagsoorttabel1,2,FALSE))-catfd_1_KHV_40)/catpn_1_KHB_1+catfd_1_KHV_40/catpn_1_KHV_40),0)</f>
        <v>0</v>
      </c>
      <c r="I19" s="20" t="s">
        <v>40</v>
      </c>
      <c r="J19" s="37">
        <f>IF(AND(catpn_1_KHB_1&gt;0,catpn_1_KHV_40&gt;0),(cattf_1_KHB_1*((dagenperjaar1*VLOOKUP(B19,dagsoorttabel1,2,FALSE))-catfd_1_KHV_40)/catpn_1_KHB_1+cattf_1_KHV_40*catfd_1_KHV_40/catpn_1_KHV_40)/(((dagenperjaar1*VLOOKUP(B19,dagsoorttabel1,2,FALSE))-catfd_1_KHV_40)/catpn_1_KHB_1+catfd_1_KHV_40/catpn_1_KHV_40),0)</f>
        <v>0</v>
      </c>
      <c r="K19" s="34">
        <f t="shared" si="1"/>
        <v>0</v>
      </c>
      <c r="L19" s="37">
        <f t="shared" si="2"/>
        <v>0</v>
      </c>
      <c r="M19" s="34">
        <f t="shared" si="3"/>
        <v>0</v>
      </c>
      <c r="N19" s="37">
        <f t="shared" si="4"/>
        <v>0</v>
      </c>
    </row>
    <row r="20" spans="1:14" x14ac:dyDescent="0.2">
      <c r="A20" s="20" t="s">
        <v>124</v>
      </c>
      <c r="B20" s="20" t="s">
        <v>13</v>
      </c>
      <c r="C20" s="20" t="s">
        <v>113</v>
      </c>
      <c r="D20" s="20" t="s">
        <v>125</v>
      </c>
      <c r="E20" s="34">
        <v>56</v>
      </c>
      <c r="F20" s="34">
        <f t="shared" si="0"/>
        <v>44.800000000000004</v>
      </c>
      <c r="G20" s="35">
        <f>IF(AND(catpn_1_KHB_1&gt;0,catpn_1_KHV_40&gt;0),(dagenperjaar1*VLOOKUP(B20,dagsoorttabel1,2,FALSE))/(((dagenperjaar1*VLOOKUP(B20,dagsoorttabel1,2,FALSE))-catfd_1_KHV_40)/catpn_1_KHB_1+catfd_1_KHV_40/catpn_1_KHV_40),0)</f>
        <v>0</v>
      </c>
      <c r="H20" s="36">
        <f>IF(AND(catpn_1_KHB_1&gt;0,catpn_1_KHV_40&gt;0),(catdw_1_KHB_1*((dagenperjaar1*VLOOKUP(B20,dagsoorttabel1,2,FALSE))-catfd_1_KHV_40)/catpn_1_KHB_1+catdw_1_KHV_40*catfd_1_KHV_40/catpn_1_KHV_40)/(((dagenperjaar1*VLOOKUP(B20,dagsoorttabel1,2,FALSE))-catfd_1_KHV_40)/catpn_1_KHB_1+catfd_1_KHV_40/catpn_1_KHV_40),0)</f>
        <v>0</v>
      </c>
      <c r="I20" s="20" t="s">
        <v>40</v>
      </c>
      <c r="J20" s="37">
        <f>IF(AND(catpn_1_KHB_1&gt;0,catpn_1_KHV_40&gt;0),(cattf_1_KHB_1*((dagenperjaar1*VLOOKUP(B20,dagsoorttabel1,2,FALSE))-catfd_1_KHV_40)/catpn_1_KHB_1+cattf_1_KHV_40*catfd_1_KHV_40/catpn_1_KHV_40)/(((dagenperjaar1*VLOOKUP(B20,dagsoorttabel1,2,FALSE))-catfd_1_KHV_40)/catpn_1_KHB_1+catfd_1_KHV_40/catpn_1_KHV_40),0)</f>
        <v>0</v>
      </c>
      <c r="K20" s="34">
        <f t="shared" si="1"/>
        <v>0</v>
      </c>
      <c r="L20" s="37">
        <f t="shared" si="2"/>
        <v>0</v>
      </c>
      <c r="M20" s="34">
        <f t="shared" si="3"/>
        <v>0</v>
      </c>
      <c r="N20" s="37">
        <f t="shared" si="4"/>
        <v>0</v>
      </c>
    </row>
    <row r="21" spans="1:14" x14ac:dyDescent="0.2">
      <c r="A21" s="20" t="s">
        <v>124</v>
      </c>
      <c r="B21" s="20" t="s">
        <v>11</v>
      </c>
      <c r="C21" s="20" t="s">
        <v>113</v>
      </c>
      <c r="D21" s="20" t="s">
        <v>125</v>
      </c>
      <c r="E21" s="34">
        <v>1677.9199999999998</v>
      </c>
      <c r="F21" s="34">
        <f t="shared" si="0"/>
        <v>1677.9199999999998</v>
      </c>
      <c r="G21" s="35">
        <f>IF(AND(catpn_1_KHB_1&gt;0,catpn_1_KHV_40&gt;0),(dagenperjaar1*VLOOKUP(B21,dagsoorttabel1,2,FALSE))/(((dagenperjaar1*VLOOKUP(B21,dagsoorttabel1,2,FALSE))-catfd_1_KHV_40)/catpn_1_KHB_1+catfd_1_KHV_40/catpn_1_KHV_40),0)</f>
        <v>0</v>
      </c>
      <c r="H21" s="36">
        <f>IF(AND(catpn_1_KHB_1&gt;0,catpn_1_KHV_40&gt;0),(catdw_1_KHB_1*((dagenperjaar1*VLOOKUP(B21,dagsoorttabel1,2,FALSE))-catfd_1_KHV_40)/catpn_1_KHB_1+catdw_1_KHV_40*catfd_1_KHV_40/catpn_1_KHV_40)/(((dagenperjaar1*VLOOKUP(B21,dagsoorttabel1,2,FALSE))-catfd_1_KHV_40)/catpn_1_KHB_1+catfd_1_KHV_40/catpn_1_KHV_40),0)</f>
        <v>0</v>
      </c>
      <c r="I21" s="20" t="s">
        <v>40</v>
      </c>
      <c r="J21" s="37">
        <f>IF(AND(catpn_1_KHB_1&gt;0,catpn_1_KHV_40&gt;0),(cattf_1_KHB_1*((dagenperjaar1*VLOOKUP(B21,dagsoorttabel1,2,FALSE))-catfd_1_KHV_40)/catpn_1_KHB_1+cattf_1_KHV_40*catfd_1_KHV_40/catpn_1_KHV_40)/(((dagenperjaar1*VLOOKUP(B21,dagsoorttabel1,2,FALSE))-catfd_1_KHV_40)/catpn_1_KHB_1+catfd_1_KHV_40/catpn_1_KHV_40),0)</f>
        <v>0</v>
      </c>
      <c r="K21" s="34">
        <f t="shared" si="1"/>
        <v>0</v>
      </c>
      <c r="L21" s="37">
        <f t="shared" si="2"/>
        <v>0</v>
      </c>
      <c r="M21" s="34">
        <f t="shared" si="3"/>
        <v>0</v>
      </c>
      <c r="N21" s="37">
        <f t="shared" si="4"/>
        <v>0</v>
      </c>
    </row>
    <row r="22" spans="1:14" x14ac:dyDescent="0.2">
      <c r="A22" s="20" t="s">
        <v>124</v>
      </c>
      <c r="B22" s="20" t="s">
        <v>19</v>
      </c>
      <c r="C22" s="20" t="s">
        <v>113</v>
      </c>
      <c r="D22" s="20" t="s">
        <v>125</v>
      </c>
      <c r="E22" s="34">
        <v>127.14</v>
      </c>
      <c r="F22" s="34">
        <f t="shared" si="0"/>
        <v>25.428000000000001</v>
      </c>
      <c r="G22" s="35">
        <f>IF(AND(catpn_1_KHB_1&gt;0,catpn_1_KHV_40&gt;0),(dagenperjaar1*VLOOKUP(B22,dagsoorttabel1,2,FALSE))/(((dagenperjaar1*VLOOKUP(B22,dagsoorttabel1,2,FALSE))-catfd_1_KHV_40)/catpn_1_KHB_1+catfd_1_KHV_40/catpn_1_KHV_40),0)</f>
        <v>0</v>
      </c>
      <c r="H22" s="36">
        <f>IF(AND(catpn_1_KHB_1&gt;0,catpn_1_KHV_40&gt;0),(catdw_1_KHB_1*((dagenperjaar1*VLOOKUP(B22,dagsoorttabel1,2,FALSE))-catfd_1_KHV_40)/catpn_1_KHB_1+catdw_1_KHV_40*catfd_1_KHV_40/catpn_1_KHV_40)/(((dagenperjaar1*VLOOKUP(B22,dagsoorttabel1,2,FALSE))-catfd_1_KHV_40)/catpn_1_KHB_1+catfd_1_KHV_40/catpn_1_KHV_40),0)</f>
        <v>0</v>
      </c>
      <c r="I22" s="20" t="s">
        <v>40</v>
      </c>
      <c r="J22" s="37">
        <f>IF(AND(catpn_1_KHB_1&gt;0,catpn_1_KHV_40&gt;0),(cattf_1_KHB_1*((dagenperjaar1*VLOOKUP(B22,dagsoorttabel1,2,FALSE))-catfd_1_KHV_40)/catpn_1_KHB_1+cattf_1_KHV_40*catfd_1_KHV_40/catpn_1_KHV_40)/(((dagenperjaar1*VLOOKUP(B22,dagsoorttabel1,2,FALSE))-catfd_1_KHV_40)/catpn_1_KHB_1+catfd_1_KHV_40/catpn_1_KHV_40),0)</f>
        <v>0</v>
      </c>
      <c r="K22" s="34">
        <f t="shared" si="1"/>
        <v>0</v>
      </c>
      <c r="L22" s="37">
        <f t="shared" si="2"/>
        <v>0</v>
      </c>
      <c r="M22" s="34">
        <f t="shared" si="3"/>
        <v>0</v>
      </c>
      <c r="N22" s="37">
        <f t="shared" si="4"/>
        <v>0</v>
      </c>
    </row>
    <row r="23" spans="1:14" x14ac:dyDescent="0.2">
      <c r="A23" s="20" t="s">
        <v>124</v>
      </c>
      <c r="B23" s="20" t="s">
        <v>17</v>
      </c>
      <c r="C23" s="20" t="s">
        <v>113</v>
      </c>
      <c r="D23" s="20" t="s">
        <v>125</v>
      </c>
      <c r="E23" s="34">
        <v>2527.02</v>
      </c>
      <c r="F23" s="34">
        <f t="shared" si="0"/>
        <v>1010.808</v>
      </c>
      <c r="G23" s="35">
        <f>IF(AND(catpn_1_KHB_1&gt;0,catpn_1_KHV_40&gt;0),(dagenperjaar1*VLOOKUP(B23,dagsoorttabel1,2,FALSE))/(((dagenperjaar1*VLOOKUP(B23,dagsoorttabel1,2,FALSE))-catfd_1_KHV_40)/catpn_1_KHB_1+catfd_1_KHV_40/catpn_1_KHV_40),0)</f>
        <v>0</v>
      </c>
      <c r="H23" s="36">
        <f>IF(AND(catpn_1_KHB_1&gt;0,catpn_1_KHV_40&gt;0),(catdw_1_KHB_1*((dagenperjaar1*VLOOKUP(B23,dagsoorttabel1,2,FALSE))-catfd_1_KHV_40)/catpn_1_KHB_1+catdw_1_KHV_40*catfd_1_KHV_40/catpn_1_KHV_40)/(((dagenperjaar1*VLOOKUP(B23,dagsoorttabel1,2,FALSE))-catfd_1_KHV_40)/catpn_1_KHB_1+catfd_1_KHV_40/catpn_1_KHV_40),0)</f>
        <v>0</v>
      </c>
      <c r="I23" s="20" t="s">
        <v>40</v>
      </c>
      <c r="J23" s="37">
        <f>IF(AND(catpn_1_KHB_1&gt;0,catpn_1_KHV_40&gt;0),(cattf_1_KHB_1*((dagenperjaar1*VLOOKUP(B23,dagsoorttabel1,2,FALSE))-catfd_1_KHV_40)/catpn_1_KHB_1+cattf_1_KHV_40*catfd_1_KHV_40/catpn_1_KHV_40)/(((dagenperjaar1*VLOOKUP(B23,dagsoorttabel1,2,FALSE))-catfd_1_KHV_40)/catpn_1_KHB_1+catfd_1_KHV_40/catpn_1_KHV_40),0)</f>
        <v>0</v>
      </c>
      <c r="K23" s="34">
        <f t="shared" si="1"/>
        <v>0</v>
      </c>
      <c r="L23" s="37">
        <f t="shared" si="2"/>
        <v>0</v>
      </c>
      <c r="M23" s="34">
        <f t="shared" si="3"/>
        <v>0</v>
      </c>
      <c r="N23" s="37">
        <f t="shared" si="4"/>
        <v>0</v>
      </c>
    </row>
    <row r="24" spans="1:14" x14ac:dyDescent="0.2">
      <c r="A24" s="20" t="s">
        <v>126</v>
      </c>
      <c r="B24" s="20" t="s">
        <v>11</v>
      </c>
      <c r="C24" s="20" t="s">
        <v>113</v>
      </c>
      <c r="D24" s="20" t="s">
        <v>125</v>
      </c>
      <c r="E24" s="34">
        <v>164.37</v>
      </c>
      <c r="F24" s="34">
        <f t="shared" si="0"/>
        <v>164.37</v>
      </c>
      <c r="G24" s="35">
        <f>IF(AND(catpn_1_KZB_1&gt;0,catpn_1_KZV_40&gt;0),(dagenperjaar1*VLOOKUP(B24,dagsoorttabel1,2,FALSE))/(((dagenperjaar1*VLOOKUP(B24,dagsoorttabel1,2,FALSE))-catfd_1_KZV_40)/catpn_1_KZB_1+catfd_1_KZV_40/catpn_1_KZV_40),0)</f>
        <v>0</v>
      </c>
      <c r="H24" s="36">
        <f>IF(AND(catpn_1_KZB_1&gt;0,catpn_1_KZV_40&gt;0),(catdw_1_KZB_1*((dagenperjaar1*VLOOKUP(B24,dagsoorttabel1,2,FALSE))-catfd_1_KZV_40)/catpn_1_KZB_1+catdw_1_KZV_40*catfd_1_KZV_40/catpn_1_KZV_40)/(((dagenperjaar1*VLOOKUP(B24,dagsoorttabel1,2,FALSE))-catfd_1_KZV_40)/catpn_1_KZB_1+catfd_1_KZV_40/catpn_1_KZV_40),0)</f>
        <v>0</v>
      </c>
      <c r="I24" s="20" t="s">
        <v>40</v>
      </c>
      <c r="J24" s="37">
        <f>IF(AND(catpn_1_KZB_1&gt;0,catpn_1_KZV_40&gt;0),(cattf_1_KZB_1*((dagenperjaar1*VLOOKUP(B24,dagsoorttabel1,2,FALSE))-catfd_1_KZV_40)/catpn_1_KZB_1+cattf_1_KZV_40*catfd_1_KZV_40/catpn_1_KZV_40)/(((dagenperjaar1*VLOOKUP(B24,dagsoorttabel1,2,FALSE))-catfd_1_KZV_40)/catpn_1_KZB_1+catfd_1_KZV_40/catpn_1_KZV_40),0)</f>
        <v>0</v>
      </c>
      <c r="K24" s="34">
        <f t="shared" si="1"/>
        <v>0</v>
      </c>
      <c r="L24" s="37">
        <f t="shared" si="2"/>
        <v>0</v>
      </c>
      <c r="M24" s="34">
        <f t="shared" si="3"/>
        <v>0</v>
      </c>
      <c r="N24" s="37">
        <f t="shared" si="4"/>
        <v>0</v>
      </c>
    </row>
    <row r="25" spans="1:14" x14ac:dyDescent="0.2">
      <c r="A25" s="20" t="s">
        <v>126</v>
      </c>
      <c r="B25" s="20" t="s">
        <v>17</v>
      </c>
      <c r="C25" s="20" t="s">
        <v>113</v>
      </c>
      <c r="D25" s="20" t="s">
        <v>125</v>
      </c>
      <c r="E25" s="34">
        <v>891.72</v>
      </c>
      <c r="F25" s="34">
        <f t="shared" si="0"/>
        <v>356.68800000000005</v>
      </c>
      <c r="G25" s="35">
        <f>IF(AND(catpn_1_KZB_1&gt;0,catpn_1_KZV_40&gt;0),(dagenperjaar1*VLOOKUP(B25,dagsoorttabel1,2,FALSE))/(((dagenperjaar1*VLOOKUP(B25,dagsoorttabel1,2,FALSE))-catfd_1_KZV_40)/catpn_1_KZB_1+catfd_1_KZV_40/catpn_1_KZV_40),0)</f>
        <v>0</v>
      </c>
      <c r="H25" s="36">
        <f>IF(AND(catpn_1_KZB_1&gt;0,catpn_1_KZV_40&gt;0),(catdw_1_KZB_1*((dagenperjaar1*VLOOKUP(B25,dagsoorttabel1,2,FALSE))-catfd_1_KZV_40)/catpn_1_KZB_1+catdw_1_KZV_40*catfd_1_KZV_40/catpn_1_KZV_40)/(((dagenperjaar1*VLOOKUP(B25,dagsoorttabel1,2,FALSE))-catfd_1_KZV_40)/catpn_1_KZB_1+catfd_1_KZV_40/catpn_1_KZV_40),0)</f>
        <v>0</v>
      </c>
      <c r="I25" s="20" t="s">
        <v>40</v>
      </c>
      <c r="J25" s="37">
        <f>IF(AND(catpn_1_KZB_1&gt;0,catpn_1_KZV_40&gt;0),(cattf_1_KZB_1*((dagenperjaar1*VLOOKUP(B25,dagsoorttabel1,2,FALSE))-catfd_1_KZV_40)/catpn_1_KZB_1+cattf_1_KZV_40*catfd_1_KZV_40/catpn_1_KZV_40)/(((dagenperjaar1*VLOOKUP(B25,dagsoorttabel1,2,FALSE))-catfd_1_KZV_40)/catpn_1_KZB_1+catfd_1_KZV_40/catpn_1_KZV_40),0)</f>
        <v>0</v>
      </c>
      <c r="K25" s="34">
        <f t="shared" si="1"/>
        <v>0</v>
      </c>
      <c r="L25" s="37">
        <f t="shared" si="2"/>
        <v>0</v>
      </c>
      <c r="M25" s="34">
        <f t="shared" si="3"/>
        <v>0</v>
      </c>
      <c r="N25" s="37">
        <f t="shared" si="4"/>
        <v>0</v>
      </c>
    </row>
    <row r="26" spans="1:14" x14ac:dyDescent="0.2">
      <c r="A26" s="20" t="s">
        <v>127</v>
      </c>
      <c r="B26" s="20" t="s">
        <v>15</v>
      </c>
      <c r="C26" s="20" t="s">
        <v>113</v>
      </c>
      <c r="D26" s="20" t="s">
        <v>128</v>
      </c>
      <c r="E26" s="34">
        <v>14.43</v>
      </c>
      <c r="F26" s="34">
        <f t="shared" si="0"/>
        <v>8.6579999999999995</v>
      </c>
      <c r="G26" s="35">
        <f>IF(AND(catpn_1_PHB_1&gt;0,catpn_1_PHV_40&gt;0),(dagenperjaar1*VLOOKUP(B26,dagsoorttabel1,2,FALSE))/(((dagenperjaar1*VLOOKUP(B26,dagsoorttabel1,2,FALSE))-catfd_1_PHV_40)/catpn_1_PHB_1+catfd_1_PHV_40/catpn_1_PHV_40),0)</f>
        <v>0</v>
      </c>
      <c r="H26" s="36">
        <f>IF(AND(catpn_1_PHB_1&gt;0,catpn_1_PHV_40&gt;0),(catdw_1_PHB_1*((dagenperjaar1*VLOOKUP(B26,dagsoorttabel1,2,FALSE))-catfd_1_PHV_40)/catpn_1_PHB_1+catdw_1_PHV_40*catfd_1_PHV_40/catpn_1_PHV_40)/(((dagenperjaar1*VLOOKUP(B26,dagsoorttabel1,2,FALSE))-catfd_1_PHV_40)/catpn_1_PHB_1+catfd_1_PHV_40/catpn_1_PHV_40),0)</f>
        <v>0</v>
      </c>
      <c r="I26" s="20" t="s">
        <v>40</v>
      </c>
      <c r="J26" s="37">
        <f>IF(AND(catpn_1_PHB_1&gt;0,catpn_1_PHV_40&gt;0),(cattf_1_PHB_1*((dagenperjaar1*VLOOKUP(B26,dagsoorttabel1,2,FALSE))-catfd_1_PHV_40)/catpn_1_PHB_1+cattf_1_PHV_40*catfd_1_PHV_40/catpn_1_PHV_40)/(((dagenperjaar1*VLOOKUP(B26,dagsoorttabel1,2,FALSE))-catfd_1_PHV_40)/catpn_1_PHB_1+catfd_1_PHV_40/catpn_1_PHV_40),0)</f>
        <v>0</v>
      </c>
      <c r="K26" s="34">
        <f t="shared" si="1"/>
        <v>0</v>
      </c>
      <c r="L26" s="37">
        <f t="shared" si="2"/>
        <v>0</v>
      </c>
      <c r="M26" s="34">
        <f t="shared" si="3"/>
        <v>0</v>
      </c>
      <c r="N26" s="37">
        <f t="shared" si="4"/>
        <v>0</v>
      </c>
    </row>
    <row r="27" spans="1:14" x14ac:dyDescent="0.2">
      <c r="A27" s="20" t="s">
        <v>127</v>
      </c>
      <c r="B27" s="20" t="s">
        <v>11</v>
      </c>
      <c r="C27" s="20" t="s">
        <v>113</v>
      </c>
      <c r="D27" s="20" t="s">
        <v>128</v>
      </c>
      <c r="E27" s="34">
        <v>21.47</v>
      </c>
      <c r="F27" s="34">
        <f t="shared" si="0"/>
        <v>21.47</v>
      </c>
      <c r="G27" s="35">
        <f>IF(AND(catpn_1_PHB_1&gt;0,catpn_1_PHV_40&gt;0),(dagenperjaar1*VLOOKUP(B27,dagsoorttabel1,2,FALSE))/(((dagenperjaar1*VLOOKUP(B27,dagsoorttabel1,2,FALSE))-catfd_1_PHV_40)/catpn_1_PHB_1+catfd_1_PHV_40/catpn_1_PHV_40),0)</f>
        <v>0</v>
      </c>
      <c r="H27" s="36">
        <f>IF(AND(catpn_1_PHB_1&gt;0,catpn_1_PHV_40&gt;0),(catdw_1_PHB_1*((dagenperjaar1*VLOOKUP(B27,dagsoorttabel1,2,FALSE))-catfd_1_PHV_40)/catpn_1_PHB_1+catdw_1_PHV_40*catfd_1_PHV_40/catpn_1_PHV_40)/(((dagenperjaar1*VLOOKUP(B27,dagsoorttabel1,2,FALSE))-catfd_1_PHV_40)/catpn_1_PHB_1+catfd_1_PHV_40/catpn_1_PHV_40),0)</f>
        <v>0</v>
      </c>
      <c r="I27" s="20" t="s">
        <v>40</v>
      </c>
      <c r="J27" s="37">
        <f>IF(AND(catpn_1_PHB_1&gt;0,catpn_1_PHV_40&gt;0),(cattf_1_PHB_1*((dagenperjaar1*VLOOKUP(B27,dagsoorttabel1,2,FALSE))-catfd_1_PHV_40)/catpn_1_PHB_1+cattf_1_PHV_40*catfd_1_PHV_40/catpn_1_PHV_40)/(((dagenperjaar1*VLOOKUP(B27,dagsoorttabel1,2,FALSE))-catfd_1_PHV_40)/catpn_1_PHB_1+catfd_1_PHV_40/catpn_1_PHV_40),0)</f>
        <v>0</v>
      </c>
      <c r="K27" s="34">
        <f t="shared" si="1"/>
        <v>0</v>
      </c>
      <c r="L27" s="37">
        <f t="shared" si="2"/>
        <v>0</v>
      </c>
      <c r="M27" s="34">
        <f t="shared" si="3"/>
        <v>0</v>
      </c>
      <c r="N27" s="37">
        <f t="shared" si="4"/>
        <v>0</v>
      </c>
    </row>
    <row r="28" spans="1:14" x14ac:dyDescent="0.2">
      <c r="A28" s="20" t="s">
        <v>127</v>
      </c>
      <c r="B28" s="20" t="s">
        <v>17</v>
      </c>
      <c r="C28" s="20" t="s">
        <v>113</v>
      </c>
      <c r="D28" s="20" t="s">
        <v>128</v>
      </c>
      <c r="E28" s="34">
        <v>3</v>
      </c>
      <c r="F28" s="34">
        <f t="shared" si="0"/>
        <v>1.2000000000000002</v>
      </c>
      <c r="G28" s="35">
        <f>IF(AND(catpn_1_PHB_1&gt;0,catpn_1_PHV_40&gt;0),(dagenperjaar1*VLOOKUP(B28,dagsoorttabel1,2,FALSE))/(((dagenperjaar1*VLOOKUP(B28,dagsoorttabel1,2,FALSE))-catfd_1_PHV_40)/catpn_1_PHB_1+catfd_1_PHV_40/catpn_1_PHV_40),0)</f>
        <v>0</v>
      </c>
      <c r="H28" s="36">
        <f>IF(AND(catpn_1_PHB_1&gt;0,catpn_1_PHV_40&gt;0),(catdw_1_PHB_1*((dagenperjaar1*VLOOKUP(B28,dagsoorttabel1,2,FALSE))-catfd_1_PHV_40)/catpn_1_PHB_1+catdw_1_PHV_40*catfd_1_PHV_40/catpn_1_PHV_40)/(((dagenperjaar1*VLOOKUP(B28,dagsoorttabel1,2,FALSE))-catfd_1_PHV_40)/catpn_1_PHB_1+catfd_1_PHV_40/catpn_1_PHV_40),0)</f>
        <v>0</v>
      </c>
      <c r="I28" s="20" t="s">
        <v>40</v>
      </c>
      <c r="J28" s="37">
        <f>IF(AND(catpn_1_PHB_1&gt;0,catpn_1_PHV_40&gt;0),(cattf_1_PHB_1*((dagenperjaar1*VLOOKUP(B28,dagsoorttabel1,2,FALSE))-catfd_1_PHV_40)/catpn_1_PHB_1+cattf_1_PHV_40*catfd_1_PHV_40/catpn_1_PHV_40)/(((dagenperjaar1*VLOOKUP(B28,dagsoorttabel1,2,FALSE))-catfd_1_PHV_40)/catpn_1_PHB_1+catfd_1_PHV_40/catpn_1_PHV_40),0)</f>
        <v>0</v>
      </c>
      <c r="K28" s="34">
        <f t="shared" si="1"/>
        <v>0</v>
      </c>
      <c r="L28" s="37">
        <f t="shared" si="2"/>
        <v>0</v>
      </c>
      <c r="M28" s="34">
        <f t="shared" si="3"/>
        <v>0</v>
      </c>
      <c r="N28" s="37">
        <f t="shared" si="4"/>
        <v>0</v>
      </c>
    </row>
    <row r="29" spans="1:14" x14ac:dyDescent="0.2">
      <c r="A29" s="20" t="s">
        <v>129</v>
      </c>
      <c r="B29" s="20" t="s">
        <v>15</v>
      </c>
      <c r="C29" s="20" t="s">
        <v>113</v>
      </c>
      <c r="D29" s="20" t="s">
        <v>130</v>
      </c>
      <c r="E29" s="34">
        <v>5.52</v>
      </c>
      <c r="F29" s="34">
        <f t="shared" si="0"/>
        <v>3.3119999999999998</v>
      </c>
      <c r="G29" s="35">
        <f>IF(AND(catpn_1_SHB_1&gt;0,catpn_1_SHV_40&gt;0),(dagenperjaar1*VLOOKUP(B29,dagsoorttabel1,2,FALSE))/(((dagenperjaar1*VLOOKUP(B29,dagsoorttabel1,2,FALSE))-catfd_1_SHV_40)/catpn_1_SHB_1+catfd_1_SHV_40/catpn_1_SHV_40),0)</f>
        <v>0</v>
      </c>
      <c r="H29" s="36">
        <f>IF(AND(catpn_1_SHB_1&gt;0,catpn_1_SHV_40&gt;0),(catdw_1_SHB_1*((dagenperjaar1*VLOOKUP(B29,dagsoorttabel1,2,FALSE))-catfd_1_SHV_40)/catpn_1_SHB_1+catdw_1_SHV_40*catfd_1_SHV_40/catpn_1_SHV_40)/(((dagenperjaar1*VLOOKUP(B29,dagsoorttabel1,2,FALSE))-catfd_1_SHV_40)/catpn_1_SHB_1+catfd_1_SHV_40/catpn_1_SHV_40),0)</f>
        <v>0</v>
      </c>
      <c r="I29" s="20" t="s">
        <v>40</v>
      </c>
      <c r="J29" s="37">
        <f>IF(AND(catpn_1_SHB_1&gt;0,catpn_1_SHV_40&gt;0),(cattf_1_SHB_1*((dagenperjaar1*VLOOKUP(B29,dagsoorttabel1,2,FALSE))-catfd_1_SHV_40)/catpn_1_SHB_1+cattf_1_SHV_40*catfd_1_SHV_40/catpn_1_SHV_40)/(((dagenperjaar1*VLOOKUP(B29,dagsoorttabel1,2,FALSE))-catfd_1_SHV_40)/catpn_1_SHB_1+catfd_1_SHV_40/catpn_1_SHV_40),0)</f>
        <v>0</v>
      </c>
      <c r="K29" s="34">
        <f t="shared" si="1"/>
        <v>0</v>
      </c>
      <c r="L29" s="37">
        <f t="shared" si="2"/>
        <v>0</v>
      </c>
      <c r="M29" s="34">
        <f t="shared" si="3"/>
        <v>0</v>
      </c>
      <c r="N29" s="37">
        <f t="shared" si="4"/>
        <v>0</v>
      </c>
    </row>
    <row r="30" spans="1:14" x14ac:dyDescent="0.2">
      <c r="A30" s="20" t="s">
        <v>129</v>
      </c>
      <c r="B30" s="20" t="s">
        <v>11</v>
      </c>
      <c r="C30" s="20" t="s">
        <v>113</v>
      </c>
      <c r="D30" s="20" t="s">
        <v>130</v>
      </c>
      <c r="E30" s="34">
        <v>455.90999999999997</v>
      </c>
      <c r="F30" s="34">
        <f t="shared" si="0"/>
        <v>455.90999999999997</v>
      </c>
      <c r="G30" s="35">
        <f>IF(AND(catpn_1_SHB_1&gt;0,catpn_1_SHV_40&gt;0),(dagenperjaar1*VLOOKUP(B30,dagsoorttabel1,2,FALSE))/(((dagenperjaar1*VLOOKUP(B30,dagsoorttabel1,2,FALSE))-catfd_1_SHV_40)/catpn_1_SHB_1+catfd_1_SHV_40/catpn_1_SHV_40),0)</f>
        <v>0</v>
      </c>
      <c r="H30" s="36">
        <f>IF(AND(catpn_1_SHB_1&gt;0,catpn_1_SHV_40&gt;0),(catdw_1_SHB_1*((dagenperjaar1*VLOOKUP(B30,dagsoorttabel1,2,FALSE))-catfd_1_SHV_40)/catpn_1_SHB_1+catdw_1_SHV_40*catfd_1_SHV_40/catpn_1_SHV_40)/(((dagenperjaar1*VLOOKUP(B30,dagsoorttabel1,2,FALSE))-catfd_1_SHV_40)/catpn_1_SHB_1+catfd_1_SHV_40/catpn_1_SHV_40),0)</f>
        <v>0</v>
      </c>
      <c r="I30" s="20" t="s">
        <v>40</v>
      </c>
      <c r="J30" s="37">
        <f>IF(AND(catpn_1_SHB_1&gt;0,catpn_1_SHV_40&gt;0),(cattf_1_SHB_1*((dagenperjaar1*VLOOKUP(B30,dagsoorttabel1,2,FALSE))-catfd_1_SHV_40)/catpn_1_SHB_1+cattf_1_SHV_40*catfd_1_SHV_40/catpn_1_SHV_40)/(((dagenperjaar1*VLOOKUP(B30,dagsoorttabel1,2,FALSE))-catfd_1_SHV_40)/catpn_1_SHB_1+catfd_1_SHV_40/catpn_1_SHV_40),0)</f>
        <v>0</v>
      </c>
      <c r="K30" s="34">
        <f t="shared" si="1"/>
        <v>0</v>
      </c>
      <c r="L30" s="37">
        <f t="shared" si="2"/>
        <v>0</v>
      </c>
      <c r="M30" s="34">
        <f t="shared" si="3"/>
        <v>0</v>
      </c>
      <c r="N30" s="37">
        <f t="shared" si="4"/>
        <v>0</v>
      </c>
    </row>
    <row r="31" spans="1:14" x14ac:dyDescent="0.2">
      <c r="A31" s="20" t="s">
        <v>131</v>
      </c>
      <c r="B31" s="20" t="s">
        <v>19</v>
      </c>
      <c r="C31" s="20" t="s">
        <v>113</v>
      </c>
      <c r="D31" s="20" t="s">
        <v>132</v>
      </c>
      <c r="E31" s="34">
        <v>153.79</v>
      </c>
      <c r="F31" s="34">
        <f t="shared" si="0"/>
        <v>30.757999999999999</v>
      </c>
      <c r="G31" s="35">
        <f>IF(AND(catpn_1_THB_1&gt;0,catpn_1_THV_40&gt;0),(dagenperjaar1*VLOOKUP(B31,dagsoorttabel1,2,FALSE))/(((dagenperjaar1*VLOOKUP(B31,dagsoorttabel1,2,FALSE))-catfd_1_THV_40)/catpn_1_THB_1+catfd_1_THV_40/catpn_1_THV_40),0)</f>
        <v>0</v>
      </c>
      <c r="H31" s="36">
        <f>IF(AND(catpn_1_THB_1&gt;0,catpn_1_THV_40&gt;0),(catdw_1_THB_1*((dagenperjaar1*VLOOKUP(B31,dagsoorttabel1,2,FALSE))-catfd_1_THV_40)/catpn_1_THB_1+catdw_1_THV_40*catfd_1_THV_40/catpn_1_THV_40)/(((dagenperjaar1*VLOOKUP(B31,dagsoorttabel1,2,FALSE))-catfd_1_THV_40)/catpn_1_THB_1+catfd_1_THV_40/catpn_1_THV_40),0)</f>
        <v>0</v>
      </c>
      <c r="I31" s="20" t="s">
        <v>40</v>
      </c>
      <c r="J31" s="37">
        <f>IF(AND(catpn_1_THB_1&gt;0,catpn_1_THV_40&gt;0),(cattf_1_THB_1*((dagenperjaar1*VLOOKUP(B31,dagsoorttabel1,2,FALSE))-catfd_1_THV_40)/catpn_1_THB_1+cattf_1_THV_40*catfd_1_THV_40/catpn_1_THV_40)/(((dagenperjaar1*VLOOKUP(B31,dagsoorttabel1,2,FALSE))-catfd_1_THV_40)/catpn_1_THB_1+catfd_1_THV_40/catpn_1_THV_40),0)</f>
        <v>0</v>
      </c>
      <c r="K31" s="34">
        <f t="shared" si="1"/>
        <v>0</v>
      </c>
      <c r="L31" s="37">
        <f t="shared" si="2"/>
        <v>0</v>
      </c>
      <c r="M31" s="34">
        <f t="shared" si="3"/>
        <v>0</v>
      </c>
      <c r="N31" s="37">
        <f t="shared" si="4"/>
        <v>0</v>
      </c>
    </row>
    <row r="32" spans="1:14" x14ac:dyDescent="0.2">
      <c r="A32" s="20" t="s">
        <v>133</v>
      </c>
      <c r="B32" s="20" t="s">
        <v>19</v>
      </c>
      <c r="C32" s="20" t="s">
        <v>113</v>
      </c>
      <c r="D32" s="20" t="s">
        <v>132</v>
      </c>
      <c r="E32" s="34">
        <v>20.6</v>
      </c>
      <c r="F32" s="34">
        <f t="shared" si="0"/>
        <v>4.12</v>
      </c>
      <c r="G32" s="35">
        <f>IF(AND(catpn_1_TZB_1&gt;0,catpn_1_TZV_40&gt;0),(dagenperjaar1*VLOOKUP(B32,dagsoorttabel1,2,FALSE))/(((dagenperjaar1*VLOOKUP(B32,dagsoorttabel1,2,FALSE))-catfd_1_TZV_40)/catpn_1_TZB_1+catfd_1_TZV_40/catpn_1_TZV_40),0)</f>
        <v>0</v>
      </c>
      <c r="H32" s="36">
        <f>IF(AND(catpn_1_TZB_1&gt;0,catpn_1_TZV_40&gt;0),(catdw_1_TZB_1*((dagenperjaar1*VLOOKUP(B32,dagsoorttabel1,2,FALSE))-catfd_1_TZV_40)/catpn_1_TZB_1+catdw_1_TZV_40*catfd_1_TZV_40/catpn_1_TZV_40)/(((dagenperjaar1*VLOOKUP(B32,dagsoorttabel1,2,FALSE))-catfd_1_TZV_40)/catpn_1_TZB_1+catfd_1_TZV_40/catpn_1_TZV_40),0)</f>
        <v>0</v>
      </c>
      <c r="I32" s="20" t="s">
        <v>40</v>
      </c>
      <c r="J32" s="37">
        <f>IF(AND(catpn_1_TZB_1&gt;0,catpn_1_TZV_40&gt;0),(cattf_1_TZB_1*((dagenperjaar1*VLOOKUP(B32,dagsoorttabel1,2,FALSE))-catfd_1_TZV_40)/catpn_1_TZB_1+cattf_1_TZV_40*catfd_1_TZV_40/catpn_1_TZV_40)/(((dagenperjaar1*VLOOKUP(B32,dagsoorttabel1,2,FALSE))-catfd_1_TZV_40)/catpn_1_TZB_1+catfd_1_TZV_40/catpn_1_TZV_40),0)</f>
        <v>0</v>
      </c>
      <c r="K32" s="34">
        <f t="shared" si="1"/>
        <v>0</v>
      </c>
      <c r="L32" s="37">
        <f t="shared" si="2"/>
        <v>0</v>
      </c>
      <c r="M32" s="34">
        <f t="shared" si="3"/>
        <v>0</v>
      </c>
      <c r="N32" s="37">
        <f t="shared" si="4"/>
        <v>0</v>
      </c>
    </row>
    <row r="33" spans="1:14" x14ac:dyDescent="0.2">
      <c r="A33" s="20" t="s">
        <v>134</v>
      </c>
      <c r="B33" s="20" t="s">
        <v>15</v>
      </c>
      <c r="C33" s="20" t="s">
        <v>113</v>
      </c>
      <c r="D33" s="20" t="s">
        <v>135</v>
      </c>
      <c r="E33" s="34">
        <v>15.950000000000001</v>
      </c>
      <c r="F33" s="34">
        <f t="shared" si="0"/>
        <v>9.57</v>
      </c>
      <c r="G33" s="35">
        <f>IF(AND(catpn_1_VHB_1&gt;0,catpn_1_VHV_40&gt;0),(dagenperjaar1*VLOOKUP(B33,dagsoorttabel1,2,FALSE))/(((dagenperjaar1*VLOOKUP(B33,dagsoorttabel1,2,FALSE))-catfd_1_VHV_40)/catpn_1_VHB_1+catfd_1_VHV_40/catpn_1_VHV_40),0)</f>
        <v>0</v>
      </c>
      <c r="H33" s="36">
        <f>IF(AND(catpn_1_VHB_1&gt;0,catpn_1_VHV_40&gt;0),(catdw_1_VHB_1*((dagenperjaar1*VLOOKUP(B33,dagsoorttabel1,2,FALSE))-catfd_1_VHV_40)/catpn_1_VHB_1+catdw_1_VHV_40*catfd_1_VHV_40/catpn_1_VHV_40)/(((dagenperjaar1*VLOOKUP(B33,dagsoorttabel1,2,FALSE))-catfd_1_VHV_40)/catpn_1_VHB_1+catfd_1_VHV_40/catpn_1_VHV_40),0)</f>
        <v>0</v>
      </c>
      <c r="I33" s="20" t="s">
        <v>40</v>
      </c>
      <c r="J33" s="37">
        <f>IF(AND(catpn_1_VHB_1&gt;0,catpn_1_VHV_40&gt;0),(cattf_1_VHB_1*((dagenperjaar1*VLOOKUP(B33,dagsoorttabel1,2,FALSE))-catfd_1_VHV_40)/catpn_1_VHB_1+cattf_1_VHV_40*catfd_1_VHV_40/catpn_1_VHV_40)/(((dagenperjaar1*VLOOKUP(B33,dagsoorttabel1,2,FALSE))-catfd_1_VHV_40)/catpn_1_VHB_1+catfd_1_VHV_40/catpn_1_VHV_40),0)</f>
        <v>0</v>
      </c>
      <c r="K33" s="34">
        <f t="shared" si="1"/>
        <v>0</v>
      </c>
      <c r="L33" s="37">
        <f t="shared" si="2"/>
        <v>0</v>
      </c>
      <c r="M33" s="34">
        <f t="shared" si="3"/>
        <v>0</v>
      </c>
      <c r="N33" s="37">
        <f t="shared" si="4"/>
        <v>0</v>
      </c>
    </row>
    <row r="34" spans="1:14" x14ac:dyDescent="0.2">
      <c r="A34" s="20" t="s">
        <v>134</v>
      </c>
      <c r="B34" s="20" t="s">
        <v>13</v>
      </c>
      <c r="C34" s="20" t="s">
        <v>113</v>
      </c>
      <c r="D34" s="20" t="s">
        <v>135</v>
      </c>
      <c r="E34" s="34">
        <v>107</v>
      </c>
      <c r="F34" s="34">
        <f t="shared" si="0"/>
        <v>85.600000000000009</v>
      </c>
      <c r="G34" s="35">
        <f>IF(AND(catpn_1_VHB_1&gt;0,catpn_1_VHV_40&gt;0),(dagenperjaar1*VLOOKUP(B34,dagsoorttabel1,2,FALSE))/(((dagenperjaar1*VLOOKUP(B34,dagsoorttabel1,2,FALSE))-catfd_1_VHV_40)/catpn_1_VHB_1+catfd_1_VHV_40/catpn_1_VHV_40),0)</f>
        <v>0</v>
      </c>
      <c r="H34" s="36">
        <f>IF(AND(catpn_1_VHB_1&gt;0,catpn_1_VHV_40&gt;0),(catdw_1_VHB_1*((dagenperjaar1*VLOOKUP(B34,dagsoorttabel1,2,FALSE))-catfd_1_VHV_40)/catpn_1_VHB_1+catdw_1_VHV_40*catfd_1_VHV_40/catpn_1_VHV_40)/(((dagenperjaar1*VLOOKUP(B34,dagsoorttabel1,2,FALSE))-catfd_1_VHV_40)/catpn_1_VHB_1+catfd_1_VHV_40/catpn_1_VHV_40),0)</f>
        <v>0</v>
      </c>
      <c r="I34" s="20" t="s">
        <v>40</v>
      </c>
      <c r="J34" s="37">
        <f>IF(AND(catpn_1_VHB_1&gt;0,catpn_1_VHV_40&gt;0),(cattf_1_VHB_1*((dagenperjaar1*VLOOKUP(B34,dagsoorttabel1,2,FALSE))-catfd_1_VHV_40)/catpn_1_VHB_1+cattf_1_VHV_40*catfd_1_VHV_40/catpn_1_VHV_40)/(((dagenperjaar1*VLOOKUP(B34,dagsoorttabel1,2,FALSE))-catfd_1_VHV_40)/catpn_1_VHB_1+catfd_1_VHV_40/catpn_1_VHV_40),0)</f>
        <v>0</v>
      </c>
      <c r="K34" s="34">
        <f t="shared" si="1"/>
        <v>0</v>
      </c>
      <c r="L34" s="37">
        <f t="shared" si="2"/>
        <v>0</v>
      </c>
      <c r="M34" s="34">
        <f t="shared" si="3"/>
        <v>0</v>
      </c>
      <c r="N34" s="37">
        <f t="shared" si="4"/>
        <v>0</v>
      </c>
    </row>
    <row r="35" spans="1:14" x14ac:dyDescent="0.2">
      <c r="A35" s="20" t="s">
        <v>134</v>
      </c>
      <c r="B35" s="20" t="s">
        <v>11</v>
      </c>
      <c r="C35" s="20" t="s">
        <v>113</v>
      </c>
      <c r="D35" s="20" t="s">
        <v>135</v>
      </c>
      <c r="E35" s="34">
        <v>1640.4299999999998</v>
      </c>
      <c r="F35" s="34">
        <f t="shared" si="0"/>
        <v>1640.4299999999998</v>
      </c>
      <c r="G35" s="35">
        <f>IF(AND(catpn_1_VHB_1&gt;0,catpn_1_VHV_40&gt;0),(dagenperjaar1*VLOOKUP(B35,dagsoorttabel1,2,FALSE))/(((dagenperjaar1*VLOOKUP(B35,dagsoorttabel1,2,FALSE))-catfd_1_VHV_40)/catpn_1_VHB_1+catfd_1_VHV_40/catpn_1_VHV_40),0)</f>
        <v>0</v>
      </c>
      <c r="H35" s="36">
        <f>IF(AND(catpn_1_VHB_1&gt;0,catpn_1_VHV_40&gt;0),(catdw_1_VHB_1*((dagenperjaar1*VLOOKUP(B35,dagsoorttabel1,2,FALSE))-catfd_1_VHV_40)/catpn_1_VHB_1+catdw_1_VHV_40*catfd_1_VHV_40/catpn_1_VHV_40)/(((dagenperjaar1*VLOOKUP(B35,dagsoorttabel1,2,FALSE))-catfd_1_VHV_40)/catpn_1_VHB_1+catfd_1_VHV_40/catpn_1_VHV_40),0)</f>
        <v>0</v>
      </c>
      <c r="I35" s="20" t="s">
        <v>40</v>
      </c>
      <c r="J35" s="37">
        <f>IF(AND(catpn_1_VHB_1&gt;0,catpn_1_VHV_40&gt;0),(cattf_1_VHB_1*((dagenperjaar1*VLOOKUP(B35,dagsoorttabel1,2,FALSE))-catfd_1_VHV_40)/catpn_1_VHB_1+cattf_1_VHV_40*catfd_1_VHV_40/catpn_1_VHV_40)/(((dagenperjaar1*VLOOKUP(B35,dagsoorttabel1,2,FALSE))-catfd_1_VHV_40)/catpn_1_VHB_1+catfd_1_VHV_40/catpn_1_VHV_40),0)</f>
        <v>0</v>
      </c>
      <c r="K35" s="34">
        <f t="shared" si="1"/>
        <v>0</v>
      </c>
      <c r="L35" s="37">
        <f t="shared" si="2"/>
        <v>0</v>
      </c>
      <c r="M35" s="34">
        <f t="shared" si="3"/>
        <v>0</v>
      </c>
      <c r="N35" s="37">
        <f t="shared" si="4"/>
        <v>0</v>
      </c>
    </row>
    <row r="36" spans="1:14" x14ac:dyDescent="0.2">
      <c r="A36" s="20" t="s">
        <v>134</v>
      </c>
      <c r="B36" s="20" t="s">
        <v>19</v>
      </c>
      <c r="C36" s="20" t="s">
        <v>113</v>
      </c>
      <c r="D36" s="20" t="s">
        <v>135</v>
      </c>
      <c r="E36" s="34">
        <v>96.65</v>
      </c>
      <c r="F36" s="34">
        <f t="shared" si="0"/>
        <v>19.330000000000002</v>
      </c>
      <c r="G36" s="35">
        <f>IF(AND(catpn_1_VHB_1&gt;0,catpn_1_VHV_40&gt;0),(dagenperjaar1*VLOOKUP(B36,dagsoorttabel1,2,FALSE))/(((dagenperjaar1*VLOOKUP(B36,dagsoorttabel1,2,FALSE))-catfd_1_VHV_40)/catpn_1_VHB_1+catfd_1_VHV_40/catpn_1_VHV_40),0)</f>
        <v>0</v>
      </c>
      <c r="H36" s="36">
        <f>IF(AND(catpn_1_VHB_1&gt;0,catpn_1_VHV_40&gt;0),(catdw_1_VHB_1*((dagenperjaar1*VLOOKUP(B36,dagsoorttabel1,2,FALSE))-catfd_1_VHV_40)/catpn_1_VHB_1+catdw_1_VHV_40*catfd_1_VHV_40/catpn_1_VHV_40)/(((dagenperjaar1*VLOOKUP(B36,dagsoorttabel1,2,FALSE))-catfd_1_VHV_40)/catpn_1_VHB_1+catfd_1_VHV_40/catpn_1_VHV_40),0)</f>
        <v>0</v>
      </c>
      <c r="I36" s="20" t="s">
        <v>40</v>
      </c>
      <c r="J36" s="37">
        <f>IF(AND(catpn_1_VHB_1&gt;0,catpn_1_VHV_40&gt;0),(cattf_1_VHB_1*((dagenperjaar1*VLOOKUP(B36,dagsoorttabel1,2,FALSE))-catfd_1_VHV_40)/catpn_1_VHB_1+cattf_1_VHV_40*catfd_1_VHV_40/catpn_1_VHV_40)/(((dagenperjaar1*VLOOKUP(B36,dagsoorttabel1,2,FALSE))-catfd_1_VHV_40)/catpn_1_VHB_1+catfd_1_VHV_40/catpn_1_VHV_40),0)</f>
        <v>0</v>
      </c>
      <c r="K36" s="34">
        <f t="shared" si="1"/>
        <v>0</v>
      </c>
      <c r="L36" s="37">
        <f t="shared" si="2"/>
        <v>0</v>
      </c>
      <c r="M36" s="34">
        <f t="shared" si="3"/>
        <v>0</v>
      </c>
      <c r="N36" s="37">
        <f t="shared" si="4"/>
        <v>0</v>
      </c>
    </row>
    <row r="37" spans="1:14" x14ac:dyDescent="0.2">
      <c r="A37" s="20" t="s">
        <v>134</v>
      </c>
      <c r="B37" s="20" t="s">
        <v>17</v>
      </c>
      <c r="C37" s="20" t="s">
        <v>113</v>
      </c>
      <c r="D37" s="20" t="s">
        <v>135</v>
      </c>
      <c r="E37" s="34">
        <v>21.8</v>
      </c>
      <c r="F37" s="34">
        <f t="shared" si="0"/>
        <v>8.7200000000000006</v>
      </c>
      <c r="G37" s="35">
        <f>IF(AND(catpn_1_VHB_1&gt;0,catpn_1_VHV_40&gt;0),(dagenperjaar1*VLOOKUP(B37,dagsoorttabel1,2,FALSE))/(((dagenperjaar1*VLOOKUP(B37,dagsoorttabel1,2,FALSE))-catfd_1_VHV_40)/catpn_1_VHB_1+catfd_1_VHV_40/catpn_1_VHV_40),0)</f>
        <v>0</v>
      </c>
      <c r="H37" s="36">
        <f>IF(AND(catpn_1_VHB_1&gt;0,catpn_1_VHV_40&gt;0),(catdw_1_VHB_1*((dagenperjaar1*VLOOKUP(B37,dagsoorttabel1,2,FALSE))-catfd_1_VHV_40)/catpn_1_VHB_1+catdw_1_VHV_40*catfd_1_VHV_40/catpn_1_VHV_40)/(((dagenperjaar1*VLOOKUP(B37,dagsoorttabel1,2,FALSE))-catfd_1_VHV_40)/catpn_1_VHB_1+catfd_1_VHV_40/catpn_1_VHV_40),0)</f>
        <v>0</v>
      </c>
      <c r="I37" s="20" t="s">
        <v>40</v>
      </c>
      <c r="J37" s="37">
        <f>IF(AND(catpn_1_VHB_1&gt;0,catpn_1_VHV_40&gt;0),(cattf_1_VHB_1*((dagenperjaar1*VLOOKUP(B37,dagsoorttabel1,2,FALSE))-catfd_1_VHV_40)/catpn_1_VHB_1+cattf_1_VHV_40*catfd_1_VHV_40/catpn_1_VHV_40)/(((dagenperjaar1*VLOOKUP(B37,dagsoorttabel1,2,FALSE))-catfd_1_VHV_40)/catpn_1_VHB_1+catfd_1_VHV_40/catpn_1_VHV_40),0)</f>
        <v>0</v>
      </c>
      <c r="K37" s="34">
        <f t="shared" si="1"/>
        <v>0</v>
      </c>
      <c r="L37" s="37">
        <f t="shared" si="2"/>
        <v>0</v>
      </c>
      <c r="M37" s="34">
        <f t="shared" si="3"/>
        <v>0</v>
      </c>
      <c r="N37" s="37">
        <f t="shared" si="4"/>
        <v>0</v>
      </c>
    </row>
    <row r="38" spans="1:14" x14ac:dyDescent="0.2">
      <c r="A38" s="20" t="s">
        <v>136</v>
      </c>
      <c r="B38" s="20" t="s">
        <v>11</v>
      </c>
      <c r="C38" s="20" t="s">
        <v>113</v>
      </c>
      <c r="D38" s="20" t="s">
        <v>135</v>
      </c>
      <c r="E38" s="34">
        <v>385.43</v>
      </c>
      <c r="F38" s="34">
        <f t="shared" si="0"/>
        <v>385.43</v>
      </c>
      <c r="G38" s="35">
        <f>IF(AND(catpn_1_VZB_1&gt;0,catpn_1_VZV_40&gt;0),(dagenperjaar1*VLOOKUP(B38,dagsoorttabel1,2,FALSE))/(((dagenperjaar1*VLOOKUP(B38,dagsoorttabel1,2,FALSE))-catfd_1_VZV_40)/catpn_1_VZB_1+catfd_1_VZV_40/catpn_1_VZV_40),0)</f>
        <v>0</v>
      </c>
      <c r="H38" s="36">
        <f>IF(AND(catpn_1_VZB_1&gt;0,catpn_1_VZV_40&gt;0),(catdw_1_VZB_1*((dagenperjaar1*VLOOKUP(B38,dagsoorttabel1,2,FALSE))-catfd_1_VZV_40)/catpn_1_VZB_1+catdw_1_VZV_40*catfd_1_VZV_40/catpn_1_VZV_40)/(((dagenperjaar1*VLOOKUP(B38,dagsoorttabel1,2,FALSE))-catfd_1_VZV_40)/catpn_1_VZB_1+catfd_1_VZV_40/catpn_1_VZV_40),0)</f>
        <v>0</v>
      </c>
      <c r="I38" s="20" t="s">
        <v>40</v>
      </c>
      <c r="J38" s="37">
        <f>IF(AND(catpn_1_VZB_1&gt;0,catpn_1_VZV_40&gt;0),(cattf_1_VZB_1*((dagenperjaar1*VLOOKUP(B38,dagsoorttabel1,2,FALSE))-catfd_1_VZV_40)/catpn_1_VZB_1+cattf_1_VZV_40*catfd_1_VZV_40/catpn_1_VZV_40)/(((dagenperjaar1*VLOOKUP(B38,dagsoorttabel1,2,FALSE))-catfd_1_VZV_40)/catpn_1_VZB_1+catfd_1_VZV_40/catpn_1_VZV_40),0)</f>
        <v>0</v>
      </c>
      <c r="K38" s="34">
        <f t="shared" si="1"/>
        <v>0</v>
      </c>
      <c r="L38" s="37">
        <f t="shared" si="2"/>
        <v>0</v>
      </c>
      <c r="M38" s="34">
        <f t="shared" si="3"/>
        <v>0</v>
      </c>
      <c r="N38" s="37">
        <f t="shared" si="4"/>
        <v>0</v>
      </c>
    </row>
    <row r="39" spans="1:14" x14ac:dyDescent="0.2">
      <c r="A39" s="20" t="s">
        <v>136</v>
      </c>
      <c r="B39" s="20" t="s">
        <v>19</v>
      </c>
      <c r="C39" s="20" t="s">
        <v>113</v>
      </c>
      <c r="D39" s="20" t="s">
        <v>135</v>
      </c>
      <c r="E39" s="34">
        <v>32.07</v>
      </c>
      <c r="F39" s="34">
        <f t="shared" si="0"/>
        <v>6.4140000000000006</v>
      </c>
      <c r="G39" s="35">
        <f>IF(AND(catpn_1_VZB_1&gt;0,catpn_1_VZV_40&gt;0),(dagenperjaar1*VLOOKUP(B39,dagsoorttabel1,2,FALSE))/(((dagenperjaar1*VLOOKUP(B39,dagsoorttabel1,2,FALSE))-catfd_1_VZV_40)/catpn_1_VZB_1+catfd_1_VZV_40/catpn_1_VZV_40),0)</f>
        <v>0</v>
      </c>
      <c r="H39" s="36">
        <f>IF(AND(catpn_1_VZB_1&gt;0,catpn_1_VZV_40&gt;0),(catdw_1_VZB_1*((dagenperjaar1*VLOOKUP(B39,dagsoorttabel1,2,FALSE))-catfd_1_VZV_40)/catpn_1_VZB_1+catdw_1_VZV_40*catfd_1_VZV_40/catpn_1_VZV_40)/(((dagenperjaar1*VLOOKUP(B39,dagsoorttabel1,2,FALSE))-catfd_1_VZV_40)/catpn_1_VZB_1+catfd_1_VZV_40/catpn_1_VZV_40),0)</f>
        <v>0</v>
      </c>
      <c r="I39" s="20" t="s">
        <v>40</v>
      </c>
      <c r="J39" s="37">
        <f>IF(AND(catpn_1_VZB_1&gt;0,catpn_1_VZV_40&gt;0),(cattf_1_VZB_1*((dagenperjaar1*VLOOKUP(B39,dagsoorttabel1,2,FALSE))-catfd_1_VZV_40)/catpn_1_VZB_1+cattf_1_VZV_40*catfd_1_VZV_40/catpn_1_VZV_40)/(((dagenperjaar1*VLOOKUP(B39,dagsoorttabel1,2,FALSE))-catfd_1_VZV_40)/catpn_1_VZB_1+catfd_1_VZV_40/catpn_1_VZV_40),0)</f>
        <v>0</v>
      </c>
      <c r="K39" s="34">
        <f t="shared" si="1"/>
        <v>0</v>
      </c>
      <c r="L39" s="37">
        <f t="shared" si="2"/>
        <v>0</v>
      </c>
      <c r="M39" s="34">
        <f t="shared" si="3"/>
        <v>0</v>
      </c>
      <c r="N39" s="37">
        <f t="shared" si="4"/>
        <v>0</v>
      </c>
    </row>
    <row r="40" spans="1:14" x14ac:dyDescent="0.2">
      <c r="A40" s="20" t="s">
        <v>136</v>
      </c>
      <c r="B40" s="20" t="s">
        <v>17</v>
      </c>
      <c r="C40" s="20" t="s">
        <v>113</v>
      </c>
      <c r="D40" s="20" t="s">
        <v>135</v>
      </c>
      <c r="E40" s="34">
        <v>8.1</v>
      </c>
      <c r="F40" s="34">
        <f t="shared" si="0"/>
        <v>3.24</v>
      </c>
      <c r="G40" s="35">
        <f>IF(AND(catpn_1_VZB_1&gt;0,catpn_1_VZV_40&gt;0),(dagenperjaar1*VLOOKUP(B40,dagsoorttabel1,2,FALSE))/(((dagenperjaar1*VLOOKUP(B40,dagsoorttabel1,2,FALSE))-catfd_1_VZV_40)/catpn_1_VZB_1+catfd_1_VZV_40/catpn_1_VZV_40),0)</f>
        <v>0</v>
      </c>
      <c r="H40" s="36">
        <f>IF(AND(catpn_1_VZB_1&gt;0,catpn_1_VZV_40&gt;0),(catdw_1_VZB_1*((dagenperjaar1*VLOOKUP(B40,dagsoorttabel1,2,FALSE))-catfd_1_VZV_40)/catpn_1_VZB_1+catdw_1_VZV_40*catfd_1_VZV_40/catpn_1_VZV_40)/(((dagenperjaar1*VLOOKUP(B40,dagsoorttabel1,2,FALSE))-catfd_1_VZV_40)/catpn_1_VZB_1+catfd_1_VZV_40/catpn_1_VZV_40),0)</f>
        <v>0</v>
      </c>
      <c r="I40" s="20" t="s">
        <v>40</v>
      </c>
      <c r="J40" s="37">
        <f>IF(AND(catpn_1_VZB_1&gt;0,catpn_1_VZV_40&gt;0),(cattf_1_VZB_1*((dagenperjaar1*VLOOKUP(B40,dagsoorttabel1,2,FALSE))-catfd_1_VZV_40)/catpn_1_VZB_1+cattf_1_VZV_40*catfd_1_VZV_40/catpn_1_VZV_40)/(((dagenperjaar1*VLOOKUP(B40,dagsoorttabel1,2,FALSE))-catfd_1_VZV_40)/catpn_1_VZB_1+catfd_1_VZV_40/catpn_1_VZV_40),0)</f>
        <v>0</v>
      </c>
      <c r="K40" s="34">
        <f t="shared" si="1"/>
        <v>0</v>
      </c>
      <c r="L40" s="37">
        <f t="shared" si="2"/>
        <v>0</v>
      </c>
      <c r="M40" s="34">
        <f t="shared" si="3"/>
        <v>0</v>
      </c>
      <c r="N40" s="37">
        <f t="shared" si="4"/>
        <v>0</v>
      </c>
    </row>
    <row r="41" spans="1:14" x14ac:dyDescent="0.2">
      <c r="A41" s="25" t="s">
        <v>137</v>
      </c>
      <c r="B41" s="25" t="s">
        <v>27</v>
      </c>
      <c r="C41" s="25" t="s">
        <v>113</v>
      </c>
      <c r="D41" s="25" t="s">
        <v>138</v>
      </c>
      <c r="E41" s="38">
        <v>6601.3799999999992</v>
      </c>
      <c r="F41" s="38">
        <f t="shared" si="0"/>
        <v>33.006899999999995</v>
      </c>
      <c r="G41" s="39">
        <f>catpn_1_XBB_1</f>
        <v>0</v>
      </c>
      <c r="H41" s="40">
        <f>catdw_1_XBB_1</f>
        <v>0</v>
      </c>
      <c r="I41" s="25" t="s">
        <v>40</v>
      </c>
      <c r="J41" s="41">
        <f>cattf_1_XBB_1</f>
        <v>0</v>
      </c>
      <c r="K41" s="38">
        <f t="shared" si="1"/>
        <v>0</v>
      </c>
      <c r="L41" s="41">
        <f t="shared" si="2"/>
        <v>0</v>
      </c>
      <c r="M41" s="38">
        <f t="shared" si="3"/>
        <v>0</v>
      </c>
      <c r="N41" s="41">
        <f t="shared" si="4"/>
        <v>0</v>
      </c>
    </row>
    <row r="42" spans="1:14" x14ac:dyDescent="0.2">
      <c r="A42" s="42" t="s">
        <v>139</v>
      </c>
      <c r="B42" s="43"/>
      <c r="C42" s="43"/>
      <c r="D42" s="43"/>
      <c r="E42" s="43"/>
      <c r="F42" s="43"/>
      <c r="G42" s="43"/>
      <c r="H42" s="43"/>
      <c r="I42" s="43"/>
      <c r="J42" s="43"/>
      <c r="K42" s="44">
        <f>SUM(K6:K41)</f>
        <v>0</v>
      </c>
      <c r="L42" s="45">
        <f>SUM(L6:L41)</f>
        <v>0</v>
      </c>
      <c r="M42" s="44">
        <f>SUM(M6:M41)</f>
        <v>0</v>
      </c>
      <c r="N42" s="46">
        <f>SUM(N6:N41)</f>
        <v>0</v>
      </c>
    </row>
    <row r="43" spans="1:14" x14ac:dyDescent="0.2">
      <c r="A43" s="47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8"/>
    </row>
    <row r="44" spans="1:14" x14ac:dyDescent="0.2">
      <c r="A44" s="42" t="s">
        <v>140</v>
      </c>
      <c r="B44" s="43"/>
      <c r="C44" s="43"/>
      <c r="D44" s="43"/>
      <c r="E44" s="43"/>
      <c r="F44" s="43"/>
      <c r="G44" s="43"/>
      <c r="H44" s="43"/>
      <c r="I44" s="43"/>
      <c r="J44" s="45">
        <f>IF(urenjaar1&gt;0,SUMIF(M6:M41,"&gt;0",N6:N41)/urenjaar1,0)</f>
        <v>0</v>
      </c>
      <c r="K44" s="43"/>
      <c r="L44" s="43"/>
      <c r="M44" s="43"/>
      <c r="N44" s="48"/>
    </row>
    <row r="45" spans="1:14" x14ac:dyDescent="0.2">
      <c r="A45" s="47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8"/>
    </row>
    <row r="47" spans="1:14" x14ac:dyDescent="0.2">
      <c r="A47" s="42" t="s">
        <v>141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4">
        <f>urenjaar1</f>
        <v>0</v>
      </c>
      <c r="N47" s="45">
        <f>prijsjaar1</f>
        <v>0</v>
      </c>
    </row>
  </sheetData>
  <pageMargins left="0.7" right="0.7" top="0.75" bottom="0.75" header="0.3" footer="0.3"/>
  <pageSetup paperSize="9" scale="70" orientation="landscape" r:id="rId1"/>
  <headerFooter>
    <oddFooter>&amp;LStichting Proominent EA 2022                                &amp;ROpmaakdatum: 13-06-2022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2DF3-C05F-4093-8F83-13256C1979FA}">
  <dimension ref="A1:V41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22" width="12.625" customWidth="1"/>
  </cols>
  <sheetData>
    <row r="1" spans="1:22" x14ac:dyDescent="0.2">
      <c r="A1" s="1" t="s">
        <v>142</v>
      </c>
    </row>
    <row r="3" spans="1:22" x14ac:dyDescent="0.2">
      <c r="A3" s="49" t="s">
        <v>104</v>
      </c>
      <c r="B3" s="49" t="s">
        <v>7</v>
      </c>
      <c r="C3" s="49" t="s">
        <v>143</v>
      </c>
      <c r="D3" s="49" t="s">
        <v>144</v>
      </c>
      <c r="E3" s="49" t="s">
        <v>145</v>
      </c>
      <c r="F3" s="49" t="s">
        <v>146</v>
      </c>
      <c r="G3" s="49" t="s">
        <v>147</v>
      </c>
      <c r="H3" s="49" t="s">
        <v>33</v>
      </c>
      <c r="I3" s="49" t="s">
        <v>148</v>
      </c>
      <c r="J3" s="49" t="s">
        <v>149</v>
      </c>
      <c r="K3" s="49" t="s">
        <v>150</v>
      </c>
      <c r="L3" s="49" t="s">
        <v>151</v>
      </c>
      <c r="M3" s="49" t="s">
        <v>152</v>
      </c>
      <c r="N3" s="49" t="s">
        <v>153</v>
      </c>
      <c r="O3" s="49" t="s">
        <v>154</v>
      </c>
      <c r="P3" s="49" t="s">
        <v>155</v>
      </c>
      <c r="Q3" s="49" t="s">
        <v>156</v>
      </c>
      <c r="R3" s="49" t="s">
        <v>157</v>
      </c>
      <c r="S3" s="49" t="s">
        <v>158</v>
      </c>
      <c r="T3" s="49" t="s">
        <v>159</v>
      </c>
      <c r="U3" s="49" t="s">
        <v>160</v>
      </c>
      <c r="V3" s="49" t="s">
        <v>161</v>
      </c>
    </row>
    <row r="4" spans="1:22" x14ac:dyDescent="0.2">
      <c r="A4" s="50"/>
      <c r="B4" s="50"/>
      <c r="C4" s="50"/>
      <c r="D4" s="50"/>
      <c r="E4" s="50"/>
      <c r="F4" s="50"/>
      <c r="G4" s="50"/>
      <c r="H4" s="50"/>
      <c r="I4" s="50"/>
      <c r="J4" s="51" t="s">
        <v>106</v>
      </c>
      <c r="K4" s="51" t="s">
        <v>106</v>
      </c>
      <c r="L4" s="51" t="s">
        <v>106</v>
      </c>
      <c r="M4" s="51" t="s">
        <v>106</v>
      </c>
      <c r="N4" s="51" t="s">
        <v>106</v>
      </c>
      <c r="O4" s="51" t="s">
        <v>106</v>
      </c>
      <c r="P4" s="51" t="s">
        <v>106</v>
      </c>
      <c r="Q4" s="51" t="s">
        <v>106</v>
      </c>
      <c r="R4" s="51" t="s">
        <v>106</v>
      </c>
      <c r="S4" s="51" t="s">
        <v>106</v>
      </c>
      <c r="T4" s="51" t="s">
        <v>106</v>
      </c>
      <c r="U4" s="51" t="s">
        <v>106</v>
      </c>
      <c r="V4" s="51" t="s">
        <v>106</v>
      </c>
    </row>
    <row r="5" spans="1:22" x14ac:dyDescent="0.2">
      <c r="A5" s="15" t="s">
        <v>112</v>
      </c>
      <c r="B5" s="15" t="s">
        <v>15</v>
      </c>
      <c r="C5" s="15" t="s">
        <v>162</v>
      </c>
      <c r="D5" s="15" t="s">
        <v>113</v>
      </c>
      <c r="E5" s="30">
        <f t="shared" ref="E5:E40" si="0">IF(B5="","",VLOOKUP(B5,dagsoorttabel1,2,FALSE))</f>
        <v>0.6</v>
      </c>
      <c r="F5" s="30">
        <v>1</v>
      </c>
      <c r="G5" s="30">
        <f>IF(prodnorm9&gt;0,1/ROUND(prodnorm9,4),0)</f>
        <v>0</v>
      </c>
      <c r="H5" s="32">
        <f>ROUND(dagwerk9,4+2)</f>
        <v>0</v>
      </c>
      <c r="I5" s="33">
        <f>ROUND(uurtarief9,2)</f>
        <v>0</v>
      </c>
      <c r="J5" s="30">
        <v>0</v>
      </c>
      <c r="K5" s="30">
        <v>0</v>
      </c>
      <c r="L5" s="30">
        <v>0</v>
      </c>
      <c r="M5" s="30">
        <v>126.63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</row>
    <row r="6" spans="1:22" x14ac:dyDescent="0.2">
      <c r="A6" s="20" t="s">
        <v>112</v>
      </c>
      <c r="B6" s="20" t="s">
        <v>11</v>
      </c>
      <c r="C6" s="20" t="s">
        <v>162</v>
      </c>
      <c r="D6" s="20" t="s">
        <v>113</v>
      </c>
      <c r="E6" s="34">
        <f t="shared" si="0"/>
        <v>1</v>
      </c>
      <c r="F6" s="34">
        <v>1</v>
      </c>
      <c r="G6" s="34">
        <f>IF(prodnorm10&gt;0,1/ROUND(prodnorm10,4),0)</f>
        <v>0</v>
      </c>
      <c r="H6" s="36">
        <f>ROUND(dagwerk10,4+2)</f>
        <v>0</v>
      </c>
      <c r="I6" s="37">
        <f>ROUND(uurtarief10,2)</f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155.5</v>
      </c>
      <c r="Q6" s="34">
        <v>122.3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</row>
    <row r="7" spans="1:22" x14ac:dyDescent="0.2">
      <c r="A7" s="20" t="s">
        <v>112</v>
      </c>
      <c r="B7" s="20" t="s">
        <v>17</v>
      </c>
      <c r="C7" s="20" t="s">
        <v>162</v>
      </c>
      <c r="D7" s="20" t="s">
        <v>113</v>
      </c>
      <c r="E7" s="34">
        <f t="shared" si="0"/>
        <v>0.4</v>
      </c>
      <c r="F7" s="34">
        <v>1</v>
      </c>
      <c r="G7" s="34">
        <f>IF(prodnorm11&gt;0,1/ROUND(prodnorm11,4),0)</f>
        <v>0</v>
      </c>
      <c r="H7" s="36">
        <f>ROUND(dagwerk11,4+2)</f>
        <v>0</v>
      </c>
      <c r="I7" s="37">
        <f>ROUND(uurtarief11,2)</f>
        <v>0</v>
      </c>
      <c r="J7" s="34">
        <v>80.86999999999999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</row>
    <row r="8" spans="1:22" x14ac:dyDescent="0.2">
      <c r="A8" s="20" t="s">
        <v>115</v>
      </c>
      <c r="B8" s="20" t="s">
        <v>19</v>
      </c>
      <c r="C8" s="20" t="s">
        <v>162</v>
      </c>
      <c r="D8" s="20" t="s">
        <v>113</v>
      </c>
      <c r="E8" s="34">
        <f t="shared" si="0"/>
        <v>0.2</v>
      </c>
      <c r="F8" s="34">
        <v>1</v>
      </c>
      <c r="G8" s="34">
        <f>IF(prodnorm12&gt;0,1/ROUND(prodnorm12,4),0)</f>
        <v>0</v>
      </c>
      <c r="H8" s="36">
        <f>ROUND(dagwerk12,4+2)</f>
        <v>0</v>
      </c>
      <c r="I8" s="37">
        <f>ROUND(uurtarief12,2)</f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117</v>
      </c>
      <c r="S8" s="34">
        <v>0</v>
      </c>
      <c r="T8" s="34">
        <v>0</v>
      </c>
      <c r="U8" s="34">
        <v>0</v>
      </c>
      <c r="V8" s="34">
        <v>0</v>
      </c>
    </row>
    <row r="9" spans="1:22" x14ac:dyDescent="0.2">
      <c r="A9" s="20" t="s">
        <v>116</v>
      </c>
      <c r="B9" s="20" t="s">
        <v>19</v>
      </c>
      <c r="C9" s="20" t="s">
        <v>162</v>
      </c>
      <c r="D9" s="20" t="s">
        <v>113</v>
      </c>
      <c r="E9" s="34">
        <f t="shared" si="0"/>
        <v>0.2</v>
      </c>
      <c r="F9" s="34">
        <v>1</v>
      </c>
      <c r="G9" s="34">
        <f>IF(prodnorm13&gt;0,1/ROUND(prodnorm13,4),0)</f>
        <v>0</v>
      </c>
      <c r="H9" s="36">
        <f>ROUND(dagwerk13,4+2)</f>
        <v>0</v>
      </c>
      <c r="I9" s="37">
        <f>ROUND(uurtarief13,2)</f>
        <v>0</v>
      </c>
      <c r="J9" s="34">
        <v>34.44</v>
      </c>
      <c r="K9" s="34">
        <v>0</v>
      </c>
      <c r="L9" s="34">
        <v>0</v>
      </c>
      <c r="M9" s="34">
        <v>0</v>
      </c>
      <c r="N9" s="34">
        <v>37.090000000000003</v>
      </c>
      <c r="O9" s="34">
        <v>38.33</v>
      </c>
      <c r="P9" s="34">
        <v>54.400000000000006</v>
      </c>
      <c r="Q9" s="34">
        <v>77.510000000000005</v>
      </c>
      <c r="R9" s="34">
        <v>28</v>
      </c>
      <c r="S9" s="34">
        <v>41.5</v>
      </c>
      <c r="T9" s="34">
        <v>0</v>
      </c>
      <c r="U9" s="34">
        <v>58.5</v>
      </c>
      <c r="V9" s="34">
        <v>18</v>
      </c>
    </row>
    <row r="10" spans="1:22" x14ac:dyDescent="0.2">
      <c r="A10" s="20" t="s">
        <v>116</v>
      </c>
      <c r="B10" s="20" t="s">
        <v>17</v>
      </c>
      <c r="C10" s="20" t="s">
        <v>162</v>
      </c>
      <c r="D10" s="20" t="s">
        <v>113</v>
      </c>
      <c r="E10" s="34">
        <f t="shared" si="0"/>
        <v>0.4</v>
      </c>
      <c r="F10" s="34">
        <v>1</v>
      </c>
      <c r="G10" s="34">
        <f>IF(prodnorm14&gt;0,1/ROUND(prodnorm14,4),0)</f>
        <v>0</v>
      </c>
      <c r="H10" s="36">
        <f>ROUND(dagwerk14,4+2)</f>
        <v>0</v>
      </c>
      <c r="I10" s="37">
        <f>ROUND(uurtarief14,2)</f>
        <v>0</v>
      </c>
      <c r="J10" s="34">
        <v>0</v>
      </c>
      <c r="K10" s="34">
        <v>0</v>
      </c>
      <c r="L10" s="34">
        <v>0</v>
      </c>
      <c r="M10" s="34">
        <v>0</v>
      </c>
      <c r="N10" s="34">
        <v>20.130000000000003</v>
      </c>
      <c r="O10" s="34">
        <v>0</v>
      </c>
      <c r="P10" s="34">
        <v>23.1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</row>
    <row r="11" spans="1:22" x14ac:dyDescent="0.2">
      <c r="A11" s="20" t="s">
        <v>118</v>
      </c>
      <c r="B11" s="20" t="s">
        <v>19</v>
      </c>
      <c r="C11" s="20" t="s">
        <v>162</v>
      </c>
      <c r="D11" s="20" t="s">
        <v>113</v>
      </c>
      <c r="E11" s="34">
        <f t="shared" si="0"/>
        <v>0.2</v>
      </c>
      <c r="F11" s="34">
        <v>1</v>
      </c>
      <c r="G11" s="34">
        <f>IF(prodnorm15&gt;0,1/ROUND(prodnorm15,4),0)</f>
        <v>0</v>
      </c>
      <c r="H11" s="36">
        <f>ROUND(dagwerk15,4+2)</f>
        <v>0</v>
      </c>
      <c r="I11" s="37">
        <f>ROUND(uurtarief15,2)</f>
        <v>0</v>
      </c>
      <c r="J11" s="34">
        <v>67.960000000000008</v>
      </c>
      <c r="K11" s="34">
        <v>17</v>
      </c>
      <c r="L11" s="34">
        <v>24.89</v>
      </c>
      <c r="M11" s="34">
        <v>28.25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35.6</v>
      </c>
      <c r="U11" s="34">
        <v>20</v>
      </c>
      <c r="V11" s="34">
        <v>0</v>
      </c>
    </row>
    <row r="12" spans="1:22" x14ac:dyDescent="0.2">
      <c r="A12" s="20" t="s">
        <v>118</v>
      </c>
      <c r="B12" s="20" t="s">
        <v>17</v>
      </c>
      <c r="C12" s="20" t="s">
        <v>162</v>
      </c>
      <c r="D12" s="20" t="s">
        <v>113</v>
      </c>
      <c r="E12" s="34">
        <f t="shared" si="0"/>
        <v>0.4</v>
      </c>
      <c r="F12" s="34">
        <v>1</v>
      </c>
      <c r="G12" s="34">
        <f>IF(prodnorm16&gt;0,1/ROUND(prodnorm16,4),0)</f>
        <v>0</v>
      </c>
      <c r="H12" s="36">
        <f>ROUND(dagwerk16,4+2)</f>
        <v>0</v>
      </c>
      <c r="I12" s="37">
        <f>ROUND(uurtarief16,2)</f>
        <v>0</v>
      </c>
      <c r="J12" s="34">
        <v>0</v>
      </c>
      <c r="K12" s="34">
        <v>0</v>
      </c>
      <c r="L12" s="34">
        <v>21.18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21.8</v>
      </c>
      <c r="U12" s="34">
        <v>0</v>
      </c>
      <c r="V12" s="34">
        <v>0</v>
      </c>
    </row>
    <row r="13" spans="1:22" x14ac:dyDescent="0.2">
      <c r="A13" s="20" t="s">
        <v>119</v>
      </c>
      <c r="B13" s="20" t="s">
        <v>11</v>
      </c>
      <c r="C13" s="20" t="s">
        <v>162</v>
      </c>
      <c r="D13" s="20" t="s">
        <v>113</v>
      </c>
      <c r="E13" s="34">
        <f t="shared" si="0"/>
        <v>1</v>
      </c>
      <c r="F13" s="34">
        <v>1</v>
      </c>
      <c r="G13" s="34">
        <f>IF(prodnorm17&gt;0,1/ROUND(prodnorm17,4),0)</f>
        <v>0</v>
      </c>
      <c r="H13" s="36">
        <f>ROUND(dagwerk17,4+2)</f>
        <v>0</v>
      </c>
      <c r="I13" s="37">
        <f>ROUND(uurtarief17,2)</f>
        <v>0</v>
      </c>
      <c r="J13" s="34">
        <v>0</v>
      </c>
      <c r="K13" s="34">
        <v>0</v>
      </c>
      <c r="L13" s="34">
        <v>8.11</v>
      </c>
      <c r="M13" s="34">
        <v>12.12</v>
      </c>
      <c r="N13" s="34">
        <v>0</v>
      </c>
      <c r="O13" s="34">
        <v>0</v>
      </c>
      <c r="P13" s="34">
        <v>0</v>
      </c>
      <c r="Q13" s="34">
        <v>0</v>
      </c>
      <c r="R13" s="34">
        <v>12</v>
      </c>
      <c r="S13" s="34">
        <v>0</v>
      </c>
      <c r="T13" s="34">
        <v>0</v>
      </c>
      <c r="U13" s="34">
        <v>0</v>
      </c>
      <c r="V13" s="34">
        <v>0</v>
      </c>
    </row>
    <row r="14" spans="1:22" x14ac:dyDescent="0.2">
      <c r="A14" s="20" t="s">
        <v>121</v>
      </c>
      <c r="B14" s="20" t="s">
        <v>11</v>
      </c>
      <c r="C14" s="20" t="s">
        <v>162</v>
      </c>
      <c r="D14" s="20" t="s">
        <v>113</v>
      </c>
      <c r="E14" s="34">
        <f t="shared" si="0"/>
        <v>1</v>
      </c>
      <c r="F14" s="34">
        <v>1</v>
      </c>
      <c r="G14" s="34">
        <f>IF(prodnorm18&gt;0,1/ROUND(prodnorm18,4),0)</f>
        <v>0</v>
      </c>
      <c r="H14" s="36">
        <f>ROUND(dagwerk18,4+2)</f>
        <v>0</v>
      </c>
      <c r="I14" s="37">
        <f>ROUND(uurtarief18,2)</f>
        <v>0</v>
      </c>
      <c r="J14" s="34">
        <v>9.4499999999999993</v>
      </c>
      <c r="K14" s="34">
        <v>46</v>
      </c>
      <c r="L14" s="34">
        <v>13.55</v>
      </c>
      <c r="M14" s="34">
        <v>22.86</v>
      </c>
      <c r="N14" s="34">
        <v>12.77</v>
      </c>
      <c r="O14" s="34">
        <v>18</v>
      </c>
      <c r="P14" s="34">
        <v>13.1</v>
      </c>
      <c r="Q14" s="34">
        <v>18.73</v>
      </c>
      <c r="R14" s="34">
        <v>9.5</v>
      </c>
      <c r="S14" s="34">
        <v>16</v>
      </c>
      <c r="T14" s="34">
        <v>20.5</v>
      </c>
      <c r="U14" s="34">
        <v>14.7</v>
      </c>
      <c r="V14" s="34">
        <v>0</v>
      </c>
    </row>
    <row r="15" spans="1:22" x14ac:dyDescent="0.2">
      <c r="A15" s="20" t="s">
        <v>122</v>
      </c>
      <c r="B15" s="20" t="s">
        <v>15</v>
      </c>
      <c r="C15" s="20" t="s">
        <v>162</v>
      </c>
      <c r="D15" s="20" t="s">
        <v>113</v>
      </c>
      <c r="E15" s="34">
        <f t="shared" si="0"/>
        <v>0.6</v>
      </c>
      <c r="F15" s="34">
        <v>1</v>
      </c>
      <c r="G15" s="34">
        <f>IF(prodnorm19&gt;0,1/ROUND(prodnorm19,4),0)</f>
        <v>0</v>
      </c>
      <c r="H15" s="36">
        <f>ROUND(dagwerk19,4+2)</f>
        <v>0</v>
      </c>
      <c r="I15" s="37">
        <f>ROUND(uurtarief19,2)</f>
        <v>0</v>
      </c>
      <c r="J15" s="34">
        <v>0</v>
      </c>
      <c r="K15" s="34">
        <v>0</v>
      </c>
      <c r="L15" s="34">
        <v>77.349999999999994</v>
      </c>
      <c r="M15" s="34">
        <v>0</v>
      </c>
      <c r="N15" s="34">
        <v>70.48</v>
      </c>
      <c r="O15" s="34">
        <v>0</v>
      </c>
      <c r="P15" s="34">
        <v>100.5</v>
      </c>
      <c r="Q15" s="34">
        <v>0</v>
      </c>
      <c r="R15" s="34">
        <v>0</v>
      </c>
      <c r="S15" s="34">
        <v>0</v>
      </c>
      <c r="T15" s="34">
        <v>85</v>
      </c>
      <c r="U15" s="34">
        <v>0</v>
      </c>
      <c r="V15" s="34">
        <v>0</v>
      </c>
    </row>
    <row r="16" spans="1:22" x14ac:dyDescent="0.2">
      <c r="A16" s="20" t="s">
        <v>122</v>
      </c>
      <c r="B16" s="20" t="s">
        <v>19</v>
      </c>
      <c r="C16" s="20" t="s">
        <v>162</v>
      </c>
      <c r="D16" s="20" t="s">
        <v>113</v>
      </c>
      <c r="E16" s="34">
        <f t="shared" si="0"/>
        <v>0.2</v>
      </c>
      <c r="F16" s="34">
        <v>1</v>
      </c>
      <c r="G16" s="34">
        <f>IF(prodnorm20&gt;0,1/ROUND(prodnorm20,4),0)</f>
        <v>0</v>
      </c>
      <c r="H16" s="36">
        <f>ROUND(dagwerk20,4+2)</f>
        <v>0</v>
      </c>
      <c r="I16" s="37">
        <f>ROUND(uurtarief20,2)</f>
        <v>0</v>
      </c>
      <c r="J16" s="34">
        <v>74.3</v>
      </c>
      <c r="K16" s="34">
        <v>101.3</v>
      </c>
      <c r="L16" s="34">
        <v>7.42</v>
      </c>
      <c r="M16" s="34">
        <v>0</v>
      </c>
      <c r="N16" s="34">
        <v>0</v>
      </c>
      <c r="O16" s="34">
        <v>102.35</v>
      </c>
      <c r="P16" s="34">
        <v>0</v>
      </c>
      <c r="Q16" s="34">
        <v>0</v>
      </c>
      <c r="R16" s="34">
        <v>0</v>
      </c>
      <c r="S16" s="34">
        <v>90</v>
      </c>
      <c r="T16" s="34">
        <v>0</v>
      </c>
      <c r="U16" s="34">
        <v>0</v>
      </c>
      <c r="V16" s="34">
        <v>0</v>
      </c>
    </row>
    <row r="17" spans="1:22" x14ac:dyDescent="0.2">
      <c r="A17" s="20" t="s">
        <v>122</v>
      </c>
      <c r="B17" s="20" t="s">
        <v>17</v>
      </c>
      <c r="C17" s="20" t="s">
        <v>162</v>
      </c>
      <c r="D17" s="20" t="s">
        <v>113</v>
      </c>
      <c r="E17" s="34">
        <f t="shared" si="0"/>
        <v>0.4</v>
      </c>
      <c r="F17" s="34">
        <v>1</v>
      </c>
      <c r="G17" s="34">
        <f>IF(prodnorm21&gt;0,1/ROUND(prodnorm21,4),0)</f>
        <v>0</v>
      </c>
      <c r="H17" s="36">
        <f>ROUND(dagwerk21,4+2)</f>
        <v>0</v>
      </c>
      <c r="I17" s="37">
        <f>ROUND(uurtarief21,2)</f>
        <v>0</v>
      </c>
      <c r="J17" s="34">
        <v>0</v>
      </c>
      <c r="K17" s="34">
        <v>0</v>
      </c>
      <c r="L17" s="34">
        <v>0</v>
      </c>
      <c r="M17" s="34">
        <v>100.5</v>
      </c>
      <c r="N17" s="34">
        <v>0</v>
      </c>
      <c r="O17" s="34">
        <v>0</v>
      </c>
      <c r="P17" s="34">
        <v>0</v>
      </c>
      <c r="Q17" s="34">
        <v>91.27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</row>
    <row r="18" spans="1:22" x14ac:dyDescent="0.2">
      <c r="A18" s="20" t="s">
        <v>124</v>
      </c>
      <c r="B18" s="20" t="s">
        <v>15</v>
      </c>
      <c r="C18" s="20" t="s">
        <v>162</v>
      </c>
      <c r="D18" s="20" t="s">
        <v>113</v>
      </c>
      <c r="E18" s="34">
        <f t="shared" si="0"/>
        <v>0.6</v>
      </c>
      <c r="F18" s="34">
        <v>1</v>
      </c>
      <c r="G18" s="34">
        <f>IF(prodnorm22&gt;0,1/ROUND(prodnorm22,4),0)</f>
        <v>0</v>
      </c>
      <c r="H18" s="36">
        <f>ROUND(dagwerk22,4+2)</f>
        <v>0</v>
      </c>
      <c r="I18" s="37">
        <f>ROUND(uurtarief22,2)</f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34.47</v>
      </c>
      <c r="P18" s="34">
        <v>0</v>
      </c>
      <c r="Q18" s="34">
        <v>0</v>
      </c>
      <c r="R18" s="34">
        <v>71</v>
      </c>
      <c r="S18" s="34">
        <v>0</v>
      </c>
      <c r="T18" s="34">
        <v>108.23</v>
      </c>
      <c r="U18" s="34">
        <v>107.4</v>
      </c>
      <c r="V18" s="34">
        <v>0</v>
      </c>
    </row>
    <row r="19" spans="1:22" x14ac:dyDescent="0.2">
      <c r="A19" s="20" t="s">
        <v>124</v>
      </c>
      <c r="B19" s="20" t="s">
        <v>13</v>
      </c>
      <c r="C19" s="20" t="s">
        <v>162</v>
      </c>
      <c r="D19" s="20" t="s">
        <v>113</v>
      </c>
      <c r="E19" s="34">
        <f t="shared" si="0"/>
        <v>0.8</v>
      </c>
      <c r="F19" s="34">
        <v>1</v>
      </c>
      <c r="G19" s="34">
        <f>IF(prodnorm23&gt;0,1/ROUND(prodnorm23,4),0)</f>
        <v>0</v>
      </c>
      <c r="H19" s="36">
        <f>ROUND(dagwerk23,4+2)</f>
        <v>0</v>
      </c>
      <c r="I19" s="37">
        <f>ROUND(uurtarief23,2)</f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56</v>
      </c>
      <c r="V19" s="34">
        <v>0</v>
      </c>
    </row>
    <row r="20" spans="1:22" x14ac:dyDescent="0.2">
      <c r="A20" s="20" t="s">
        <v>124</v>
      </c>
      <c r="B20" s="20" t="s">
        <v>11</v>
      </c>
      <c r="C20" s="20" t="s">
        <v>162</v>
      </c>
      <c r="D20" s="20" t="s">
        <v>113</v>
      </c>
      <c r="E20" s="34">
        <f t="shared" si="0"/>
        <v>1</v>
      </c>
      <c r="F20" s="34">
        <v>1</v>
      </c>
      <c r="G20" s="34">
        <f>IF(prodnorm24&gt;0,1/ROUND(prodnorm24,4),0)</f>
        <v>0</v>
      </c>
      <c r="H20" s="36">
        <f>ROUND(dagwerk24,4+2)</f>
        <v>0</v>
      </c>
      <c r="I20" s="37">
        <f>ROUND(uurtarief24,2)</f>
        <v>0</v>
      </c>
      <c r="J20" s="34">
        <v>147.78</v>
      </c>
      <c r="K20" s="34">
        <v>0</v>
      </c>
      <c r="L20" s="34">
        <v>0</v>
      </c>
      <c r="M20" s="34">
        <v>127.5</v>
      </c>
      <c r="N20" s="34">
        <v>130.44999999999999</v>
      </c>
      <c r="O20" s="34">
        <v>327.84</v>
      </c>
      <c r="P20" s="34">
        <v>164.6</v>
      </c>
      <c r="Q20" s="34">
        <v>140.19</v>
      </c>
      <c r="R20" s="34">
        <v>269</v>
      </c>
      <c r="S20" s="34">
        <v>85.56</v>
      </c>
      <c r="T20" s="34">
        <v>105</v>
      </c>
      <c r="U20" s="34">
        <v>180</v>
      </c>
      <c r="V20" s="34">
        <v>0</v>
      </c>
    </row>
    <row r="21" spans="1:22" x14ac:dyDescent="0.2">
      <c r="A21" s="20" t="s">
        <v>124</v>
      </c>
      <c r="B21" s="20" t="s">
        <v>19</v>
      </c>
      <c r="C21" s="20" t="s">
        <v>162</v>
      </c>
      <c r="D21" s="20" t="s">
        <v>113</v>
      </c>
      <c r="E21" s="34">
        <f t="shared" si="0"/>
        <v>0.2</v>
      </c>
      <c r="F21" s="34">
        <v>1</v>
      </c>
      <c r="G21" s="34">
        <f>IF(prodnorm25&gt;0,1/ROUND(prodnorm25,4),0)</f>
        <v>0</v>
      </c>
      <c r="H21" s="36">
        <f>ROUND(dagwerk25,4+2)</f>
        <v>0</v>
      </c>
      <c r="I21" s="37">
        <f>ROUND(uurtarief25,2)</f>
        <v>0</v>
      </c>
      <c r="J21" s="34">
        <v>0</v>
      </c>
      <c r="K21" s="34">
        <v>0</v>
      </c>
      <c r="L21" s="34">
        <v>56.339999999999996</v>
      </c>
      <c r="M21" s="34">
        <v>0</v>
      </c>
      <c r="N21" s="34">
        <v>0</v>
      </c>
      <c r="O21" s="34">
        <v>0</v>
      </c>
      <c r="P21" s="34">
        <v>0</v>
      </c>
      <c r="Q21" s="34">
        <v>14.8</v>
      </c>
      <c r="R21" s="34">
        <v>0</v>
      </c>
      <c r="S21" s="34">
        <v>0</v>
      </c>
      <c r="T21" s="34">
        <v>0</v>
      </c>
      <c r="U21" s="34">
        <v>0</v>
      </c>
      <c r="V21" s="34">
        <v>56</v>
      </c>
    </row>
    <row r="22" spans="1:22" x14ac:dyDescent="0.2">
      <c r="A22" s="20" t="s">
        <v>124</v>
      </c>
      <c r="B22" s="20" t="s">
        <v>17</v>
      </c>
      <c r="C22" s="20" t="s">
        <v>162</v>
      </c>
      <c r="D22" s="20" t="s">
        <v>113</v>
      </c>
      <c r="E22" s="34">
        <f t="shared" si="0"/>
        <v>0.4</v>
      </c>
      <c r="F22" s="34">
        <v>1</v>
      </c>
      <c r="G22" s="34">
        <f>IF(prodnorm26&gt;0,1/ROUND(prodnorm26,4),0)</f>
        <v>0</v>
      </c>
      <c r="H22" s="36">
        <f>ROUND(dagwerk26,4+2)</f>
        <v>0</v>
      </c>
      <c r="I22" s="37">
        <f>ROUND(uurtarief26,2)</f>
        <v>0</v>
      </c>
      <c r="J22" s="34">
        <v>0</v>
      </c>
      <c r="K22" s="34">
        <v>0</v>
      </c>
      <c r="L22" s="34">
        <v>0</v>
      </c>
      <c r="M22" s="34">
        <v>333.53999999999996</v>
      </c>
      <c r="N22" s="34">
        <v>244.04000000000002</v>
      </c>
      <c r="O22" s="34">
        <v>754</v>
      </c>
      <c r="P22" s="34">
        <v>229.2</v>
      </c>
      <c r="Q22" s="34">
        <v>362.18</v>
      </c>
      <c r="R22" s="34">
        <v>22.5</v>
      </c>
      <c r="S22" s="34">
        <v>208.56</v>
      </c>
      <c r="T22" s="34">
        <v>0</v>
      </c>
      <c r="U22" s="34">
        <v>168</v>
      </c>
      <c r="V22" s="34">
        <v>205</v>
      </c>
    </row>
    <row r="23" spans="1:22" x14ac:dyDescent="0.2">
      <c r="A23" s="20" t="s">
        <v>126</v>
      </c>
      <c r="B23" s="20" t="s">
        <v>11</v>
      </c>
      <c r="C23" s="20" t="s">
        <v>162</v>
      </c>
      <c r="D23" s="20" t="s">
        <v>113</v>
      </c>
      <c r="E23" s="34">
        <f t="shared" si="0"/>
        <v>1</v>
      </c>
      <c r="F23" s="34">
        <v>1</v>
      </c>
      <c r="G23" s="34">
        <f>IF(prodnorm27&gt;0,1/ROUND(prodnorm27,4),0)</f>
        <v>0</v>
      </c>
      <c r="H23" s="36">
        <f>ROUND(dagwerk27,4+2)</f>
        <v>0</v>
      </c>
      <c r="I23" s="37">
        <f>ROUND(uurtarief27,2)</f>
        <v>0</v>
      </c>
      <c r="J23" s="34">
        <v>0</v>
      </c>
      <c r="K23" s="34">
        <v>0</v>
      </c>
      <c r="L23" s="34">
        <v>164.37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</row>
    <row r="24" spans="1:22" x14ac:dyDescent="0.2">
      <c r="A24" s="20" t="s">
        <v>126</v>
      </c>
      <c r="B24" s="20" t="s">
        <v>17</v>
      </c>
      <c r="C24" s="20" t="s">
        <v>162</v>
      </c>
      <c r="D24" s="20" t="s">
        <v>113</v>
      </c>
      <c r="E24" s="34">
        <f t="shared" si="0"/>
        <v>0.4</v>
      </c>
      <c r="F24" s="34">
        <v>1</v>
      </c>
      <c r="G24" s="34">
        <f>IF(prodnorm28&gt;0,1/ROUND(prodnorm28,4),0)</f>
        <v>0</v>
      </c>
      <c r="H24" s="36">
        <f>ROUND(dagwerk28,4+2)</f>
        <v>0</v>
      </c>
      <c r="I24" s="37">
        <f>ROUND(uurtarief28,2)</f>
        <v>0</v>
      </c>
      <c r="J24" s="34">
        <v>233.39999999999998</v>
      </c>
      <c r="K24" s="34">
        <v>178.32</v>
      </c>
      <c r="L24" s="34">
        <v>104.5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375.5</v>
      </c>
      <c r="U24" s="34">
        <v>0</v>
      </c>
      <c r="V24" s="34">
        <v>0</v>
      </c>
    </row>
    <row r="25" spans="1:22" x14ac:dyDescent="0.2">
      <c r="A25" s="20" t="s">
        <v>127</v>
      </c>
      <c r="B25" s="20" t="s">
        <v>15</v>
      </c>
      <c r="C25" s="20" t="s">
        <v>162</v>
      </c>
      <c r="D25" s="20" t="s">
        <v>113</v>
      </c>
      <c r="E25" s="34">
        <f t="shared" si="0"/>
        <v>0.6</v>
      </c>
      <c r="F25" s="34">
        <v>1</v>
      </c>
      <c r="G25" s="34">
        <f>IF(prodnorm29&gt;0,1/ROUND(prodnorm29,4),0)</f>
        <v>0</v>
      </c>
      <c r="H25" s="36">
        <f>ROUND(dagwerk29,4+2)</f>
        <v>0</v>
      </c>
      <c r="I25" s="37">
        <f>ROUND(uurtarief29,2)</f>
        <v>0</v>
      </c>
      <c r="J25" s="34">
        <v>0</v>
      </c>
      <c r="K25" s="34">
        <v>0</v>
      </c>
      <c r="L25" s="34">
        <v>0</v>
      </c>
      <c r="M25" s="34">
        <v>14.43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</row>
    <row r="26" spans="1:22" x14ac:dyDescent="0.2">
      <c r="A26" s="20" t="s">
        <v>127</v>
      </c>
      <c r="B26" s="20" t="s">
        <v>11</v>
      </c>
      <c r="C26" s="20" t="s">
        <v>162</v>
      </c>
      <c r="D26" s="20" t="s">
        <v>113</v>
      </c>
      <c r="E26" s="34">
        <f t="shared" si="0"/>
        <v>1</v>
      </c>
      <c r="F26" s="34">
        <v>1</v>
      </c>
      <c r="G26" s="34">
        <f>IF(prodnorm30&gt;0,1/ROUND(prodnorm30,4),0)</f>
        <v>0</v>
      </c>
      <c r="H26" s="36">
        <f>ROUND(dagwerk30,4+2)</f>
        <v>0</v>
      </c>
      <c r="I26" s="37">
        <f>ROUND(uurtarief30,2)</f>
        <v>0</v>
      </c>
      <c r="J26" s="34">
        <v>2.61</v>
      </c>
      <c r="K26" s="34">
        <v>0</v>
      </c>
      <c r="L26" s="34">
        <v>2.14</v>
      </c>
      <c r="M26" s="34">
        <v>0</v>
      </c>
      <c r="N26" s="34">
        <v>2.2200000000000002</v>
      </c>
      <c r="O26" s="34">
        <v>12</v>
      </c>
      <c r="P26" s="34">
        <v>0</v>
      </c>
      <c r="Q26" s="34">
        <v>0</v>
      </c>
      <c r="R26" s="34">
        <v>0</v>
      </c>
      <c r="S26" s="34">
        <v>0</v>
      </c>
      <c r="T26" s="34">
        <v>2.5</v>
      </c>
      <c r="U26" s="34">
        <v>0</v>
      </c>
      <c r="V26" s="34">
        <v>0</v>
      </c>
    </row>
    <row r="27" spans="1:22" x14ac:dyDescent="0.2">
      <c r="A27" s="20" t="s">
        <v>127</v>
      </c>
      <c r="B27" s="20" t="s">
        <v>17</v>
      </c>
      <c r="C27" s="20" t="s">
        <v>162</v>
      </c>
      <c r="D27" s="20" t="s">
        <v>113</v>
      </c>
      <c r="E27" s="34">
        <f t="shared" si="0"/>
        <v>0.4</v>
      </c>
      <c r="F27" s="34">
        <v>1</v>
      </c>
      <c r="G27" s="34">
        <f>IF(prodnorm31&gt;0,1/ROUND(prodnorm31,4),0)</f>
        <v>0</v>
      </c>
      <c r="H27" s="36">
        <f>ROUND(dagwerk31,4+2)</f>
        <v>0</v>
      </c>
      <c r="I27" s="37">
        <f>ROUND(uurtarief31,2)</f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3</v>
      </c>
    </row>
    <row r="28" spans="1:22" x14ac:dyDescent="0.2">
      <c r="A28" s="20" t="s">
        <v>129</v>
      </c>
      <c r="B28" s="20" t="s">
        <v>15</v>
      </c>
      <c r="C28" s="20" t="s">
        <v>162</v>
      </c>
      <c r="D28" s="20" t="s">
        <v>113</v>
      </c>
      <c r="E28" s="34">
        <f t="shared" si="0"/>
        <v>0.6</v>
      </c>
      <c r="F28" s="34">
        <v>1</v>
      </c>
      <c r="G28" s="34">
        <f>IF(prodnorm32&gt;0,1/ROUND(prodnorm32,4),0)</f>
        <v>0</v>
      </c>
      <c r="H28" s="36">
        <f>ROUND(dagwerk32,4+2)</f>
        <v>0</v>
      </c>
      <c r="I28" s="37">
        <f>ROUND(uurtarief32,2)</f>
        <v>0</v>
      </c>
      <c r="J28" s="34">
        <v>0</v>
      </c>
      <c r="K28" s="34">
        <v>0</v>
      </c>
      <c r="L28" s="34">
        <v>0</v>
      </c>
      <c r="M28" s="34">
        <v>5.52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</row>
    <row r="29" spans="1:22" x14ac:dyDescent="0.2">
      <c r="A29" s="20" t="s">
        <v>129</v>
      </c>
      <c r="B29" s="20" t="s">
        <v>11</v>
      </c>
      <c r="C29" s="20" t="s">
        <v>162</v>
      </c>
      <c r="D29" s="20" t="s">
        <v>113</v>
      </c>
      <c r="E29" s="34">
        <f t="shared" si="0"/>
        <v>1</v>
      </c>
      <c r="F29" s="34">
        <v>1</v>
      </c>
      <c r="G29" s="34">
        <f>IF(prodnorm33&gt;0,1/ROUND(prodnorm33,4),0)</f>
        <v>0</v>
      </c>
      <c r="H29" s="36">
        <f>ROUND(dagwerk33,4+2)</f>
        <v>0</v>
      </c>
      <c r="I29" s="37">
        <f>ROUND(uurtarief33,2)</f>
        <v>0</v>
      </c>
      <c r="J29" s="34">
        <v>35.869999999999997</v>
      </c>
      <c r="K29" s="34">
        <v>31.61</v>
      </c>
      <c r="L29" s="34">
        <v>31.43</v>
      </c>
      <c r="M29" s="34">
        <v>18.71</v>
      </c>
      <c r="N29" s="34">
        <v>40.239999999999995</v>
      </c>
      <c r="O29" s="34">
        <v>90.25</v>
      </c>
      <c r="P29" s="34">
        <v>28.4</v>
      </c>
      <c r="Q29" s="34">
        <v>38.5</v>
      </c>
      <c r="R29" s="34">
        <v>30.6</v>
      </c>
      <c r="S29" s="34">
        <v>26</v>
      </c>
      <c r="T29" s="34">
        <v>33.4</v>
      </c>
      <c r="U29" s="34">
        <v>40.9</v>
      </c>
      <c r="V29" s="34">
        <v>10</v>
      </c>
    </row>
    <row r="30" spans="1:22" x14ac:dyDescent="0.2">
      <c r="A30" s="20" t="s">
        <v>131</v>
      </c>
      <c r="B30" s="20" t="s">
        <v>19</v>
      </c>
      <c r="C30" s="20" t="s">
        <v>162</v>
      </c>
      <c r="D30" s="20" t="s">
        <v>113</v>
      </c>
      <c r="E30" s="34">
        <f t="shared" si="0"/>
        <v>0.2</v>
      </c>
      <c r="F30" s="34">
        <v>1</v>
      </c>
      <c r="G30" s="34">
        <f>IF(prodnorm34&gt;0,1/ROUND(prodnorm34,4),0)</f>
        <v>0</v>
      </c>
      <c r="H30" s="36">
        <f>ROUND(dagwerk34,4+2)</f>
        <v>0</v>
      </c>
      <c r="I30" s="37">
        <f>ROUND(uurtarief34,2)</f>
        <v>0</v>
      </c>
      <c r="J30" s="34">
        <v>0</v>
      </c>
      <c r="K30" s="34">
        <v>8.82</v>
      </c>
      <c r="L30" s="34">
        <v>4.5</v>
      </c>
      <c r="M30" s="34">
        <v>8.5299999999999994</v>
      </c>
      <c r="N30" s="34">
        <v>58.129999999999995</v>
      </c>
      <c r="O30" s="34">
        <v>61.81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12</v>
      </c>
    </row>
    <row r="31" spans="1:22" x14ac:dyDescent="0.2">
      <c r="A31" s="20" t="s">
        <v>133</v>
      </c>
      <c r="B31" s="20" t="s">
        <v>19</v>
      </c>
      <c r="C31" s="20" t="s">
        <v>162</v>
      </c>
      <c r="D31" s="20" t="s">
        <v>113</v>
      </c>
      <c r="E31" s="34">
        <f t="shared" si="0"/>
        <v>0.2</v>
      </c>
      <c r="F31" s="34">
        <v>1</v>
      </c>
      <c r="G31" s="34">
        <f>IF(prodnorm35&gt;0,1/ROUND(prodnorm35,4),0)</f>
        <v>0</v>
      </c>
      <c r="H31" s="36">
        <f>ROUND(dagwerk35,4+2)</f>
        <v>0</v>
      </c>
      <c r="I31" s="37">
        <f>ROUND(uurtarief35,2)</f>
        <v>0</v>
      </c>
      <c r="J31" s="34">
        <v>0</v>
      </c>
      <c r="K31" s="34">
        <v>0</v>
      </c>
      <c r="L31" s="34">
        <v>2.6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18</v>
      </c>
      <c r="V31" s="34">
        <v>0</v>
      </c>
    </row>
    <row r="32" spans="1:22" x14ac:dyDescent="0.2">
      <c r="A32" s="20" t="s">
        <v>134</v>
      </c>
      <c r="B32" s="20" t="s">
        <v>15</v>
      </c>
      <c r="C32" s="20" t="s">
        <v>162</v>
      </c>
      <c r="D32" s="20" t="s">
        <v>113</v>
      </c>
      <c r="E32" s="34">
        <f t="shared" si="0"/>
        <v>0.6</v>
      </c>
      <c r="F32" s="34">
        <v>1</v>
      </c>
      <c r="G32" s="34">
        <f>IF(prodnorm36&gt;0,1/ROUND(prodnorm36,4),0)</f>
        <v>0</v>
      </c>
      <c r="H32" s="36">
        <f>ROUND(dagwerk36,4+2)</f>
        <v>0</v>
      </c>
      <c r="I32" s="37">
        <f>ROUND(uurtarief36,2)</f>
        <v>0</v>
      </c>
      <c r="J32" s="34">
        <v>0</v>
      </c>
      <c r="K32" s="34">
        <v>0</v>
      </c>
      <c r="L32" s="34">
        <v>0</v>
      </c>
      <c r="M32" s="34">
        <v>15.950000000000001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</row>
    <row r="33" spans="1:22" x14ac:dyDescent="0.2">
      <c r="A33" s="20" t="s">
        <v>134</v>
      </c>
      <c r="B33" s="20" t="s">
        <v>13</v>
      </c>
      <c r="C33" s="20" t="s">
        <v>162</v>
      </c>
      <c r="D33" s="20" t="s">
        <v>113</v>
      </c>
      <c r="E33" s="34">
        <f t="shared" si="0"/>
        <v>0.8</v>
      </c>
      <c r="F33" s="34">
        <v>1</v>
      </c>
      <c r="G33" s="34">
        <f>IF(prodnorm37&gt;0,1/ROUND(prodnorm37,4),0)</f>
        <v>0</v>
      </c>
      <c r="H33" s="36">
        <f>ROUND(dagwerk37,4+2)</f>
        <v>0</v>
      </c>
      <c r="I33" s="37">
        <f>ROUND(uurtarief37,2)</f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107</v>
      </c>
      <c r="T33" s="34">
        <v>0</v>
      </c>
      <c r="U33" s="34">
        <v>0</v>
      </c>
      <c r="V33" s="34">
        <v>0</v>
      </c>
    </row>
    <row r="34" spans="1:22" x14ac:dyDescent="0.2">
      <c r="A34" s="20" t="s">
        <v>134</v>
      </c>
      <c r="B34" s="20" t="s">
        <v>11</v>
      </c>
      <c r="C34" s="20" t="s">
        <v>162</v>
      </c>
      <c r="D34" s="20" t="s">
        <v>113</v>
      </c>
      <c r="E34" s="34">
        <f t="shared" si="0"/>
        <v>1</v>
      </c>
      <c r="F34" s="34">
        <v>1</v>
      </c>
      <c r="G34" s="34">
        <f>IF(prodnorm38&gt;0,1/ROUND(prodnorm38,4),0)</f>
        <v>0</v>
      </c>
      <c r="H34" s="36">
        <f>ROUND(dagwerk38,4+2)</f>
        <v>0</v>
      </c>
      <c r="I34" s="37">
        <f>ROUND(uurtarief38,2)</f>
        <v>0</v>
      </c>
      <c r="J34" s="34">
        <v>160.44999999999999</v>
      </c>
      <c r="K34" s="34">
        <v>169.14</v>
      </c>
      <c r="L34" s="34">
        <v>7.79</v>
      </c>
      <c r="M34" s="34">
        <v>47.25</v>
      </c>
      <c r="N34" s="34">
        <v>190.2</v>
      </c>
      <c r="O34" s="34">
        <v>478.38</v>
      </c>
      <c r="P34" s="34">
        <v>136.1</v>
      </c>
      <c r="Q34" s="34">
        <v>230.62</v>
      </c>
      <c r="R34" s="34">
        <v>86</v>
      </c>
      <c r="S34" s="34">
        <v>0</v>
      </c>
      <c r="T34" s="34">
        <v>0</v>
      </c>
      <c r="U34" s="34">
        <v>134.5</v>
      </c>
      <c r="V34" s="34">
        <v>0</v>
      </c>
    </row>
    <row r="35" spans="1:22" x14ac:dyDescent="0.2">
      <c r="A35" s="20" t="s">
        <v>134</v>
      </c>
      <c r="B35" s="20" t="s">
        <v>19</v>
      </c>
      <c r="C35" s="20" t="s">
        <v>162</v>
      </c>
      <c r="D35" s="20" t="s">
        <v>113</v>
      </c>
      <c r="E35" s="34">
        <f t="shared" si="0"/>
        <v>0.2</v>
      </c>
      <c r="F35" s="34">
        <v>1</v>
      </c>
      <c r="G35" s="34">
        <f>IF(prodnorm39&gt;0,1/ROUND(prodnorm39,4),0)</f>
        <v>0</v>
      </c>
      <c r="H35" s="36">
        <f>ROUND(dagwerk39,4+2)</f>
        <v>0</v>
      </c>
      <c r="I35" s="37">
        <f>ROUND(uurtarief39,2)</f>
        <v>0</v>
      </c>
      <c r="J35" s="34">
        <v>24.150000000000002</v>
      </c>
      <c r="K35" s="34">
        <v>10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14.5</v>
      </c>
      <c r="V35" s="34">
        <v>48</v>
      </c>
    </row>
    <row r="36" spans="1:22" x14ac:dyDescent="0.2">
      <c r="A36" s="20" t="s">
        <v>134</v>
      </c>
      <c r="B36" s="20" t="s">
        <v>17</v>
      </c>
      <c r="C36" s="20" t="s">
        <v>162</v>
      </c>
      <c r="D36" s="20" t="s">
        <v>113</v>
      </c>
      <c r="E36" s="34">
        <f t="shared" si="0"/>
        <v>0.4</v>
      </c>
      <c r="F36" s="34">
        <v>1</v>
      </c>
      <c r="G36" s="34">
        <f>IF(prodnorm40&gt;0,1/ROUND(prodnorm40,4),0)</f>
        <v>0</v>
      </c>
      <c r="H36" s="36">
        <f>ROUND(dagwerk40,4+2)</f>
        <v>0</v>
      </c>
      <c r="I36" s="37">
        <f>ROUND(uurtarief40,2)</f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16.8</v>
      </c>
      <c r="Q36" s="34">
        <v>0</v>
      </c>
      <c r="R36" s="34">
        <v>0</v>
      </c>
      <c r="S36" s="34">
        <v>0</v>
      </c>
      <c r="T36" s="34">
        <v>5</v>
      </c>
      <c r="U36" s="34">
        <v>0</v>
      </c>
      <c r="V36" s="34">
        <v>0</v>
      </c>
    </row>
    <row r="37" spans="1:22" x14ac:dyDescent="0.2">
      <c r="A37" s="20" t="s">
        <v>136</v>
      </c>
      <c r="B37" s="20" t="s">
        <v>11</v>
      </c>
      <c r="C37" s="20" t="s">
        <v>162</v>
      </c>
      <c r="D37" s="20" t="s">
        <v>113</v>
      </c>
      <c r="E37" s="34">
        <f t="shared" si="0"/>
        <v>1</v>
      </c>
      <c r="F37" s="34">
        <v>1</v>
      </c>
      <c r="G37" s="34">
        <f>IF(prodnorm41&gt;0,1/ROUND(prodnorm41,4),0)</f>
        <v>0</v>
      </c>
      <c r="H37" s="36">
        <f>ROUND(dagwerk41,4+2)</f>
        <v>0</v>
      </c>
      <c r="I37" s="37">
        <f>ROUND(uurtarief41,2)</f>
        <v>0</v>
      </c>
      <c r="J37" s="34">
        <v>0</v>
      </c>
      <c r="K37" s="34">
        <v>0</v>
      </c>
      <c r="L37" s="34">
        <v>132.18</v>
      </c>
      <c r="M37" s="34">
        <v>0</v>
      </c>
      <c r="N37" s="34">
        <v>2.75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250.5</v>
      </c>
      <c r="U37" s="34">
        <v>0</v>
      </c>
      <c r="V37" s="34">
        <v>0</v>
      </c>
    </row>
    <row r="38" spans="1:22" x14ac:dyDescent="0.2">
      <c r="A38" s="20" t="s">
        <v>136</v>
      </c>
      <c r="B38" s="20" t="s">
        <v>19</v>
      </c>
      <c r="C38" s="20" t="s">
        <v>162</v>
      </c>
      <c r="D38" s="20" t="s">
        <v>113</v>
      </c>
      <c r="E38" s="34">
        <f t="shared" si="0"/>
        <v>0.2</v>
      </c>
      <c r="F38" s="34">
        <v>1</v>
      </c>
      <c r="G38" s="34">
        <f>IF(prodnorm42&gt;0,1/ROUND(prodnorm42,4),0)</f>
        <v>0</v>
      </c>
      <c r="H38" s="36">
        <f>ROUND(dagwerk42,4+2)</f>
        <v>0</v>
      </c>
      <c r="I38" s="37">
        <f>ROUND(uurtarief42,2)</f>
        <v>0</v>
      </c>
      <c r="J38" s="34">
        <v>0</v>
      </c>
      <c r="K38" s="34">
        <v>0</v>
      </c>
      <c r="L38" s="34">
        <v>32.07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</row>
    <row r="39" spans="1:22" x14ac:dyDescent="0.2">
      <c r="A39" s="20" t="s">
        <v>136</v>
      </c>
      <c r="B39" s="20" t="s">
        <v>17</v>
      </c>
      <c r="C39" s="20" t="s">
        <v>162</v>
      </c>
      <c r="D39" s="20" t="s">
        <v>113</v>
      </c>
      <c r="E39" s="34">
        <f t="shared" si="0"/>
        <v>0.4</v>
      </c>
      <c r="F39" s="34">
        <v>1</v>
      </c>
      <c r="G39" s="34">
        <f>IF(prodnorm43&gt;0,1/ROUND(prodnorm43,4),0)</f>
        <v>0</v>
      </c>
      <c r="H39" s="36">
        <f>ROUND(dagwerk43,4+2)</f>
        <v>0</v>
      </c>
      <c r="I39" s="37">
        <f>ROUND(uurtarief43,2)</f>
        <v>0</v>
      </c>
      <c r="J39" s="34">
        <v>0</v>
      </c>
      <c r="K39" s="34">
        <v>0</v>
      </c>
      <c r="L39" s="34">
        <v>0</v>
      </c>
      <c r="M39" s="34">
        <v>8.1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</row>
    <row r="40" spans="1:22" x14ac:dyDescent="0.2">
      <c r="A40" s="25" t="s">
        <v>137</v>
      </c>
      <c r="B40" s="25" t="s">
        <v>27</v>
      </c>
      <c r="C40" s="25" t="s">
        <v>162</v>
      </c>
      <c r="D40" s="25" t="s">
        <v>113</v>
      </c>
      <c r="E40" s="38">
        <f t="shared" si="0"/>
        <v>5.0000000000000001E-3</v>
      </c>
      <c r="F40" s="38">
        <v>1</v>
      </c>
      <c r="G40" s="38">
        <f>IF(prodnorm44&gt;0,1/ROUND(prodnorm44,4),0)</f>
        <v>0</v>
      </c>
      <c r="H40" s="40">
        <f>ROUND(dagwerk44,4+2)</f>
        <v>0</v>
      </c>
      <c r="I40" s="41">
        <f>ROUND(uurtarief44,2)</f>
        <v>0</v>
      </c>
      <c r="J40" s="38">
        <v>450.29999999999995</v>
      </c>
      <c r="K40" s="38">
        <v>280.44</v>
      </c>
      <c r="L40" s="38">
        <v>56.339999999999996</v>
      </c>
      <c r="M40" s="38">
        <v>777.91999999999985</v>
      </c>
      <c r="N40" s="38">
        <v>644.16</v>
      </c>
      <c r="O40" s="38">
        <v>1750.17</v>
      </c>
      <c r="P40" s="38">
        <v>880.2</v>
      </c>
      <c r="Q40" s="38">
        <v>0</v>
      </c>
      <c r="R40" s="38">
        <v>483.5</v>
      </c>
      <c r="S40" s="38">
        <v>446.12</v>
      </c>
      <c r="T40" s="38">
        <v>220.73000000000002</v>
      </c>
      <c r="U40" s="38">
        <v>611.5</v>
      </c>
      <c r="V40" s="38">
        <v>0</v>
      </c>
    </row>
    <row r="41" spans="1:22" x14ac:dyDescent="0.2">
      <c r="A41" s="42" t="s">
        <v>139</v>
      </c>
      <c r="B41" s="43"/>
      <c r="C41" s="43"/>
      <c r="D41" s="43"/>
      <c r="E41" s="43"/>
      <c r="F41" s="43"/>
      <c r="G41" s="43"/>
      <c r="H41" s="43"/>
      <c r="I41" s="43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</sheetData>
  <pageMargins left="0.7" right="0.7" top="0.75" bottom="0.75" header="0.3" footer="0.3"/>
  <pageSetup paperSize="9" scale="70" orientation="landscape" r:id="rId1"/>
  <headerFooter>
    <oddFooter>&amp;LStichting Proominent EA 2022                                &amp;ROpmaakdatum: 13-06-2022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8835-4A19-4880-BDC9-724509BE5EB0}">
  <dimension ref="A1:R24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14" width="12.125" customWidth="1"/>
    <col min="15" max="16" width="12.625" customWidth="1"/>
    <col min="17" max="18" width="13.625" customWidth="1"/>
  </cols>
  <sheetData>
    <row r="1" spans="1:18" x14ac:dyDescent="0.2">
      <c r="A1" s="1" t="str">
        <f>CONCATENATE("Bijlage H.3: ",tabeltype," objecten")</f>
        <v>Bijlage H.3: Invultabel objecten</v>
      </c>
    </row>
    <row r="3" spans="1:18" ht="51" x14ac:dyDescent="0.2">
      <c r="A3" s="8" t="s">
        <v>163</v>
      </c>
      <c r="B3" s="8" t="s">
        <v>164</v>
      </c>
      <c r="C3" s="8" t="s">
        <v>165</v>
      </c>
      <c r="D3" s="8" t="s">
        <v>166</v>
      </c>
      <c r="E3" s="8" t="s">
        <v>7</v>
      </c>
      <c r="F3" s="8" t="s">
        <v>167</v>
      </c>
      <c r="G3" s="8" t="s">
        <v>168</v>
      </c>
      <c r="H3" s="8" t="s">
        <v>169</v>
      </c>
      <c r="I3" s="8" t="s">
        <v>170</v>
      </c>
      <c r="J3" s="8" t="s">
        <v>171</v>
      </c>
      <c r="K3" s="8" t="s">
        <v>172</v>
      </c>
      <c r="L3" s="8" t="s">
        <v>173</v>
      </c>
      <c r="M3" s="8" t="s">
        <v>174</v>
      </c>
      <c r="N3" s="8" t="s">
        <v>175</v>
      </c>
      <c r="O3" s="8" t="s">
        <v>176</v>
      </c>
      <c r="P3" s="8" t="s">
        <v>110</v>
      </c>
      <c r="Q3" s="8" t="s">
        <v>177</v>
      </c>
      <c r="R3" s="8" t="s">
        <v>178</v>
      </c>
    </row>
    <row r="4" spans="1:18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8" x14ac:dyDescent="0.2">
      <c r="A5" s="12" t="s">
        <v>36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1:18" x14ac:dyDescent="0.2">
      <c r="A6" s="15" t="s">
        <v>179</v>
      </c>
      <c r="B6" s="15" t="s">
        <v>180</v>
      </c>
      <c r="C6" s="15" t="s">
        <v>181</v>
      </c>
      <c r="D6" s="15" t="s">
        <v>182</v>
      </c>
      <c r="E6" s="53" t="s">
        <v>11</v>
      </c>
      <c r="F6" s="54">
        <f t="shared" ref="F6:F18" si="0">gemuurtarief1</f>
        <v>0</v>
      </c>
      <c r="G6" s="30">
        <f>SUMPRODUCT(taakfreqtabel1,uurfactortabel1,kengetaltabel1,object1_opptabel1)*(1/VLOOKUP(E6,dagsoorttabel1,2,FALSE))</f>
        <v>0</v>
      </c>
      <c r="H6" s="30">
        <f>SUMPRODUCT(dagwerktabel1,taakfreqtabel1,uurfactortabel1,kengetaltabel1,object1_opptabel1)*(1/VLOOKUP(E6,dagsoorttabel1,2,FALSE))</f>
        <v>0</v>
      </c>
      <c r="I6" s="55"/>
      <c r="J6" s="30">
        <f t="shared" ref="J6:J18" si="1">H6+I6</f>
        <v>0</v>
      </c>
      <c r="K6" s="30">
        <f t="shared" ref="K6:K18" si="2">G6+I6</f>
        <v>0</v>
      </c>
      <c r="L6" s="33">
        <f>SUMPRODUCT(taakfreqtabel1,kengetaltabel1,tarieftabel1,object1_opptabel1)*(1/VLOOKUP(E6,dagsoorttabel1,2,FALSE))</f>
        <v>0</v>
      </c>
      <c r="M6" s="33">
        <f t="shared" ref="M6:M18" si="3">F6*I6</f>
        <v>0</v>
      </c>
      <c r="N6" s="33">
        <f t="shared" ref="N6:N18" si="4">SUM(L6:M6)</f>
        <v>0</v>
      </c>
      <c r="O6" s="30">
        <f t="shared" ref="O6:O18" si="5">J6*dagenperjaar1*VLOOKUP(E6,dagsoorttabel1,2,FALSE)</f>
        <v>0</v>
      </c>
      <c r="P6" s="30">
        <f t="shared" ref="P6:P18" si="6">K6*dagenperjaar1*VLOOKUP(E6,dagsoorttabel1,2,FALSE)</f>
        <v>0</v>
      </c>
      <c r="Q6" s="33">
        <f t="shared" ref="Q6:Q18" si="7">N6*dagenperjaar1*VLOOKUP(E6,dagsoorttabel1,2,FALSE)</f>
        <v>0</v>
      </c>
      <c r="R6" s="33">
        <f t="shared" ref="R6:R18" si="8">Q6/12</f>
        <v>0</v>
      </c>
    </row>
    <row r="7" spans="1:18" x14ac:dyDescent="0.2">
      <c r="A7" s="20" t="s">
        <v>183</v>
      </c>
      <c r="B7" s="20" t="s">
        <v>184</v>
      </c>
      <c r="C7" s="20" t="s">
        <v>185</v>
      </c>
      <c r="D7" s="20" t="s">
        <v>182</v>
      </c>
      <c r="E7" s="56" t="s">
        <v>11</v>
      </c>
      <c r="F7" s="57">
        <f t="shared" si="0"/>
        <v>0</v>
      </c>
      <c r="G7" s="34">
        <f>SUMPRODUCT(taakfreqtabel1,uurfactortabel1,kengetaltabel1,object2_opptabel1)*(1/VLOOKUP(E7,dagsoorttabel1,2,FALSE))</f>
        <v>0</v>
      </c>
      <c r="H7" s="34">
        <f>SUMPRODUCT(dagwerktabel1,taakfreqtabel1,uurfactortabel1,kengetaltabel1,object2_opptabel1)*(1/VLOOKUP(E7,dagsoorttabel1,2,FALSE))</f>
        <v>0</v>
      </c>
      <c r="I7" s="58"/>
      <c r="J7" s="34">
        <f t="shared" si="1"/>
        <v>0</v>
      </c>
      <c r="K7" s="34">
        <f t="shared" si="2"/>
        <v>0</v>
      </c>
      <c r="L7" s="37">
        <f>SUMPRODUCT(taakfreqtabel1,kengetaltabel1,tarieftabel1,object2_opptabel1)*(1/VLOOKUP(E7,dagsoorttabel1,2,FALSE))</f>
        <v>0</v>
      </c>
      <c r="M7" s="37">
        <f t="shared" si="3"/>
        <v>0</v>
      </c>
      <c r="N7" s="37">
        <f t="shared" si="4"/>
        <v>0</v>
      </c>
      <c r="O7" s="34">
        <f t="shared" si="5"/>
        <v>0</v>
      </c>
      <c r="P7" s="34">
        <f t="shared" si="6"/>
        <v>0</v>
      </c>
      <c r="Q7" s="37">
        <f t="shared" si="7"/>
        <v>0</v>
      </c>
      <c r="R7" s="37">
        <f t="shared" si="8"/>
        <v>0</v>
      </c>
    </row>
    <row r="8" spans="1:18" x14ac:dyDescent="0.2">
      <c r="A8" s="20" t="s">
        <v>186</v>
      </c>
      <c r="B8" s="20" t="s">
        <v>187</v>
      </c>
      <c r="C8" s="20" t="s">
        <v>188</v>
      </c>
      <c r="D8" s="20" t="s">
        <v>182</v>
      </c>
      <c r="E8" s="56" t="s">
        <v>11</v>
      </c>
      <c r="F8" s="57">
        <f t="shared" si="0"/>
        <v>0</v>
      </c>
      <c r="G8" s="34">
        <f>SUMPRODUCT(taakfreqtabel1,uurfactortabel1,kengetaltabel1,object3_opptabel1)*(1/VLOOKUP(E8,dagsoorttabel1,2,FALSE))</f>
        <v>0</v>
      </c>
      <c r="H8" s="34">
        <f>SUMPRODUCT(dagwerktabel1,taakfreqtabel1,uurfactortabel1,kengetaltabel1,object3_opptabel1)*(1/VLOOKUP(E8,dagsoorttabel1,2,FALSE))</f>
        <v>0</v>
      </c>
      <c r="I8" s="58"/>
      <c r="J8" s="34">
        <f t="shared" si="1"/>
        <v>0</v>
      </c>
      <c r="K8" s="34">
        <f t="shared" si="2"/>
        <v>0</v>
      </c>
      <c r="L8" s="37">
        <f>SUMPRODUCT(taakfreqtabel1,kengetaltabel1,tarieftabel1,object3_opptabel1)*(1/VLOOKUP(E8,dagsoorttabel1,2,FALSE))</f>
        <v>0</v>
      </c>
      <c r="M8" s="37">
        <f t="shared" si="3"/>
        <v>0</v>
      </c>
      <c r="N8" s="37">
        <f t="shared" si="4"/>
        <v>0</v>
      </c>
      <c r="O8" s="34">
        <f t="shared" si="5"/>
        <v>0</v>
      </c>
      <c r="P8" s="34">
        <f t="shared" si="6"/>
        <v>0</v>
      </c>
      <c r="Q8" s="37">
        <f t="shared" si="7"/>
        <v>0</v>
      </c>
      <c r="R8" s="37">
        <f t="shared" si="8"/>
        <v>0</v>
      </c>
    </row>
    <row r="9" spans="1:18" x14ac:dyDescent="0.2">
      <c r="A9" s="20" t="s">
        <v>189</v>
      </c>
      <c r="B9" s="20" t="s">
        <v>190</v>
      </c>
      <c r="C9" s="20" t="s">
        <v>191</v>
      </c>
      <c r="D9" s="20" t="s">
        <v>182</v>
      </c>
      <c r="E9" s="56" t="s">
        <v>11</v>
      </c>
      <c r="F9" s="57">
        <f t="shared" si="0"/>
        <v>0</v>
      </c>
      <c r="G9" s="34">
        <f>SUMPRODUCT(taakfreqtabel1,uurfactortabel1,kengetaltabel1,object4_opptabel1)*(1/VLOOKUP(E9,dagsoorttabel1,2,FALSE))</f>
        <v>0</v>
      </c>
      <c r="H9" s="34">
        <f>SUMPRODUCT(dagwerktabel1,taakfreqtabel1,uurfactortabel1,kengetaltabel1,object4_opptabel1)*(1/VLOOKUP(E9,dagsoorttabel1,2,FALSE))</f>
        <v>0</v>
      </c>
      <c r="I9" s="58"/>
      <c r="J9" s="34">
        <f t="shared" si="1"/>
        <v>0</v>
      </c>
      <c r="K9" s="34">
        <f t="shared" si="2"/>
        <v>0</v>
      </c>
      <c r="L9" s="37">
        <f>SUMPRODUCT(taakfreqtabel1,kengetaltabel1,tarieftabel1,object4_opptabel1)*(1/VLOOKUP(E9,dagsoorttabel1,2,FALSE))</f>
        <v>0</v>
      </c>
      <c r="M9" s="37">
        <f t="shared" si="3"/>
        <v>0</v>
      </c>
      <c r="N9" s="37">
        <f t="shared" si="4"/>
        <v>0</v>
      </c>
      <c r="O9" s="34">
        <f t="shared" si="5"/>
        <v>0</v>
      </c>
      <c r="P9" s="34">
        <f t="shared" si="6"/>
        <v>0</v>
      </c>
      <c r="Q9" s="37">
        <f t="shared" si="7"/>
        <v>0</v>
      </c>
      <c r="R9" s="37">
        <f t="shared" si="8"/>
        <v>0</v>
      </c>
    </row>
    <row r="10" spans="1:18" x14ac:dyDescent="0.2">
      <c r="A10" s="20" t="s">
        <v>192</v>
      </c>
      <c r="B10" s="20" t="s">
        <v>193</v>
      </c>
      <c r="C10" s="20" t="s">
        <v>194</v>
      </c>
      <c r="D10" s="20" t="s">
        <v>182</v>
      </c>
      <c r="E10" s="56" t="s">
        <v>11</v>
      </c>
      <c r="F10" s="57">
        <f t="shared" si="0"/>
        <v>0</v>
      </c>
      <c r="G10" s="34">
        <f>SUMPRODUCT(taakfreqtabel1,uurfactortabel1,kengetaltabel1,object5_opptabel1)*(1/VLOOKUP(E10,dagsoorttabel1,2,FALSE))</f>
        <v>0</v>
      </c>
      <c r="H10" s="34">
        <f>SUMPRODUCT(dagwerktabel1,taakfreqtabel1,uurfactortabel1,kengetaltabel1,object5_opptabel1)*(1/VLOOKUP(E10,dagsoorttabel1,2,FALSE))</f>
        <v>0</v>
      </c>
      <c r="I10" s="58"/>
      <c r="J10" s="34">
        <f t="shared" si="1"/>
        <v>0</v>
      </c>
      <c r="K10" s="34">
        <f t="shared" si="2"/>
        <v>0</v>
      </c>
      <c r="L10" s="37">
        <f>SUMPRODUCT(taakfreqtabel1,kengetaltabel1,tarieftabel1,object5_opptabel1)*(1/VLOOKUP(E10,dagsoorttabel1,2,FALSE))</f>
        <v>0</v>
      </c>
      <c r="M10" s="37">
        <f t="shared" si="3"/>
        <v>0</v>
      </c>
      <c r="N10" s="37">
        <f t="shared" si="4"/>
        <v>0</v>
      </c>
      <c r="O10" s="34">
        <f t="shared" si="5"/>
        <v>0</v>
      </c>
      <c r="P10" s="34">
        <f t="shared" si="6"/>
        <v>0</v>
      </c>
      <c r="Q10" s="37">
        <f t="shared" si="7"/>
        <v>0</v>
      </c>
      <c r="R10" s="37">
        <f t="shared" si="8"/>
        <v>0</v>
      </c>
    </row>
    <row r="11" spans="1:18" x14ac:dyDescent="0.2">
      <c r="A11" s="20" t="s">
        <v>195</v>
      </c>
      <c r="B11" s="20" t="s">
        <v>196</v>
      </c>
      <c r="C11" s="20" t="s">
        <v>197</v>
      </c>
      <c r="D11" s="20" t="s">
        <v>182</v>
      </c>
      <c r="E11" s="56" t="s">
        <v>11</v>
      </c>
      <c r="F11" s="57">
        <f t="shared" si="0"/>
        <v>0</v>
      </c>
      <c r="G11" s="34">
        <f>SUMPRODUCT(taakfreqtabel1,uurfactortabel1,kengetaltabel1,object6_opptabel1)*(1/VLOOKUP(E11,dagsoorttabel1,2,FALSE))</f>
        <v>0</v>
      </c>
      <c r="H11" s="34">
        <f>SUMPRODUCT(dagwerktabel1,taakfreqtabel1,uurfactortabel1,kengetaltabel1,object6_opptabel1)*(1/VLOOKUP(E11,dagsoorttabel1,2,FALSE))</f>
        <v>0</v>
      </c>
      <c r="I11" s="58"/>
      <c r="J11" s="34">
        <f t="shared" si="1"/>
        <v>0</v>
      </c>
      <c r="K11" s="34">
        <f t="shared" si="2"/>
        <v>0</v>
      </c>
      <c r="L11" s="37">
        <f>SUMPRODUCT(taakfreqtabel1,kengetaltabel1,tarieftabel1,object6_opptabel1)*(1/VLOOKUP(E11,dagsoorttabel1,2,FALSE))</f>
        <v>0</v>
      </c>
      <c r="M11" s="37">
        <f t="shared" si="3"/>
        <v>0</v>
      </c>
      <c r="N11" s="37">
        <f t="shared" si="4"/>
        <v>0</v>
      </c>
      <c r="O11" s="34">
        <f t="shared" si="5"/>
        <v>0</v>
      </c>
      <c r="P11" s="34">
        <f t="shared" si="6"/>
        <v>0</v>
      </c>
      <c r="Q11" s="37">
        <f t="shared" si="7"/>
        <v>0</v>
      </c>
      <c r="R11" s="37">
        <f t="shared" si="8"/>
        <v>0</v>
      </c>
    </row>
    <row r="12" spans="1:18" x14ac:dyDescent="0.2">
      <c r="A12" s="20" t="s">
        <v>198</v>
      </c>
      <c r="B12" s="20" t="s">
        <v>199</v>
      </c>
      <c r="C12" s="20" t="s">
        <v>200</v>
      </c>
      <c r="D12" s="20" t="s">
        <v>182</v>
      </c>
      <c r="E12" s="56" t="s">
        <v>11</v>
      </c>
      <c r="F12" s="57">
        <f t="shared" si="0"/>
        <v>0</v>
      </c>
      <c r="G12" s="34">
        <f>SUMPRODUCT(taakfreqtabel1,uurfactortabel1,kengetaltabel1,object7_opptabel1)*(1/VLOOKUP(E12,dagsoorttabel1,2,FALSE))</f>
        <v>0</v>
      </c>
      <c r="H12" s="34">
        <f>SUMPRODUCT(dagwerktabel1,taakfreqtabel1,uurfactortabel1,kengetaltabel1,object7_opptabel1)*(1/VLOOKUP(E12,dagsoorttabel1,2,FALSE))</f>
        <v>0</v>
      </c>
      <c r="I12" s="58"/>
      <c r="J12" s="34">
        <f t="shared" si="1"/>
        <v>0</v>
      </c>
      <c r="K12" s="34">
        <f t="shared" si="2"/>
        <v>0</v>
      </c>
      <c r="L12" s="37">
        <f>SUMPRODUCT(taakfreqtabel1,kengetaltabel1,tarieftabel1,object7_opptabel1)*(1/VLOOKUP(E12,dagsoorttabel1,2,FALSE))</f>
        <v>0</v>
      </c>
      <c r="M12" s="37">
        <f t="shared" si="3"/>
        <v>0</v>
      </c>
      <c r="N12" s="37">
        <f t="shared" si="4"/>
        <v>0</v>
      </c>
      <c r="O12" s="34">
        <f t="shared" si="5"/>
        <v>0</v>
      </c>
      <c r="P12" s="34">
        <f t="shared" si="6"/>
        <v>0</v>
      </c>
      <c r="Q12" s="37">
        <f t="shared" si="7"/>
        <v>0</v>
      </c>
      <c r="R12" s="37">
        <f t="shared" si="8"/>
        <v>0</v>
      </c>
    </row>
    <row r="13" spans="1:18" x14ac:dyDescent="0.2">
      <c r="A13" s="20" t="s">
        <v>201</v>
      </c>
      <c r="B13" s="20" t="s">
        <v>202</v>
      </c>
      <c r="C13" s="20" t="s">
        <v>203</v>
      </c>
      <c r="D13" s="20" t="s">
        <v>204</v>
      </c>
      <c r="E13" s="56" t="s">
        <v>11</v>
      </c>
      <c r="F13" s="57">
        <f t="shared" si="0"/>
        <v>0</v>
      </c>
      <c r="G13" s="34">
        <f>SUMPRODUCT(taakfreqtabel1,uurfactortabel1,kengetaltabel1,object8_opptabel1)*(1/VLOOKUP(E13,dagsoorttabel1,2,FALSE))</f>
        <v>0</v>
      </c>
      <c r="H13" s="34">
        <f>SUMPRODUCT(dagwerktabel1,taakfreqtabel1,uurfactortabel1,kengetaltabel1,object8_opptabel1)*(1/VLOOKUP(E13,dagsoorttabel1,2,FALSE))</f>
        <v>0</v>
      </c>
      <c r="I13" s="58"/>
      <c r="J13" s="34">
        <f t="shared" si="1"/>
        <v>0</v>
      </c>
      <c r="K13" s="34">
        <f t="shared" si="2"/>
        <v>0</v>
      </c>
      <c r="L13" s="37">
        <f>SUMPRODUCT(taakfreqtabel1,kengetaltabel1,tarieftabel1,object8_opptabel1)*(1/VLOOKUP(E13,dagsoorttabel1,2,FALSE))</f>
        <v>0</v>
      </c>
      <c r="M13" s="37">
        <f t="shared" si="3"/>
        <v>0</v>
      </c>
      <c r="N13" s="37">
        <f t="shared" si="4"/>
        <v>0</v>
      </c>
      <c r="O13" s="34">
        <f t="shared" si="5"/>
        <v>0</v>
      </c>
      <c r="P13" s="34">
        <f t="shared" si="6"/>
        <v>0</v>
      </c>
      <c r="Q13" s="37">
        <f t="shared" si="7"/>
        <v>0</v>
      </c>
      <c r="R13" s="37">
        <f t="shared" si="8"/>
        <v>0</v>
      </c>
    </row>
    <row r="14" spans="1:18" x14ac:dyDescent="0.2">
      <c r="A14" s="20" t="s">
        <v>205</v>
      </c>
      <c r="B14" s="20" t="s">
        <v>206</v>
      </c>
      <c r="C14" s="20" t="s">
        <v>207</v>
      </c>
      <c r="D14" s="20" t="s">
        <v>208</v>
      </c>
      <c r="E14" s="56" t="s">
        <v>11</v>
      </c>
      <c r="F14" s="57">
        <f t="shared" si="0"/>
        <v>0</v>
      </c>
      <c r="G14" s="34">
        <f>SUMPRODUCT(taakfreqtabel1,uurfactortabel1,kengetaltabel1,object9_opptabel1)*(1/VLOOKUP(E14,dagsoorttabel1,2,FALSE))</f>
        <v>0</v>
      </c>
      <c r="H14" s="34">
        <f>SUMPRODUCT(dagwerktabel1,taakfreqtabel1,uurfactortabel1,kengetaltabel1,object9_opptabel1)*(1/VLOOKUP(E14,dagsoorttabel1,2,FALSE))</f>
        <v>0</v>
      </c>
      <c r="I14" s="58"/>
      <c r="J14" s="34">
        <f t="shared" si="1"/>
        <v>0</v>
      </c>
      <c r="K14" s="34">
        <f t="shared" si="2"/>
        <v>0</v>
      </c>
      <c r="L14" s="37">
        <f>SUMPRODUCT(taakfreqtabel1,kengetaltabel1,tarieftabel1,object9_opptabel1)*(1/VLOOKUP(E14,dagsoorttabel1,2,FALSE))</f>
        <v>0</v>
      </c>
      <c r="M14" s="37">
        <f t="shared" si="3"/>
        <v>0</v>
      </c>
      <c r="N14" s="37">
        <f t="shared" si="4"/>
        <v>0</v>
      </c>
      <c r="O14" s="34">
        <f t="shared" si="5"/>
        <v>0</v>
      </c>
      <c r="P14" s="34">
        <f t="shared" si="6"/>
        <v>0</v>
      </c>
      <c r="Q14" s="37">
        <f t="shared" si="7"/>
        <v>0</v>
      </c>
      <c r="R14" s="37">
        <f t="shared" si="8"/>
        <v>0</v>
      </c>
    </row>
    <row r="15" spans="1:18" x14ac:dyDescent="0.2">
      <c r="A15" s="20" t="s">
        <v>209</v>
      </c>
      <c r="B15" s="20" t="s">
        <v>210</v>
      </c>
      <c r="C15" s="20" t="s">
        <v>211</v>
      </c>
      <c r="D15" s="20" t="s">
        <v>212</v>
      </c>
      <c r="E15" s="56" t="s">
        <v>11</v>
      </c>
      <c r="F15" s="57">
        <f t="shared" si="0"/>
        <v>0</v>
      </c>
      <c r="G15" s="34">
        <f>SUMPRODUCT(taakfreqtabel1,uurfactortabel1,kengetaltabel1,object10_opptabel1)*(1/VLOOKUP(E15,dagsoorttabel1,2,FALSE))</f>
        <v>0</v>
      </c>
      <c r="H15" s="34">
        <f>SUMPRODUCT(dagwerktabel1,taakfreqtabel1,uurfactortabel1,kengetaltabel1,object10_opptabel1)*(1/VLOOKUP(E15,dagsoorttabel1,2,FALSE))</f>
        <v>0</v>
      </c>
      <c r="I15" s="58"/>
      <c r="J15" s="34">
        <f t="shared" si="1"/>
        <v>0</v>
      </c>
      <c r="K15" s="34">
        <f t="shared" si="2"/>
        <v>0</v>
      </c>
      <c r="L15" s="37">
        <f>SUMPRODUCT(taakfreqtabel1,kengetaltabel1,tarieftabel1,object10_opptabel1)*(1/VLOOKUP(E15,dagsoorttabel1,2,FALSE))</f>
        <v>0</v>
      </c>
      <c r="M15" s="37">
        <f t="shared" si="3"/>
        <v>0</v>
      </c>
      <c r="N15" s="37">
        <f t="shared" si="4"/>
        <v>0</v>
      </c>
      <c r="O15" s="34">
        <f t="shared" si="5"/>
        <v>0</v>
      </c>
      <c r="P15" s="34">
        <f t="shared" si="6"/>
        <v>0</v>
      </c>
      <c r="Q15" s="37">
        <f t="shared" si="7"/>
        <v>0</v>
      </c>
      <c r="R15" s="37">
        <f t="shared" si="8"/>
        <v>0</v>
      </c>
    </row>
    <row r="16" spans="1:18" x14ac:dyDescent="0.2">
      <c r="A16" s="20" t="s">
        <v>213</v>
      </c>
      <c r="B16" s="20" t="s">
        <v>214</v>
      </c>
      <c r="C16" s="20" t="s">
        <v>215</v>
      </c>
      <c r="D16" s="20" t="s">
        <v>216</v>
      </c>
      <c r="E16" s="56" t="s">
        <v>11</v>
      </c>
      <c r="F16" s="57">
        <f t="shared" si="0"/>
        <v>0</v>
      </c>
      <c r="G16" s="34">
        <f>SUMPRODUCT(taakfreqtabel1,uurfactortabel1,kengetaltabel1,object11_opptabel1)*(1/VLOOKUP(E16,dagsoorttabel1,2,FALSE))</f>
        <v>0</v>
      </c>
      <c r="H16" s="34">
        <f>SUMPRODUCT(dagwerktabel1,taakfreqtabel1,uurfactortabel1,kengetaltabel1,object11_opptabel1)*(1/VLOOKUP(E16,dagsoorttabel1,2,FALSE))</f>
        <v>0</v>
      </c>
      <c r="I16" s="58"/>
      <c r="J16" s="34">
        <f t="shared" si="1"/>
        <v>0</v>
      </c>
      <c r="K16" s="34">
        <f t="shared" si="2"/>
        <v>0</v>
      </c>
      <c r="L16" s="37">
        <f>SUMPRODUCT(taakfreqtabel1,kengetaltabel1,tarieftabel1,object11_opptabel1)*(1/VLOOKUP(E16,dagsoorttabel1,2,FALSE))</f>
        <v>0</v>
      </c>
      <c r="M16" s="37">
        <f t="shared" si="3"/>
        <v>0</v>
      </c>
      <c r="N16" s="37">
        <f t="shared" si="4"/>
        <v>0</v>
      </c>
      <c r="O16" s="34">
        <f t="shared" si="5"/>
        <v>0</v>
      </c>
      <c r="P16" s="34">
        <f t="shared" si="6"/>
        <v>0</v>
      </c>
      <c r="Q16" s="37">
        <f t="shared" si="7"/>
        <v>0</v>
      </c>
      <c r="R16" s="37">
        <f t="shared" si="8"/>
        <v>0</v>
      </c>
    </row>
    <row r="17" spans="1:18" x14ac:dyDescent="0.2">
      <c r="A17" s="20" t="s">
        <v>217</v>
      </c>
      <c r="B17" s="20" t="s">
        <v>218</v>
      </c>
      <c r="C17" s="20" t="s">
        <v>219</v>
      </c>
      <c r="D17" s="20" t="s">
        <v>182</v>
      </c>
      <c r="E17" s="56" t="s">
        <v>11</v>
      </c>
      <c r="F17" s="57">
        <f t="shared" si="0"/>
        <v>0</v>
      </c>
      <c r="G17" s="34">
        <f>SUMPRODUCT(taakfreqtabel1,uurfactortabel1,kengetaltabel1,object12_opptabel1)*(1/VLOOKUP(E17,dagsoorttabel1,2,FALSE))</f>
        <v>0</v>
      </c>
      <c r="H17" s="34">
        <f>SUMPRODUCT(dagwerktabel1,taakfreqtabel1,uurfactortabel1,kengetaltabel1,object12_opptabel1)*(1/VLOOKUP(E17,dagsoorttabel1,2,FALSE))</f>
        <v>0</v>
      </c>
      <c r="I17" s="58"/>
      <c r="J17" s="34">
        <f t="shared" si="1"/>
        <v>0</v>
      </c>
      <c r="K17" s="34">
        <f t="shared" si="2"/>
        <v>0</v>
      </c>
      <c r="L17" s="37">
        <f>SUMPRODUCT(taakfreqtabel1,kengetaltabel1,tarieftabel1,object12_opptabel1)*(1/VLOOKUP(E17,dagsoorttabel1,2,FALSE))</f>
        <v>0</v>
      </c>
      <c r="M17" s="37">
        <f t="shared" si="3"/>
        <v>0</v>
      </c>
      <c r="N17" s="37">
        <f t="shared" si="4"/>
        <v>0</v>
      </c>
      <c r="O17" s="34">
        <f t="shared" si="5"/>
        <v>0</v>
      </c>
      <c r="P17" s="34">
        <f t="shared" si="6"/>
        <v>0</v>
      </c>
      <c r="Q17" s="37">
        <f t="shared" si="7"/>
        <v>0</v>
      </c>
      <c r="R17" s="37">
        <f t="shared" si="8"/>
        <v>0</v>
      </c>
    </row>
    <row r="18" spans="1:18" x14ac:dyDescent="0.2">
      <c r="A18" s="25" t="s">
        <v>220</v>
      </c>
      <c r="B18" s="25" t="s">
        <v>221</v>
      </c>
      <c r="C18" s="25" t="s">
        <v>222</v>
      </c>
      <c r="D18" s="25" t="s">
        <v>182</v>
      </c>
      <c r="E18" s="59" t="s">
        <v>11</v>
      </c>
      <c r="F18" s="60">
        <f t="shared" si="0"/>
        <v>0</v>
      </c>
      <c r="G18" s="38">
        <f>SUMPRODUCT(taakfreqtabel1,uurfactortabel1,kengetaltabel1,object13_opptabel1)*(1/VLOOKUP(E18,dagsoorttabel1,2,FALSE))</f>
        <v>0</v>
      </c>
      <c r="H18" s="38">
        <f>SUMPRODUCT(dagwerktabel1,taakfreqtabel1,uurfactortabel1,kengetaltabel1,object13_opptabel1)*(1/VLOOKUP(E18,dagsoorttabel1,2,FALSE))</f>
        <v>0</v>
      </c>
      <c r="I18" s="61"/>
      <c r="J18" s="38">
        <f t="shared" si="1"/>
        <v>0</v>
      </c>
      <c r="K18" s="38">
        <f t="shared" si="2"/>
        <v>0</v>
      </c>
      <c r="L18" s="41">
        <f>SUMPRODUCT(taakfreqtabel1,kengetaltabel1,tarieftabel1,object13_opptabel1)*(1/VLOOKUP(E18,dagsoorttabel1,2,FALSE))</f>
        <v>0</v>
      </c>
      <c r="M18" s="41">
        <f t="shared" si="3"/>
        <v>0</v>
      </c>
      <c r="N18" s="41">
        <f t="shared" si="4"/>
        <v>0</v>
      </c>
      <c r="O18" s="38">
        <f t="shared" si="5"/>
        <v>0</v>
      </c>
      <c r="P18" s="38">
        <f t="shared" si="6"/>
        <v>0</v>
      </c>
      <c r="Q18" s="41">
        <f t="shared" si="7"/>
        <v>0</v>
      </c>
      <c r="R18" s="41">
        <f t="shared" si="8"/>
        <v>0</v>
      </c>
    </row>
    <row r="19" spans="1:18" x14ac:dyDescent="0.2">
      <c r="A19" s="42" t="s">
        <v>139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4">
        <f>SUM(O6:O18)</f>
        <v>0</v>
      </c>
      <c r="P19" s="44">
        <f>SUM(P6:P18)</f>
        <v>0</v>
      </c>
      <c r="Q19" s="45">
        <f>SUM(Q6:Q18)</f>
        <v>0</v>
      </c>
      <c r="R19" s="46">
        <f>SUM(R6:R18)</f>
        <v>0</v>
      </c>
    </row>
    <row r="20" spans="1:18" x14ac:dyDescent="0.2">
      <c r="A20" s="47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8"/>
    </row>
    <row r="22" spans="1:18" x14ac:dyDescent="0.2">
      <c r="A22" s="42" t="s">
        <v>223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4">
        <f>urenjaartotaalhf1</f>
        <v>0</v>
      </c>
      <c r="P22" s="44">
        <f>urenjaartotaal1</f>
        <v>0</v>
      </c>
      <c r="Q22" s="45">
        <f>prijsjaartotaal1</f>
        <v>0</v>
      </c>
      <c r="R22" s="45">
        <f>prijsmaandtotaal1</f>
        <v>0</v>
      </c>
    </row>
    <row r="24" spans="1:18" x14ac:dyDescent="0.2">
      <c r="A24" s="42" t="s">
        <v>224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5">
        <f>Q22*1.21</f>
        <v>0</v>
      </c>
      <c r="R24" s="45">
        <f>R22*1.21</f>
        <v>0</v>
      </c>
    </row>
  </sheetData>
  <pageMargins left="0.7" right="0.7" top="0.75" bottom="0.75" header="0.3" footer="0.3"/>
  <pageSetup paperSize="9" scale="65" orientation="landscape" r:id="rId1"/>
  <headerFooter>
    <oddFooter>&amp;LStichting Proominent EA 2022                                &amp;ROpmaakdatum: 13-06-2022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5B802-6522-4572-992A-6E6A62816A98}">
  <dimension ref="A1:K143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40.625" customWidth="1"/>
    <col min="5" max="5" width="11.625" customWidth="1"/>
    <col min="6" max="7" width="14.625" customWidth="1"/>
    <col min="8" max="8" width="12.625" customWidth="1"/>
    <col min="9" max="10" width="14.625" customWidth="1"/>
    <col min="11" max="11" width="13.625" customWidth="1"/>
  </cols>
  <sheetData>
    <row r="1" spans="1:11" x14ac:dyDescent="0.2">
      <c r="A1" s="1" t="str">
        <f>CONCATENATE("Bijlage H.4: ",tabeltype," niet-meewerkende objectleiding")</f>
        <v>Bijlage H.4: Invultabel niet-meewerkende objectleiding</v>
      </c>
    </row>
    <row r="3" spans="1:11" ht="38.25" x14ac:dyDescent="0.2">
      <c r="A3" s="8" t="s">
        <v>225</v>
      </c>
      <c r="B3" s="8" t="s">
        <v>7</v>
      </c>
      <c r="C3" s="8" t="s">
        <v>226</v>
      </c>
      <c r="D3" s="8" t="s">
        <v>227</v>
      </c>
      <c r="E3" s="8" t="s">
        <v>228</v>
      </c>
      <c r="F3" s="8" t="s">
        <v>229</v>
      </c>
      <c r="G3" s="8" t="s">
        <v>230</v>
      </c>
      <c r="H3" s="8" t="s">
        <v>110</v>
      </c>
      <c r="I3" s="8" t="s">
        <v>231</v>
      </c>
      <c r="J3" s="8" t="s">
        <v>232</v>
      </c>
      <c r="K3" s="8" t="s">
        <v>233</v>
      </c>
    </row>
    <row r="4" spans="1:11" x14ac:dyDescent="0.2">
      <c r="A4" s="62"/>
      <c r="B4" s="63"/>
      <c r="C4" s="63"/>
      <c r="D4" s="63"/>
      <c r="E4" s="63"/>
      <c r="F4" s="63"/>
      <c r="G4" s="63"/>
      <c r="H4" s="63"/>
      <c r="I4" s="63"/>
      <c r="J4" s="63"/>
      <c r="K4" s="64"/>
    </row>
    <row r="5" spans="1:11" x14ac:dyDescent="0.2">
      <c r="A5" s="12" t="s">
        <v>36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2">
      <c r="A7" s="65" t="s">
        <v>234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2">
      <c r="A8" s="15" t="s">
        <v>235</v>
      </c>
      <c r="B8" s="15" t="s">
        <v>11</v>
      </c>
      <c r="C8" s="16">
        <f>IF(ISBLANK(B8),0,IF(ISERROR(VALUE(B8)),VLOOKUP(B8,dagsoorttabel1,2,FALSE)*dagenperjaar1,VALUE(B8)))</f>
        <v>200</v>
      </c>
      <c r="D8" s="15" t="s">
        <v>236</v>
      </c>
      <c r="E8" s="19"/>
      <c r="F8" s="18"/>
      <c r="G8" s="66"/>
      <c r="H8" s="30">
        <f t="shared" ref="H8:H13" si="0">IF(ISBLANK(G8),0,G8*C8)+IF(ISBLANK(F8),0,F8*objecturen1_1)</f>
        <v>0</v>
      </c>
      <c r="I8" s="30">
        <f t="shared" ref="I8:I13" si="1">IF(C8=0,0,H8/C8)</f>
        <v>0</v>
      </c>
      <c r="J8" s="33">
        <f t="shared" ref="J8:J13" si="2">IF(ISBLANK(E8),0,ROUND(E8,2)*H8)</f>
        <v>0</v>
      </c>
      <c r="K8" s="33">
        <f t="shared" ref="K8:K13" si="3">J8/12</f>
        <v>0</v>
      </c>
    </row>
    <row r="9" spans="1:11" x14ac:dyDescent="0.2">
      <c r="A9" s="20" t="s">
        <v>237</v>
      </c>
      <c r="B9" s="20" t="s">
        <v>11</v>
      </c>
      <c r="C9" s="21">
        <f>IF(ISBLANK(B9),0,IF(ISERROR(VALUE(B9)),VLOOKUP(B9,dagsoorttabel1,2,FALSE)*dagenperjaar1,VALUE(B9)))</f>
        <v>200</v>
      </c>
      <c r="D9" s="20" t="s">
        <v>238</v>
      </c>
      <c r="E9" s="24"/>
      <c r="F9" s="23"/>
      <c r="G9" s="67"/>
      <c r="H9" s="34">
        <f t="shared" si="0"/>
        <v>0</v>
      </c>
      <c r="I9" s="34">
        <f t="shared" si="1"/>
        <v>0</v>
      </c>
      <c r="J9" s="37">
        <f t="shared" si="2"/>
        <v>0</v>
      </c>
      <c r="K9" s="37">
        <f t="shared" si="3"/>
        <v>0</v>
      </c>
    </row>
    <row r="10" spans="1:11" x14ac:dyDescent="0.2">
      <c r="A10" s="20"/>
      <c r="B10" s="20"/>
      <c r="C10" s="68">
        <f>dagenperjaar1</f>
        <v>200</v>
      </c>
      <c r="D10" s="69" t="s">
        <v>239</v>
      </c>
      <c r="E10" s="24"/>
      <c r="F10" s="23"/>
      <c r="G10" s="67"/>
      <c r="H10" s="34">
        <f t="shared" si="0"/>
        <v>0</v>
      </c>
      <c r="I10" s="34">
        <f t="shared" si="1"/>
        <v>0</v>
      </c>
      <c r="J10" s="37">
        <f t="shared" si="2"/>
        <v>0</v>
      </c>
      <c r="K10" s="37">
        <f t="shared" si="3"/>
        <v>0</v>
      </c>
    </row>
    <row r="11" spans="1:11" x14ac:dyDescent="0.2">
      <c r="A11" s="20"/>
      <c r="B11" s="20"/>
      <c r="C11" s="68">
        <f>dagenperjaar1</f>
        <v>200</v>
      </c>
      <c r="D11" s="69" t="s">
        <v>239</v>
      </c>
      <c r="E11" s="24"/>
      <c r="F11" s="23"/>
      <c r="G11" s="67"/>
      <c r="H11" s="34">
        <f t="shared" si="0"/>
        <v>0</v>
      </c>
      <c r="I11" s="34">
        <f t="shared" si="1"/>
        <v>0</v>
      </c>
      <c r="J11" s="37">
        <f t="shared" si="2"/>
        <v>0</v>
      </c>
      <c r="K11" s="37">
        <f t="shared" si="3"/>
        <v>0</v>
      </c>
    </row>
    <row r="12" spans="1:11" x14ac:dyDescent="0.2">
      <c r="A12" s="20"/>
      <c r="B12" s="20"/>
      <c r="C12" s="68">
        <f>dagenperjaar1</f>
        <v>200</v>
      </c>
      <c r="D12" s="69" t="s">
        <v>240</v>
      </c>
      <c r="E12" s="24"/>
      <c r="F12" s="70"/>
      <c r="G12" s="22"/>
      <c r="H12" s="34">
        <f t="shared" si="0"/>
        <v>0</v>
      </c>
      <c r="I12" s="34">
        <f t="shared" si="1"/>
        <v>0</v>
      </c>
      <c r="J12" s="37">
        <f t="shared" si="2"/>
        <v>0</v>
      </c>
      <c r="K12" s="37">
        <f t="shared" si="3"/>
        <v>0</v>
      </c>
    </row>
    <row r="13" spans="1:11" x14ac:dyDescent="0.2">
      <c r="A13" s="25"/>
      <c r="B13" s="25"/>
      <c r="C13" s="71">
        <f>dagenperjaar1</f>
        <v>200</v>
      </c>
      <c r="D13" s="72" t="s">
        <v>240</v>
      </c>
      <c r="E13" s="29"/>
      <c r="F13" s="73"/>
      <c r="G13" s="27"/>
      <c r="H13" s="38">
        <f t="shared" si="0"/>
        <v>0</v>
      </c>
      <c r="I13" s="38">
        <f t="shared" si="1"/>
        <v>0</v>
      </c>
      <c r="J13" s="41">
        <f t="shared" si="2"/>
        <v>0</v>
      </c>
      <c r="K13" s="41">
        <f t="shared" si="3"/>
        <v>0</v>
      </c>
    </row>
    <row r="14" spans="1:11" x14ac:dyDescent="0.2">
      <c r="A14" s="74" t="s">
        <v>241</v>
      </c>
      <c r="B14" s="43"/>
      <c r="C14" s="43"/>
      <c r="D14" s="43"/>
      <c r="E14" s="43"/>
      <c r="F14" s="43"/>
      <c r="G14" s="43"/>
      <c r="H14" s="44">
        <f>SUM(H8:H13)</f>
        <v>0</v>
      </c>
      <c r="I14" s="43"/>
      <c r="J14" s="45">
        <f>SUM(J8:J13)</f>
        <v>0</v>
      </c>
      <c r="K14" s="46">
        <f>SUM(K8:K13)</f>
        <v>0</v>
      </c>
    </row>
    <row r="15" spans="1:11" x14ac:dyDescent="0.2">
      <c r="A15" s="47"/>
      <c r="B15" s="43"/>
      <c r="C15" s="43"/>
      <c r="D15" s="43"/>
      <c r="E15" s="43"/>
      <c r="F15" s="43"/>
      <c r="G15" s="43"/>
      <c r="H15" s="43"/>
      <c r="I15" s="43"/>
      <c r="J15" s="43"/>
      <c r="K15" s="48"/>
    </row>
    <row r="16" spans="1:11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</row>
    <row r="17" spans="1:11" x14ac:dyDescent="0.2">
      <c r="A17" s="65" t="s">
        <v>242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</row>
    <row r="18" spans="1:11" x14ac:dyDescent="0.2">
      <c r="A18" s="15" t="s">
        <v>235</v>
      </c>
      <c r="B18" s="15" t="s">
        <v>11</v>
      </c>
      <c r="C18" s="16">
        <f>IF(ISBLANK(B18),0,IF(ISERROR(VALUE(B18)),VLOOKUP(B18,dagsoorttabel1,2,FALSE)*dagenperjaar1,VALUE(B18)))</f>
        <v>200</v>
      </c>
      <c r="D18" s="15" t="s">
        <v>236</v>
      </c>
      <c r="E18" s="19"/>
      <c r="F18" s="18"/>
      <c r="G18" s="66"/>
      <c r="H18" s="30">
        <f t="shared" ref="H18:H23" si="4">IF(ISBLANK(G18),0,G18*C18)+IF(ISBLANK(F18),0,F18*objecturen2_1)</f>
        <v>0</v>
      </c>
      <c r="I18" s="30">
        <f t="shared" ref="I18:I23" si="5">IF(C18=0,0,H18/C18)</f>
        <v>0</v>
      </c>
      <c r="J18" s="33">
        <f t="shared" ref="J18:J23" si="6">IF(ISBLANK(E18),0,ROUND(E18,2)*H18)</f>
        <v>0</v>
      </c>
      <c r="K18" s="33">
        <f t="shared" ref="K18:K23" si="7">J18/12</f>
        <v>0</v>
      </c>
    </row>
    <row r="19" spans="1:11" x14ac:dyDescent="0.2">
      <c r="A19" s="20" t="s">
        <v>237</v>
      </c>
      <c r="B19" s="20" t="s">
        <v>11</v>
      </c>
      <c r="C19" s="21">
        <f>IF(ISBLANK(B19),0,IF(ISERROR(VALUE(B19)),VLOOKUP(B19,dagsoorttabel1,2,FALSE)*dagenperjaar1,VALUE(B19)))</f>
        <v>200</v>
      </c>
      <c r="D19" s="20" t="s">
        <v>238</v>
      </c>
      <c r="E19" s="24"/>
      <c r="F19" s="23"/>
      <c r="G19" s="67"/>
      <c r="H19" s="34">
        <f t="shared" si="4"/>
        <v>0</v>
      </c>
      <c r="I19" s="34">
        <f t="shared" si="5"/>
        <v>0</v>
      </c>
      <c r="J19" s="37">
        <f t="shared" si="6"/>
        <v>0</v>
      </c>
      <c r="K19" s="37">
        <f t="shared" si="7"/>
        <v>0</v>
      </c>
    </row>
    <row r="20" spans="1:11" x14ac:dyDescent="0.2">
      <c r="A20" s="20"/>
      <c r="B20" s="20"/>
      <c r="C20" s="68">
        <f>dagenperjaar1</f>
        <v>200</v>
      </c>
      <c r="D20" s="69" t="s">
        <v>239</v>
      </c>
      <c r="E20" s="24"/>
      <c r="F20" s="23"/>
      <c r="G20" s="67"/>
      <c r="H20" s="34">
        <f t="shared" si="4"/>
        <v>0</v>
      </c>
      <c r="I20" s="34">
        <f t="shared" si="5"/>
        <v>0</v>
      </c>
      <c r="J20" s="37">
        <f t="shared" si="6"/>
        <v>0</v>
      </c>
      <c r="K20" s="37">
        <f t="shared" si="7"/>
        <v>0</v>
      </c>
    </row>
    <row r="21" spans="1:11" x14ac:dyDescent="0.2">
      <c r="A21" s="20"/>
      <c r="B21" s="20"/>
      <c r="C21" s="68">
        <f>dagenperjaar1</f>
        <v>200</v>
      </c>
      <c r="D21" s="69" t="s">
        <v>239</v>
      </c>
      <c r="E21" s="24"/>
      <c r="F21" s="23"/>
      <c r="G21" s="67"/>
      <c r="H21" s="34">
        <f t="shared" si="4"/>
        <v>0</v>
      </c>
      <c r="I21" s="34">
        <f t="shared" si="5"/>
        <v>0</v>
      </c>
      <c r="J21" s="37">
        <f t="shared" si="6"/>
        <v>0</v>
      </c>
      <c r="K21" s="37">
        <f t="shared" si="7"/>
        <v>0</v>
      </c>
    </row>
    <row r="22" spans="1:11" x14ac:dyDescent="0.2">
      <c r="A22" s="20"/>
      <c r="B22" s="20"/>
      <c r="C22" s="68">
        <f>dagenperjaar1</f>
        <v>200</v>
      </c>
      <c r="D22" s="69" t="s">
        <v>240</v>
      </c>
      <c r="E22" s="24"/>
      <c r="F22" s="70"/>
      <c r="G22" s="22"/>
      <c r="H22" s="34">
        <f t="shared" si="4"/>
        <v>0</v>
      </c>
      <c r="I22" s="34">
        <f t="shared" si="5"/>
        <v>0</v>
      </c>
      <c r="J22" s="37">
        <f t="shared" si="6"/>
        <v>0</v>
      </c>
      <c r="K22" s="37">
        <f t="shared" si="7"/>
        <v>0</v>
      </c>
    </row>
    <row r="23" spans="1:11" x14ac:dyDescent="0.2">
      <c r="A23" s="25"/>
      <c r="B23" s="25"/>
      <c r="C23" s="71">
        <f>dagenperjaar1</f>
        <v>200</v>
      </c>
      <c r="D23" s="72" t="s">
        <v>240</v>
      </c>
      <c r="E23" s="29"/>
      <c r="F23" s="73"/>
      <c r="G23" s="27"/>
      <c r="H23" s="38">
        <f t="shared" si="4"/>
        <v>0</v>
      </c>
      <c r="I23" s="38">
        <f t="shared" si="5"/>
        <v>0</v>
      </c>
      <c r="J23" s="41">
        <f t="shared" si="6"/>
        <v>0</v>
      </c>
      <c r="K23" s="41">
        <f t="shared" si="7"/>
        <v>0</v>
      </c>
    </row>
    <row r="24" spans="1:11" x14ac:dyDescent="0.2">
      <c r="A24" s="74" t="s">
        <v>243</v>
      </c>
      <c r="B24" s="43"/>
      <c r="C24" s="43"/>
      <c r="D24" s="43"/>
      <c r="E24" s="43"/>
      <c r="F24" s="43"/>
      <c r="G24" s="43"/>
      <c r="H24" s="44">
        <f>SUM(H18:H23)</f>
        <v>0</v>
      </c>
      <c r="I24" s="43"/>
      <c r="J24" s="45">
        <f>SUM(J18:J23)</f>
        <v>0</v>
      </c>
      <c r="K24" s="46">
        <f>SUM(K18:K23)</f>
        <v>0</v>
      </c>
    </row>
    <row r="25" spans="1:11" x14ac:dyDescent="0.2">
      <c r="A25" s="47"/>
      <c r="B25" s="43"/>
      <c r="C25" s="43"/>
      <c r="D25" s="43"/>
      <c r="E25" s="43"/>
      <c r="F25" s="43"/>
      <c r="G25" s="43"/>
      <c r="H25" s="43"/>
      <c r="I25" s="43"/>
      <c r="J25" s="43"/>
      <c r="K25" s="48"/>
    </row>
    <row r="26" spans="1:1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1"/>
    </row>
    <row r="27" spans="1:11" x14ac:dyDescent="0.2">
      <c r="A27" s="65" t="s">
        <v>244</v>
      </c>
      <c r="B27" s="13"/>
      <c r="C27" s="13"/>
      <c r="D27" s="13"/>
      <c r="E27" s="13"/>
      <c r="F27" s="13"/>
      <c r="G27" s="13"/>
      <c r="H27" s="13"/>
      <c r="I27" s="13"/>
      <c r="J27" s="13"/>
      <c r="K27" s="14"/>
    </row>
    <row r="28" spans="1:11" x14ac:dyDescent="0.2">
      <c r="A28" s="15" t="s">
        <v>235</v>
      </c>
      <c r="B28" s="15" t="s">
        <v>11</v>
      </c>
      <c r="C28" s="16">
        <f>IF(ISBLANK(B28),0,IF(ISERROR(VALUE(B28)),VLOOKUP(B28,dagsoorttabel1,2,FALSE)*dagenperjaar1,VALUE(B28)))</f>
        <v>200</v>
      </c>
      <c r="D28" s="15" t="s">
        <v>236</v>
      </c>
      <c r="E28" s="19"/>
      <c r="F28" s="18"/>
      <c r="G28" s="66"/>
      <c r="H28" s="30">
        <f t="shared" ref="H28:H33" si="8">IF(ISBLANK(G28),0,G28*C28)+IF(ISBLANK(F28),0,F28*objecturen3_1)</f>
        <v>0</v>
      </c>
      <c r="I28" s="30">
        <f t="shared" ref="I28:I33" si="9">IF(C28=0,0,H28/C28)</f>
        <v>0</v>
      </c>
      <c r="J28" s="33">
        <f t="shared" ref="J28:J33" si="10">IF(ISBLANK(E28),0,ROUND(E28,2)*H28)</f>
        <v>0</v>
      </c>
      <c r="K28" s="33">
        <f t="shared" ref="K28:K33" si="11">J28/12</f>
        <v>0</v>
      </c>
    </row>
    <row r="29" spans="1:11" x14ac:dyDescent="0.2">
      <c r="A29" s="20" t="s">
        <v>237</v>
      </c>
      <c r="B29" s="20" t="s">
        <v>11</v>
      </c>
      <c r="C29" s="21">
        <f>IF(ISBLANK(B29),0,IF(ISERROR(VALUE(B29)),VLOOKUP(B29,dagsoorttabel1,2,FALSE)*dagenperjaar1,VALUE(B29)))</f>
        <v>200</v>
      </c>
      <c r="D29" s="20" t="s">
        <v>238</v>
      </c>
      <c r="E29" s="24"/>
      <c r="F29" s="23"/>
      <c r="G29" s="67"/>
      <c r="H29" s="34">
        <f t="shared" si="8"/>
        <v>0</v>
      </c>
      <c r="I29" s="34">
        <f t="shared" si="9"/>
        <v>0</v>
      </c>
      <c r="J29" s="37">
        <f t="shared" si="10"/>
        <v>0</v>
      </c>
      <c r="K29" s="37">
        <f t="shared" si="11"/>
        <v>0</v>
      </c>
    </row>
    <row r="30" spans="1:11" x14ac:dyDescent="0.2">
      <c r="A30" s="20"/>
      <c r="B30" s="20"/>
      <c r="C30" s="68">
        <f>dagenperjaar1</f>
        <v>200</v>
      </c>
      <c r="D30" s="69" t="s">
        <v>239</v>
      </c>
      <c r="E30" s="24"/>
      <c r="F30" s="23"/>
      <c r="G30" s="67"/>
      <c r="H30" s="34">
        <f t="shared" si="8"/>
        <v>0</v>
      </c>
      <c r="I30" s="34">
        <f t="shared" si="9"/>
        <v>0</v>
      </c>
      <c r="J30" s="37">
        <f t="shared" si="10"/>
        <v>0</v>
      </c>
      <c r="K30" s="37">
        <f t="shared" si="11"/>
        <v>0</v>
      </c>
    </row>
    <row r="31" spans="1:11" x14ac:dyDescent="0.2">
      <c r="A31" s="20"/>
      <c r="B31" s="20"/>
      <c r="C31" s="68">
        <f>dagenperjaar1</f>
        <v>200</v>
      </c>
      <c r="D31" s="69" t="s">
        <v>239</v>
      </c>
      <c r="E31" s="24"/>
      <c r="F31" s="23"/>
      <c r="G31" s="67"/>
      <c r="H31" s="34">
        <f t="shared" si="8"/>
        <v>0</v>
      </c>
      <c r="I31" s="34">
        <f t="shared" si="9"/>
        <v>0</v>
      </c>
      <c r="J31" s="37">
        <f t="shared" si="10"/>
        <v>0</v>
      </c>
      <c r="K31" s="37">
        <f t="shared" si="11"/>
        <v>0</v>
      </c>
    </row>
    <row r="32" spans="1:11" x14ac:dyDescent="0.2">
      <c r="A32" s="20"/>
      <c r="B32" s="20"/>
      <c r="C32" s="68">
        <f>dagenperjaar1</f>
        <v>200</v>
      </c>
      <c r="D32" s="69" t="s">
        <v>240</v>
      </c>
      <c r="E32" s="24"/>
      <c r="F32" s="70"/>
      <c r="G32" s="22"/>
      <c r="H32" s="34">
        <f t="shared" si="8"/>
        <v>0</v>
      </c>
      <c r="I32" s="34">
        <f t="shared" si="9"/>
        <v>0</v>
      </c>
      <c r="J32" s="37">
        <f t="shared" si="10"/>
        <v>0</v>
      </c>
      <c r="K32" s="37">
        <f t="shared" si="11"/>
        <v>0</v>
      </c>
    </row>
    <row r="33" spans="1:11" x14ac:dyDescent="0.2">
      <c r="A33" s="25"/>
      <c r="B33" s="25"/>
      <c r="C33" s="71">
        <f>dagenperjaar1</f>
        <v>200</v>
      </c>
      <c r="D33" s="72" t="s">
        <v>240</v>
      </c>
      <c r="E33" s="29"/>
      <c r="F33" s="73"/>
      <c r="G33" s="27"/>
      <c r="H33" s="38">
        <f t="shared" si="8"/>
        <v>0</v>
      </c>
      <c r="I33" s="38">
        <f t="shared" si="9"/>
        <v>0</v>
      </c>
      <c r="J33" s="41">
        <f t="shared" si="10"/>
        <v>0</v>
      </c>
      <c r="K33" s="41">
        <f t="shared" si="11"/>
        <v>0</v>
      </c>
    </row>
    <row r="34" spans="1:11" x14ac:dyDescent="0.2">
      <c r="A34" s="74" t="s">
        <v>245</v>
      </c>
      <c r="B34" s="43"/>
      <c r="C34" s="43"/>
      <c r="D34" s="43"/>
      <c r="E34" s="43"/>
      <c r="F34" s="43"/>
      <c r="G34" s="43"/>
      <c r="H34" s="44">
        <f>SUM(H28:H33)</f>
        <v>0</v>
      </c>
      <c r="I34" s="43"/>
      <c r="J34" s="45">
        <f>SUM(J28:J33)</f>
        <v>0</v>
      </c>
      <c r="K34" s="46">
        <f>SUM(K28:K33)</f>
        <v>0</v>
      </c>
    </row>
    <row r="35" spans="1:11" x14ac:dyDescent="0.2">
      <c r="A35" s="47"/>
      <c r="B35" s="43"/>
      <c r="C35" s="43"/>
      <c r="D35" s="43"/>
      <c r="E35" s="43"/>
      <c r="F35" s="43"/>
      <c r="G35" s="43"/>
      <c r="H35" s="43"/>
      <c r="I35" s="43"/>
      <c r="J35" s="43"/>
      <c r="K35" s="48"/>
    </row>
    <row r="36" spans="1:11" x14ac:dyDescent="0.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1"/>
    </row>
    <row r="37" spans="1:11" x14ac:dyDescent="0.2">
      <c r="A37" s="65" t="s">
        <v>246</v>
      </c>
      <c r="B37" s="13"/>
      <c r="C37" s="13"/>
      <c r="D37" s="13"/>
      <c r="E37" s="13"/>
      <c r="F37" s="13"/>
      <c r="G37" s="13"/>
      <c r="H37" s="13"/>
      <c r="I37" s="13"/>
      <c r="J37" s="13"/>
      <c r="K37" s="14"/>
    </row>
    <row r="38" spans="1:11" x14ac:dyDescent="0.2">
      <c r="A38" s="15" t="s">
        <v>235</v>
      </c>
      <c r="B38" s="15" t="s">
        <v>11</v>
      </c>
      <c r="C38" s="16">
        <f>IF(ISBLANK(B38),0,IF(ISERROR(VALUE(B38)),VLOOKUP(B38,dagsoorttabel1,2,FALSE)*dagenperjaar1,VALUE(B38)))</f>
        <v>200</v>
      </c>
      <c r="D38" s="15" t="s">
        <v>236</v>
      </c>
      <c r="E38" s="19"/>
      <c r="F38" s="18"/>
      <c r="G38" s="66"/>
      <c r="H38" s="30">
        <f t="shared" ref="H38:H43" si="12">IF(ISBLANK(G38),0,G38*C38)+IF(ISBLANK(F38),0,F38*objecturen4_1)</f>
        <v>0</v>
      </c>
      <c r="I38" s="30">
        <f t="shared" ref="I38:I43" si="13">IF(C38=0,0,H38/C38)</f>
        <v>0</v>
      </c>
      <c r="J38" s="33">
        <f t="shared" ref="J38:J43" si="14">IF(ISBLANK(E38),0,ROUND(E38,2)*H38)</f>
        <v>0</v>
      </c>
      <c r="K38" s="33">
        <f t="shared" ref="K38:K43" si="15">J38/12</f>
        <v>0</v>
      </c>
    </row>
    <row r="39" spans="1:11" x14ac:dyDescent="0.2">
      <c r="A39" s="20" t="s">
        <v>237</v>
      </c>
      <c r="B39" s="20" t="s">
        <v>11</v>
      </c>
      <c r="C39" s="21">
        <f>IF(ISBLANK(B39),0,IF(ISERROR(VALUE(B39)),VLOOKUP(B39,dagsoorttabel1,2,FALSE)*dagenperjaar1,VALUE(B39)))</f>
        <v>200</v>
      </c>
      <c r="D39" s="20" t="s">
        <v>238</v>
      </c>
      <c r="E39" s="24"/>
      <c r="F39" s="23"/>
      <c r="G39" s="67"/>
      <c r="H39" s="34">
        <f t="shared" si="12"/>
        <v>0</v>
      </c>
      <c r="I39" s="34">
        <f t="shared" si="13"/>
        <v>0</v>
      </c>
      <c r="J39" s="37">
        <f t="shared" si="14"/>
        <v>0</v>
      </c>
      <c r="K39" s="37">
        <f t="shared" si="15"/>
        <v>0</v>
      </c>
    </row>
    <row r="40" spans="1:11" x14ac:dyDescent="0.2">
      <c r="A40" s="20"/>
      <c r="B40" s="20"/>
      <c r="C40" s="68">
        <f>dagenperjaar1</f>
        <v>200</v>
      </c>
      <c r="D40" s="69" t="s">
        <v>239</v>
      </c>
      <c r="E40" s="24"/>
      <c r="F40" s="23"/>
      <c r="G40" s="67"/>
      <c r="H40" s="34">
        <f t="shared" si="12"/>
        <v>0</v>
      </c>
      <c r="I40" s="34">
        <f t="shared" si="13"/>
        <v>0</v>
      </c>
      <c r="J40" s="37">
        <f t="shared" si="14"/>
        <v>0</v>
      </c>
      <c r="K40" s="37">
        <f t="shared" si="15"/>
        <v>0</v>
      </c>
    </row>
    <row r="41" spans="1:11" x14ac:dyDescent="0.2">
      <c r="A41" s="20"/>
      <c r="B41" s="20"/>
      <c r="C41" s="68">
        <f>dagenperjaar1</f>
        <v>200</v>
      </c>
      <c r="D41" s="69" t="s">
        <v>239</v>
      </c>
      <c r="E41" s="24"/>
      <c r="F41" s="23"/>
      <c r="G41" s="67"/>
      <c r="H41" s="34">
        <f t="shared" si="12"/>
        <v>0</v>
      </c>
      <c r="I41" s="34">
        <f t="shared" si="13"/>
        <v>0</v>
      </c>
      <c r="J41" s="37">
        <f t="shared" si="14"/>
        <v>0</v>
      </c>
      <c r="K41" s="37">
        <f t="shared" si="15"/>
        <v>0</v>
      </c>
    </row>
    <row r="42" spans="1:11" x14ac:dyDescent="0.2">
      <c r="A42" s="20"/>
      <c r="B42" s="20"/>
      <c r="C42" s="68">
        <f>dagenperjaar1</f>
        <v>200</v>
      </c>
      <c r="D42" s="69" t="s">
        <v>240</v>
      </c>
      <c r="E42" s="24"/>
      <c r="F42" s="70"/>
      <c r="G42" s="22"/>
      <c r="H42" s="34">
        <f t="shared" si="12"/>
        <v>0</v>
      </c>
      <c r="I42" s="34">
        <f t="shared" si="13"/>
        <v>0</v>
      </c>
      <c r="J42" s="37">
        <f t="shared" si="14"/>
        <v>0</v>
      </c>
      <c r="K42" s="37">
        <f t="shared" si="15"/>
        <v>0</v>
      </c>
    </row>
    <row r="43" spans="1:11" x14ac:dyDescent="0.2">
      <c r="A43" s="25"/>
      <c r="B43" s="25"/>
      <c r="C43" s="71">
        <f>dagenperjaar1</f>
        <v>200</v>
      </c>
      <c r="D43" s="72" t="s">
        <v>240</v>
      </c>
      <c r="E43" s="29"/>
      <c r="F43" s="73"/>
      <c r="G43" s="27"/>
      <c r="H43" s="38">
        <f t="shared" si="12"/>
        <v>0</v>
      </c>
      <c r="I43" s="38">
        <f t="shared" si="13"/>
        <v>0</v>
      </c>
      <c r="J43" s="41">
        <f t="shared" si="14"/>
        <v>0</v>
      </c>
      <c r="K43" s="41">
        <f t="shared" si="15"/>
        <v>0</v>
      </c>
    </row>
    <row r="44" spans="1:11" x14ac:dyDescent="0.2">
      <c r="A44" s="74" t="s">
        <v>247</v>
      </c>
      <c r="B44" s="43"/>
      <c r="C44" s="43"/>
      <c r="D44" s="43"/>
      <c r="E44" s="43"/>
      <c r="F44" s="43"/>
      <c r="G44" s="43"/>
      <c r="H44" s="44">
        <f>SUM(H38:H43)</f>
        <v>0</v>
      </c>
      <c r="I44" s="43"/>
      <c r="J44" s="45">
        <f>SUM(J38:J43)</f>
        <v>0</v>
      </c>
      <c r="K44" s="46">
        <f>SUM(K38:K43)</f>
        <v>0</v>
      </c>
    </row>
    <row r="45" spans="1:11" x14ac:dyDescent="0.2">
      <c r="A45" s="47"/>
      <c r="B45" s="43"/>
      <c r="C45" s="43"/>
      <c r="D45" s="43"/>
      <c r="E45" s="43"/>
      <c r="F45" s="43"/>
      <c r="G45" s="43"/>
      <c r="H45" s="43"/>
      <c r="I45" s="43"/>
      <c r="J45" s="43"/>
      <c r="K45" s="48"/>
    </row>
    <row r="46" spans="1:11" x14ac:dyDescent="0.2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1"/>
    </row>
    <row r="47" spans="1:11" x14ac:dyDescent="0.2">
      <c r="A47" s="65" t="s">
        <v>248</v>
      </c>
      <c r="B47" s="13"/>
      <c r="C47" s="13"/>
      <c r="D47" s="13"/>
      <c r="E47" s="13"/>
      <c r="F47" s="13"/>
      <c r="G47" s="13"/>
      <c r="H47" s="13"/>
      <c r="I47" s="13"/>
      <c r="J47" s="13"/>
      <c r="K47" s="14"/>
    </row>
    <row r="48" spans="1:11" x14ac:dyDescent="0.2">
      <c r="A48" s="15" t="s">
        <v>235</v>
      </c>
      <c r="B48" s="15" t="s">
        <v>11</v>
      </c>
      <c r="C48" s="16">
        <f>IF(ISBLANK(B48),0,IF(ISERROR(VALUE(B48)),VLOOKUP(B48,dagsoorttabel1,2,FALSE)*dagenperjaar1,VALUE(B48)))</f>
        <v>200</v>
      </c>
      <c r="D48" s="15" t="s">
        <v>236</v>
      </c>
      <c r="E48" s="19"/>
      <c r="F48" s="18"/>
      <c r="G48" s="66"/>
      <c r="H48" s="30">
        <f t="shared" ref="H48:H53" si="16">IF(ISBLANK(G48),0,G48*C48)+IF(ISBLANK(F48),0,F48*objecturen5_1)</f>
        <v>0</v>
      </c>
      <c r="I48" s="30">
        <f t="shared" ref="I48:I53" si="17">IF(C48=0,0,H48/C48)</f>
        <v>0</v>
      </c>
      <c r="J48" s="33">
        <f t="shared" ref="J48:J53" si="18">IF(ISBLANK(E48),0,ROUND(E48,2)*H48)</f>
        <v>0</v>
      </c>
      <c r="K48" s="33">
        <f t="shared" ref="K48:K53" si="19">J48/12</f>
        <v>0</v>
      </c>
    </row>
    <row r="49" spans="1:11" x14ac:dyDescent="0.2">
      <c r="A49" s="20" t="s">
        <v>237</v>
      </c>
      <c r="B49" s="20" t="s">
        <v>11</v>
      </c>
      <c r="C49" s="21">
        <f>IF(ISBLANK(B49),0,IF(ISERROR(VALUE(B49)),VLOOKUP(B49,dagsoorttabel1,2,FALSE)*dagenperjaar1,VALUE(B49)))</f>
        <v>200</v>
      </c>
      <c r="D49" s="20" t="s">
        <v>238</v>
      </c>
      <c r="E49" s="24"/>
      <c r="F49" s="23"/>
      <c r="G49" s="67"/>
      <c r="H49" s="34">
        <f t="shared" si="16"/>
        <v>0</v>
      </c>
      <c r="I49" s="34">
        <f t="shared" si="17"/>
        <v>0</v>
      </c>
      <c r="J49" s="37">
        <f t="shared" si="18"/>
        <v>0</v>
      </c>
      <c r="K49" s="37">
        <f t="shared" si="19"/>
        <v>0</v>
      </c>
    </row>
    <row r="50" spans="1:11" x14ac:dyDescent="0.2">
      <c r="A50" s="20"/>
      <c r="B50" s="20"/>
      <c r="C50" s="68">
        <f>dagenperjaar1</f>
        <v>200</v>
      </c>
      <c r="D50" s="69" t="s">
        <v>239</v>
      </c>
      <c r="E50" s="24"/>
      <c r="F50" s="23"/>
      <c r="G50" s="67"/>
      <c r="H50" s="34">
        <f t="shared" si="16"/>
        <v>0</v>
      </c>
      <c r="I50" s="34">
        <f t="shared" si="17"/>
        <v>0</v>
      </c>
      <c r="J50" s="37">
        <f t="shared" si="18"/>
        <v>0</v>
      </c>
      <c r="K50" s="37">
        <f t="shared" si="19"/>
        <v>0</v>
      </c>
    </row>
    <row r="51" spans="1:11" x14ac:dyDescent="0.2">
      <c r="A51" s="20"/>
      <c r="B51" s="20"/>
      <c r="C51" s="68">
        <f>dagenperjaar1</f>
        <v>200</v>
      </c>
      <c r="D51" s="69" t="s">
        <v>239</v>
      </c>
      <c r="E51" s="24"/>
      <c r="F51" s="23"/>
      <c r="G51" s="67"/>
      <c r="H51" s="34">
        <f t="shared" si="16"/>
        <v>0</v>
      </c>
      <c r="I51" s="34">
        <f t="shared" si="17"/>
        <v>0</v>
      </c>
      <c r="J51" s="37">
        <f t="shared" si="18"/>
        <v>0</v>
      </c>
      <c r="K51" s="37">
        <f t="shared" si="19"/>
        <v>0</v>
      </c>
    </row>
    <row r="52" spans="1:11" x14ac:dyDescent="0.2">
      <c r="A52" s="20"/>
      <c r="B52" s="20"/>
      <c r="C52" s="68">
        <f>dagenperjaar1</f>
        <v>200</v>
      </c>
      <c r="D52" s="69" t="s">
        <v>240</v>
      </c>
      <c r="E52" s="24"/>
      <c r="F52" s="70"/>
      <c r="G52" s="22"/>
      <c r="H52" s="34">
        <f t="shared" si="16"/>
        <v>0</v>
      </c>
      <c r="I52" s="34">
        <f t="shared" si="17"/>
        <v>0</v>
      </c>
      <c r="J52" s="37">
        <f t="shared" si="18"/>
        <v>0</v>
      </c>
      <c r="K52" s="37">
        <f t="shared" si="19"/>
        <v>0</v>
      </c>
    </row>
    <row r="53" spans="1:11" x14ac:dyDescent="0.2">
      <c r="A53" s="25"/>
      <c r="B53" s="25"/>
      <c r="C53" s="71">
        <f>dagenperjaar1</f>
        <v>200</v>
      </c>
      <c r="D53" s="72" t="s">
        <v>240</v>
      </c>
      <c r="E53" s="29"/>
      <c r="F53" s="73"/>
      <c r="G53" s="27"/>
      <c r="H53" s="38">
        <f t="shared" si="16"/>
        <v>0</v>
      </c>
      <c r="I53" s="38">
        <f t="shared" si="17"/>
        <v>0</v>
      </c>
      <c r="J53" s="41">
        <f t="shared" si="18"/>
        <v>0</v>
      </c>
      <c r="K53" s="41">
        <f t="shared" si="19"/>
        <v>0</v>
      </c>
    </row>
    <row r="54" spans="1:11" x14ac:dyDescent="0.2">
      <c r="A54" s="74" t="s">
        <v>249</v>
      </c>
      <c r="B54" s="43"/>
      <c r="C54" s="43"/>
      <c r="D54" s="43"/>
      <c r="E54" s="43"/>
      <c r="F54" s="43"/>
      <c r="G54" s="43"/>
      <c r="H54" s="44">
        <f>SUM(H48:H53)</f>
        <v>0</v>
      </c>
      <c r="I54" s="43"/>
      <c r="J54" s="45">
        <f>SUM(J48:J53)</f>
        <v>0</v>
      </c>
      <c r="K54" s="46">
        <f>SUM(K48:K53)</f>
        <v>0</v>
      </c>
    </row>
    <row r="55" spans="1:11" x14ac:dyDescent="0.2">
      <c r="A55" s="47"/>
      <c r="B55" s="43"/>
      <c r="C55" s="43"/>
      <c r="D55" s="43"/>
      <c r="E55" s="43"/>
      <c r="F55" s="43"/>
      <c r="G55" s="43"/>
      <c r="H55" s="43"/>
      <c r="I55" s="43"/>
      <c r="J55" s="43"/>
      <c r="K55" s="48"/>
    </row>
    <row r="56" spans="1:11" x14ac:dyDescent="0.2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1"/>
    </row>
    <row r="57" spans="1:11" x14ac:dyDescent="0.2">
      <c r="A57" s="65" t="s">
        <v>250</v>
      </c>
      <c r="B57" s="13"/>
      <c r="C57" s="13"/>
      <c r="D57" s="13"/>
      <c r="E57" s="13"/>
      <c r="F57" s="13"/>
      <c r="G57" s="13"/>
      <c r="H57" s="13"/>
      <c r="I57" s="13"/>
      <c r="J57" s="13"/>
      <c r="K57" s="14"/>
    </row>
    <row r="58" spans="1:11" x14ac:dyDescent="0.2">
      <c r="A58" s="15" t="s">
        <v>235</v>
      </c>
      <c r="B58" s="15" t="s">
        <v>11</v>
      </c>
      <c r="C58" s="16">
        <f>IF(ISBLANK(B58),0,IF(ISERROR(VALUE(B58)),VLOOKUP(B58,dagsoorttabel1,2,FALSE)*dagenperjaar1,VALUE(B58)))</f>
        <v>200</v>
      </c>
      <c r="D58" s="15" t="s">
        <v>236</v>
      </c>
      <c r="E58" s="19"/>
      <c r="F58" s="18"/>
      <c r="G58" s="66"/>
      <c r="H58" s="30">
        <f t="shared" ref="H58:H63" si="20">IF(ISBLANK(G58),0,G58*C58)+IF(ISBLANK(F58),0,F58*objecturen6_1)</f>
        <v>0</v>
      </c>
      <c r="I58" s="30">
        <f t="shared" ref="I58:I63" si="21">IF(C58=0,0,H58/C58)</f>
        <v>0</v>
      </c>
      <c r="J58" s="33">
        <f t="shared" ref="J58:J63" si="22">IF(ISBLANK(E58),0,ROUND(E58,2)*H58)</f>
        <v>0</v>
      </c>
      <c r="K58" s="33">
        <f t="shared" ref="K58:K63" si="23">J58/12</f>
        <v>0</v>
      </c>
    </row>
    <row r="59" spans="1:11" x14ac:dyDescent="0.2">
      <c r="A59" s="20" t="s">
        <v>237</v>
      </c>
      <c r="B59" s="20" t="s">
        <v>11</v>
      </c>
      <c r="C59" s="21">
        <f>IF(ISBLANK(B59),0,IF(ISERROR(VALUE(B59)),VLOOKUP(B59,dagsoorttabel1,2,FALSE)*dagenperjaar1,VALUE(B59)))</f>
        <v>200</v>
      </c>
      <c r="D59" s="20" t="s">
        <v>238</v>
      </c>
      <c r="E59" s="24"/>
      <c r="F59" s="23"/>
      <c r="G59" s="67"/>
      <c r="H59" s="34">
        <f t="shared" si="20"/>
        <v>0</v>
      </c>
      <c r="I59" s="34">
        <f t="shared" si="21"/>
        <v>0</v>
      </c>
      <c r="J59" s="37">
        <f t="shared" si="22"/>
        <v>0</v>
      </c>
      <c r="K59" s="37">
        <f t="shared" si="23"/>
        <v>0</v>
      </c>
    </row>
    <row r="60" spans="1:11" x14ac:dyDescent="0.2">
      <c r="A60" s="20"/>
      <c r="B60" s="20"/>
      <c r="C60" s="68">
        <f>dagenperjaar1</f>
        <v>200</v>
      </c>
      <c r="D60" s="69" t="s">
        <v>239</v>
      </c>
      <c r="E60" s="24"/>
      <c r="F60" s="23"/>
      <c r="G60" s="67"/>
      <c r="H60" s="34">
        <f t="shared" si="20"/>
        <v>0</v>
      </c>
      <c r="I60" s="34">
        <f t="shared" si="21"/>
        <v>0</v>
      </c>
      <c r="J60" s="37">
        <f t="shared" si="22"/>
        <v>0</v>
      </c>
      <c r="K60" s="37">
        <f t="shared" si="23"/>
        <v>0</v>
      </c>
    </row>
    <row r="61" spans="1:11" x14ac:dyDescent="0.2">
      <c r="A61" s="20"/>
      <c r="B61" s="20"/>
      <c r="C61" s="68">
        <f>dagenperjaar1</f>
        <v>200</v>
      </c>
      <c r="D61" s="69" t="s">
        <v>239</v>
      </c>
      <c r="E61" s="24"/>
      <c r="F61" s="23"/>
      <c r="G61" s="67"/>
      <c r="H61" s="34">
        <f t="shared" si="20"/>
        <v>0</v>
      </c>
      <c r="I61" s="34">
        <f t="shared" si="21"/>
        <v>0</v>
      </c>
      <c r="J61" s="37">
        <f t="shared" si="22"/>
        <v>0</v>
      </c>
      <c r="K61" s="37">
        <f t="shared" si="23"/>
        <v>0</v>
      </c>
    </row>
    <row r="62" spans="1:11" x14ac:dyDescent="0.2">
      <c r="A62" s="20"/>
      <c r="B62" s="20"/>
      <c r="C62" s="68">
        <f>dagenperjaar1</f>
        <v>200</v>
      </c>
      <c r="D62" s="69" t="s">
        <v>240</v>
      </c>
      <c r="E62" s="24"/>
      <c r="F62" s="70"/>
      <c r="G62" s="22"/>
      <c r="H62" s="34">
        <f t="shared" si="20"/>
        <v>0</v>
      </c>
      <c r="I62" s="34">
        <f t="shared" si="21"/>
        <v>0</v>
      </c>
      <c r="J62" s="37">
        <f t="shared" si="22"/>
        <v>0</v>
      </c>
      <c r="K62" s="37">
        <f t="shared" si="23"/>
        <v>0</v>
      </c>
    </row>
    <row r="63" spans="1:11" x14ac:dyDescent="0.2">
      <c r="A63" s="25"/>
      <c r="B63" s="25"/>
      <c r="C63" s="71">
        <f>dagenperjaar1</f>
        <v>200</v>
      </c>
      <c r="D63" s="72" t="s">
        <v>240</v>
      </c>
      <c r="E63" s="29"/>
      <c r="F63" s="73"/>
      <c r="G63" s="27"/>
      <c r="H63" s="38">
        <f t="shared" si="20"/>
        <v>0</v>
      </c>
      <c r="I63" s="38">
        <f t="shared" si="21"/>
        <v>0</v>
      </c>
      <c r="J63" s="41">
        <f t="shared" si="22"/>
        <v>0</v>
      </c>
      <c r="K63" s="41">
        <f t="shared" si="23"/>
        <v>0</v>
      </c>
    </row>
    <row r="64" spans="1:11" x14ac:dyDescent="0.2">
      <c r="A64" s="74" t="s">
        <v>251</v>
      </c>
      <c r="B64" s="43"/>
      <c r="C64" s="43"/>
      <c r="D64" s="43"/>
      <c r="E64" s="43"/>
      <c r="F64" s="43"/>
      <c r="G64" s="43"/>
      <c r="H64" s="44">
        <f>SUM(H58:H63)</f>
        <v>0</v>
      </c>
      <c r="I64" s="43"/>
      <c r="J64" s="45">
        <f>SUM(J58:J63)</f>
        <v>0</v>
      </c>
      <c r="K64" s="46">
        <f>SUM(K58:K63)</f>
        <v>0</v>
      </c>
    </row>
    <row r="65" spans="1:11" x14ac:dyDescent="0.2">
      <c r="A65" s="47"/>
      <c r="B65" s="43"/>
      <c r="C65" s="43"/>
      <c r="D65" s="43"/>
      <c r="E65" s="43"/>
      <c r="F65" s="43"/>
      <c r="G65" s="43"/>
      <c r="H65" s="43"/>
      <c r="I65" s="43"/>
      <c r="J65" s="43"/>
      <c r="K65" s="48"/>
    </row>
    <row r="66" spans="1:11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1"/>
    </row>
    <row r="67" spans="1:11" x14ac:dyDescent="0.2">
      <c r="A67" s="65" t="s">
        <v>252</v>
      </c>
      <c r="B67" s="13"/>
      <c r="C67" s="13"/>
      <c r="D67" s="13"/>
      <c r="E67" s="13"/>
      <c r="F67" s="13"/>
      <c r="G67" s="13"/>
      <c r="H67" s="13"/>
      <c r="I67" s="13"/>
      <c r="J67" s="13"/>
      <c r="K67" s="14"/>
    </row>
    <row r="68" spans="1:11" x14ac:dyDescent="0.2">
      <c r="A68" s="15" t="s">
        <v>235</v>
      </c>
      <c r="B68" s="15" t="s">
        <v>11</v>
      </c>
      <c r="C68" s="16">
        <f>IF(ISBLANK(B68),0,IF(ISERROR(VALUE(B68)),VLOOKUP(B68,dagsoorttabel1,2,FALSE)*dagenperjaar1,VALUE(B68)))</f>
        <v>200</v>
      </c>
      <c r="D68" s="15" t="s">
        <v>236</v>
      </c>
      <c r="E68" s="19"/>
      <c r="F68" s="18"/>
      <c r="G68" s="66"/>
      <c r="H68" s="30">
        <f t="shared" ref="H68:H73" si="24">IF(ISBLANK(G68),0,G68*C68)+IF(ISBLANK(F68),0,F68*objecturen7_1)</f>
        <v>0</v>
      </c>
      <c r="I68" s="30">
        <f t="shared" ref="I68:I73" si="25">IF(C68=0,0,H68/C68)</f>
        <v>0</v>
      </c>
      <c r="J68" s="33">
        <f t="shared" ref="J68:J73" si="26">IF(ISBLANK(E68),0,ROUND(E68,2)*H68)</f>
        <v>0</v>
      </c>
      <c r="K68" s="33">
        <f t="shared" ref="K68:K73" si="27">J68/12</f>
        <v>0</v>
      </c>
    </row>
    <row r="69" spans="1:11" x14ac:dyDescent="0.2">
      <c r="A69" s="20" t="s">
        <v>237</v>
      </c>
      <c r="B69" s="20" t="s">
        <v>11</v>
      </c>
      <c r="C69" s="21">
        <f>IF(ISBLANK(B69),0,IF(ISERROR(VALUE(B69)),VLOOKUP(B69,dagsoorttabel1,2,FALSE)*dagenperjaar1,VALUE(B69)))</f>
        <v>200</v>
      </c>
      <c r="D69" s="20" t="s">
        <v>238</v>
      </c>
      <c r="E69" s="24"/>
      <c r="F69" s="23"/>
      <c r="G69" s="67"/>
      <c r="H69" s="34">
        <f t="shared" si="24"/>
        <v>0</v>
      </c>
      <c r="I69" s="34">
        <f t="shared" si="25"/>
        <v>0</v>
      </c>
      <c r="J69" s="37">
        <f t="shared" si="26"/>
        <v>0</v>
      </c>
      <c r="K69" s="37">
        <f t="shared" si="27"/>
        <v>0</v>
      </c>
    </row>
    <row r="70" spans="1:11" x14ac:dyDescent="0.2">
      <c r="A70" s="20"/>
      <c r="B70" s="20"/>
      <c r="C70" s="68">
        <f>dagenperjaar1</f>
        <v>200</v>
      </c>
      <c r="D70" s="69" t="s">
        <v>239</v>
      </c>
      <c r="E70" s="24"/>
      <c r="F70" s="23"/>
      <c r="G70" s="67"/>
      <c r="H70" s="34">
        <f t="shared" si="24"/>
        <v>0</v>
      </c>
      <c r="I70" s="34">
        <f t="shared" si="25"/>
        <v>0</v>
      </c>
      <c r="J70" s="37">
        <f t="shared" si="26"/>
        <v>0</v>
      </c>
      <c r="K70" s="37">
        <f t="shared" si="27"/>
        <v>0</v>
      </c>
    </row>
    <row r="71" spans="1:11" x14ac:dyDescent="0.2">
      <c r="A71" s="20"/>
      <c r="B71" s="20"/>
      <c r="C71" s="68">
        <f>dagenperjaar1</f>
        <v>200</v>
      </c>
      <c r="D71" s="69" t="s">
        <v>239</v>
      </c>
      <c r="E71" s="24"/>
      <c r="F71" s="23"/>
      <c r="G71" s="67"/>
      <c r="H71" s="34">
        <f t="shared" si="24"/>
        <v>0</v>
      </c>
      <c r="I71" s="34">
        <f t="shared" si="25"/>
        <v>0</v>
      </c>
      <c r="J71" s="37">
        <f t="shared" si="26"/>
        <v>0</v>
      </c>
      <c r="K71" s="37">
        <f t="shared" si="27"/>
        <v>0</v>
      </c>
    </row>
    <row r="72" spans="1:11" x14ac:dyDescent="0.2">
      <c r="A72" s="20"/>
      <c r="B72" s="20"/>
      <c r="C72" s="68">
        <f>dagenperjaar1</f>
        <v>200</v>
      </c>
      <c r="D72" s="69" t="s">
        <v>240</v>
      </c>
      <c r="E72" s="24"/>
      <c r="F72" s="70"/>
      <c r="G72" s="22"/>
      <c r="H72" s="34">
        <f t="shared" si="24"/>
        <v>0</v>
      </c>
      <c r="I72" s="34">
        <f t="shared" si="25"/>
        <v>0</v>
      </c>
      <c r="J72" s="37">
        <f t="shared" si="26"/>
        <v>0</v>
      </c>
      <c r="K72" s="37">
        <f t="shared" si="27"/>
        <v>0</v>
      </c>
    </row>
    <row r="73" spans="1:11" x14ac:dyDescent="0.2">
      <c r="A73" s="25"/>
      <c r="B73" s="25"/>
      <c r="C73" s="71">
        <f>dagenperjaar1</f>
        <v>200</v>
      </c>
      <c r="D73" s="72" t="s">
        <v>240</v>
      </c>
      <c r="E73" s="29"/>
      <c r="F73" s="73"/>
      <c r="G73" s="27"/>
      <c r="H73" s="38">
        <f t="shared" si="24"/>
        <v>0</v>
      </c>
      <c r="I73" s="38">
        <f t="shared" si="25"/>
        <v>0</v>
      </c>
      <c r="J73" s="41">
        <f t="shared" si="26"/>
        <v>0</v>
      </c>
      <c r="K73" s="41">
        <f t="shared" si="27"/>
        <v>0</v>
      </c>
    </row>
    <row r="74" spans="1:11" x14ac:dyDescent="0.2">
      <c r="A74" s="74" t="s">
        <v>253</v>
      </c>
      <c r="B74" s="43"/>
      <c r="C74" s="43"/>
      <c r="D74" s="43"/>
      <c r="E74" s="43"/>
      <c r="F74" s="43"/>
      <c r="G74" s="43"/>
      <c r="H74" s="44">
        <f>SUM(H68:H73)</f>
        <v>0</v>
      </c>
      <c r="I74" s="43"/>
      <c r="J74" s="45">
        <f>SUM(J68:J73)</f>
        <v>0</v>
      </c>
      <c r="K74" s="46">
        <f>SUM(K68:K73)</f>
        <v>0</v>
      </c>
    </row>
    <row r="75" spans="1:11" x14ac:dyDescent="0.2">
      <c r="A75" s="47"/>
      <c r="B75" s="43"/>
      <c r="C75" s="43"/>
      <c r="D75" s="43"/>
      <c r="E75" s="43"/>
      <c r="F75" s="43"/>
      <c r="G75" s="43"/>
      <c r="H75" s="43"/>
      <c r="I75" s="43"/>
      <c r="J75" s="43"/>
      <c r="K75" s="48"/>
    </row>
    <row r="76" spans="1:11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1"/>
    </row>
    <row r="77" spans="1:11" x14ac:dyDescent="0.2">
      <c r="A77" s="65" t="s">
        <v>254</v>
      </c>
      <c r="B77" s="13"/>
      <c r="C77" s="13"/>
      <c r="D77" s="13"/>
      <c r="E77" s="13"/>
      <c r="F77" s="13"/>
      <c r="G77" s="13"/>
      <c r="H77" s="13"/>
      <c r="I77" s="13"/>
      <c r="J77" s="13"/>
      <c r="K77" s="14"/>
    </row>
    <row r="78" spans="1:11" x14ac:dyDescent="0.2">
      <c r="A78" s="15" t="s">
        <v>235</v>
      </c>
      <c r="B78" s="15" t="s">
        <v>11</v>
      </c>
      <c r="C78" s="16">
        <f>IF(ISBLANK(B78),0,IF(ISERROR(VALUE(B78)),VLOOKUP(B78,dagsoorttabel1,2,FALSE)*dagenperjaar1,VALUE(B78)))</f>
        <v>200</v>
      </c>
      <c r="D78" s="15" t="s">
        <v>236</v>
      </c>
      <c r="E78" s="19"/>
      <c r="F78" s="18"/>
      <c r="G78" s="66"/>
      <c r="H78" s="30">
        <f t="shared" ref="H78:H83" si="28">IF(ISBLANK(G78),0,G78*C78)+IF(ISBLANK(F78),0,F78*objecturen8_1)</f>
        <v>0</v>
      </c>
      <c r="I78" s="30">
        <f t="shared" ref="I78:I83" si="29">IF(C78=0,0,H78/C78)</f>
        <v>0</v>
      </c>
      <c r="J78" s="33">
        <f t="shared" ref="J78:J83" si="30">IF(ISBLANK(E78),0,ROUND(E78,2)*H78)</f>
        <v>0</v>
      </c>
      <c r="K78" s="33">
        <f t="shared" ref="K78:K83" si="31">J78/12</f>
        <v>0</v>
      </c>
    </row>
    <row r="79" spans="1:11" x14ac:dyDescent="0.2">
      <c r="A79" s="20" t="s">
        <v>237</v>
      </c>
      <c r="B79" s="20" t="s">
        <v>11</v>
      </c>
      <c r="C79" s="21">
        <f>IF(ISBLANK(B79),0,IF(ISERROR(VALUE(B79)),VLOOKUP(B79,dagsoorttabel1,2,FALSE)*dagenperjaar1,VALUE(B79)))</f>
        <v>200</v>
      </c>
      <c r="D79" s="20" t="s">
        <v>238</v>
      </c>
      <c r="E79" s="24"/>
      <c r="F79" s="23"/>
      <c r="G79" s="67"/>
      <c r="H79" s="34">
        <f t="shared" si="28"/>
        <v>0</v>
      </c>
      <c r="I79" s="34">
        <f t="shared" si="29"/>
        <v>0</v>
      </c>
      <c r="J79" s="37">
        <f t="shared" si="30"/>
        <v>0</v>
      </c>
      <c r="K79" s="37">
        <f t="shared" si="31"/>
        <v>0</v>
      </c>
    </row>
    <row r="80" spans="1:11" x14ac:dyDescent="0.2">
      <c r="A80" s="20"/>
      <c r="B80" s="20"/>
      <c r="C80" s="68">
        <f>dagenperjaar1</f>
        <v>200</v>
      </c>
      <c r="D80" s="69" t="s">
        <v>239</v>
      </c>
      <c r="E80" s="24"/>
      <c r="F80" s="23"/>
      <c r="G80" s="67"/>
      <c r="H80" s="34">
        <f t="shared" si="28"/>
        <v>0</v>
      </c>
      <c r="I80" s="34">
        <f t="shared" si="29"/>
        <v>0</v>
      </c>
      <c r="J80" s="37">
        <f t="shared" si="30"/>
        <v>0</v>
      </c>
      <c r="K80" s="37">
        <f t="shared" si="31"/>
        <v>0</v>
      </c>
    </row>
    <row r="81" spans="1:11" x14ac:dyDescent="0.2">
      <c r="A81" s="20"/>
      <c r="B81" s="20"/>
      <c r="C81" s="68">
        <f>dagenperjaar1</f>
        <v>200</v>
      </c>
      <c r="D81" s="69" t="s">
        <v>239</v>
      </c>
      <c r="E81" s="24"/>
      <c r="F81" s="23"/>
      <c r="G81" s="67"/>
      <c r="H81" s="34">
        <f t="shared" si="28"/>
        <v>0</v>
      </c>
      <c r="I81" s="34">
        <f t="shared" si="29"/>
        <v>0</v>
      </c>
      <c r="J81" s="37">
        <f t="shared" si="30"/>
        <v>0</v>
      </c>
      <c r="K81" s="37">
        <f t="shared" si="31"/>
        <v>0</v>
      </c>
    </row>
    <row r="82" spans="1:11" x14ac:dyDescent="0.2">
      <c r="A82" s="20"/>
      <c r="B82" s="20"/>
      <c r="C82" s="68">
        <f>dagenperjaar1</f>
        <v>200</v>
      </c>
      <c r="D82" s="69" t="s">
        <v>240</v>
      </c>
      <c r="E82" s="24"/>
      <c r="F82" s="70"/>
      <c r="G82" s="22"/>
      <c r="H82" s="34">
        <f t="shared" si="28"/>
        <v>0</v>
      </c>
      <c r="I82" s="34">
        <f t="shared" si="29"/>
        <v>0</v>
      </c>
      <c r="J82" s="37">
        <f t="shared" si="30"/>
        <v>0</v>
      </c>
      <c r="K82" s="37">
        <f t="shared" si="31"/>
        <v>0</v>
      </c>
    </row>
    <row r="83" spans="1:11" x14ac:dyDescent="0.2">
      <c r="A83" s="25"/>
      <c r="B83" s="25"/>
      <c r="C83" s="71">
        <f>dagenperjaar1</f>
        <v>200</v>
      </c>
      <c r="D83" s="72" t="s">
        <v>240</v>
      </c>
      <c r="E83" s="29"/>
      <c r="F83" s="73"/>
      <c r="G83" s="27"/>
      <c r="H83" s="38">
        <f t="shared" si="28"/>
        <v>0</v>
      </c>
      <c r="I83" s="38">
        <f t="shared" si="29"/>
        <v>0</v>
      </c>
      <c r="J83" s="41">
        <f t="shared" si="30"/>
        <v>0</v>
      </c>
      <c r="K83" s="41">
        <f t="shared" si="31"/>
        <v>0</v>
      </c>
    </row>
    <row r="84" spans="1:11" x14ac:dyDescent="0.2">
      <c r="A84" s="74" t="s">
        <v>255</v>
      </c>
      <c r="B84" s="43"/>
      <c r="C84" s="43"/>
      <c r="D84" s="43"/>
      <c r="E84" s="43"/>
      <c r="F84" s="43"/>
      <c r="G84" s="43"/>
      <c r="H84" s="44">
        <f>SUM(H78:H83)</f>
        <v>0</v>
      </c>
      <c r="I84" s="43"/>
      <c r="J84" s="45">
        <f>SUM(J78:J83)</f>
        <v>0</v>
      </c>
      <c r="K84" s="46">
        <f>SUM(K78:K83)</f>
        <v>0</v>
      </c>
    </row>
    <row r="85" spans="1:11" x14ac:dyDescent="0.2">
      <c r="A85" s="47"/>
      <c r="B85" s="43"/>
      <c r="C85" s="43"/>
      <c r="D85" s="43"/>
      <c r="E85" s="43"/>
      <c r="F85" s="43"/>
      <c r="G85" s="43"/>
      <c r="H85" s="43"/>
      <c r="I85" s="43"/>
      <c r="J85" s="43"/>
      <c r="K85" s="48"/>
    </row>
    <row r="86" spans="1:11" x14ac:dyDescent="0.2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1"/>
    </row>
    <row r="87" spans="1:11" x14ac:dyDescent="0.2">
      <c r="A87" s="65" t="s">
        <v>256</v>
      </c>
      <c r="B87" s="13"/>
      <c r="C87" s="13"/>
      <c r="D87" s="13"/>
      <c r="E87" s="13"/>
      <c r="F87" s="13"/>
      <c r="G87" s="13"/>
      <c r="H87" s="13"/>
      <c r="I87" s="13"/>
      <c r="J87" s="13"/>
      <c r="K87" s="14"/>
    </row>
    <row r="88" spans="1:11" x14ac:dyDescent="0.2">
      <c r="A88" s="15" t="s">
        <v>235</v>
      </c>
      <c r="B88" s="15" t="s">
        <v>11</v>
      </c>
      <c r="C88" s="16">
        <f>IF(ISBLANK(B88),0,IF(ISERROR(VALUE(B88)),VLOOKUP(B88,dagsoorttabel1,2,FALSE)*dagenperjaar1,VALUE(B88)))</f>
        <v>200</v>
      </c>
      <c r="D88" s="15" t="s">
        <v>236</v>
      </c>
      <c r="E88" s="19"/>
      <c r="F88" s="18"/>
      <c r="G88" s="66"/>
      <c r="H88" s="30">
        <f t="shared" ref="H88:H93" si="32">IF(ISBLANK(G88),0,G88*C88)+IF(ISBLANK(F88),0,F88*objecturen9_1)</f>
        <v>0</v>
      </c>
      <c r="I88" s="30">
        <f t="shared" ref="I88:I93" si="33">IF(C88=0,0,H88/C88)</f>
        <v>0</v>
      </c>
      <c r="J88" s="33">
        <f t="shared" ref="J88:J93" si="34">IF(ISBLANK(E88),0,ROUND(E88,2)*H88)</f>
        <v>0</v>
      </c>
      <c r="K88" s="33">
        <f t="shared" ref="K88:K93" si="35">J88/12</f>
        <v>0</v>
      </c>
    </row>
    <row r="89" spans="1:11" x14ac:dyDescent="0.2">
      <c r="A89" s="20" t="s">
        <v>237</v>
      </c>
      <c r="B89" s="20" t="s">
        <v>11</v>
      </c>
      <c r="C89" s="21">
        <f>IF(ISBLANK(B89),0,IF(ISERROR(VALUE(B89)),VLOOKUP(B89,dagsoorttabel1,2,FALSE)*dagenperjaar1,VALUE(B89)))</f>
        <v>200</v>
      </c>
      <c r="D89" s="20" t="s">
        <v>238</v>
      </c>
      <c r="E89" s="24"/>
      <c r="F89" s="23"/>
      <c r="G89" s="67"/>
      <c r="H89" s="34">
        <f t="shared" si="32"/>
        <v>0</v>
      </c>
      <c r="I89" s="34">
        <f t="shared" si="33"/>
        <v>0</v>
      </c>
      <c r="J89" s="37">
        <f t="shared" si="34"/>
        <v>0</v>
      </c>
      <c r="K89" s="37">
        <f t="shared" si="35"/>
        <v>0</v>
      </c>
    </row>
    <row r="90" spans="1:11" x14ac:dyDescent="0.2">
      <c r="A90" s="20"/>
      <c r="B90" s="20"/>
      <c r="C90" s="68">
        <f>dagenperjaar1</f>
        <v>200</v>
      </c>
      <c r="D90" s="69" t="s">
        <v>239</v>
      </c>
      <c r="E90" s="24"/>
      <c r="F90" s="23"/>
      <c r="G90" s="67"/>
      <c r="H90" s="34">
        <f t="shared" si="32"/>
        <v>0</v>
      </c>
      <c r="I90" s="34">
        <f t="shared" si="33"/>
        <v>0</v>
      </c>
      <c r="J90" s="37">
        <f t="shared" si="34"/>
        <v>0</v>
      </c>
      <c r="K90" s="37">
        <f t="shared" si="35"/>
        <v>0</v>
      </c>
    </row>
    <row r="91" spans="1:11" x14ac:dyDescent="0.2">
      <c r="A91" s="20"/>
      <c r="B91" s="20"/>
      <c r="C91" s="68">
        <f>dagenperjaar1</f>
        <v>200</v>
      </c>
      <c r="D91" s="69" t="s">
        <v>239</v>
      </c>
      <c r="E91" s="24"/>
      <c r="F91" s="23"/>
      <c r="G91" s="67"/>
      <c r="H91" s="34">
        <f t="shared" si="32"/>
        <v>0</v>
      </c>
      <c r="I91" s="34">
        <f t="shared" si="33"/>
        <v>0</v>
      </c>
      <c r="J91" s="37">
        <f t="shared" si="34"/>
        <v>0</v>
      </c>
      <c r="K91" s="37">
        <f t="shared" si="35"/>
        <v>0</v>
      </c>
    </row>
    <row r="92" spans="1:11" x14ac:dyDescent="0.2">
      <c r="A92" s="20"/>
      <c r="B92" s="20"/>
      <c r="C92" s="68">
        <f>dagenperjaar1</f>
        <v>200</v>
      </c>
      <c r="D92" s="69" t="s">
        <v>240</v>
      </c>
      <c r="E92" s="24"/>
      <c r="F92" s="70"/>
      <c r="G92" s="22"/>
      <c r="H92" s="34">
        <f t="shared" si="32"/>
        <v>0</v>
      </c>
      <c r="I92" s="34">
        <f t="shared" si="33"/>
        <v>0</v>
      </c>
      <c r="J92" s="37">
        <f t="shared" si="34"/>
        <v>0</v>
      </c>
      <c r="K92" s="37">
        <f t="shared" si="35"/>
        <v>0</v>
      </c>
    </row>
    <row r="93" spans="1:11" x14ac:dyDescent="0.2">
      <c r="A93" s="25"/>
      <c r="B93" s="25"/>
      <c r="C93" s="71">
        <f>dagenperjaar1</f>
        <v>200</v>
      </c>
      <c r="D93" s="72" t="s">
        <v>240</v>
      </c>
      <c r="E93" s="29"/>
      <c r="F93" s="73"/>
      <c r="G93" s="27"/>
      <c r="H93" s="38">
        <f t="shared" si="32"/>
        <v>0</v>
      </c>
      <c r="I93" s="38">
        <f t="shared" si="33"/>
        <v>0</v>
      </c>
      <c r="J93" s="41">
        <f t="shared" si="34"/>
        <v>0</v>
      </c>
      <c r="K93" s="41">
        <f t="shared" si="35"/>
        <v>0</v>
      </c>
    </row>
    <row r="94" spans="1:11" x14ac:dyDescent="0.2">
      <c r="A94" s="74" t="s">
        <v>257</v>
      </c>
      <c r="B94" s="43"/>
      <c r="C94" s="43"/>
      <c r="D94" s="43"/>
      <c r="E94" s="43"/>
      <c r="F94" s="43"/>
      <c r="G94" s="43"/>
      <c r="H94" s="44">
        <f>SUM(H88:H93)</f>
        <v>0</v>
      </c>
      <c r="I94" s="43"/>
      <c r="J94" s="45">
        <f>SUM(J88:J93)</f>
        <v>0</v>
      </c>
      <c r="K94" s="46">
        <f>SUM(K88:K93)</f>
        <v>0</v>
      </c>
    </row>
    <row r="95" spans="1:11" x14ac:dyDescent="0.2">
      <c r="A95" s="47"/>
      <c r="B95" s="43"/>
      <c r="C95" s="43"/>
      <c r="D95" s="43"/>
      <c r="E95" s="43"/>
      <c r="F95" s="43"/>
      <c r="G95" s="43"/>
      <c r="H95" s="43"/>
      <c r="I95" s="43"/>
      <c r="J95" s="43"/>
      <c r="K95" s="48"/>
    </row>
    <row r="96" spans="1:11" x14ac:dyDescent="0.2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1"/>
    </row>
    <row r="97" spans="1:11" x14ac:dyDescent="0.2">
      <c r="A97" s="65" t="s">
        <v>258</v>
      </c>
      <c r="B97" s="13"/>
      <c r="C97" s="13"/>
      <c r="D97" s="13"/>
      <c r="E97" s="13"/>
      <c r="F97" s="13"/>
      <c r="G97" s="13"/>
      <c r="H97" s="13"/>
      <c r="I97" s="13"/>
      <c r="J97" s="13"/>
      <c r="K97" s="14"/>
    </row>
    <row r="98" spans="1:11" x14ac:dyDescent="0.2">
      <c r="A98" s="15" t="s">
        <v>235</v>
      </c>
      <c r="B98" s="15" t="s">
        <v>11</v>
      </c>
      <c r="C98" s="16">
        <f>IF(ISBLANK(B98),0,IF(ISERROR(VALUE(B98)),VLOOKUP(B98,dagsoorttabel1,2,FALSE)*dagenperjaar1,VALUE(B98)))</f>
        <v>200</v>
      </c>
      <c r="D98" s="15" t="s">
        <v>236</v>
      </c>
      <c r="E98" s="19"/>
      <c r="F98" s="18"/>
      <c r="G98" s="66"/>
      <c r="H98" s="30">
        <f t="shared" ref="H98:H103" si="36">IF(ISBLANK(G98),0,G98*C98)+IF(ISBLANK(F98),0,F98*objecturen10_1)</f>
        <v>0</v>
      </c>
      <c r="I98" s="30">
        <f t="shared" ref="I98:I103" si="37">IF(C98=0,0,H98/C98)</f>
        <v>0</v>
      </c>
      <c r="J98" s="33">
        <f t="shared" ref="J98:J103" si="38">IF(ISBLANK(E98),0,ROUND(E98,2)*H98)</f>
        <v>0</v>
      </c>
      <c r="K98" s="33">
        <f t="shared" ref="K98:K103" si="39">J98/12</f>
        <v>0</v>
      </c>
    </row>
    <row r="99" spans="1:11" x14ac:dyDescent="0.2">
      <c r="A99" s="20" t="s">
        <v>237</v>
      </c>
      <c r="B99" s="20" t="s">
        <v>11</v>
      </c>
      <c r="C99" s="21">
        <f>IF(ISBLANK(B99),0,IF(ISERROR(VALUE(B99)),VLOOKUP(B99,dagsoorttabel1,2,FALSE)*dagenperjaar1,VALUE(B99)))</f>
        <v>200</v>
      </c>
      <c r="D99" s="20" t="s">
        <v>238</v>
      </c>
      <c r="E99" s="24"/>
      <c r="F99" s="23"/>
      <c r="G99" s="67"/>
      <c r="H99" s="34">
        <f t="shared" si="36"/>
        <v>0</v>
      </c>
      <c r="I99" s="34">
        <f t="shared" si="37"/>
        <v>0</v>
      </c>
      <c r="J99" s="37">
        <f t="shared" si="38"/>
        <v>0</v>
      </c>
      <c r="K99" s="37">
        <f t="shared" si="39"/>
        <v>0</v>
      </c>
    </row>
    <row r="100" spans="1:11" x14ac:dyDescent="0.2">
      <c r="A100" s="20"/>
      <c r="B100" s="20"/>
      <c r="C100" s="68">
        <f>dagenperjaar1</f>
        <v>200</v>
      </c>
      <c r="D100" s="69" t="s">
        <v>239</v>
      </c>
      <c r="E100" s="24"/>
      <c r="F100" s="23"/>
      <c r="G100" s="67"/>
      <c r="H100" s="34">
        <f t="shared" si="36"/>
        <v>0</v>
      </c>
      <c r="I100" s="34">
        <f t="shared" si="37"/>
        <v>0</v>
      </c>
      <c r="J100" s="37">
        <f t="shared" si="38"/>
        <v>0</v>
      </c>
      <c r="K100" s="37">
        <f t="shared" si="39"/>
        <v>0</v>
      </c>
    </row>
    <row r="101" spans="1:11" x14ac:dyDescent="0.2">
      <c r="A101" s="20"/>
      <c r="B101" s="20"/>
      <c r="C101" s="68">
        <f>dagenperjaar1</f>
        <v>200</v>
      </c>
      <c r="D101" s="69" t="s">
        <v>239</v>
      </c>
      <c r="E101" s="24"/>
      <c r="F101" s="23"/>
      <c r="G101" s="67"/>
      <c r="H101" s="34">
        <f t="shared" si="36"/>
        <v>0</v>
      </c>
      <c r="I101" s="34">
        <f t="shared" si="37"/>
        <v>0</v>
      </c>
      <c r="J101" s="37">
        <f t="shared" si="38"/>
        <v>0</v>
      </c>
      <c r="K101" s="37">
        <f t="shared" si="39"/>
        <v>0</v>
      </c>
    </row>
    <row r="102" spans="1:11" x14ac:dyDescent="0.2">
      <c r="A102" s="20"/>
      <c r="B102" s="20"/>
      <c r="C102" s="68">
        <f>dagenperjaar1</f>
        <v>200</v>
      </c>
      <c r="D102" s="69" t="s">
        <v>240</v>
      </c>
      <c r="E102" s="24"/>
      <c r="F102" s="70"/>
      <c r="G102" s="22"/>
      <c r="H102" s="34">
        <f t="shared" si="36"/>
        <v>0</v>
      </c>
      <c r="I102" s="34">
        <f t="shared" si="37"/>
        <v>0</v>
      </c>
      <c r="J102" s="37">
        <f t="shared" si="38"/>
        <v>0</v>
      </c>
      <c r="K102" s="37">
        <f t="shared" si="39"/>
        <v>0</v>
      </c>
    </row>
    <row r="103" spans="1:11" x14ac:dyDescent="0.2">
      <c r="A103" s="25"/>
      <c r="B103" s="25"/>
      <c r="C103" s="71">
        <f>dagenperjaar1</f>
        <v>200</v>
      </c>
      <c r="D103" s="72" t="s">
        <v>240</v>
      </c>
      <c r="E103" s="29"/>
      <c r="F103" s="73"/>
      <c r="G103" s="27"/>
      <c r="H103" s="38">
        <f t="shared" si="36"/>
        <v>0</v>
      </c>
      <c r="I103" s="38">
        <f t="shared" si="37"/>
        <v>0</v>
      </c>
      <c r="J103" s="41">
        <f t="shared" si="38"/>
        <v>0</v>
      </c>
      <c r="K103" s="41">
        <f t="shared" si="39"/>
        <v>0</v>
      </c>
    </row>
    <row r="104" spans="1:11" x14ac:dyDescent="0.2">
      <c r="A104" s="74" t="s">
        <v>259</v>
      </c>
      <c r="B104" s="43"/>
      <c r="C104" s="43"/>
      <c r="D104" s="43"/>
      <c r="E104" s="43"/>
      <c r="F104" s="43"/>
      <c r="G104" s="43"/>
      <c r="H104" s="44">
        <f>SUM(H98:H103)</f>
        <v>0</v>
      </c>
      <c r="I104" s="43"/>
      <c r="J104" s="45">
        <f>SUM(J98:J103)</f>
        <v>0</v>
      </c>
      <c r="K104" s="46">
        <f>SUM(K98:K103)</f>
        <v>0</v>
      </c>
    </row>
    <row r="105" spans="1:11" x14ac:dyDescent="0.2">
      <c r="A105" s="47"/>
      <c r="B105" s="43"/>
      <c r="C105" s="43"/>
      <c r="D105" s="43"/>
      <c r="E105" s="43"/>
      <c r="F105" s="43"/>
      <c r="G105" s="43"/>
      <c r="H105" s="43"/>
      <c r="I105" s="43"/>
      <c r="J105" s="43"/>
      <c r="K105" s="48"/>
    </row>
    <row r="106" spans="1:11" x14ac:dyDescent="0.2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1"/>
    </row>
    <row r="107" spans="1:11" x14ac:dyDescent="0.2">
      <c r="A107" s="65" t="s">
        <v>260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4"/>
    </row>
    <row r="108" spans="1:11" x14ac:dyDescent="0.2">
      <c r="A108" s="15" t="s">
        <v>235</v>
      </c>
      <c r="B108" s="15" t="s">
        <v>11</v>
      </c>
      <c r="C108" s="16">
        <f>IF(ISBLANK(B108),0,IF(ISERROR(VALUE(B108)),VLOOKUP(B108,dagsoorttabel1,2,FALSE)*dagenperjaar1,VALUE(B108)))</f>
        <v>200</v>
      </c>
      <c r="D108" s="15" t="s">
        <v>236</v>
      </c>
      <c r="E108" s="19"/>
      <c r="F108" s="18"/>
      <c r="G108" s="66"/>
      <c r="H108" s="30">
        <f t="shared" ref="H108:H113" si="40">IF(ISBLANK(G108),0,G108*C108)+IF(ISBLANK(F108),0,F108*objecturen11_1)</f>
        <v>0</v>
      </c>
      <c r="I108" s="30">
        <f t="shared" ref="I108:I113" si="41">IF(C108=0,0,H108/C108)</f>
        <v>0</v>
      </c>
      <c r="J108" s="33">
        <f t="shared" ref="J108:J113" si="42">IF(ISBLANK(E108),0,ROUND(E108,2)*H108)</f>
        <v>0</v>
      </c>
      <c r="K108" s="33">
        <f t="shared" ref="K108:K113" si="43">J108/12</f>
        <v>0</v>
      </c>
    </row>
    <row r="109" spans="1:11" x14ac:dyDescent="0.2">
      <c r="A109" s="20" t="s">
        <v>237</v>
      </c>
      <c r="B109" s="20" t="s">
        <v>11</v>
      </c>
      <c r="C109" s="21">
        <f>IF(ISBLANK(B109),0,IF(ISERROR(VALUE(B109)),VLOOKUP(B109,dagsoorttabel1,2,FALSE)*dagenperjaar1,VALUE(B109)))</f>
        <v>200</v>
      </c>
      <c r="D109" s="20" t="s">
        <v>238</v>
      </c>
      <c r="E109" s="24"/>
      <c r="F109" s="23"/>
      <c r="G109" s="67"/>
      <c r="H109" s="34">
        <f t="shared" si="40"/>
        <v>0</v>
      </c>
      <c r="I109" s="34">
        <f t="shared" si="41"/>
        <v>0</v>
      </c>
      <c r="J109" s="37">
        <f t="shared" si="42"/>
        <v>0</v>
      </c>
      <c r="K109" s="37">
        <f t="shared" si="43"/>
        <v>0</v>
      </c>
    </row>
    <row r="110" spans="1:11" x14ac:dyDescent="0.2">
      <c r="A110" s="20"/>
      <c r="B110" s="20"/>
      <c r="C110" s="68">
        <f>dagenperjaar1</f>
        <v>200</v>
      </c>
      <c r="D110" s="69" t="s">
        <v>239</v>
      </c>
      <c r="E110" s="24"/>
      <c r="F110" s="23"/>
      <c r="G110" s="67"/>
      <c r="H110" s="34">
        <f t="shared" si="40"/>
        <v>0</v>
      </c>
      <c r="I110" s="34">
        <f t="shared" si="41"/>
        <v>0</v>
      </c>
      <c r="J110" s="37">
        <f t="shared" si="42"/>
        <v>0</v>
      </c>
      <c r="K110" s="37">
        <f t="shared" si="43"/>
        <v>0</v>
      </c>
    </row>
    <row r="111" spans="1:11" x14ac:dyDescent="0.2">
      <c r="A111" s="20"/>
      <c r="B111" s="20"/>
      <c r="C111" s="68">
        <f>dagenperjaar1</f>
        <v>200</v>
      </c>
      <c r="D111" s="69" t="s">
        <v>239</v>
      </c>
      <c r="E111" s="24"/>
      <c r="F111" s="23"/>
      <c r="G111" s="67"/>
      <c r="H111" s="34">
        <f t="shared" si="40"/>
        <v>0</v>
      </c>
      <c r="I111" s="34">
        <f t="shared" si="41"/>
        <v>0</v>
      </c>
      <c r="J111" s="37">
        <f t="shared" si="42"/>
        <v>0</v>
      </c>
      <c r="K111" s="37">
        <f t="shared" si="43"/>
        <v>0</v>
      </c>
    </row>
    <row r="112" spans="1:11" x14ac:dyDescent="0.2">
      <c r="A112" s="20"/>
      <c r="B112" s="20"/>
      <c r="C112" s="68">
        <f>dagenperjaar1</f>
        <v>200</v>
      </c>
      <c r="D112" s="69" t="s">
        <v>240</v>
      </c>
      <c r="E112" s="24"/>
      <c r="F112" s="70"/>
      <c r="G112" s="22"/>
      <c r="H112" s="34">
        <f t="shared" si="40"/>
        <v>0</v>
      </c>
      <c r="I112" s="34">
        <f t="shared" si="41"/>
        <v>0</v>
      </c>
      <c r="J112" s="37">
        <f t="shared" si="42"/>
        <v>0</v>
      </c>
      <c r="K112" s="37">
        <f t="shared" si="43"/>
        <v>0</v>
      </c>
    </row>
    <row r="113" spans="1:11" x14ac:dyDescent="0.2">
      <c r="A113" s="25"/>
      <c r="B113" s="25"/>
      <c r="C113" s="71">
        <f>dagenperjaar1</f>
        <v>200</v>
      </c>
      <c r="D113" s="72" t="s">
        <v>240</v>
      </c>
      <c r="E113" s="29"/>
      <c r="F113" s="73"/>
      <c r="G113" s="27"/>
      <c r="H113" s="38">
        <f t="shared" si="40"/>
        <v>0</v>
      </c>
      <c r="I113" s="38">
        <f t="shared" si="41"/>
        <v>0</v>
      </c>
      <c r="J113" s="41">
        <f t="shared" si="42"/>
        <v>0</v>
      </c>
      <c r="K113" s="41">
        <f t="shared" si="43"/>
        <v>0</v>
      </c>
    </row>
    <row r="114" spans="1:11" x14ac:dyDescent="0.2">
      <c r="A114" s="74" t="s">
        <v>261</v>
      </c>
      <c r="B114" s="43"/>
      <c r="C114" s="43"/>
      <c r="D114" s="43"/>
      <c r="E114" s="43"/>
      <c r="F114" s="43"/>
      <c r="G114" s="43"/>
      <c r="H114" s="44">
        <f>SUM(H108:H113)</f>
        <v>0</v>
      </c>
      <c r="I114" s="43"/>
      <c r="J114" s="45">
        <f>SUM(J108:J113)</f>
        <v>0</v>
      </c>
      <c r="K114" s="46">
        <f>SUM(K108:K113)</f>
        <v>0</v>
      </c>
    </row>
    <row r="115" spans="1:11" x14ac:dyDescent="0.2">
      <c r="A115" s="47"/>
      <c r="B115" s="43"/>
      <c r="C115" s="43"/>
      <c r="D115" s="43"/>
      <c r="E115" s="43"/>
      <c r="F115" s="43"/>
      <c r="G115" s="43"/>
      <c r="H115" s="43"/>
      <c r="I115" s="43"/>
      <c r="J115" s="43"/>
      <c r="K115" s="48"/>
    </row>
    <row r="116" spans="1:11" x14ac:dyDescent="0.2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1"/>
    </row>
    <row r="117" spans="1:11" x14ac:dyDescent="0.2">
      <c r="A117" s="65" t="s">
        <v>262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4"/>
    </row>
    <row r="118" spans="1:11" x14ac:dyDescent="0.2">
      <c r="A118" s="15" t="s">
        <v>235</v>
      </c>
      <c r="B118" s="15" t="s">
        <v>11</v>
      </c>
      <c r="C118" s="16">
        <f>IF(ISBLANK(B118),0,IF(ISERROR(VALUE(B118)),VLOOKUP(B118,dagsoorttabel1,2,FALSE)*dagenperjaar1,VALUE(B118)))</f>
        <v>200</v>
      </c>
      <c r="D118" s="15" t="s">
        <v>236</v>
      </c>
      <c r="E118" s="19"/>
      <c r="F118" s="18"/>
      <c r="G118" s="66"/>
      <c r="H118" s="30">
        <f t="shared" ref="H118:H125" si="44">IF(ISBLANK(G118),0,G118*C118)+IF(ISBLANK(F118),0,F118*objecturen12_1)</f>
        <v>0</v>
      </c>
      <c r="I118" s="30">
        <f t="shared" ref="I118:I125" si="45">IF(C118=0,0,H118/C118)</f>
        <v>0</v>
      </c>
      <c r="J118" s="33">
        <f t="shared" ref="J118:J125" si="46">IF(ISBLANK(E118),0,ROUND(E118,2)*H118)</f>
        <v>0</v>
      </c>
      <c r="K118" s="33">
        <f t="shared" ref="K118:K125" si="47">J118/12</f>
        <v>0</v>
      </c>
    </row>
    <row r="119" spans="1:11" x14ac:dyDescent="0.2">
      <c r="A119" s="20" t="s">
        <v>235</v>
      </c>
      <c r="B119" s="20" t="s">
        <v>17</v>
      </c>
      <c r="C119" s="21">
        <f>IF(ISBLANK(B119),0,IF(ISERROR(VALUE(B119)),VLOOKUP(B119,dagsoorttabel1,2,FALSE)*dagenperjaar1,VALUE(B119)))</f>
        <v>80</v>
      </c>
      <c r="D119" s="20" t="s">
        <v>236</v>
      </c>
      <c r="E119" s="24"/>
      <c r="F119" s="23"/>
      <c r="G119" s="67"/>
      <c r="H119" s="34">
        <f t="shared" si="44"/>
        <v>0</v>
      </c>
      <c r="I119" s="34">
        <f t="shared" si="45"/>
        <v>0</v>
      </c>
      <c r="J119" s="37">
        <f t="shared" si="46"/>
        <v>0</v>
      </c>
      <c r="K119" s="37">
        <f t="shared" si="47"/>
        <v>0</v>
      </c>
    </row>
    <row r="120" spans="1:11" x14ac:dyDescent="0.2">
      <c r="A120" s="20" t="s">
        <v>237</v>
      </c>
      <c r="B120" s="20" t="s">
        <v>11</v>
      </c>
      <c r="C120" s="21">
        <f>IF(ISBLANK(B120),0,IF(ISERROR(VALUE(B120)),VLOOKUP(B120,dagsoorttabel1,2,FALSE)*dagenperjaar1,VALUE(B120)))</f>
        <v>200</v>
      </c>
      <c r="D120" s="20" t="s">
        <v>238</v>
      </c>
      <c r="E120" s="24"/>
      <c r="F120" s="23"/>
      <c r="G120" s="67"/>
      <c r="H120" s="34">
        <f t="shared" si="44"/>
        <v>0</v>
      </c>
      <c r="I120" s="34">
        <f t="shared" si="45"/>
        <v>0</v>
      </c>
      <c r="J120" s="37">
        <f t="shared" si="46"/>
        <v>0</v>
      </c>
      <c r="K120" s="37">
        <f t="shared" si="47"/>
        <v>0</v>
      </c>
    </row>
    <row r="121" spans="1:11" x14ac:dyDescent="0.2">
      <c r="A121" s="20" t="s">
        <v>237</v>
      </c>
      <c r="B121" s="20" t="s">
        <v>17</v>
      </c>
      <c r="C121" s="21">
        <f>IF(ISBLANK(B121),0,IF(ISERROR(VALUE(B121)),VLOOKUP(B121,dagsoorttabel1,2,FALSE)*dagenperjaar1,VALUE(B121)))</f>
        <v>80</v>
      </c>
      <c r="D121" s="20" t="s">
        <v>238</v>
      </c>
      <c r="E121" s="24"/>
      <c r="F121" s="23"/>
      <c r="G121" s="67"/>
      <c r="H121" s="34">
        <f t="shared" si="44"/>
        <v>0</v>
      </c>
      <c r="I121" s="34">
        <f t="shared" si="45"/>
        <v>0</v>
      </c>
      <c r="J121" s="37">
        <f t="shared" si="46"/>
        <v>0</v>
      </c>
      <c r="K121" s="37">
        <f t="shared" si="47"/>
        <v>0</v>
      </c>
    </row>
    <row r="122" spans="1:11" x14ac:dyDescent="0.2">
      <c r="A122" s="20"/>
      <c r="B122" s="20"/>
      <c r="C122" s="68">
        <f>dagenperjaar1</f>
        <v>200</v>
      </c>
      <c r="D122" s="69" t="s">
        <v>239</v>
      </c>
      <c r="E122" s="24"/>
      <c r="F122" s="23"/>
      <c r="G122" s="67"/>
      <c r="H122" s="34">
        <f t="shared" si="44"/>
        <v>0</v>
      </c>
      <c r="I122" s="34">
        <f t="shared" si="45"/>
        <v>0</v>
      </c>
      <c r="J122" s="37">
        <f t="shared" si="46"/>
        <v>0</v>
      </c>
      <c r="K122" s="37">
        <f t="shared" si="47"/>
        <v>0</v>
      </c>
    </row>
    <row r="123" spans="1:11" x14ac:dyDescent="0.2">
      <c r="A123" s="20"/>
      <c r="B123" s="20"/>
      <c r="C123" s="68">
        <f>dagenperjaar1</f>
        <v>200</v>
      </c>
      <c r="D123" s="69" t="s">
        <v>239</v>
      </c>
      <c r="E123" s="24"/>
      <c r="F123" s="23"/>
      <c r="G123" s="67"/>
      <c r="H123" s="34">
        <f t="shared" si="44"/>
        <v>0</v>
      </c>
      <c r="I123" s="34">
        <f t="shared" si="45"/>
        <v>0</v>
      </c>
      <c r="J123" s="37">
        <f t="shared" si="46"/>
        <v>0</v>
      </c>
      <c r="K123" s="37">
        <f t="shared" si="47"/>
        <v>0</v>
      </c>
    </row>
    <row r="124" spans="1:11" x14ac:dyDescent="0.2">
      <c r="A124" s="20"/>
      <c r="B124" s="20"/>
      <c r="C124" s="68">
        <f>dagenperjaar1</f>
        <v>200</v>
      </c>
      <c r="D124" s="69" t="s">
        <v>240</v>
      </c>
      <c r="E124" s="24"/>
      <c r="F124" s="70"/>
      <c r="G124" s="22"/>
      <c r="H124" s="34">
        <f t="shared" si="44"/>
        <v>0</v>
      </c>
      <c r="I124" s="34">
        <f t="shared" si="45"/>
        <v>0</v>
      </c>
      <c r="J124" s="37">
        <f t="shared" si="46"/>
        <v>0</v>
      </c>
      <c r="K124" s="37">
        <f t="shared" si="47"/>
        <v>0</v>
      </c>
    </row>
    <row r="125" spans="1:11" x14ac:dyDescent="0.2">
      <c r="A125" s="25"/>
      <c r="B125" s="25"/>
      <c r="C125" s="71">
        <f>dagenperjaar1</f>
        <v>200</v>
      </c>
      <c r="D125" s="72" t="s">
        <v>240</v>
      </c>
      <c r="E125" s="29"/>
      <c r="F125" s="73"/>
      <c r="G125" s="27"/>
      <c r="H125" s="38">
        <f t="shared" si="44"/>
        <v>0</v>
      </c>
      <c r="I125" s="38">
        <f t="shared" si="45"/>
        <v>0</v>
      </c>
      <c r="J125" s="41">
        <f t="shared" si="46"/>
        <v>0</v>
      </c>
      <c r="K125" s="41">
        <f t="shared" si="47"/>
        <v>0</v>
      </c>
    </row>
    <row r="126" spans="1:11" x14ac:dyDescent="0.2">
      <c r="A126" s="74" t="s">
        <v>263</v>
      </c>
      <c r="B126" s="43"/>
      <c r="C126" s="43"/>
      <c r="D126" s="43"/>
      <c r="E126" s="43"/>
      <c r="F126" s="43"/>
      <c r="G126" s="43"/>
      <c r="H126" s="44">
        <f>SUM(H118:H125)</f>
        <v>0</v>
      </c>
      <c r="I126" s="43"/>
      <c r="J126" s="45">
        <f>SUM(J118:J125)</f>
        <v>0</v>
      </c>
      <c r="K126" s="46">
        <f>SUM(K118:K125)</f>
        <v>0</v>
      </c>
    </row>
    <row r="127" spans="1:11" x14ac:dyDescent="0.2">
      <c r="A127" s="47"/>
      <c r="B127" s="43"/>
      <c r="C127" s="43"/>
      <c r="D127" s="43"/>
      <c r="E127" s="43"/>
      <c r="F127" s="43"/>
      <c r="G127" s="43"/>
      <c r="H127" s="43"/>
      <c r="I127" s="43"/>
      <c r="J127" s="43"/>
      <c r="K127" s="48"/>
    </row>
    <row r="128" spans="1:11" x14ac:dyDescent="0.2">
      <c r="A128" s="9"/>
      <c r="B128" s="10"/>
      <c r="C128" s="10"/>
      <c r="D128" s="10"/>
      <c r="E128" s="10"/>
      <c r="F128" s="10"/>
      <c r="G128" s="10"/>
      <c r="H128" s="10"/>
      <c r="I128" s="10"/>
      <c r="J128" s="10"/>
      <c r="K128" s="11"/>
    </row>
    <row r="129" spans="1:11" x14ac:dyDescent="0.2">
      <c r="A129" s="65" t="s">
        <v>264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4"/>
    </row>
    <row r="130" spans="1:11" x14ac:dyDescent="0.2">
      <c r="A130" s="15" t="s">
        <v>235</v>
      </c>
      <c r="B130" s="15" t="s">
        <v>11</v>
      </c>
      <c r="C130" s="16">
        <f>IF(ISBLANK(B130),0,IF(ISERROR(VALUE(B130)),VLOOKUP(B130,dagsoorttabel1,2,FALSE)*dagenperjaar1,VALUE(B130)))</f>
        <v>200</v>
      </c>
      <c r="D130" s="15" t="s">
        <v>236</v>
      </c>
      <c r="E130" s="19"/>
      <c r="F130" s="18"/>
      <c r="G130" s="66"/>
      <c r="H130" s="30">
        <f t="shared" ref="H130:H135" si="48">IF(ISBLANK(G130),0,G130*C130)+IF(ISBLANK(F130),0,F130*objecturen13_1)</f>
        <v>0</v>
      </c>
      <c r="I130" s="30">
        <f t="shared" ref="I130:I135" si="49">IF(C130=0,0,H130/C130)</f>
        <v>0</v>
      </c>
      <c r="J130" s="33">
        <f t="shared" ref="J130:J135" si="50">IF(ISBLANK(E130),0,ROUND(E130,2)*H130)</f>
        <v>0</v>
      </c>
      <c r="K130" s="33">
        <f t="shared" ref="K130:K135" si="51">J130/12</f>
        <v>0</v>
      </c>
    </row>
    <row r="131" spans="1:11" x14ac:dyDescent="0.2">
      <c r="A131" s="20" t="s">
        <v>237</v>
      </c>
      <c r="B131" s="20" t="s">
        <v>11</v>
      </c>
      <c r="C131" s="21">
        <f>IF(ISBLANK(B131),0,IF(ISERROR(VALUE(B131)),VLOOKUP(B131,dagsoorttabel1,2,FALSE)*dagenperjaar1,VALUE(B131)))</f>
        <v>200</v>
      </c>
      <c r="D131" s="20" t="s">
        <v>238</v>
      </c>
      <c r="E131" s="24"/>
      <c r="F131" s="23"/>
      <c r="G131" s="67"/>
      <c r="H131" s="34">
        <f t="shared" si="48"/>
        <v>0</v>
      </c>
      <c r="I131" s="34">
        <f t="shared" si="49"/>
        <v>0</v>
      </c>
      <c r="J131" s="37">
        <f t="shared" si="50"/>
        <v>0</v>
      </c>
      <c r="K131" s="37">
        <f t="shared" si="51"/>
        <v>0</v>
      </c>
    </row>
    <row r="132" spans="1:11" x14ac:dyDescent="0.2">
      <c r="A132" s="20"/>
      <c r="B132" s="20"/>
      <c r="C132" s="68">
        <f>dagenperjaar1</f>
        <v>200</v>
      </c>
      <c r="D132" s="69" t="s">
        <v>239</v>
      </c>
      <c r="E132" s="24"/>
      <c r="F132" s="23"/>
      <c r="G132" s="67"/>
      <c r="H132" s="34">
        <f t="shared" si="48"/>
        <v>0</v>
      </c>
      <c r="I132" s="34">
        <f t="shared" si="49"/>
        <v>0</v>
      </c>
      <c r="J132" s="37">
        <f t="shared" si="50"/>
        <v>0</v>
      </c>
      <c r="K132" s="37">
        <f t="shared" si="51"/>
        <v>0</v>
      </c>
    </row>
    <row r="133" spans="1:11" x14ac:dyDescent="0.2">
      <c r="A133" s="20"/>
      <c r="B133" s="20"/>
      <c r="C133" s="68">
        <f>dagenperjaar1</f>
        <v>200</v>
      </c>
      <c r="D133" s="69" t="s">
        <v>239</v>
      </c>
      <c r="E133" s="24"/>
      <c r="F133" s="23"/>
      <c r="G133" s="67"/>
      <c r="H133" s="34">
        <f t="shared" si="48"/>
        <v>0</v>
      </c>
      <c r="I133" s="34">
        <f t="shared" si="49"/>
        <v>0</v>
      </c>
      <c r="J133" s="37">
        <f t="shared" si="50"/>
        <v>0</v>
      </c>
      <c r="K133" s="37">
        <f t="shared" si="51"/>
        <v>0</v>
      </c>
    </row>
    <row r="134" spans="1:11" x14ac:dyDescent="0.2">
      <c r="A134" s="20"/>
      <c r="B134" s="20"/>
      <c r="C134" s="68">
        <f>dagenperjaar1</f>
        <v>200</v>
      </c>
      <c r="D134" s="69" t="s">
        <v>240</v>
      </c>
      <c r="E134" s="24"/>
      <c r="F134" s="70"/>
      <c r="G134" s="22"/>
      <c r="H134" s="34">
        <f t="shared" si="48"/>
        <v>0</v>
      </c>
      <c r="I134" s="34">
        <f t="shared" si="49"/>
        <v>0</v>
      </c>
      <c r="J134" s="37">
        <f t="shared" si="50"/>
        <v>0</v>
      </c>
      <c r="K134" s="37">
        <f t="shared" si="51"/>
        <v>0</v>
      </c>
    </row>
    <row r="135" spans="1:11" x14ac:dyDescent="0.2">
      <c r="A135" s="25"/>
      <c r="B135" s="25"/>
      <c r="C135" s="71">
        <f>dagenperjaar1</f>
        <v>200</v>
      </c>
      <c r="D135" s="72" t="s">
        <v>240</v>
      </c>
      <c r="E135" s="29"/>
      <c r="F135" s="73"/>
      <c r="G135" s="27"/>
      <c r="H135" s="38">
        <f t="shared" si="48"/>
        <v>0</v>
      </c>
      <c r="I135" s="38">
        <f t="shared" si="49"/>
        <v>0</v>
      </c>
      <c r="J135" s="41">
        <f t="shared" si="50"/>
        <v>0</v>
      </c>
      <c r="K135" s="41">
        <f t="shared" si="51"/>
        <v>0</v>
      </c>
    </row>
    <row r="136" spans="1:11" x14ac:dyDescent="0.2">
      <c r="A136" s="74" t="s">
        <v>265</v>
      </c>
      <c r="B136" s="43"/>
      <c r="C136" s="43"/>
      <c r="D136" s="43"/>
      <c r="E136" s="43"/>
      <c r="F136" s="43"/>
      <c r="G136" s="43"/>
      <c r="H136" s="44">
        <f>SUM(H130:H135)</f>
        <v>0</v>
      </c>
      <c r="I136" s="43"/>
      <c r="J136" s="45">
        <f>SUM(J130:J135)</f>
        <v>0</v>
      </c>
      <c r="K136" s="46">
        <f>SUM(K130:K135)</f>
        <v>0</v>
      </c>
    </row>
    <row r="137" spans="1:11" x14ac:dyDescent="0.2">
      <c r="A137" s="47"/>
      <c r="B137" s="43"/>
      <c r="C137" s="43"/>
      <c r="D137" s="43"/>
      <c r="E137" s="43"/>
      <c r="F137" s="43"/>
      <c r="G137" s="43"/>
      <c r="H137" s="43"/>
      <c r="I137" s="43"/>
      <c r="J137" s="43"/>
      <c r="K137" s="48"/>
    </row>
    <row r="138" spans="1:11" x14ac:dyDescent="0.2">
      <c r="A138" s="42" t="s">
        <v>139</v>
      </c>
      <c r="B138" s="43"/>
      <c r="C138" s="43"/>
      <c r="D138" s="43"/>
      <c r="E138" s="43"/>
      <c r="F138" s="43"/>
      <c r="G138" s="43"/>
      <c r="H138" s="44">
        <f>tzujt1_1+tzujt2_1+tzujt3_1+tzujt4_1+tzujt5_1+tzujt6_1+tzujt7_1+tzujt8_1+tzujt9_1+tzujt10_1+tzujt11_1+tzujt12_1+tzujt13_1</f>
        <v>0</v>
      </c>
      <c r="I138" s="43"/>
      <c r="J138" s="45">
        <f>tzpjt1_1+tzpjt2_1+tzpjt3_1+tzpjt4_1+tzpjt5_1+tzpjt6_1+tzpjt7_1+tzpjt8_1+tzpjt9_1+tzpjt10_1+tzpjt11_1+tzpjt12_1+tzpjt13_1</f>
        <v>0</v>
      </c>
      <c r="K138" s="46">
        <f>tzpmt1_1+tzpmt2_1+tzpmt3_1+tzpmt4_1+tzpmt5_1+tzpmt6_1+tzpmt7_1+tzpmt8_1+tzpmt9_1+tzpmt10_1+tzpmt11_1+tzpmt12_1+tzpmt13_1</f>
        <v>0</v>
      </c>
    </row>
    <row r="139" spans="1:11" x14ac:dyDescent="0.2">
      <c r="A139" s="47"/>
      <c r="B139" s="43"/>
      <c r="C139" s="43"/>
      <c r="D139" s="43"/>
      <c r="E139" s="43"/>
      <c r="F139" s="43"/>
      <c r="G139" s="43"/>
      <c r="H139" s="43"/>
      <c r="I139" s="43"/>
      <c r="J139" s="43"/>
      <c r="K139" s="48"/>
    </row>
    <row r="141" spans="1:11" x14ac:dyDescent="0.2">
      <c r="A141" s="42" t="s">
        <v>266</v>
      </c>
      <c r="B141" s="43"/>
      <c r="C141" s="43"/>
      <c r="D141" s="43"/>
      <c r="E141" s="43"/>
      <c r="F141" s="43"/>
      <c r="G141" s="43"/>
      <c r="H141" s="44">
        <f>tzujt1</f>
        <v>0</v>
      </c>
      <c r="I141" s="43"/>
      <c r="J141" s="45">
        <f>tzpjt1</f>
        <v>0</v>
      </c>
      <c r="K141" s="45">
        <f>tzpmt1</f>
        <v>0</v>
      </c>
    </row>
    <row r="143" spans="1:11" x14ac:dyDescent="0.2">
      <c r="A143" s="42" t="s">
        <v>267</v>
      </c>
      <c r="B143" s="43"/>
      <c r="C143" s="43"/>
      <c r="D143" s="43"/>
      <c r="E143" s="43"/>
      <c r="F143" s="43"/>
      <c r="G143" s="43"/>
      <c r="H143" s="43"/>
      <c r="I143" s="43"/>
      <c r="J143" s="45">
        <f>J141*1.21</f>
        <v>0</v>
      </c>
      <c r="K143" s="45">
        <f>K141*1.21</f>
        <v>0</v>
      </c>
    </row>
  </sheetData>
  <pageMargins left="0.7" right="0.7" top="0.75" bottom="0.75" header="0.3" footer="0.3"/>
  <pageSetup paperSize="9" scale="65" orientation="landscape" r:id="rId1"/>
  <headerFooter>
    <oddFooter>&amp;LStichting Proominent EA 2022                                &amp;ROpmaakdatum: 13-06-2022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88CF-7758-46F0-808A-A93BB143D7D0}">
  <dimension ref="A1:L18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6" width="12.625" customWidth="1"/>
    <col min="7" max="12" width="13.625" customWidth="1"/>
  </cols>
  <sheetData>
    <row r="1" spans="1:12" x14ac:dyDescent="0.2">
      <c r="A1" s="1" t="str">
        <f>CONCATENATE("Bijlage H.5: ",tabeltype," totaalblad objecten")</f>
        <v>Bijlage H.5: Invultabel totaalblad objecten</v>
      </c>
    </row>
    <row r="3" spans="1:12" ht="38.25" x14ac:dyDescent="0.2">
      <c r="A3" s="8" t="s">
        <v>163</v>
      </c>
      <c r="B3" s="8" t="s">
        <v>164</v>
      </c>
      <c r="C3" s="8" t="s">
        <v>165</v>
      </c>
      <c r="D3" s="8" t="s">
        <v>166</v>
      </c>
      <c r="E3" s="8" t="s">
        <v>176</v>
      </c>
      <c r="F3" s="8" t="s">
        <v>110</v>
      </c>
      <c r="G3" s="8" t="s">
        <v>268</v>
      </c>
      <c r="H3" s="8" t="s">
        <v>269</v>
      </c>
      <c r="I3" s="8" t="s">
        <v>270</v>
      </c>
      <c r="J3" s="8" t="s">
        <v>271</v>
      </c>
      <c r="K3" s="8" t="s">
        <v>272</v>
      </c>
      <c r="L3" s="8" t="s">
        <v>273</v>
      </c>
    </row>
    <row r="4" spans="1:12" x14ac:dyDescent="0.2">
      <c r="A4" s="15" t="s">
        <v>179</v>
      </c>
      <c r="B4" s="15" t="s">
        <v>180</v>
      </c>
      <c r="C4" s="15" t="s">
        <v>181</v>
      </c>
      <c r="D4" s="15" t="s">
        <v>182</v>
      </c>
      <c r="E4" s="30">
        <f>objecturenhf1_1</f>
        <v>0</v>
      </c>
      <c r="F4" s="30">
        <f>objecturen1_1</f>
        <v>0</v>
      </c>
      <c r="G4" s="33">
        <f>objectprijs1_1</f>
        <v>0</v>
      </c>
      <c r="H4" s="30">
        <f>tzujt1_1</f>
        <v>0</v>
      </c>
      <c r="I4" s="33">
        <f>tzpjt1_1</f>
        <v>0</v>
      </c>
      <c r="J4" s="33">
        <f t="shared" ref="J4:J16" si="0">G4+I4</f>
        <v>0</v>
      </c>
      <c r="K4" s="33">
        <f t="shared" ref="K4:K16" si="1">J4/12</f>
        <v>0</v>
      </c>
      <c r="L4" s="33">
        <f t="shared" ref="L4:L16" si="2">K4*1.21</f>
        <v>0</v>
      </c>
    </row>
    <row r="5" spans="1:12" x14ac:dyDescent="0.2">
      <c r="A5" s="20" t="s">
        <v>183</v>
      </c>
      <c r="B5" s="20" t="s">
        <v>184</v>
      </c>
      <c r="C5" s="20" t="s">
        <v>185</v>
      </c>
      <c r="D5" s="20" t="s">
        <v>182</v>
      </c>
      <c r="E5" s="34">
        <f>objecturenhf2_1</f>
        <v>0</v>
      </c>
      <c r="F5" s="34">
        <f>objecturen2_1</f>
        <v>0</v>
      </c>
      <c r="G5" s="37">
        <f>objectprijs2_1</f>
        <v>0</v>
      </c>
      <c r="H5" s="34">
        <f>tzujt2_1</f>
        <v>0</v>
      </c>
      <c r="I5" s="37">
        <f>tzpjt2_1</f>
        <v>0</v>
      </c>
      <c r="J5" s="37">
        <f t="shared" si="0"/>
        <v>0</v>
      </c>
      <c r="K5" s="37">
        <f t="shared" si="1"/>
        <v>0</v>
      </c>
      <c r="L5" s="37">
        <f t="shared" si="2"/>
        <v>0</v>
      </c>
    </row>
    <row r="6" spans="1:12" x14ac:dyDescent="0.2">
      <c r="A6" s="20" t="s">
        <v>186</v>
      </c>
      <c r="B6" s="20" t="s">
        <v>187</v>
      </c>
      <c r="C6" s="20" t="s">
        <v>188</v>
      </c>
      <c r="D6" s="20" t="s">
        <v>182</v>
      </c>
      <c r="E6" s="34">
        <f>objecturenhf3_1</f>
        <v>0</v>
      </c>
      <c r="F6" s="34">
        <f>objecturen3_1</f>
        <v>0</v>
      </c>
      <c r="G6" s="37">
        <f>objectprijs3_1</f>
        <v>0</v>
      </c>
      <c r="H6" s="34">
        <f>tzujt3_1</f>
        <v>0</v>
      </c>
      <c r="I6" s="37">
        <f>tzpjt3_1</f>
        <v>0</v>
      </c>
      <c r="J6" s="37">
        <f t="shared" si="0"/>
        <v>0</v>
      </c>
      <c r="K6" s="37">
        <f t="shared" si="1"/>
        <v>0</v>
      </c>
      <c r="L6" s="37">
        <f t="shared" si="2"/>
        <v>0</v>
      </c>
    </row>
    <row r="7" spans="1:12" x14ac:dyDescent="0.2">
      <c r="A7" s="20" t="s">
        <v>189</v>
      </c>
      <c r="B7" s="20" t="s">
        <v>190</v>
      </c>
      <c r="C7" s="20" t="s">
        <v>191</v>
      </c>
      <c r="D7" s="20" t="s">
        <v>182</v>
      </c>
      <c r="E7" s="34">
        <f>objecturenhf4_1</f>
        <v>0</v>
      </c>
      <c r="F7" s="34">
        <f>objecturen4_1</f>
        <v>0</v>
      </c>
      <c r="G7" s="37">
        <f>objectprijs4_1</f>
        <v>0</v>
      </c>
      <c r="H7" s="34">
        <f>tzujt4_1</f>
        <v>0</v>
      </c>
      <c r="I7" s="37">
        <f>tzpjt4_1</f>
        <v>0</v>
      </c>
      <c r="J7" s="37">
        <f t="shared" si="0"/>
        <v>0</v>
      </c>
      <c r="K7" s="37">
        <f t="shared" si="1"/>
        <v>0</v>
      </c>
      <c r="L7" s="37">
        <f t="shared" si="2"/>
        <v>0</v>
      </c>
    </row>
    <row r="8" spans="1:12" x14ac:dyDescent="0.2">
      <c r="A8" s="20" t="s">
        <v>192</v>
      </c>
      <c r="B8" s="20" t="s">
        <v>193</v>
      </c>
      <c r="C8" s="20" t="s">
        <v>194</v>
      </c>
      <c r="D8" s="20" t="s">
        <v>182</v>
      </c>
      <c r="E8" s="34">
        <f>objecturenhf5_1</f>
        <v>0</v>
      </c>
      <c r="F8" s="34">
        <f>objecturen5_1</f>
        <v>0</v>
      </c>
      <c r="G8" s="37">
        <f>objectprijs5_1</f>
        <v>0</v>
      </c>
      <c r="H8" s="34">
        <f>tzujt5_1</f>
        <v>0</v>
      </c>
      <c r="I8" s="37">
        <f>tzpjt5_1</f>
        <v>0</v>
      </c>
      <c r="J8" s="37">
        <f t="shared" si="0"/>
        <v>0</v>
      </c>
      <c r="K8" s="37">
        <f t="shared" si="1"/>
        <v>0</v>
      </c>
      <c r="L8" s="37">
        <f t="shared" si="2"/>
        <v>0</v>
      </c>
    </row>
    <row r="9" spans="1:12" x14ac:dyDescent="0.2">
      <c r="A9" s="20" t="s">
        <v>195</v>
      </c>
      <c r="B9" s="20" t="s">
        <v>196</v>
      </c>
      <c r="C9" s="20" t="s">
        <v>197</v>
      </c>
      <c r="D9" s="20" t="s">
        <v>182</v>
      </c>
      <c r="E9" s="34">
        <f>objecturenhf6_1</f>
        <v>0</v>
      </c>
      <c r="F9" s="34">
        <f>objecturen6_1</f>
        <v>0</v>
      </c>
      <c r="G9" s="37">
        <f>objectprijs6_1</f>
        <v>0</v>
      </c>
      <c r="H9" s="34">
        <f>tzujt6_1</f>
        <v>0</v>
      </c>
      <c r="I9" s="37">
        <f>tzpjt6_1</f>
        <v>0</v>
      </c>
      <c r="J9" s="37">
        <f t="shared" si="0"/>
        <v>0</v>
      </c>
      <c r="K9" s="37">
        <f t="shared" si="1"/>
        <v>0</v>
      </c>
      <c r="L9" s="37">
        <f t="shared" si="2"/>
        <v>0</v>
      </c>
    </row>
    <row r="10" spans="1:12" x14ac:dyDescent="0.2">
      <c r="A10" s="20" t="s">
        <v>198</v>
      </c>
      <c r="B10" s="20" t="s">
        <v>199</v>
      </c>
      <c r="C10" s="20" t="s">
        <v>200</v>
      </c>
      <c r="D10" s="20" t="s">
        <v>182</v>
      </c>
      <c r="E10" s="34">
        <f>objecturenhf7_1</f>
        <v>0</v>
      </c>
      <c r="F10" s="34">
        <f>objecturen7_1</f>
        <v>0</v>
      </c>
      <c r="G10" s="37">
        <f>objectprijs7_1</f>
        <v>0</v>
      </c>
      <c r="H10" s="34">
        <f>tzujt7_1</f>
        <v>0</v>
      </c>
      <c r="I10" s="37">
        <f>tzpjt7_1</f>
        <v>0</v>
      </c>
      <c r="J10" s="37">
        <f t="shared" si="0"/>
        <v>0</v>
      </c>
      <c r="K10" s="37">
        <f t="shared" si="1"/>
        <v>0</v>
      </c>
      <c r="L10" s="37">
        <f t="shared" si="2"/>
        <v>0</v>
      </c>
    </row>
    <row r="11" spans="1:12" x14ac:dyDescent="0.2">
      <c r="A11" s="20" t="s">
        <v>201</v>
      </c>
      <c r="B11" s="20" t="s">
        <v>202</v>
      </c>
      <c r="C11" s="20" t="s">
        <v>203</v>
      </c>
      <c r="D11" s="20" t="s">
        <v>204</v>
      </c>
      <c r="E11" s="34">
        <f>objecturenhf8_1</f>
        <v>0</v>
      </c>
      <c r="F11" s="34">
        <f>objecturen8_1</f>
        <v>0</v>
      </c>
      <c r="G11" s="37">
        <f>objectprijs8_1</f>
        <v>0</v>
      </c>
      <c r="H11" s="34">
        <f>tzujt8_1</f>
        <v>0</v>
      </c>
      <c r="I11" s="37">
        <f>tzpjt8_1</f>
        <v>0</v>
      </c>
      <c r="J11" s="37">
        <f t="shared" si="0"/>
        <v>0</v>
      </c>
      <c r="K11" s="37">
        <f t="shared" si="1"/>
        <v>0</v>
      </c>
      <c r="L11" s="37">
        <f t="shared" si="2"/>
        <v>0</v>
      </c>
    </row>
    <row r="12" spans="1:12" x14ac:dyDescent="0.2">
      <c r="A12" s="20" t="s">
        <v>205</v>
      </c>
      <c r="B12" s="20" t="s">
        <v>206</v>
      </c>
      <c r="C12" s="20" t="s">
        <v>207</v>
      </c>
      <c r="D12" s="20" t="s">
        <v>208</v>
      </c>
      <c r="E12" s="34">
        <f>objecturenhf9_1</f>
        <v>0</v>
      </c>
      <c r="F12" s="34">
        <f>objecturen9_1</f>
        <v>0</v>
      </c>
      <c r="G12" s="37">
        <f>objectprijs9_1</f>
        <v>0</v>
      </c>
      <c r="H12" s="34">
        <f>tzujt9_1</f>
        <v>0</v>
      </c>
      <c r="I12" s="37">
        <f>tzpjt9_1</f>
        <v>0</v>
      </c>
      <c r="J12" s="37">
        <f t="shared" si="0"/>
        <v>0</v>
      </c>
      <c r="K12" s="37">
        <f t="shared" si="1"/>
        <v>0</v>
      </c>
      <c r="L12" s="37">
        <f t="shared" si="2"/>
        <v>0</v>
      </c>
    </row>
    <row r="13" spans="1:12" x14ac:dyDescent="0.2">
      <c r="A13" s="20" t="s">
        <v>209</v>
      </c>
      <c r="B13" s="20" t="s">
        <v>210</v>
      </c>
      <c r="C13" s="20" t="s">
        <v>211</v>
      </c>
      <c r="D13" s="20" t="s">
        <v>212</v>
      </c>
      <c r="E13" s="34">
        <f>objecturenhf10_1</f>
        <v>0</v>
      </c>
      <c r="F13" s="34">
        <f>objecturen10_1</f>
        <v>0</v>
      </c>
      <c r="G13" s="37">
        <f>objectprijs10_1</f>
        <v>0</v>
      </c>
      <c r="H13" s="34">
        <f>tzujt10_1</f>
        <v>0</v>
      </c>
      <c r="I13" s="37">
        <f>tzpjt10_1</f>
        <v>0</v>
      </c>
      <c r="J13" s="37">
        <f t="shared" si="0"/>
        <v>0</v>
      </c>
      <c r="K13" s="37">
        <f t="shared" si="1"/>
        <v>0</v>
      </c>
      <c r="L13" s="37">
        <f t="shared" si="2"/>
        <v>0</v>
      </c>
    </row>
    <row r="14" spans="1:12" x14ac:dyDescent="0.2">
      <c r="A14" s="20" t="s">
        <v>213</v>
      </c>
      <c r="B14" s="20" t="s">
        <v>214</v>
      </c>
      <c r="C14" s="20" t="s">
        <v>215</v>
      </c>
      <c r="D14" s="20" t="s">
        <v>216</v>
      </c>
      <c r="E14" s="34">
        <f>objecturenhf11_1</f>
        <v>0</v>
      </c>
      <c r="F14" s="34">
        <f>objecturen11_1</f>
        <v>0</v>
      </c>
      <c r="G14" s="37">
        <f>objectprijs11_1</f>
        <v>0</v>
      </c>
      <c r="H14" s="34">
        <f>tzujt11_1</f>
        <v>0</v>
      </c>
      <c r="I14" s="37">
        <f>tzpjt11_1</f>
        <v>0</v>
      </c>
      <c r="J14" s="37">
        <f t="shared" si="0"/>
        <v>0</v>
      </c>
      <c r="K14" s="37">
        <f t="shared" si="1"/>
        <v>0</v>
      </c>
      <c r="L14" s="37">
        <f t="shared" si="2"/>
        <v>0</v>
      </c>
    </row>
    <row r="15" spans="1:12" x14ac:dyDescent="0.2">
      <c r="A15" s="20" t="s">
        <v>217</v>
      </c>
      <c r="B15" s="20" t="s">
        <v>218</v>
      </c>
      <c r="C15" s="20" t="s">
        <v>219</v>
      </c>
      <c r="D15" s="20" t="s">
        <v>182</v>
      </c>
      <c r="E15" s="34">
        <f>objecturenhf12_1</f>
        <v>0</v>
      </c>
      <c r="F15" s="34">
        <f>objecturen12_1</f>
        <v>0</v>
      </c>
      <c r="G15" s="37">
        <f>objectprijs12_1</f>
        <v>0</v>
      </c>
      <c r="H15" s="34">
        <f>tzujt12_1</f>
        <v>0</v>
      </c>
      <c r="I15" s="37">
        <f>tzpjt12_1</f>
        <v>0</v>
      </c>
      <c r="J15" s="37">
        <f t="shared" si="0"/>
        <v>0</v>
      </c>
      <c r="K15" s="37">
        <f t="shared" si="1"/>
        <v>0</v>
      </c>
      <c r="L15" s="37">
        <f t="shared" si="2"/>
        <v>0</v>
      </c>
    </row>
    <row r="16" spans="1:12" x14ac:dyDescent="0.2">
      <c r="A16" s="25" t="s">
        <v>220</v>
      </c>
      <c r="B16" s="25" t="s">
        <v>221</v>
      </c>
      <c r="C16" s="25" t="s">
        <v>222</v>
      </c>
      <c r="D16" s="25" t="s">
        <v>182</v>
      </c>
      <c r="E16" s="38">
        <f>objecturenhf13_1</f>
        <v>0</v>
      </c>
      <c r="F16" s="38">
        <f>objecturen13_1</f>
        <v>0</v>
      </c>
      <c r="G16" s="41">
        <f>objectprijs13_1</f>
        <v>0</v>
      </c>
      <c r="H16" s="38">
        <f>tzujt13_1</f>
        <v>0</v>
      </c>
      <c r="I16" s="41">
        <f>tzpjt13_1</f>
        <v>0</v>
      </c>
      <c r="J16" s="41">
        <f t="shared" si="0"/>
        <v>0</v>
      </c>
      <c r="K16" s="41">
        <f t="shared" si="1"/>
        <v>0</v>
      </c>
      <c r="L16" s="41">
        <f t="shared" si="2"/>
        <v>0</v>
      </c>
    </row>
    <row r="18" spans="1:12" x14ac:dyDescent="0.2">
      <c r="A18" s="42" t="s">
        <v>274</v>
      </c>
      <c r="B18" s="43"/>
      <c r="C18" s="43"/>
      <c r="D18" s="43"/>
      <c r="E18" s="44">
        <f t="shared" ref="E18:L18" si="3">SUM(E4:E16)</f>
        <v>0</v>
      </c>
      <c r="F18" s="44">
        <f t="shared" si="3"/>
        <v>0</v>
      </c>
      <c r="G18" s="45">
        <f t="shared" si="3"/>
        <v>0</v>
      </c>
      <c r="H18" s="44">
        <f t="shared" si="3"/>
        <v>0</v>
      </c>
      <c r="I18" s="45">
        <f t="shared" si="3"/>
        <v>0</v>
      </c>
      <c r="J18" s="45">
        <f t="shared" si="3"/>
        <v>0</v>
      </c>
      <c r="K18" s="45">
        <f t="shared" si="3"/>
        <v>0</v>
      </c>
      <c r="L18" s="45">
        <f t="shared" si="3"/>
        <v>0</v>
      </c>
    </row>
  </sheetData>
  <pageMargins left="0.7" right="0.7" top="0.75" bottom="0.75" header="0.3" footer="0.3"/>
  <pageSetup paperSize="9" scale="65" orientation="landscape" r:id="rId1"/>
  <headerFooter>
    <oddFooter>&amp;LStichting Proominent EA 2022                                &amp;ROpmaakdatum: 13-06-2022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E836-B7E9-493F-BED6-163FF5C23548}">
  <dimension ref="A1:L14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H.6: ",tabeltype," afroep")</f>
        <v>Bijlage H.6: Invultabel afroep</v>
      </c>
    </row>
    <row r="3" spans="1:12" ht="38.25" x14ac:dyDescent="0.2">
      <c r="A3" s="8" t="s">
        <v>275</v>
      </c>
      <c r="B3" s="8" t="s">
        <v>7</v>
      </c>
      <c r="C3" s="8" t="s">
        <v>276</v>
      </c>
      <c r="D3" s="8" t="s">
        <v>31</v>
      </c>
      <c r="E3" s="8" t="s">
        <v>34</v>
      </c>
      <c r="F3" s="8" t="s">
        <v>277</v>
      </c>
      <c r="G3" s="8" t="s">
        <v>278</v>
      </c>
      <c r="H3" s="8" t="s">
        <v>279</v>
      </c>
      <c r="I3" s="8" t="s">
        <v>280</v>
      </c>
      <c r="J3" s="8" t="s">
        <v>281</v>
      </c>
      <c r="K3" s="8" t="s">
        <v>111</v>
      </c>
      <c r="L3" s="8" t="s">
        <v>178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282</v>
      </c>
      <c r="B6" s="15" t="s">
        <v>27</v>
      </c>
      <c r="C6" s="16">
        <f t="shared" ref="C6:C11" si="0">IF(ISBLANK(B6),0,IF(ISERROR(VALUE(B6)),VLOOKUP(B6,dagsoorttabel1,2,FALSE)*dagenperjaar1,VALUE(B6)))</f>
        <v>1</v>
      </c>
      <c r="D6" s="15" t="s">
        <v>283</v>
      </c>
      <c r="E6" s="15" t="s">
        <v>284</v>
      </c>
      <c r="F6" s="75">
        <v>49</v>
      </c>
      <c r="G6" s="19"/>
      <c r="H6" s="76"/>
      <c r="I6" s="19"/>
      <c r="J6" s="33">
        <f t="shared" ref="J6:J11" si="1">IF(ISBLANK(F6),0,F6)*I6</f>
        <v>0</v>
      </c>
      <c r="K6" s="33">
        <f t="shared" ref="K6:K11" si="2">C6*J6</f>
        <v>0</v>
      </c>
      <c r="L6" s="33">
        <f t="shared" ref="L6:L12" si="3">K6/12</f>
        <v>0</v>
      </c>
    </row>
    <row r="7" spans="1:12" x14ac:dyDescent="0.2">
      <c r="A7" s="20" t="s">
        <v>285</v>
      </c>
      <c r="B7" s="20" t="s">
        <v>27</v>
      </c>
      <c r="C7" s="21">
        <f t="shared" si="0"/>
        <v>1</v>
      </c>
      <c r="D7" s="20" t="s">
        <v>286</v>
      </c>
      <c r="E7" s="20" t="s">
        <v>284</v>
      </c>
      <c r="F7" s="77">
        <v>85</v>
      </c>
      <c r="G7" s="24"/>
      <c r="H7" s="78"/>
      <c r="I7" s="24"/>
      <c r="J7" s="37">
        <f t="shared" si="1"/>
        <v>0</v>
      </c>
      <c r="K7" s="37">
        <f t="shared" si="2"/>
        <v>0</v>
      </c>
      <c r="L7" s="37">
        <f t="shared" si="3"/>
        <v>0</v>
      </c>
    </row>
    <row r="8" spans="1:12" x14ac:dyDescent="0.2">
      <c r="A8" s="20" t="s">
        <v>287</v>
      </c>
      <c r="B8" s="20" t="s">
        <v>27</v>
      </c>
      <c r="C8" s="21">
        <f t="shared" si="0"/>
        <v>1</v>
      </c>
      <c r="D8" s="20" t="s">
        <v>288</v>
      </c>
      <c r="E8" s="20" t="s">
        <v>284</v>
      </c>
      <c r="F8" s="77">
        <v>120</v>
      </c>
      <c r="G8" s="24"/>
      <c r="H8" s="78"/>
      <c r="I8" s="24"/>
      <c r="J8" s="37">
        <f t="shared" si="1"/>
        <v>0</v>
      </c>
      <c r="K8" s="37">
        <f t="shared" si="2"/>
        <v>0</v>
      </c>
      <c r="L8" s="37">
        <f t="shared" si="3"/>
        <v>0</v>
      </c>
    </row>
    <row r="9" spans="1:12" x14ac:dyDescent="0.2">
      <c r="A9" s="20" t="s">
        <v>289</v>
      </c>
      <c r="B9" s="20" t="s">
        <v>27</v>
      </c>
      <c r="C9" s="21">
        <f t="shared" si="0"/>
        <v>1</v>
      </c>
      <c r="D9" s="20" t="s">
        <v>290</v>
      </c>
      <c r="E9" s="20" t="s">
        <v>284</v>
      </c>
      <c r="F9" s="77">
        <v>250</v>
      </c>
      <c r="G9" s="24"/>
      <c r="H9" s="78"/>
      <c r="I9" s="24"/>
      <c r="J9" s="37">
        <f t="shared" si="1"/>
        <v>0</v>
      </c>
      <c r="K9" s="37">
        <f t="shared" si="2"/>
        <v>0</v>
      </c>
      <c r="L9" s="37">
        <f t="shared" si="3"/>
        <v>0</v>
      </c>
    </row>
    <row r="10" spans="1:12" x14ac:dyDescent="0.2">
      <c r="A10" s="20" t="s">
        <v>291</v>
      </c>
      <c r="B10" s="20" t="s">
        <v>22</v>
      </c>
      <c r="C10" s="21">
        <f t="shared" si="0"/>
        <v>10</v>
      </c>
      <c r="D10" s="20" t="s">
        <v>292</v>
      </c>
      <c r="E10" s="20" t="s">
        <v>293</v>
      </c>
      <c r="F10" s="77">
        <v>4</v>
      </c>
      <c r="G10" s="24"/>
      <c r="H10" s="78"/>
      <c r="I10" s="24"/>
      <c r="J10" s="37">
        <f t="shared" si="1"/>
        <v>0</v>
      </c>
      <c r="K10" s="37">
        <f t="shared" si="2"/>
        <v>0</v>
      </c>
      <c r="L10" s="37">
        <f t="shared" si="3"/>
        <v>0</v>
      </c>
    </row>
    <row r="11" spans="1:12" x14ac:dyDescent="0.2">
      <c r="A11" s="25" t="s">
        <v>294</v>
      </c>
      <c r="B11" s="25" t="s">
        <v>22</v>
      </c>
      <c r="C11" s="26">
        <f t="shared" si="0"/>
        <v>10</v>
      </c>
      <c r="D11" s="25" t="s">
        <v>295</v>
      </c>
      <c r="E11" s="25" t="s">
        <v>293</v>
      </c>
      <c r="F11" s="79">
        <v>2</v>
      </c>
      <c r="G11" s="29"/>
      <c r="H11" s="80"/>
      <c r="I11" s="29"/>
      <c r="J11" s="41">
        <f t="shared" si="1"/>
        <v>0</v>
      </c>
      <c r="K11" s="41">
        <f t="shared" si="2"/>
        <v>0</v>
      </c>
      <c r="L11" s="41">
        <f t="shared" si="3"/>
        <v>0</v>
      </c>
    </row>
    <row r="12" spans="1:12" x14ac:dyDescent="0.2">
      <c r="A12" s="42" t="s">
        <v>139</v>
      </c>
      <c r="B12" s="43"/>
      <c r="C12" s="43"/>
      <c r="D12" s="43"/>
      <c r="E12" s="43"/>
      <c r="F12" s="43"/>
      <c r="G12" s="43"/>
      <c r="H12" s="43"/>
      <c r="I12" s="43"/>
      <c r="J12" s="43"/>
      <c r="K12" s="45">
        <f>SUM(K6:K11)</f>
        <v>0</v>
      </c>
      <c r="L12" s="81">
        <f t="shared" si="3"/>
        <v>0</v>
      </c>
    </row>
    <row r="14" spans="1:12" x14ac:dyDescent="0.2">
      <c r="A14" s="42" t="s">
        <v>296</v>
      </c>
      <c r="B14" s="43"/>
      <c r="C14" s="43"/>
      <c r="D14" s="43"/>
      <c r="E14" s="43"/>
      <c r="F14" s="43"/>
      <c r="G14" s="43"/>
      <c r="H14" s="43"/>
      <c r="I14" s="43"/>
      <c r="J14" s="43"/>
      <c r="K14" s="45">
        <f>prijsjaarafroep1</f>
        <v>0</v>
      </c>
      <c r="L14" s="81">
        <f>K14/12</f>
        <v>0</v>
      </c>
    </row>
  </sheetData>
  <pageMargins left="0.7" right="0.7" top="0.75" bottom="0.75" header="0.3" footer="0.3"/>
  <pageSetup paperSize="9" scale="65" orientation="landscape" r:id="rId1"/>
  <headerFooter>
    <oddFooter>&amp;LStichting Proominent EA 2022                                &amp;ROpmaakdatum: 13-06-2022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8D49-339B-4F1C-8E9F-BB812BDB50D6}">
  <dimension ref="A1:E90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H.7: ",tabeltype," afroep incidenteel")</f>
        <v>Bijlage H.7: Invultabel afroep incidenteel</v>
      </c>
    </row>
    <row r="3" spans="1:5" ht="38.25" x14ac:dyDescent="0.2">
      <c r="A3" s="8" t="s">
        <v>275</v>
      </c>
      <c r="B3" s="8" t="s">
        <v>31</v>
      </c>
      <c r="C3" s="8" t="s">
        <v>34</v>
      </c>
      <c r="D3" s="8" t="s">
        <v>297</v>
      </c>
      <c r="E3" s="8" t="s">
        <v>280</v>
      </c>
    </row>
    <row r="4" spans="1:5" x14ac:dyDescent="0.2">
      <c r="A4" s="9"/>
      <c r="B4" s="10"/>
      <c r="C4" s="10"/>
      <c r="D4" s="10"/>
      <c r="E4" s="11"/>
    </row>
    <row r="5" spans="1:5" x14ac:dyDescent="0.2">
      <c r="A5" s="12" t="s">
        <v>36</v>
      </c>
      <c r="B5" s="13"/>
      <c r="C5" s="13"/>
      <c r="D5" s="13"/>
      <c r="E5" s="14"/>
    </row>
    <row r="6" spans="1:5" x14ac:dyDescent="0.2">
      <c r="A6" s="15" t="s">
        <v>298</v>
      </c>
      <c r="B6" s="15" t="s">
        <v>299</v>
      </c>
      <c r="C6" s="15" t="s">
        <v>300</v>
      </c>
      <c r="D6" s="15" t="s">
        <v>301</v>
      </c>
      <c r="E6" s="19"/>
    </row>
    <row r="7" spans="1:5" x14ac:dyDescent="0.2">
      <c r="A7" s="20" t="s">
        <v>302</v>
      </c>
      <c r="B7" s="20" t="s">
        <v>299</v>
      </c>
      <c r="C7" s="20" t="s">
        <v>300</v>
      </c>
      <c r="D7" s="20" t="s">
        <v>303</v>
      </c>
      <c r="E7" s="24"/>
    </row>
    <row r="8" spans="1:5" x14ac:dyDescent="0.2">
      <c r="A8" s="20" t="s">
        <v>304</v>
      </c>
      <c r="B8" s="20" t="s">
        <v>299</v>
      </c>
      <c r="C8" s="20" t="s">
        <v>300</v>
      </c>
      <c r="D8" s="20" t="s">
        <v>305</v>
      </c>
      <c r="E8" s="24"/>
    </row>
    <row r="9" spans="1:5" x14ac:dyDescent="0.2">
      <c r="A9" s="20" t="s">
        <v>306</v>
      </c>
      <c r="B9" s="20" t="s">
        <v>299</v>
      </c>
      <c r="C9" s="20" t="s">
        <v>300</v>
      </c>
      <c r="D9" s="20" t="s">
        <v>307</v>
      </c>
      <c r="E9" s="24"/>
    </row>
    <row r="10" spans="1:5" x14ac:dyDescent="0.2">
      <c r="A10" s="20" t="s">
        <v>308</v>
      </c>
      <c r="B10" s="20" t="s">
        <v>309</v>
      </c>
      <c r="C10" s="20" t="s">
        <v>300</v>
      </c>
      <c r="D10" s="20" t="s">
        <v>301</v>
      </c>
      <c r="E10" s="24"/>
    </row>
    <row r="11" spans="1:5" x14ac:dyDescent="0.2">
      <c r="A11" s="20" t="s">
        <v>310</v>
      </c>
      <c r="B11" s="20" t="s">
        <v>309</v>
      </c>
      <c r="C11" s="20" t="s">
        <v>300</v>
      </c>
      <c r="D11" s="20" t="s">
        <v>303</v>
      </c>
      <c r="E11" s="24"/>
    </row>
    <row r="12" spans="1:5" x14ac:dyDescent="0.2">
      <c r="A12" s="20" t="s">
        <v>311</v>
      </c>
      <c r="B12" s="20" t="s">
        <v>309</v>
      </c>
      <c r="C12" s="20" t="s">
        <v>300</v>
      </c>
      <c r="D12" s="20" t="s">
        <v>305</v>
      </c>
      <c r="E12" s="24"/>
    </row>
    <row r="13" spans="1:5" x14ac:dyDescent="0.2">
      <c r="A13" s="20" t="s">
        <v>312</v>
      </c>
      <c r="B13" s="20" t="s">
        <v>309</v>
      </c>
      <c r="C13" s="20" t="s">
        <v>300</v>
      </c>
      <c r="D13" s="20" t="s">
        <v>307</v>
      </c>
      <c r="E13" s="24"/>
    </row>
    <row r="14" spans="1:5" x14ac:dyDescent="0.2">
      <c r="A14" s="20" t="s">
        <v>313</v>
      </c>
      <c r="B14" s="20" t="s">
        <v>314</v>
      </c>
      <c r="C14" s="20" t="s">
        <v>300</v>
      </c>
      <c r="D14" s="20" t="s">
        <v>301</v>
      </c>
      <c r="E14" s="24"/>
    </row>
    <row r="15" spans="1:5" x14ac:dyDescent="0.2">
      <c r="A15" s="20" t="s">
        <v>315</v>
      </c>
      <c r="B15" s="20" t="s">
        <v>314</v>
      </c>
      <c r="C15" s="20" t="s">
        <v>300</v>
      </c>
      <c r="D15" s="20" t="s">
        <v>303</v>
      </c>
      <c r="E15" s="24"/>
    </row>
    <row r="16" spans="1:5" x14ac:dyDescent="0.2">
      <c r="A16" s="20" t="s">
        <v>316</v>
      </c>
      <c r="B16" s="20" t="s">
        <v>314</v>
      </c>
      <c r="C16" s="20" t="s">
        <v>300</v>
      </c>
      <c r="D16" s="20" t="s">
        <v>305</v>
      </c>
      <c r="E16" s="24"/>
    </row>
    <row r="17" spans="1:5" x14ac:dyDescent="0.2">
      <c r="A17" s="20" t="s">
        <v>317</v>
      </c>
      <c r="B17" s="20" t="s">
        <v>314</v>
      </c>
      <c r="C17" s="20" t="s">
        <v>300</v>
      </c>
      <c r="D17" s="20" t="s">
        <v>307</v>
      </c>
      <c r="E17" s="24"/>
    </row>
    <row r="18" spans="1:5" x14ac:dyDescent="0.2">
      <c r="A18" s="20" t="s">
        <v>318</v>
      </c>
      <c r="B18" s="20" t="s">
        <v>319</v>
      </c>
      <c r="C18" s="20" t="s">
        <v>300</v>
      </c>
      <c r="D18" s="20" t="s">
        <v>301</v>
      </c>
      <c r="E18" s="24"/>
    </row>
    <row r="19" spans="1:5" x14ac:dyDescent="0.2">
      <c r="A19" s="20" t="s">
        <v>320</v>
      </c>
      <c r="B19" s="20" t="s">
        <v>319</v>
      </c>
      <c r="C19" s="20" t="s">
        <v>300</v>
      </c>
      <c r="D19" s="20" t="s">
        <v>303</v>
      </c>
      <c r="E19" s="24"/>
    </row>
    <row r="20" spans="1:5" x14ac:dyDescent="0.2">
      <c r="A20" s="20" t="s">
        <v>321</v>
      </c>
      <c r="B20" s="20" t="s">
        <v>319</v>
      </c>
      <c r="C20" s="20" t="s">
        <v>300</v>
      </c>
      <c r="D20" s="20" t="s">
        <v>305</v>
      </c>
      <c r="E20" s="24"/>
    </row>
    <row r="21" spans="1:5" x14ac:dyDescent="0.2">
      <c r="A21" s="20" t="s">
        <v>322</v>
      </c>
      <c r="B21" s="20" t="s">
        <v>319</v>
      </c>
      <c r="C21" s="20" t="s">
        <v>300</v>
      </c>
      <c r="D21" s="20" t="s">
        <v>307</v>
      </c>
      <c r="E21" s="24"/>
    </row>
    <row r="22" spans="1:5" x14ac:dyDescent="0.2">
      <c r="A22" s="20" t="s">
        <v>323</v>
      </c>
      <c r="B22" s="20" t="s">
        <v>324</v>
      </c>
      <c r="C22" s="20" t="s">
        <v>284</v>
      </c>
      <c r="D22" s="20" t="s">
        <v>325</v>
      </c>
      <c r="E22" s="24"/>
    </row>
    <row r="23" spans="1:5" x14ac:dyDescent="0.2">
      <c r="A23" s="20" t="s">
        <v>326</v>
      </c>
      <c r="B23" s="20" t="s">
        <v>324</v>
      </c>
      <c r="C23" s="20" t="s">
        <v>284</v>
      </c>
      <c r="D23" s="20" t="s">
        <v>327</v>
      </c>
      <c r="E23" s="24"/>
    </row>
    <row r="24" spans="1:5" x14ac:dyDescent="0.2">
      <c r="A24" s="20" t="s">
        <v>328</v>
      </c>
      <c r="B24" s="20" t="s">
        <v>324</v>
      </c>
      <c r="C24" s="20" t="s">
        <v>284</v>
      </c>
      <c r="D24" s="20" t="s">
        <v>329</v>
      </c>
      <c r="E24" s="24"/>
    </row>
    <row r="25" spans="1:5" x14ac:dyDescent="0.2">
      <c r="A25" s="20" t="s">
        <v>330</v>
      </c>
      <c r="B25" s="20" t="s">
        <v>324</v>
      </c>
      <c r="C25" s="20" t="s">
        <v>284</v>
      </c>
      <c r="D25" s="20" t="s">
        <v>331</v>
      </c>
      <c r="E25" s="24"/>
    </row>
    <row r="26" spans="1:5" x14ac:dyDescent="0.2">
      <c r="A26" s="20" t="s">
        <v>332</v>
      </c>
      <c r="B26" s="20" t="s">
        <v>333</v>
      </c>
      <c r="C26" s="20" t="s">
        <v>284</v>
      </c>
      <c r="D26" s="20" t="s">
        <v>325</v>
      </c>
      <c r="E26" s="24"/>
    </row>
    <row r="27" spans="1:5" x14ac:dyDescent="0.2">
      <c r="A27" s="20" t="s">
        <v>334</v>
      </c>
      <c r="B27" s="20" t="s">
        <v>333</v>
      </c>
      <c r="C27" s="20" t="s">
        <v>284</v>
      </c>
      <c r="D27" s="20" t="s">
        <v>327</v>
      </c>
      <c r="E27" s="24"/>
    </row>
    <row r="28" spans="1:5" x14ac:dyDescent="0.2">
      <c r="A28" s="20" t="s">
        <v>335</v>
      </c>
      <c r="B28" s="20" t="s">
        <v>333</v>
      </c>
      <c r="C28" s="20" t="s">
        <v>284</v>
      </c>
      <c r="D28" s="20" t="s">
        <v>329</v>
      </c>
      <c r="E28" s="24"/>
    </row>
    <row r="29" spans="1:5" x14ac:dyDescent="0.2">
      <c r="A29" s="20" t="s">
        <v>336</v>
      </c>
      <c r="B29" s="20" t="s">
        <v>333</v>
      </c>
      <c r="C29" s="20" t="s">
        <v>284</v>
      </c>
      <c r="D29" s="20" t="s">
        <v>331</v>
      </c>
      <c r="E29" s="24"/>
    </row>
    <row r="30" spans="1:5" x14ac:dyDescent="0.2">
      <c r="A30" s="20" t="s">
        <v>337</v>
      </c>
      <c r="B30" s="20" t="s">
        <v>338</v>
      </c>
      <c r="C30" s="20" t="s">
        <v>284</v>
      </c>
      <c r="D30" s="20" t="s">
        <v>325</v>
      </c>
      <c r="E30" s="24"/>
    </row>
    <row r="31" spans="1:5" x14ac:dyDescent="0.2">
      <c r="A31" s="20" t="s">
        <v>339</v>
      </c>
      <c r="B31" s="20" t="s">
        <v>338</v>
      </c>
      <c r="C31" s="20" t="s">
        <v>284</v>
      </c>
      <c r="D31" s="20" t="s">
        <v>327</v>
      </c>
      <c r="E31" s="24"/>
    </row>
    <row r="32" spans="1:5" x14ac:dyDescent="0.2">
      <c r="A32" s="20" t="s">
        <v>340</v>
      </c>
      <c r="B32" s="20" t="s">
        <v>338</v>
      </c>
      <c r="C32" s="20" t="s">
        <v>284</v>
      </c>
      <c r="D32" s="20" t="s">
        <v>329</v>
      </c>
      <c r="E32" s="24"/>
    </row>
    <row r="33" spans="1:5" x14ac:dyDescent="0.2">
      <c r="A33" s="20" t="s">
        <v>341</v>
      </c>
      <c r="B33" s="20" t="s">
        <v>338</v>
      </c>
      <c r="C33" s="20" t="s">
        <v>284</v>
      </c>
      <c r="D33" s="20" t="s">
        <v>331</v>
      </c>
      <c r="E33" s="24"/>
    </row>
    <row r="34" spans="1:5" x14ac:dyDescent="0.2">
      <c r="A34" s="20" t="s">
        <v>342</v>
      </c>
      <c r="B34" s="20" t="s">
        <v>343</v>
      </c>
      <c r="C34" s="20" t="s">
        <v>284</v>
      </c>
      <c r="D34" s="20" t="s">
        <v>325</v>
      </c>
      <c r="E34" s="24"/>
    </row>
    <row r="35" spans="1:5" x14ac:dyDescent="0.2">
      <c r="A35" s="20" t="s">
        <v>344</v>
      </c>
      <c r="B35" s="20" t="s">
        <v>343</v>
      </c>
      <c r="C35" s="20" t="s">
        <v>284</v>
      </c>
      <c r="D35" s="20" t="s">
        <v>327</v>
      </c>
      <c r="E35" s="24"/>
    </row>
    <row r="36" spans="1:5" x14ac:dyDescent="0.2">
      <c r="A36" s="20" t="s">
        <v>345</v>
      </c>
      <c r="B36" s="20" t="s">
        <v>343</v>
      </c>
      <c r="C36" s="20" t="s">
        <v>284</v>
      </c>
      <c r="D36" s="20" t="s">
        <v>329</v>
      </c>
      <c r="E36" s="24"/>
    </row>
    <row r="37" spans="1:5" x14ac:dyDescent="0.2">
      <c r="A37" s="20" t="s">
        <v>346</v>
      </c>
      <c r="B37" s="20" t="s">
        <v>343</v>
      </c>
      <c r="C37" s="20" t="s">
        <v>284</v>
      </c>
      <c r="D37" s="20" t="s">
        <v>331</v>
      </c>
      <c r="E37" s="24"/>
    </row>
    <row r="38" spans="1:5" x14ac:dyDescent="0.2">
      <c r="A38" s="20" t="s">
        <v>347</v>
      </c>
      <c r="B38" s="20" t="s">
        <v>348</v>
      </c>
      <c r="C38" s="20" t="s">
        <v>284</v>
      </c>
      <c r="D38" s="20" t="s">
        <v>325</v>
      </c>
      <c r="E38" s="24"/>
    </row>
    <row r="39" spans="1:5" x14ac:dyDescent="0.2">
      <c r="A39" s="20" t="s">
        <v>349</v>
      </c>
      <c r="B39" s="20" t="s">
        <v>348</v>
      </c>
      <c r="C39" s="20" t="s">
        <v>284</v>
      </c>
      <c r="D39" s="20" t="s">
        <v>327</v>
      </c>
      <c r="E39" s="24"/>
    </row>
    <row r="40" spans="1:5" x14ac:dyDescent="0.2">
      <c r="A40" s="20" t="s">
        <v>350</v>
      </c>
      <c r="B40" s="20" t="s">
        <v>348</v>
      </c>
      <c r="C40" s="20" t="s">
        <v>284</v>
      </c>
      <c r="D40" s="20" t="s">
        <v>329</v>
      </c>
      <c r="E40" s="24"/>
    </row>
    <row r="41" spans="1:5" x14ac:dyDescent="0.2">
      <c r="A41" s="20" t="s">
        <v>351</v>
      </c>
      <c r="B41" s="20" t="s">
        <v>348</v>
      </c>
      <c r="C41" s="20" t="s">
        <v>284</v>
      </c>
      <c r="D41" s="20" t="s">
        <v>331</v>
      </c>
      <c r="E41" s="24"/>
    </row>
    <row r="42" spans="1:5" x14ac:dyDescent="0.2">
      <c r="A42" s="20" t="s">
        <v>352</v>
      </c>
      <c r="B42" s="20" t="s">
        <v>353</v>
      </c>
      <c r="C42" s="20" t="s">
        <v>284</v>
      </c>
      <c r="D42" s="20" t="s">
        <v>325</v>
      </c>
      <c r="E42" s="24"/>
    </row>
    <row r="43" spans="1:5" x14ac:dyDescent="0.2">
      <c r="A43" s="20" t="s">
        <v>354</v>
      </c>
      <c r="B43" s="20" t="s">
        <v>353</v>
      </c>
      <c r="C43" s="20" t="s">
        <v>284</v>
      </c>
      <c r="D43" s="20" t="s">
        <v>327</v>
      </c>
      <c r="E43" s="24"/>
    </row>
    <row r="44" spans="1:5" x14ac:dyDescent="0.2">
      <c r="A44" s="20" t="s">
        <v>355</v>
      </c>
      <c r="B44" s="20" t="s">
        <v>353</v>
      </c>
      <c r="C44" s="20" t="s">
        <v>284</v>
      </c>
      <c r="D44" s="20" t="s">
        <v>329</v>
      </c>
      <c r="E44" s="24"/>
    </row>
    <row r="45" spans="1:5" x14ac:dyDescent="0.2">
      <c r="A45" s="20" t="s">
        <v>356</v>
      </c>
      <c r="B45" s="20" t="s">
        <v>353</v>
      </c>
      <c r="C45" s="20" t="s">
        <v>284</v>
      </c>
      <c r="D45" s="20" t="s">
        <v>331</v>
      </c>
      <c r="E45" s="24"/>
    </row>
    <row r="46" spans="1:5" x14ac:dyDescent="0.2">
      <c r="A46" s="20" t="s">
        <v>357</v>
      </c>
      <c r="B46" s="20" t="s">
        <v>358</v>
      </c>
      <c r="C46" s="20" t="s">
        <v>284</v>
      </c>
      <c r="D46" s="20" t="s">
        <v>325</v>
      </c>
      <c r="E46" s="24"/>
    </row>
    <row r="47" spans="1:5" x14ac:dyDescent="0.2">
      <c r="A47" s="20" t="s">
        <v>359</v>
      </c>
      <c r="B47" s="20" t="s">
        <v>358</v>
      </c>
      <c r="C47" s="20" t="s">
        <v>284</v>
      </c>
      <c r="D47" s="20" t="s">
        <v>327</v>
      </c>
      <c r="E47" s="24"/>
    </row>
    <row r="48" spans="1:5" x14ac:dyDescent="0.2">
      <c r="A48" s="20" t="s">
        <v>360</v>
      </c>
      <c r="B48" s="20" t="s">
        <v>358</v>
      </c>
      <c r="C48" s="20" t="s">
        <v>284</v>
      </c>
      <c r="D48" s="20" t="s">
        <v>329</v>
      </c>
      <c r="E48" s="24"/>
    </row>
    <row r="49" spans="1:5" x14ac:dyDescent="0.2">
      <c r="A49" s="20" t="s">
        <v>361</v>
      </c>
      <c r="B49" s="20" t="s">
        <v>358</v>
      </c>
      <c r="C49" s="20" t="s">
        <v>284</v>
      </c>
      <c r="D49" s="20" t="s">
        <v>331</v>
      </c>
      <c r="E49" s="24"/>
    </row>
    <row r="50" spans="1:5" x14ac:dyDescent="0.2">
      <c r="A50" s="20" t="s">
        <v>362</v>
      </c>
      <c r="B50" s="20" t="s">
        <v>363</v>
      </c>
      <c r="C50" s="20" t="s">
        <v>284</v>
      </c>
      <c r="D50" s="20" t="s">
        <v>364</v>
      </c>
      <c r="E50" s="24"/>
    </row>
    <row r="51" spans="1:5" x14ac:dyDescent="0.2">
      <c r="A51" s="20" t="s">
        <v>365</v>
      </c>
      <c r="B51" s="20" t="s">
        <v>366</v>
      </c>
      <c r="C51" s="20" t="s">
        <v>293</v>
      </c>
      <c r="D51" s="20" t="s">
        <v>364</v>
      </c>
      <c r="E51" s="24"/>
    </row>
    <row r="52" spans="1:5" x14ac:dyDescent="0.2">
      <c r="A52" s="20" t="s">
        <v>367</v>
      </c>
      <c r="B52" s="20" t="s">
        <v>368</v>
      </c>
      <c r="C52" s="20" t="s">
        <v>284</v>
      </c>
      <c r="D52" s="20" t="s">
        <v>369</v>
      </c>
      <c r="E52" s="24"/>
    </row>
    <row r="53" spans="1:5" x14ac:dyDescent="0.2">
      <c r="A53" s="20" t="s">
        <v>370</v>
      </c>
      <c r="B53" s="20" t="s">
        <v>368</v>
      </c>
      <c r="C53" s="20" t="s">
        <v>284</v>
      </c>
      <c r="D53" s="20" t="s">
        <v>371</v>
      </c>
      <c r="E53" s="24"/>
    </row>
    <row r="54" spans="1:5" x14ac:dyDescent="0.2">
      <c r="A54" s="20" t="s">
        <v>372</v>
      </c>
      <c r="B54" s="20" t="s">
        <v>368</v>
      </c>
      <c r="C54" s="20" t="s">
        <v>284</v>
      </c>
      <c r="D54" s="20" t="s">
        <v>373</v>
      </c>
      <c r="E54" s="24"/>
    </row>
    <row r="55" spans="1:5" x14ac:dyDescent="0.2">
      <c r="A55" s="20" t="s">
        <v>374</v>
      </c>
      <c r="B55" s="20" t="s">
        <v>368</v>
      </c>
      <c r="C55" s="20" t="s">
        <v>284</v>
      </c>
      <c r="D55" s="20" t="s">
        <v>375</v>
      </c>
      <c r="E55" s="24"/>
    </row>
    <row r="56" spans="1:5" x14ac:dyDescent="0.2">
      <c r="A56" s="20" t="s">
        <v>376</v>
      </c>
      <c r="B56" s="20" t="s">
        <v>377</v>
      </c>
      <c r="C56" s="20" t="s">
        <v>284</v>
      </c>
      <c r="D56" s="20" t="s">
        <v>369</v>
      </c>
      <c r="E56" s="24"/>
    </row>
    <row r="57" spans="1:5" x14ac:dyDescent="0.2">
      <c r="A57" s="20" t="s">
        <v>378</v>
      </c>
      <c r="B57" s="20" t="s">
        <v>377</v>
      </c>
      <c r="C57" s="20" t="s">
        <v>284</v>
      </c>
      <c r="D57" s="20" t="s">
        <v>371</v>
      </c>
      <c r="E57" s="24"/>
    </row>
    <row r="58" spans="1:5" x14ac:dyDescent="0.2">
      <c r="A58" s="20" t="s">
        <v>379</v>
      </c>
      <c r="B58" s="20" t="s">
        <v>377</v>
      </c>
      <c r="C58" s="20" t="s">
        <v>284</v>
      </c>
      <c r="D58" s="20" t="s">
        <v>373</v>
      </c>
      <c r="E58" s="24"/>
    </row>
    <row r="59" spans="1:5" x14ac:dyDescent="0.2">
      <c r="A59" s="20" t="s">
        <v>380</v>
      </c>
      <c r="B59" s="20" t="s">
        <v>377</v>
      </c>
      <c r="C59" s="20" t="s">
        <v>284</v>
      </c>
      <c r="D59" s="20" t="s">
        <v>375</v>
      </c>
      <c r="E59" s="24"/>
    </row>
    <row r="60" spans="1:5" x14ac:dyDescent="0.2">
      <c r="A60" s="20" t="s">
        <v>381</v>
      </c>
      <c r="B60" s="20" t="s">
        <v>382</v>
      </c>
      <c r="C60" s="20" t="s">
        <v>284</v>
      </c>
      <c r="D60" s="20" t="s">
        <v>369</v>
      </c>
      <c r="E60" s="24"/>
    </row>
    <row r="61" spans="1:5" x14ac:dyDescent="0.2">
      <c r="A61" s="20" t="s">
        <v>383</v>
      </c>
      <c r="B61" s="20" t="s">
        <v>382</v>
      </c>
      <c r="C61" s="20" t="s">
        <v>284</v>
      </c>
      <c r="D61" s="20" t="s">
        <v>371</v>
      </c>
      <c r="E61" s="24"/>
    </row>
    <row r="62" spans="1:5" x14ac:dyDescent="0.2">
      <c r="A62" s="20" t="s">
        <v>384</v>
      </c>
      <c r="B62" s="20" t="s">
        <v>382</v>
      </c>
      <c r="C62" s="20" t="s">
        <v>284</v>
      </c>
      <c r="D62" s="20" t="s">
        <v>373</v>
      </c>
      <c r="E62" s="24"/>
    </row>
    <row r="63" spans="1:5" x14ac:dyDescent="0.2">
      <c r="A63" s="20" t="s">
        <v>385</v>
      </c>
      <c r="B63" s="20" t="s">
        <v>382</v>
      </c>
      <c r="C63" s="20" t="s">
        <v>284</v>
      </c>
      <c r="D63" s="20" t="s">
        <v>375</v>
      </c>
      <c r="E63" s="24"/>
    </row>
    <row r="64" spans="1:5" x14ac:dyDescent="0.2">
      <c r="A64" s="20" t="s">
        <v>386</v>
      </c>
      <c r="B64" s="20" t="s">
        <v>387</v>
      </c>
      <c r="C64" s="20" t="s">
        <v>284</v>
      </c>
      <c r="D64" s="20" t="s">
        <v>369</v>
      </c>
      <c r="E64" s="24"/>
    </row>
    <row r="65" spans="1:5" x14ac:dyDescent="0.2">
      <c r="A65" s="20" t="s">
        <v>388</v>
      </c>
      <c r="B65" s="20" t="s">
        <v>387</v>
      </c>
      <c r="C65" s="20" t="s">
        <v>284</v>
      </c>
      <c r="D65" s="20" t="s">
        <v>371</v>
      </c>
      <c r="E65" s="24"/>
    </row>
    <row r="66" spans="1:5" x14ac:dyDescent="0.2">
      <c r="A66" s="20" t="s">
        <v>389</v>
      </c>
      <c r="B66" s="20" t="s">
        <v>387</v>
      </c>
      <c r="C66" s="20" t="s">
        <v>284</v>
      </c>
      <c r="D66" s="20" t="s">
        <v>373</v>
      </c>
      <c r="E66" s="24"/>
    </row>
    <row r="67" spans="1:5" x14ac:dyDescent="0.2">
      <c r="A67" s="20" t="s">
        <v>390</v>
      </c>
      <c r="B67" s="20" t="s">
        <v>387</v>
      </c>
      <c r="C67" s="20" t="s">
        <v>284</v>
      </c>
      <c r="D67" s="20" t="s">
        <v>375</v>
      </c>
      <c r="E67" s="24"/>
    </row>
    <row r="68" spans="1:5" x14ac:dyDescent="0.2">
      <c r="A68" s="20" t="s">
        <v>391</v>
      </c>
      <c r="B68" s="20" t="s">
        <v>392</v>
      </c>
      <c r="C68" s="20" t="s">
        <v>284</v>
      </c>
      <c r="D68" s="20" t="s">
        <v>369</v>
      </c>
      <c r="E68" s="24"/>
    </row>
    <row r="69" spans="1:5" x14ac:dyDescent="0.2">
      <c r="A69" s="20" t="s">
        <v>393</v>
      </c>
      <c r="B69" s="20" t="s">
        <v>392</v>
      </c>
      <c r="C69" s="20" t="s">
        <v>284</v>
      </c>
      <c r="D69" s="20" t="s">
        <v>371</v>
      </c>
      <c r="E69" s="24"/>
    </row>
    <row r="70" spans="1:5" x14ac:dyDescent="0.2">
      <c r="A70" s="20" t="s">
        <v>394</v>
      </c>
      <c r="B70" s="20" t="s">
        <v>392</v>
      </c>
      <c r="C70" s="20" t="s">
        <v>284</v>
      </c>
      <c r="D70" s="20" t="s">
        <v>373</v>
      </c>
      <c r="E70" s="24"/>
    </row>
    <row r="71" spans="1:5" x14ac:dyDescent="0.2">
      <c r="A71" s="20" t="s">
        <v>395</v>
      </c>
      <c r="B71" s="20" t="s">
        <v>392</v>
      </c>
      <c r="C71" s="20" t="s">
        <v>284</v>
      </c>
      <c r="D71" s="20" t="s">
        <v>375</v>
      </c>
      <c r="E71" s="24"/>
    </row>
    <row r="72" spans="1:5" x14ac:dyDescent="0.2">
      <c r="A72" s="20" t="s">
        <v>396</v>
      </c>
      <c r="B72" s="20" t="s">
        <v>397</v>
      </c>
      <c r="C72" s="20" t="s">
        <v>284</v>
      </c>
      <c r="D72" s="20" t="s">
        <v>369</v>
      </c>
      <c r="E72" s="24"/>
    </row>
    <row r="73" spans="1:5" x14ac:dyDescent="0.2">
      <c r="A73" s="20" t="s">
        <v>398</v>
      </c>
      <c r="B73" s="20" t="s">
        <v>397</v>
      </c>
      <c r="C73" s="20" t="s">
        <v>284</v>
      </c>
      <c r="D73" s="20" t="s">
        <v>371</v>
      </c>
      <c r="E73" s="24"/>
    </row>
    <row r="74" spans="1:5" x14ac:dyDescent="0.2">
      <c r="A74" s="20" t="s">
        <v>399</v>
      </c>
      <c r="B74" s="20" t="s">
        <v>397</v>
      </c>
      <c r="C74" s="20" t="s">
        <v>284</v>
      </c>
      <c r="D74" s="20" t="s">
        <v>373</v>
      </c>
      <c r="E74" s="24"/>
    </row>
    <row r="75" spans="1:5" x14ac:dyDescent="0.2">
      <c r="A75" s="20" t="s">
        <v>400</v>
      </c>
      <c r="B75" s="20" t="s">
        <v>397</v>
      </c>
      <c r="C75" s="20" t="s">
        <v>284</v>
      </c>
      <c r="D75" s="20" t="s">
        <v>375</v>
      </c>
      <c r="E75" s="24"/>
    </row>
    <row r="76" spans="1:5" x14ac:dyDescent="0.2">
      <c r="A76" s="20" t="s">
        <v>401</v>
      </c>
      <c r="B76" s="20" t="s">
        <v>402</v>
      </c>
      <c r="C76" s="20" t="s">
        <v>284</v>
      </c>
      <c r="D76" s="20" t="s">
        <v>369</v>
      </c>
      <c r="E76" s="24"/>
    </row>
    <row r="77" spans="1:5" x14ac:dyDescent="0.2">
      <c r="A77" s="20" t="s">
        <v>403</v>
      </c>
      <c r="B77" s="20" t="s">
        <v>402</v>
      </c>
      <c r="C77" s="20" t="s">
        <v>284</v>
      </c>
      <c r="D77" s="20" t="s">
        <v>371</v>
      </c>
      <c r="E77" s="24"/>
    </row>
    <row r="78" spans="1:5" x14ac:dyDescent="0.2">
      <c r="A78" s="20" t="s">
        <v>404</v>
      </c>
      <c r="B78" s="20" t="s">
        <v>402</v>
      </c>
      <c r="C78" s="20" t="s">
        <v>284</v>
      </c>
      <c r="D78" s="20" t="s">
        <v>373</v>
      </c>
      <c r="E78" s="24"/>
    </row>
    <row r="79" spans="1:5" x14ac:dyDescent="0.2">
      <c r="A79" s="20" t="s">
        <v>405</v>
      </c>
      <c r="B79" s="20" t="s">
        <v>402</v>
      </c>
      <c r="C79" s="20" t="s">
        <v>284</v>
      </c>
      <c r="D79" s="20" t="s">
        <v>375</v>
      </c>
      <c r="E79" s="24"/>
    </row>
    <row r="80" spans="1:5" x14ac:dyDescent="0.2">
      <c r="A80" s="20" t="s">
        <v>406</v>
      </c>
      <c r="B80" s="20" t="s">
        <v>407</v>
      </c>
      <c r="C80" s="20" t="s">
        <v>284</v>
      </c>
      <c r="D80" s="20" t="s">
        <v>369</v>
      </c>
      <c r="E80" s="24"/>
    </row>
    <row r="81" spans="1:5" x14ac:dyDescent="0.2">
      <c r="A81" s="20" t="s">
        <v>408</v>
      </c>
      <c r="B81" s="20" t="s">
        <v>407</v>
      </c>
      <c r="C81" s="20" t="s">
        <v>284</v>
      </c>
      <c r="D81" s="20" t="s">
        <v>371</v>
      </c>
      <c r="E81" s="24"/>
    </row>
    <row r="82" spans="1:5" x14ac:dyDescent="0.2">
      <c r="A82" s="20" t="s">
        <v>409</v>
      </c>
      <c r="B82" s="20" t="s">
        <v>407</v>
      </c>
      <c r="C82" s="20" t="s">
        <v>284</v>
      </c>
      <c r="D82" s="20" t="s">
        <v>373</v>
      </c>
      <c r="E82" s="24"/>
    </row>
    <row r="83" spans="1:5" x14ac:dyDescent="0.2">
      <c r="A83" s="20" t="s">
        <v>410</v>
      </c>
      <c r="B83" s="20" t="s">
        <v>407</v>
      </c>
      <c r="C83" s="20" t="s">
        <v>284</v>
      </c>
      <c r="D83" s="20" t="s">
        <v>375</v>
      </c>
      <c r="E83" s="24"/>
    </row>
    <row r="84" spans="1:5" x14ac:dyDescent="0.2">
      <c r="A84" s="20" t="s">
        <v>411</v>
      </c>
      <c r="B84" s="20" t="s">
        <v>412</v>
      </c>
      <c r="C84" s="20" t="s">
        <v>300</v>
      </c>
      <c r="D84" s="20" t="s">
        <v>301</v>
      </c>
      <c r="E84" s="24"/>
    </row>
    <row r="85" spans="1:5" x14ac:dyDescent="0.2">
      <c r="A85" s="20" t="s">
        <v>413</v>
      </c>
      <c r="B85" s="20" t="s">
        <v>412</v>
      </c>
      <c r="C85" s="20" t="s">
        <v>300</v>
      </c>
      <c r="D85" s="20" t="s">
        <v>303</v>
      </c>
      <c r="E85" s="24"/>
    </row>
    <row r="86" spans="1:5" x14ac:dyDescent="0.2">
      <c r="A86" s="20" t="s">
        <v>414</v>
      </c>
      <c r="B86" s="20" t="s">
        <v>412</v>
      </c>
      <c r="C86" s="20" t="s">
        <v>300</v>
      </c>
      <c r="D86" s="20" t="s">
        <v>305</v>
      </c>
      <c r="E86" s="24"/>
    </row>
    <row r="87" spans="1:5" x14ac:dyDescent="0.2">
      <c r="A87" s="25" t="s">
        <v>415</v>
      </c>
      <c r="B87" s="25" t="s">
        <v>412</v>
      </c>
      <c r="C87" s="25" t="s">
        <v>300</v>
      </c>
      <c r="D87" s="25" t="s">
        <v>307</v>
      </c>
      <c r="E87" s="29"/>
    </row>
    <row r="88" spans="1:5" x14ac:dyDescent="0.2">
      <c r="A88" s="42" t="s">
        <v>139</v>
      </c>
      <c r="B88" s="43"/>
      <c r="C88" s="43"/>
      <c r="D88" s="43"/>
      <c r="E88" s="82"/>
    </row>
    <row r="90" spans="1:5" x14ac:dyDescent="0.2">
      <c r="A90" s="42" t="s">
        <v>416</v>
      </c>
      <c r="B90" s="43"/>
      <c r="C90" s="43"/>
      <c r="D90" s="43"/>
      <c r="E90" s="82"/>
    </row>
  </sheetData>
  <pageMargins left="0.7" right="0.7" top="0.75" bottom="0.75" header="0.3" footer="0.3"/>
  <pageSetup paperSize="9" scale="65" orientation="landscape" r:id="rId1"/>
  <headerFooter>
    <oddFooter>&amp;LStichting Proominent EA 2022                                &amp;ROpmaakdatum: 13-06-2022
Intexso - De Start 5 -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369</vt:i4>
      </vt:variant>
    </vt:vector>
  </HeadingPairs>
  <TitlesOfParts>
    <vt:vector size="381" baseType="lpstr">
      <vt:lpstr>Omreken</vt:lpstr>
      <vt:lpstr>Categorienormen</vt:lpstr>
      <vt:lpstr>Regulier werk</vt:lpstr>
      <vt:lpstr>Objectinformatie</vt:lpstr>
      <vt:lpstr>Objecten</vt:lpstr>
      <vt:lpstr>Niet-meewerkende objectleiding</vt:lpstr>
      <vt:lpstr>Totaalblad Objecten</vt:lpstr>
      <vt:lpstr>Afroep</vt:lpstr>
      <vt:lpstr>Afroep incidenteel</vt:lpstr>
      <vt:lpstr>Glas</vt:lpstr>
      <vt:lpstr>Glas per locatie</vt:lpstr>
      <vt:lpstr>Totaal</vt:lpstr>
      <vt:lpstr>Afroep!Afdruktitels</vt:lpstr>
      <vt:lpstr>'Afroep incidenteel'!Afdruktitels</vt:lpstr>
      <vt:lpstr>Categorienormen!Afdruktitels</vt:lpstr>
      <vt:lpstr>Glas!Afdruktitels</vt:lpstr>
      <vt:lpstr>'Glas per locatie'!Afdruktitels</vt:lpstr>
      <vt:lpstr>'Niet-meewerkende objectleiding'!Afdruktitels</vt:lpstr>
      <vt:lpstr>Objecten!Afdruktitels</vt:lpstr>
      <vt:lpstr>Objectinformatie!Afdruktitels</vt:lpstr>
      <vt:lpstr>'Regulier werk'!Afdruktitels</vt:lpstr>
      <vt:lpstr>Totaal!Afdruktitels</vt:lpstr>
      <vt:lpstr>'Totaalblad Objecten'!Afdruktitels</vt:lpstr>
      <vt:lpstr>catdw_1_AHB_1</vt:lpstr>
      <vt:lpstr>catdw_1_AHV_40</vt:lpstr>
      <vt:lpstr>catdw_1_AZB_1</vt:lpstr>
      <vt:lpstr>catdw_1_AZV_40</vt:lpstr>
      <vt:lpstr>catdw_1_BHB_1</vt:lpstr>
      <vt:lpstr>catdw_1_BHV_40</vt:lpstr>
      <vt:lpstr>catdw_1_BZB_1</vt:lpstr>
      <vt:lpstr>catdw_1_BZV_40</vt:lpstr>
      <vt:lpstr>catdw_1_EHB_1</vt:lpstr>
      <vt:lpstr>catdw_1_EHV_40</vt:lpstr>
      <vt:lpstr>catdw_1_EZB_1</vt:lpstr>
      <vt:lpstr>catdw_1_EZV_40</vt:lpstr>
      <vt:lpstr>catdw_1_GHB_1</vt:lpstr>
      <vt:lpstr>catdw_1_GHV_40</vt:lpstr>
      <vt:lpstr>catdw_1_KHB_1</vt:lpstr>
      <vt:lpstr>catdw_1_KHV_40</vt:lpstr>
      <vt:lpstr>catdw_1_KZB_1</vt:lpstr>
      <vt:lpstr>catdw_1_KZV_40</vt:lpstr>
      <vt:lpstr>catdw_1_PHB_1</vt:lpstr>
      <vt:lpstr>catdw_1_PHV_40</vt:lpstr>
      <vt:lpstr>catdw_1_SHB_1</vt:lpstr>
      <vt:lpstr>catdw_1_SHV_40</vt:lpstr>
      <vt:lpstr>catdw_1_THB_1</vt:lpstr>
      <vt:lpstr>catdw_1_THV_40</vt:lpstr>
      <vt:lpstr>catdw_1_TZB_1</vt:lpstr>
      <vt:lpstr>catdw_1_TZV_40</vt:lpstr>
      <vt:lpstr>catdw_1_VHB_1</vt:lpstr>
      <vt:lpstr>catdw_1_VHV_40</vt:lpstr>
      <vt:lpstr>catdw_1_VZB_1</vt:lpstr>
      <vt:lpstr>catdw_1_VZV_40</vt:lpstr>
      <vt:lpstr>catdw_1_XBB_1</vt:lpstr>
      <vt:lpstr>catfd_1_AHB_1</vt:lpstr>
      <vt:lpstr>catfd_1_AHV_40</vt:lpstr>
      <vt:lpstr>catfd_1_AZB_1</vt:lpstr>
      <vt:lpstr>catfd_1_AZV_40</vt:lpstr>
      <vt:lpstr>catfd_1_BHB_1</vt:lpstr>
      <vt:lpstr>catfd_1_BHV_40</vt:lpstr>
      <vt:lpstr>catfd_1_BZB_1</vt:lpstr>
      <vt:lpstr>catfd_1_BZV_40</vt:lpstr>
      <vt:lpstr>catfd_1_EHB_1</vt:lpstr>
      <vt:lpstr>catfd_1_EHV_40</vt:lpstr>
      <vt:lpstr>catfd_1_EZB_1</vt:lpstr>
      <vt:lpstr>catfd_1_EZV_40</vt:lpstr>
      <vt:lpstr>catfd_1_GHB_1</vt:lpstr>
      <vt:lpstr>catfd_1_GHV_40</vt:lpstr>
      <vt:lpstr>catfd_1_KHB_1</vt:lpstr>
      <vt:lpstr>catfd_1_KHV_40</vt:lpstr>
      <vt:lpstr>catfd_1_KZB_1</vt:lpstr>
      <vt:lpstr>catfd_1_KZV_40</vt:lpstr>
      <vt:lpstr>catfd_1_PHB_1</vt:lpstr>
      <vt:lpstr>catfd_1_PHV_40</vt:lpstr>
      <vt:lpstr>catfd_1_SHB_1</vt:lpstr>
      <vt:lpstr>catfd_1_SHV_40</vt:lpstr>
      <vt:lpstr>catfd_1_THB_1</vt:lpstr>
      <vt:lpstr>catfd_1_THV_40</vt:lpstr>
      <vt:lpstr>catfd_1_TZB_1</vt:lpstr>
      <vt:lpstr>catfd_1_TZV_40</vt:lpstr>
      <vt:lpstr>catfd_1_VHB_1</vt:lpstr>
      <vt:lpstr>catfd_1_VHV_40</vt:lpstr>
      <vt:lpstr>catfd_1_VZB_1</vt:lpstr>
      <vt:lpstr>catfd_1_VZV_40</vt:lpstr>
      <vt:lpstr>catfd_1_XBB_1</vt:lpstr>
      <vt:lpstr>catpn_1_AHB_1</vt:lpstr>
      <vt:lpstr>catpn_1_AHV_40</vt:lpstr>
      <vt:lpstr>catpn_1_AZB_1</vt:lpstr>
      <vt:lpstr>catpn_1_AZV_40</vt:lpstr>
      <vt:lpstr>catpn_1_BHB_1</vt:lpstr>
      <vt:lpstr>catpn_1_BHV_40</vt:lpstr>
      <vt:lpstr>catpn_1_BZB_1</vt:lpstr>
      <vt:lpstr>catpn_1_BZV_40</vt:lpstr>
      <vt:lpstr>catpn_1_EHB_1</vt:lpstr>
      <vt:lpstr>catpn_1_EHV_40</vt:lpstr>
      <vt:lpstr>catpn_1_EZB_1</vt:lpstr>
      <vt:lpstr>catpn_1_EZV_40</vt:lpstr>
      <vt:lpstr>catpn_1_GHB_1</vt:lpstr>
      <vt:lpstr>catpn_1_GHV_40</vt:lpstr>
      <vt:lpstr>catpn_1_KHB_1</vt:lpstr>
      <vt:lpstr>catpn_1_KHV_40</vt:lpstr>
      <vt:lpstr>catpn_1_KZB_1</vt:lpstr>
      <vt:lpstr>catpn_1_KZV_40</vt:lpstr>
      <vt:lpstr>catpn_1_PHB_1</vt:lpstr>
      <vt:lpstr>catpn_1_PHV_40</vt:lpstr>
      <vt:lpstr>catpn_1_SHB_1</vt:lpstr>
      <vt:lpstr>catpn_1_SHV_40</vt:lpstr>
      <vt:lpstr>catpn_1_THB_1</vt:lpstr>
      <vt:lpstr>catpn_1_THV_40</vt:lpstr>
      <vt:lpstr>catpn_1_TZB_1</vt:lpstr>
      <vt:lpstr>catpn_1_TZV_40</vt:lpstr>
      <vt:lpstr>catpn_1_VHB_1</vt:lpstr>
      <vt:lpstr>catpn_1_VHV_40</vt:lpstr>
      <vt:lpstr>catpn_1_VZB_1</vt:lpstr>
      <vt:lpstr>catpn_1_VZV_40</vt:lpstr>
      <vt:lpstr>catpn_1_XBB_1</vt:lpstr>
      <vt:lpstr>cattf_1_AHB_1</vt:lpstr>
      <vt:lpstr>cattf_1_AHV_40</vt:lpstr>
      <vt:lpstr>cattf_1_AZB_1</vt:lpstr>
      <vt:lpstr>cattf_1_AZV_40</vt:lpstr>
      <vt:lpstr>cattf_1_BHB_1</vt:lpstr>
      <vt:lpstr>cattf_1_BHV_40</vt:lpstr>
      <vt:lpstr>cattf_1_BZB_1</vt:lpstr>
      <vt:lpstr>cattf_1_BZV_40</vt:lpstr>
      <vt:lpstr>cattf_1_EHB_1</vt:lpstr>
      <vt:lpstr>cattf_1_EHV_40</vt:lpstr>
      <vt:lpstr>cattf_1_EZB_1</vt:lpstr>
      <vt:lpstr>cattf_1_EZV_40</vt:lpstr>
      <vt:lpstr>cattf_1_GHB_1</vt:lpstr>
      <vt:lpstr>cattf_1_GHV_40</vt:lpstr>
      <vt:lpstr>cattf_1_KHB_1</vt:lpstr>
      <vt:lpstr>cattf_1_KHV_40</vt:lpstr>
      <vt:lpstr>cattf_1_KZB_1</vt:lpstr>
      <vt:lpstr>cattf_1_KZV_40</vt:lpstr>
      <vt:lpstr>cattf_1_PHB_1</vt:lpstr>
      <vt:lpstr>cattf_1_PHV_40</vt:lpstr>
      <vt:lpstr>cattf_1_SHB_1</vt:lpstr>
      <vt:lpstr>cattf_1_SHV_40</vt:lpstr>
      <vt:lpstr>cattf_1_THB_1</vt:lpstr>
      <vt:lpstr>cattf_1_THV_40</vt:lpstr>
      <vt:lpstr>cattf_1_TZB_1</vt:lpstr>
      <vt:lpstr>cattf_1_TZV_40</vt:lpstr>
      <vt:lpstr>cattf_1_VHB_1</vt:lpstr>
      <vt:lpstr>cattf_1_VHV_40</vt:lpstr>
      <vt:lpstr>cattf_1_VZB_1</vt:lpstr>
      <vt:lpstr>cattf_1_VZV_40</vt:lpstr>
      <vt:lpstr>cattf_1_XBB_1</vt:lpstr>
      <vt:lpstr>dagenperjaar1</vt:lpstr>
      <vt:lpstr>dagenperweek1</vt:lpstr>
      <vt:lpstr>dagsoorttabel1</vt:lpstr>
      <vt:lpstr>dagwerk10</vt:lpstr>
      <vt:lpstr>dagwerk11</vt:lpstr>
      <vt:lpstr>dagwerk12</vt:lpstr>
      <vt:lpstr>dagwerk13</vt:lpstr>
      <vt:lpstr>dagwerk14</vt:lpstr>
      <vt:lpstr>dagwerk15</vt:lpstr>
      <vt:lpstr>dagwerk16</vt:lpstr>
      <vt:lpstr>dagwerk17</vt:lpstr>
      <vt:lpstr>dagwerk18</vt:lpstr>
      <vt:lpstr>dagwerk19</vt:lpstr>
      <vt:lpstr>dagwerk20</vt:lpstr>
      <vt:lpstr>dagwerk21</vt:lpstr>
      <vt:lpstr>dagwerk22</vt:lpstr>
      <vt:lpstr>dagwerk23</vt:lpstr>
      <vt:lpstr>dagwerk24</vt:lpstr>
      <vt:lpstr>dagwerk25</vt:lpstr>
      <vt:lpstr>dagwerk26</vt:lpstr>
      <vt:lpstr>dagwerk27</vt:lpstr>
      <vt:lpstr>dagwerk28</vt:lpstr>
      <vt:lpstr>dagwerk29</vt:lpstr>
      <vt:lpstr>dagwerk30</vt:lpstr>
      <vt:lpstr>dagwerk31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dagwerk40</vt:lpstr>
      <vt:lpstr>dagwerk41</vt:lpstr>
      <vt:lpstr>dagwerk42</vt:lpstr>
      <vt:lpstr>dagwerk43</vt:lpstr>
      <vt:lpstr>dagwerk44</vt:lpstr>
      <vt:lpstr>dagwerk9</vt:lpstr>
      <vt:lpstr>dagwerktabel1</vt:lpstr>
      <vt:lpstr>gemuurtarief1</vt:lpstr>
      <vt:lpstr>kengetaltabel1</vt:lpstr>
      <vt:lpstr>object1_opptabel1</vt:lpstr>
      <vt:lpstr>object10_opptabel1</vt:lpstr>
      <vt:lpstr>object11_opptabel1</vt:lpstr>
      <vt:lpstr>object12_opptabel1</vt:lpstr>
      <vt:lpstr>object13_opptabel1</vt:lpstr>
      <vt:lpstr>object2_opptabel1</vt:lpstr>
      <vt:lpstr>object3_opptabel1</vt:lpstr>
      <vt:lpstr>object4_opptabel1</vt:lpstr>
      <vt:lpstr>object5_opptabel1</vt:lpstr>
      <vt:lpstr>object6_opptabel1</vt:lpstr>
      <vt:lpstr>object7_opptabel1</vt:lpstr>
      <vt:lpstr>object8_opptabel1</vt:lpstr>
      <vt:lpstr>object9_opptabel1</vt:lpstr>
      <vt:lpstr>objectprijs1_1</vt:lpstr>
      <vt:lpstr>objectprijs10_1</vt:lpstr>
      <vt:lpstr>objectprijs11_1</vt:lpstr>
      <vt:lpstr>objectprijs12_1</vt:lpstr>
      <vt:lpstr>objectprijs13_1</vt:lpstr>
      <vt:lpstr>objectprijs2_1</vt:lpstr>
      <vt:lpstr>objectprijs3_1</vt:lpstr>
      <vt:lpstr>objectprijs4_1</vt:lpstr>
      <vt:lpstr>objectprijs5_1</vt:lpstr>
      <vt:lpstr>objectprijs6_1</vt:lpstr>
      <vt:lpstr>objectprijs7_1</vt:lpstr>
      <vt:lpstr>objectprijs8_1</vt:lpstr>
      <vt:lpstr>objectprijs9_1</vt:lpstr>
      <vt:lpstr>objecturen1_1</vt:lpstr>
      <vt:lpstr>objecturen10_1</vt:lpstr>
      <vt:lpstr>objecturen11_1</vt:lpstr>
      <vt:lpstr>objecturen12_1</vt:lpstr>
      <vt:lpstr>objecturen13_1</vt:lpstr>
      <vt:lpstr>objecturen2_1</vt:lpstr>
      <vt:lpstr>objecturen3_1</vt:lpstr>
      <vt:lpstr>objecturen4_1</vt:lpstr>
      <vt:lpstr>objecturen5_1</vt:lpstr>
      <vt:lpstr>objecturen6_1</vt:lpstr>
      <vt:lpstr>objecturen7_1</vt:lpstr>
      <vt:lpstr>objecturen8_1</vt:lpstr>
      <vt:lpstr>objecturen9_1</vt:lpstr>
      <vt:lpstr>objecturenhf1_1</vt:lpstr>
      <vt:lpstr>objecturenhf10_1</vt:lpstr>
      <vt:lpstr>objecturenhf11_1</vt:lpstr>
      <vt:lpstr>objecturenhf12_1</vt:lpstr>
      <vt:lpstr>objecturenhf13_1</vt:lpstr>
      <vt:lpstr>objecturenhf2_1</vt:lpstr>
      <vt:lpstr>objecturenhf3_1</vt:lpstr>
      <vt:lpstr>objecturenhf4_1</vt:lpstr>
      <vt:lpstr>objecturenhf5_1</vt:lpstr>
      <vt:lpstr>objecturenhf6_1</vt:lpstr>
      <vt:lpstr>objecturenhf7_1</vt:lpstr>
      <vt:lpstr>objecturenhf8_1</vt:lpstr>
      <vt:lpstr>objecturenhf9_1</vt:lpstr>
      <vt:lpstr>prijsdag1</vt:lpstr>
      <vt:lpstr>prijsjaar</vt:lpstr>
      <vt:lpstr>prijsjaar1</vt:lpstr>
      <vt:lpstr>prijsjaarafroep</vt:lpstr>
      <vt:lpstr>prijsjaarafroep1</vt:lpstr>
      <vt:lpstr>prijsjaarglas</vt:lpstr>
      <vt:lpstr>prijsjaarglas1</vt:lpstr>
      <vt:lpstr>prijsjaarnietmeewerkend</vt:lpstr>
      <vt:lpstr>prijsjaartotaal</vt:lpstr>
      <vt:lpstr>prijsjaartotaal1</vt:lpstr>
      <vt:lpstr>prijsjaartotaaloverzicht</vt:lpstr>
      <vt:lpstr>prijsmaandtotaal1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prodnorm40</vt:lpstr>
      <vt:lpstr>prodnorm41</vt:lpstr>
      <vt:lpstr>prodnorm42</vt:lpstr>
      <vt:lpstr>prodnorm43</vt:lpstr>
      <vt:lpstr>prodnorm44</vt:lpstr>
      <vt:lpstr>prodnorm9</vt:lpstr>
      <vt:lpstr>taakfreqtabel1</vt:lpstr>
      <vt:lpstr>tabeltype</vt:lpstr>
      <vt:lpstr>tarieftabel1</vt:lpstr>
      <vt:lpstr>tzpjt1</vt:lpstr>
      <vt:lpstr>tzpjt1_1</vt:lpstr>
      <vt:lpstr>tzpjt10_1</vt:lpstr>
      <vt:lpstr>tzpjt11_1</vt:lpstr>
      <vt:lpstr>tzpjt12_1</vt:lpstr>
      <vt:lpstr>tzpjt13_1</vt:lpstr>
      <vt:lpstr>tzpjt2_1</vt:lpstr>
      <vt:lpstr>tzpjt3_1</vt:lpstr>
      <vt:lpstr>tzpjt4_1</vt:lpstr>
      <vt:lpstr>tzpjt5_1</vt:lpstr>
      <vt:lpstr>tzpjt6_1</vt:lpstr>
      <vt:lpstr>tzpjt7_1</vt:lpstr>
      <vt:lpstr>tzpjt8_1</vt:lpstr>
      <vt:lpstr>tzpjt9_1</vt:lpstr>
      <vt:lpstr>tzpmt1</vt:lpstr>
      <vt:lpstr>tzpmt1_1</vt:lpstr>
      <vt:lpstr>tzpmt10_1</vt:lpstr>
      <vt:lpstr>tzpmt11_1</vt:lpstr>
      <vt:lpstr>tzpmt12_1</vt:lpstr>
      <vt:lpstr>tzpmt13_1</vt:lpstr>
      <vt:lpstr>tzpmt2_1</vt:lpstr>
      <vt:lpstr>tzpmt3_1</vt:lpstr>
      <vt:lpstr>tzpmt4_1</vt:lpstr>
      <vt:lpstr>tzpmt5_1</vt:lpstr>
      <vt:lpstr>tzpmt6_1</vt:lpstr>
      <vt:lpstr>tzpmt7_1</vt:lpstr>
      <vt:lpstr>tzpmt8_1</vt:lpstr>
      <vt:lpstr>tzpmt9_1</vt:lpstr>
      <vt:lpstr>tzujt1</vt:lpstr>
      <vt:lpstr>tzujt1_1</vt:lpstr>
      <vt:lpstr>tzujt10_1</vt:lpstr>
      <vt:lpstr>tzujt11_1</vt:lpstr>
      <vt:lpstr>tzujt12_1</vt:lpstr>
      <vt:lpstr>tzujt13_1</vt:lpstr>
      <vt:lpstr>tzujt2_1</vt:lpstr>
      <vt:lpstr>tzujt3_1</vt:lpstr>
      <vt:lpstr>tzujt4_1</vt:lpstr>
      <vt:lpstr>tzujt5_1</vt:lpstr>
      <vt:lpstr>tzujt6_1</vt:lpstr>
      <vt:lpstr>tzujt7_1</vt:lpstr>
      <vt:lpstr>tzujt8_1</vt:lpstr>
      <vt:lpstr>tzujt9_1</vt:lpstr>
      <vt:lpstr>urendag1</vt:lpstr>
      <vt:lpstr>urenjaar</vt:lpstr>
      <vt:lpstr>urenjaar1</vt:lpstr>
      <vt:lpstr>urenjaarnietmeewerkend</vt:lpstr>
      <vt:lpstr>urenjaartotaal</vt:lpstr>
      <vt:lpstr>urenjaartotaal1</vt:lpstr>
      <vt:lpstr>urenjaartotaalhf</vt:lpstr>
      <vt:lpstr>urenjaartotaalhf1</vt:lpstr>
      <vt:lpstr>urenjaartotaaloverzicht</vt:lpstr>
      <vt:lpstr>urenjaartotaaloverzichthf</vt:lpstr>
      <vt:lpstr>uurfactortabel1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uurtarief40</vt:lpstr>
      <vt:lpstr>uurtarief41</vt:lpstr>
      <vt:lpstr>uurtarief42</vt:lpstr>
      <vt:lpstr>uurtarief43</vt:lpstr>
      <vt:lpstr>uurtarief44</vt:lpstr>
      <vt:lpstr>uurtarief9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2022-06-13T07:31:44Z</dcterms:created>
  <dcterms:modified xsi:type="dcterms:W3CDTF">2022-06-13T09:47:17Z</dcterms:modified>
</cp:coreProperties>
</file>