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BMO\Inkoop\1. Lopend\2022\2022 - 02 - Milieustraat\4. Gunningsfase\1. Definitief TenderNed\"/>
    </mc:Choice>
  </mc:AlternateContent>
  <bookViews>
    <workbookView xWindow="1425" yWindow="1425" windowWidth="21600" windowHeight="11295" firstSheet="1" activeTab="1"/>
  </bookViews>
  <sheets>
    <sheet name="Blad1" sheetId="2" state="hidden" r:id="rId1"/>
    <sheet name="Prijzenblad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2" i="4" l="1"/>
  <c r="H32" i="4"/>
  <c r="I48" i="4"/>
  <c r="H48" i="4"/>
  <c r="I8" i="4"/>
  <c r="H8" i="4"/>
  <c r="I7" i="4"/>
  <c r="H7" i="4"/>
  <c r="F36" i="4" l="1"/>
  <c r="F35" i="4"/>
  <c r="F34" i="4"/>
  <c r="F8" i="4"/>
  <c r="F48" i="4" l="1"/>
  <c r="F7" i="4"/>
  <c r="F32" i="4"/>
  <c r="F43" i="4"/>
  <c r="F44" i="4"/>
  <c r="F42" i="4"/>
  <c r="F13" i="4" l="1"/>
  <c r="F12" i="4"/>
  <c r="F11" i="4"/>
  <c r="F10" i="4"/>
  <c r="F27" i="4"/>
  <c r="C28" i="4"/>
  <c r="F28" i="4" s="1"/>
  <c r="C26" i="4"/>
  <c r="F26" i="4" s="1"/>
  <c r="F16" i="4"/>
  <c r="F20" i="4" l="1"/>
  <c r="F17" i="4"/>
  <c r="F19" i="4"/>
  <c r="F18" i="4"/>
  <c r="F25" i="4"/>
  <c r="F23" i="4"/>
  <c r="F22" i="4"/>
  <c r="F15" i="4"/>
  <c r="F24" i="4"/>
  <c r="F21" i="4"/>
  <c r="F14" i="4"/>
  <c r="F50" i="4" l="1"/>
  <c r="F30" i="4"/>
  <c r="F37" i="4"/>
  <c r="F39" i="4" l="1"/>
  <c r="F52" i="4" s="1"/>
</calcChain>
</file>

<file path=xl/sharedStrings.xml><?xml version="1.0" encoding="utf-8"?>
<sst xmlns="http://schemas.openxmlformats.org/spreadsheetml/2006/main" count="131" uniqueCount="110">
  <si>
    <t>Totaal</t>
  </si>
  <si>
    <t>Naam Inschrijver:</t>
  </si>
  <si>
    <t>Naam (dhr/mevr):</t>
  </si>
  <si>
    <t>Functie:</t>
  </si>
  <si>
    <t>Handtekening:</t>
  </si>
  <si>
    <t>niet</t>
  </si>
  <si>
    <t>CO2 prestatieladder</t>
  </si>
  <si>
    <t>Onderdeel A, beheer milieustraat</t>
  </si>
  <si>
    <t>Verwerking verbouwingsrestafval</t>
  </si>
  <si>
    <t>verwerkings-tarief per ton</t>
  </si>
  <si>
    <t>transport-kosten per ton</t>
  </si>
  <si>
    <t xml:space="preserve">verwerkings-kosten per ton </t>
  </si>
  <si>
    <t>Preventieve en curatieve gladheidsbestrijding (mechanisch) op publieksterrein op aangeven van de gladheidsbestrijdingscoordinator</t>
  </si>
  <si>
    <t>tonnage per jaar</t>
  </si>
  <si>
    <t>Vlakglas</t>
  </si>
  <si>
    <t>Kadavers</t>
  </si>
  <si>
    <t>Gipsmateriaal</t>
  </si>
  <si>
    <t>Grond</t>
  </si>
  <si>
    <t>Hout, C-kwaliteit</t>
  </si>
  <si>
    <t>Schoon puin</t>
  </si>
  <si>
    <t>totaal per jaar</t>
  </si>
  <si>
    <t xml:space="preserve">Bedragen in te vullen in euro's exclusief BTW </t>
  </si>
  <si>
    <t>Alleen gele vakken invullen</t>
  </si>
  <si>
    <t>aantal bigbags per jaar</t>
  </si>
  <si>
    <t>tarief per bigbag</t>
  </si>
  <si>
    <t>Niet geplande werkzaamheden (zie bijlage 3 Aanbestedingsleidraad, de pm posten uit de tabel 'werkzaamheden gladheidsbestrijding)</t>
  </si>
  <si>
    <t>Hout, A en B-kwaliteit</t>
  </si>
  <si>
    <t>Onderdeel A1 , gastheerschap en beheer milieustraat</t>
  </si>
  <si>
    <t xml:space="preserve">Onderdeel A3, beheer en onderhoud milieustraat (regulier jaarlijks onderhoud) </t>
  </si>
  <si>
    <t>Bijvullen van de zoutkist op basis van de verbruikssnelheid</t>
  </si>
  <si>
    <t>Inzamelen bigbags met Grof huish. restafval</t>
  </si>
  <si>
    <t>Inzamelen bigbags met Grof tuinafval</t>
  </si>
  <si>
    <t>Inzamelen bigbags met Verbouwingsrestafval</t>
  </si>
  <si>
    <t>Gastheerschap en beheer milieustraat</t>
  </si>
  <si>
    <t>Regulier jaarlijks onderhoud obv activiteiten in bijlage 3</t>
  </si>
  <si>
    <t>Totaal onderdeel A2</t>
  </si>
  <si>
    <t>Totaal onderdeel A3</t>
  </si>
  <si>
    <t>Totaal onderdelen A1+A2+A3</t>
  </si>
  <si>
    <t>Aanbesteding voor beheer van de milieustraat en de inzameling van grof huishoudelijk afval in de gemeente Hellevoetsluis</t>
  </si>
  <si>
    <t>Onderdeel  B1 : Inzamelen grof huishoudelijk afval</t>
  </si>
  <si>
    <t>Onderdeel B2, verwerking ingezameld afval</t>
  </si>
  <si>
    <t>TOTAAL onderdeel B1+B2</t>
  </si>
  <si>
    <t>TOTALE AANNEEMSOM (Totaal A1+A2+A3+B1+B2)</t>
  </si>
  <si>
    <t>per 100 kilo</t>
  </si>
  <si>
    <t xml:space="preserve">Leveren en op voorraad hebben van voldoende zout </t>
  </si>
  <si>
    <t>transport-kosten minimum</t>
  </si>
  <si>
    <t>verwerkings-kosten maximum</t>
  </si>
  <si>
    <t>transport-kosten maximum</t>
  </si>
  <si>
    <t>verwerkings-kosten minimum</t>
  </si>
  <si>
    <t>Prijzenblad</t>
  </si>
  <si>
    <t>Aldus naar waarheid opgemaakt te …..................... op …................. 2022</t>
  </si>
  <si>
    <t>Verwerking grof huishoudelijk afval in bigbags</t>
  </si>
  <si>
    <t>Verwerking grof tuinafval in bigbags</t>
  </si>
  <si>
    <t>Minimumprijs</t>
  </si>
  <si>
    <t>maximumprijs</t>
  </si>
  <si>
    <t>12 mnd</t>
  </si>
  <si>
    <t>Prijs per jaar</t>
  </si>
  <si>
    <t>Frituurvet en -olie</t>
  </si>
  <si>
    <t>Metalen</t>
  </si>
  <si>
    <t>Bitumenhoudende dakbedekking</t>
  </si>
  <si>
    <t>Asbesthoudend afval</t>
  </si>
  <si>
    <t>Gasflessen en brandblussers</t>
  </si>
  <si>
    <t>Grof tuinafval (GTA)</t>
  </si>
  <si>
    <t>Harde plastics (hard kunststof)</t>
  </si>
  <si>
    <t>Onderdeel A2, beschikbaar stellen inzamelmiddelen (containers), transport en verwerking</t>
  </si>
  <si>
    <t>Klein Chemisch Afval (KCA)</t>
  </si>
  <si>
    <t>Grof huishoudelijk restafval (RST)</t>
  </si>
  <si>
    <t>Piepschuim (EPS)</t>
  </si>
  <si>
    <t>Verbouwingsrestafval (Gemengd Bouw- en Sloopafval)</t>
  </si>
  <si>
    <t>per maand</t>
  </si>
  <si>
    <t>per keer</t>
  </si>
  <si>
    <t>1x/jr</t>
  </si>
  <si>
    <t>500 kilo</t>
  </si>
  <si>
    <t>Matrassen (sinds begin 2022 met karren)</t>
  </si>
  <si>
    <t>Huur bandencontainer</t>
  </si>
  <si>
    <t>Vloerbedekking (tapijt) (weegt niet mee)</t>
  </si>
  <si>
    <t>A1.1</t>
  </si>
  <si>
    <t>A2.2</t>
  </si>
  <si>
    <t>A3.3</t>
  </si>
  <si>
    <t>A1.2</t>
  </si>
  <si>
    <t>A3.1</t>
  </si>
  <si>
    <t>A2.1</t>
  </si>
  <si>
    <t>A2.3</t>
  </si>
  <si>
    <t>A2.4</t>
  </si>
  <si>
    <t>A2.5</t>
  </si>
  <si>
    <t>A2.6</t>
  </si>
  <si>
    <t>A2.7</t>
  </si>
  <si>
    <t>A2.8</t>
  </si>
  <si>
    <t>A2.9</t>
  </si>
  <si>
    <t>A2.10</t>
  </si>
  <si>
    <t>A2.11</t>
  </si>
  <si>
    <t>A2.12</t>
  </si>
  <si>
    <t>A2.13</t>
  </si>
  <si>
    <t>A2.14</t>
  </si>
  <si>
    <t>A2.15</t>
  </si>
  <si>
    <t>A2.16</t>
  </si>
  <si>
    <t>A2.17</t>
  </si>
  <si>
    <t>A2.18</t>
  </si>
  <si>
    <t>A2.19</t>
  </si>
  <si>
    <t>A3.2</t>
  </si>
  <si>
    <t>A3.4</t>
  </si>
  <si>
    <t>A3.5</t>
  </si>
  <si>
    <t>B1.1</t>
  </si>
  <si>
    <t>B1.2</t>
  </si>
  <si>
    <t>B1.3</t>
  </si>
  <si>
    <t>B2.1</t>
  </si>
  <si>
    <t>B2.2</t>
  </si>
  <si>
    <t>B2.3</t>
  </si>
  <si>
    <t>per bigbag</t>
  </si>
  <si>
    <t>per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</si>
</sst>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  <numFmt numFmtId="166" formatCode="_ &quot;€&quot;\ * #,##0.00;_ &quot;€&quot;\ * \-#,##0.00"/>
    <numFmt numFmtId="167" formatCode="_-* #,##0.00_-;_-* #,##0.00\-;_-* &quot;-&quot;??_-;_-@_-"/>
    <numFmt numFmtId="168" formatCode="_-&quot;fl&quot;\ * #,##0.00_-;_-&quot;fl&quot;\ * #,##0.00\-;_-&quot;fl&quot;\ * &quot;-&quot;??_-;_-@_-"/>
    <numFmt numFmtId="169" formatCode="#,##0.0"/>
    <numFmt numFmtId="170" formatCode="_-[$€]\ * #,##0.00_-;_-[$€]\ * #,##0.00\-;_-[$€]\ * &quot;-&quot;??_-;_-@_-"/>
  </numFmts>
  <fonts count="18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sz val="8"/>
      <name val="Verdana"/>
      <family val="2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8"/>
      <color rgb="FFFF0000"/>
      <name val="Verdan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44" fontId="10" fillId="0" borderId="0" applyFont="0" applyFill="0" applyBorder="0" applyAlignment="0" applyProtection="0"/>
    <xf numFmtId="0" fontId="11" fillId="0" borderId="0"/>
    <xf numFmtId="170" fontId="1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7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0">
    <xf numFmtId="0" fontId="0" fillId="0" borderId="0" xfId="0"/>
    <xf numFmtId="0" fontId="6" fillId="0" borderId="0" xfId="0" applyFont="1"/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164" fontId="3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/>
    <xf numFmtId="164" fontId="3" fillId="0" borderId="0" xfId="0" applyNumberFormat="1" applyFont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7" fillId="0" borderId="0" xfId="0" applyFont="1" applyBorder="1"/>
    <xf numFmtId="0" fontId="3" fillId="0" borderId="3" xfId="0" applyFont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165" fontId="4" fillId="0" borderId="1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8" fillId="0" borderId="17" xfId="0" applyFont="1" applyBorder="1"/>
    <xf numFmtId="0" fontId="7" fillId="0" borderId="4" xfId="0" applyFont="1" applyBorder="1"/>
    <xf numFmtId="0" fontId="5" fillId="3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44" fontId="0" fillId="0" borderId="0" xfId="0" applyNumberFormat="1"/>
    <xf numFmtId="0" fontId="4" fillId="0" borderId="6" xfId="0" applyFont="1" applyBorder="1" applyAlignment="1">
      <alignment horizontal="center" vertical="top" wrapText="1"/>
    </xf>
    <xf numFmtId="165" fontId="4" fillId="0" borderId="11" xfId="0" applyNumberFormat="1" applyFont="1" applyBorder="1" applyAlignment="1">
      <alignment horizontal="center" vertical="center" wrapText="1"/>
    </xf>
    <xf numFmtId="3" fontId="0" fillId="0" borderId="3" xfId="0" applyNumberFormat="1" applyBorder="1"/>
    <xf numFmtId="169" fontId="0" fillId="0" borderId="3" xfId="0" applyNumberFormat="1" applyBorder="1"/>
    <xf numFmtId="3" fontId="0" fillId="0" borderId="22" xfId="0" applyNumberFormat="1" applyBorder="1"/>
    <xf numFmtId="165" fontId="4" fillId="0" borderId="26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justify" vertical="center" wrapText="1"/>
    </xf>
    <xf numFmtId="0" fontId="4" fillId="3" borderId="29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3" fillId="3" borderId="30" xfId="0" applyNumberFormat="1" applyFont="1" applyFill="1" applyBorder="1" applyAlignment="1">
      <alignment horizontal="center" vertical="center" wrapText="1"/>
    </xf>
    <xf numFmtId="165" fontId="3" fillId="0" borderId="31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 vertical="top" wrapText="1"/>
    </xf>
    <xf numFmtId="0" fontId="3" fillId="4" borderId="28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25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top" wrapText="1" indent="1"/>
    </xf>
    <xf numFmtId="165" fontId="13" fillId="0" borderId="18" xfId="0" applyNumberFormat="1" applyFont="1" applyBorder="1" applyAlignment="1">
      <alignment horizontal="center"/>
    </xf>
    <xf numFmtId="0" fontId="4" fillId="0" borderId="25" xfId="0" applyFont="1" applyBorder="1" applyAlignment="1">
      <alignment horizontal="left" wrapText="1" indent="1"/>
    </xf>
    <xf numFmtId="0" fontId="3" fillId="4" borderId="2" xfId="0" applyFont="1" applyFill="1" applyBorder="1" applyAlignment="1">
      <alignment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165" fontId="14" fillId="0" borderId="18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wrapText="1" indent="1"/>
    </xf>
    <xf numFmtId="0" fontId="3" fillId="4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indent="1"/>
    </xf>
    <xf numFmtId="0" fontId="4" fillId="0" borderId="2" xfId="0" applyFont="1" applyBorder="1" applyAlignment="1">
      <alignment horizontal="left" vertical="top" wrapText="1" indent="2"/>
    </xf>
    <xf numFmtId="165" fontId="15" fillId="0" borderId="0" xfId="0" applyNumberFormat="1" applyFont="1" applyBorder="1"/>
    <xf numFmtId="165" fontId="4" fillId="6" borderId="3" xfId="0" applyNumberFormat="1" applyFont="1" applyFill="1" applyBorder="1" applyAlignment="1">
      <alignment horizontal="center" vertical="center" wrapText="1"/>
    </xf>
    <xf numFmtId="166" fontId="0" fillId="6" borderId="3" xfId="0" applyNumberFormat="1" applyFill="1" applyBorder="1"/>
    <xf numFmtId="44" fontId="0" fillId="6" borderId="0" xfId="0" applyNumberFormat="1" applyFill="1"/>
    <xf numFmtId="44" fontId="0" fillId="6" borderId="3" xfId="1" applyFont="1" applyFill="1" applyBorder="1" applyAlignment="1">
      <alignment horizontal="left"/>
    </xf>
    <xf numFmtId="0" fontId="0" fillId="6" borderId="11" xfId="0" applyFill="1" applyBorder="1" applyAlignment="1">
      <alignment horizontal="center"/>
    </xf>
    <xf numFmtId="165" fontId="3" fillId="6" borderId="11" xfId="0" applyNumberFormat="1" applyFont="1" applyFill="1" applyBorder="1" applyAlignment="1">
      <alignment horizontal="center" vertical="center" wrapText="1"/>
    </xf>
    <xf numFmtId="165" fontId="3" fillId="3" borderId="19" xfId="0" applyNumberFormat="1" applyFont="1" applyFill="1" applyBorder="1" applyAlignment="1">
      <alignment horizontal="center" vertical="center" wrapText="1"/>
    </xf>
    <xf numFmtId="165" fontId="3" fillId="3" borderId="32" xfId="0" applyNumberFormat="1" applyFont="1" applyFill="1" applyBorder="1" applyAlignment="1">
      <alignment horizontal="center" vertical="center" wrapText="1"/>
    </xf>
    <xf numFmtId="0" fontId="0" fillId="0" borderId="3" xfId="0" applyBorder="1"/>
    <xf numFmtId="165" fontId="4" fillId="0" borderId="3" xfId="0" applyNumberFormat="1" applyFont="1" applyFill="1" applyBorder="1" applyAlignment="1" applyProtection="1">
      <alignment vertical="top" wrapText="1"/>
      <protection locked="0"/>
    </xf>
    <xf numFmtId="44" fontId="0" fillId="0" borderId="0" xfId="0" applyNumberFormat="1" applyFill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16" fillId="0" borderId="0" xfId="0" applyFont="1" applyFill="1"/>
    <xf numFmtId="44" fontId="17" fillId="0" borderId="0" xfId="0" applyNumberFormat="1" applyFont="1" applyFill="1"/>
    <xf numFmtId="0" fontId="17" fillId="0" borderId="0" xfId="0" applyFont="1" applyFill="1"/>
    <xf numFmtId="165" fontId="4" fillId="0" borderId="11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left" vertical="center" wrapText="1" indent="1"/>
    </xf>
    <xf numFmtId="3" fontId="0" fillId="7" borderId="3" xfId="0" applyNumberFormat="1" applyFill="1" applyBorder="1"/>
    <xf numFmtId="165" fontId="3" fillId="0" borderId="3" xfId="0" applyNumberFormat="1" applyFont="1" applyBorder="1" applyAlignment="1">
      <alignment vertical="top" wrapText="1"/>
    </xf>
    <xf numFmtId="166" fontId="0" fillId="0" borderId="3" xfId="0" applyNumberFormat="1" applyBorder="1" applyProtection="1">
      <protection locked="0"/>
    </xf>
    <xf numFmtId="166" fontId="0" fillId="0" borderId="22" xfId="0" applyNumberFormat="1" applyBorder="1" applyProtection="1">
      <protection locked="0"/>
    </xf>
    <xf numFmtId="166" fontId="0" fillId="7" borderId="3" xfId="0" applyNumberFormat="1" applyFill="1" applyBorder="1" applyProtection="1">
      <protection locked="0"/>
    </xf>
    <xf numFmtId="166" fontId="0" fillId="7" borderId="22" xfId="0" applyNumberFormat="1" applyFill="1" applyBorder="1" applyProtection="1">
      <protection locked="0"/>
    </xf>
    <xf numFmtId="0" fontId="3" fillId="4" borderId="15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 applyProtection="1">
      <alignment horizontal="left" vertical="center"/>
    </xf>
    <xf numFmtId="0" fontId="4" fillId="5" borderId="11" xfId="0" applyFont="1" applyFill="1" applyBorder="1" applyAlignment="1" applyProtection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Fill="1" applyBorder="1" applyAlignment="1" applyProtection="1">
      <alignment horizontal="left" vertical="top"/>
      <protection locked="0"/>
    </xf>
    <xf numFmtId="0" fontId="4" fillId="0" borderId="13" xfId="0" applyFont="1" applyFill="1" applyBorder="1" applyAlignment="1" applyProtection="1">
      <alignment horizontal="left" vertical="top"/>
      <protection locked="0"/>
    </xf>
    <xf numFmtId="0" fontId="4" fillId="2" borderId="14" xfId="0" applyFont="1" applyFill="1" applyBorder="1" applyAlignment="1" applyProtection="1">
      <alignment horizontal="left" vertical="center"/>
    </xf>
    <xf numFmtId="0" fontId="4" fillId="2" borderId="15" xfId="0" applyFont="1" applyFill="1" applyBorder="1" applyAlignment="1" applyProtection="1">
      <alignment horizontal="left" vertical="center"/>
    </xf>
    <xf numFmtId="0" fontId="4" fillId="2" borderId="16" xfId="0" applyFont="1" applyFill="1" applyBorder="1" applyAlignment="1" applyProtection="1">
      <alignment horizontal="left" vertical="center"/>
    </xf>
    <xf numFmtId="166" fontId="0" fillId="0" borderId="3" xfId="0" applyNumberFormat="1" applyFill="1" applyBorder="1" applyProtection="1">
      <protection locked="0"/>
    </xf>
    <xf numFmtId="44" fontId="4" fillId="0" borderId="3" xfId="1" applyFont="1" applyFill="1" applyBorder="1" applyAlignment="1" applyProtection="1">
      <alignment vertical="top" wrapText="1"/>
      <protection locked="0"/>
    </xf>
    <xf numFmtId="44" fontId="0" fillId="0" borderId="3" xfId="1" applyFont="1" applyBorder="1" applyProtection="1">
      <protection locked="0"/>
    </xf>
  </cellXfs>
  <cellStyles count="13">
    <cellStyle name="Euro" xfId="3"/>
    <cellStyle name="Hyperlink 2" xfId="4"/>
    <cellStyle name="Komma 2" xfId="8"/>
    <cellStyle name="Komma 2 2" xfId="11"/>
    <cellStyle name="Komma 3" xfId="5"/>
    <cellStyle name="Procent 2" xfId="9"/>
    <cellStyle name="Procent 2 2" xfId="12"/>
    <cellStyle name="Procent 3" xfId="6"/>
    <cellStyle name="Standaard" xfId="0" builtinId="0"/>
    <cellStyle name="Standaard 2" xfId="10"/>
    <cellStyle name="Standaard 3" xfId="2"/>
    <cellStyle name="Valuta" xfId="1" builtinId="4"/>
    <cellStyle name="Valuta 2" xfId="7"/>
  </cellStyles>
  <dxfs count="16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indexed="13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indexed="13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indexed="13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447675</xdr:colOff>
      <xdr:row>0</xdr:row>
      <xdr:rowOff>0</xdr:rowOff>
    </xdr:from>
    <xdr:to>
      <xdr:col>5</xdr:col>
      <xdr:colOff>609600</xdr:colOff>
      <xdr:row>3</xdr:row>
      <xdr:rowOff>685800</xdr:rowOff>
    </xdr:to>
    <xdr:pic>
      <xdr:nvPicPr>
        <xdr:cNvPr id="9" name="Afbeelding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5" y="133350"/>
          <a:ext cx="27051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"/>
  <sheetViews>
    <sheetView workbookViewId="0">
      <selection activeCell="D13" sqref="D13"/>
    </sheetView>
  </sheetViews>
  <sheetFormatPr defaultRowHeight="15" x14ac:dyDescent="0.25"/>
  <cols>
    <col min="3" max="3" width="19" bestFit="1" customWidth="1"/>
  </cols>
  <sheetData>
    <row r="1" spans="2:3" x14ac:dyDescent="0.25">
      <c r="B1" s="1"/>
      <c r="C1" s="1" t="s">
        <v>6</v>
      </c>
    </row>
    <row r="2" spans="2:3" x14ac:dyDescent="0.25">
      <c r="C2" t="s">
        <v>5</v>
      </c>
    </row>
    <row r="3" spans="2:3" x14ac:dyDescent="0.25">
      <c r="C3">
        <v>1</v>
      </c>
    </row>
    <row r="4" spans="2:3" x14ac:dyDescent="0.25">
      <c r="C4">
        <v>2</v>
      </c>
    </row>
    <row r="5" spans="2:3" x14ac:dyDescent="0.25">
      <c r="C5">
        <v>3</v>
      </c>
    </row>
    <row r="6" spans="2:3" x14ac:dyDescent="0.25">
      <c r="C6">
        <v>4</v>
      </c>
    </row>
    <row r="7" spans="2:3" x14ac:dyDescent="0.25">
      <c r="C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abSelected="1" topLeftCell="A16" workbookViewId="0">
      <selection activeCell="E42" sqref="E42"/>
    </sheetView>
  </sheetViews>
  <sheetFormatPr defaultRowHeight="15" x14ac:dyDescent="0.25"/>
  <cols>
    <col min="2" max="2" width="65.7109375" customWidth="1"/>
    <col min="3" max="3" width="10" customWidth="1"/>
    <col min="4" max="4" width="13.140625" customWidth="1"/>
    <col min="5" max="5" width="15" customWidth="1"/>
    <col min="6" max="6" width="21.140625" customWidth="1"/>
    <col min="7" max="7" width="13.140625" customWidth="1"/>
    <col min="8" max="8" width="13.7109375" customWidth="1"/>
    <col min="9" max="9" width="15.140625" customWidth="1"/>
    <col min="10" max="10" width="12.42578125" customWidth="1"/>
    <col min="11" max="11" width="15.42578125" customWidth="1"/>
    <col min="12" max="12" width="95.7109375" bestFit="1" customWidth="1"/>
    <col min="14" max="15" width="9.42578125" bestFit="1" customWidth="1"/>
    <col min="16" max="16" width="9.5703125" bestFit="1" customWidth="1"/>
    <col min="17" max="17" width="10.42578125" bestFit="1" customWidth="1"/>
  </cols>
  <sheetData>
    <row r="1" spans="1:17" x14ac:dyDescent="0.25">
      <c r="B1" s="22" t="s">
        <v>49</v>
      </c>
      <c r="C1" s="86"/>
      <c r="D1" s="86"/>
      <c r="E1" s="86"/>
      <c r="F1" s="86"/>
      <c r="G1" s="25"/>
    </row>
    <row r="2" spans="1:17" ht="45" x14ac:dyDescent="0.25">
      <c r="B2" s="24" t="s">
        <v>38</v>
      </c>
      <c r="C2" s="86"/>
      <c r="D2" s="86"/>
      <c r="E2" s="86"/>
      <c r="F2" s="86"/>
      <c r="G2" s="25"/>
    </row>
    <row r="3" spans="1:17" x14ac:dyDescent="0.25">
      <c r="B3" s="23" t="s">
        <v>21</v>
      </c>
      <c r="C3" s="87" t="s">
        <v>22</v>
      </c>
      <c r="D3" s="87"/>
      <c r="E3" s="87"/>
      <c r="F3" s="87"/>
      <c r="G3" s="26"/>
    </row>
    <row r="4" spans="1:17" ht="57.75" customHeight="1" x14ac:dyDescent="0.25">
      <c r="B4" s="9"/>
      <c r="C4" s="9"/>
      <c r="D4" s="9"/>
      <c r="E4" s="9"/>
      <c r="F4" s="10"/>
      <c r="G4" s="10"/>
    </row>
    <row r="5" spans="1:17" ht="15.75" thickBot="1" x14ac:dyDescent="0.3">
      <c r="B5" s="88" t="s">
        <v>7</v>
      </c>
      <c r="C5" s="88"/>
      <c r="D5" s="88"/>
      <c r="E5" s="88"/>
      <c r="F5" s="60"/>
      <c r="G5" s="10"/>
    </row>
    <row r="6" spans="1:17" x14ac:dyDescent="0.25">
      <c r="B6" s="39" t="s">
        <v>27</v>
      </c>
      <c r="C6" s="41"/>
      <c r="D6" s="42"/>
      <c r="E6" s="43"/>
      <c r="F6" s="40" t="s">
        <v>56</v>
      </c>
      <c r="G6" s="10"/>
      <c r="H6" s="21" t="s">
        <v>53</v>
      </c>
      <c r="I6" s="21" t="s">
        <v>54</v>
      </c>
    </row>
    <row r="7" spans="1:17" x14ac:dyDescent="0.25">
      <c r="A7" t="s">
        <v>76</v>
      </c>
      <c r="B7" s="44" t="s">
        <v>33</v>
      </c>
      <c r="C7" s="28" t="s">
        <v>55</v>
      </c>
      <c r="D7" s="81">
        <v>0</v>
      </c>
      <c r="E7" s="69" t="s">
        <v>69</v>
      </c>
      <c r="F7" s="13">
        <f>D7*12</f>
        <v>0</v>
      </c>
      <c r="G7" s="10"/>
      <c r="H7" s="27">
        <f>169652.74/12</f>
        <v>14137.728333333333</v>
      </c>
      <c r="I7" s="27">
        <f>254479.1/12</f>
        <v>21206.591666666667</v>
      </c>
      <c r="J7" t="s">
        <v>69</v>
      </c>
    </row>
    <row r="8" spans="1:17" x14ac:dyDescent="0.25">
      <c r="A8" t="s">
        <v>79</v>
      </c>
      <c r="B8" s="44" t="s">
        <v>74</v>
      </c>
      <c r="C8" s="28" t="s">
        <v>55</v>
      </c>
      <c r="D8" s="81">
        <v>0</v>
      </c>
      <c r="E8" s="69" t="s">
        <v>69</v>
      </c>
      <c r="F8" s="13">
        <f>D8*12</f>
        <v>0</v>
      </c>
      <c r="G8" s="10"/>
      <c r="H8" s="27">
        <f>41.17</f>
        <v>41.17</v>
      </c>
      <c r="I8" s="27">
        <f>61.76</f>
        <v>61.76</v>
      </c>
      <c r="J8" t="s">
        <v>69</v>
      </c>
    </row>
    <row r="9" spans="1:17" ht="38.25" customHeight="1" x14ac:dyDescent="0.25">
      <c r="B9" s="15" t="s">
        <v>64</v>
      </c>
      <c r="C9" s="16" t="s">
        <v>13</v>
      </c>
      <c r="D9" s="16" t="s">
        <v>10</v>
      </c>
      <c r="E9" s="21" t="s">
        <v>11</v>
      </c>
      <c r="F9" s="17" t="s">
        <v>20</v>
      </c>
      <c r="G9" s="10"/>
      <c r="H9" s="21" t="s">
        <v>45</v>
      </c>
      <c r="I9" s="21" t="s">
        <v>47</v>
      </c>
      <c r="J9" s="21" t="s">
        <v>48</v>
      </c>
      <c r="K9" s="21" t="s">
        <v>46</v>
      </c>
    </row>
    <row r="10" spans="1:17" x14ac:dyDescent="0.25">
      <c r="A10" t="s">
        <v>81</v>
      </c>
      <c r="B10" s="45" t="s">
        <v>66</v>
      </c>
      <c r="C10" s="30">
        <v>2500</v>
      </c>
      <c r="D10" s="81">
        <v>0</v>
      </c>
      <c r="E10" s="61"/>
      <c r="F10" s="29">
        <f t="shared" ref="F10:F15" si="0">SUM((C10*D10)+(C10*E10))</f>
        <v>0</v>
      </c>
      <c r="G10" s="10"/>
      <c r="H10" s="27">
        <v>6.42</v>
      </c>
      <c r="I10" s="27">
        <v>9.64</v>
      </c>
      <c r="J10" s="63"/>
      <c r="K10" s="63"/>
      <c r="N10" s="27"/>
      <c r="O10" s="27"/>
      <c r="P10" s="27"/>
      <c r="Q10" s="27"/>
    </row>
    <row r="11" spans="1:17" x14ac:dyDescent="0.25">
      <c r="A11" t="s">
        <v>77</v>
      </c>
      <c r="B11" s="46" t="s">
        <v>68</v>
      </c>
      <c r="C11" s="32">
        <v>460</v>
      </c>
      <c r="D11" s="81">
        <v>0</v>
      </c>
      <c r="E11" s="82">
        <v>0</v>
      </c>
      <c r="F11" s="33">
        <f t="shared" si="0"/>
        <v>0</v>
      </c>
      <c r="G11" s="10"/>
      <c r="H11" s="27">
        <v>7.47</v>
      </c>
      <c r="I11" s="27">
        <v>11.21</v>
      </c>
      <c r="J11" s="27">
        <v>110.1</v>
      </c>
      <c r="K11" s="27">
        <v>165.16</v>
      </c>
      <c r="N11" s="27"/>
      <c r="O11" s="27"/>
      <c r="P11" s="27"/>
      <c r="Q11" s="27"/>
    </row>
    <row r="12" spans="1:17" x14ac:dyDescent="0.25">
      <c r="A12" t="s">
        <v>82</v>
      </c>
      <c r="B12" s="45" t="s">
        <v>65</v>
      </c>
      <c r="C12" s="30">
        <v>75</v>
      </c>
      <c r="D12" s="81">
        <v>0</v>
      </c>
      <c r="E12" s="82">
        <v>0</v>
      </c>
      <c r="F12" s="29">
        <f t="shared" si="0"/>
        <v>0</v>
      </c>
      <c r="G12" s="10"/>
      <c r="H12" s="27">
        <v>63.34</v>
      </c>
      <c r="I12" s="27">
        <v>95</v>
      </c>
      <c r="J12" s="27">
        <v>172.22</v>
      </c>
      <c r="K12" s="27">
        <v>258.32</v>
      </c>
      <c r="N12" s="27"/>
      <c r="O12" s="27"/>
      <c r="P12" s="27"/>
      <c r="Q12" s="27"/>
    </row>
    <row r="13" spans="1:17" x14ac:dyDescent="0.25">
      <c r="A13" t="s">
        <v>83</v>
      </c>
      <c r="B13" s="45" t="s">
        <v>57</v>
      </c>
      <c r="C13" s="31">
        <v>9</v>
      </c>
      <c r="D13" s="81">
        <v>0</v>
      </c>
      <c r="E13" s="82">
        <v>0</v>
      </c>
      <c r="F13" s="29">
        <f t="shared" si="0"/>
        <v>0</v>
      </c>
      <c r="G13" s="10"/>
      <c r="H13" s="27">
        <v>63.34</v>
      </c>
      <c r="I13" s="27">
        <v>95</v>
      </c>
      <c r="J13" s="75">
        <v>-310.64</v>
      </c>
      <c r="K13" s="75">
        <v>-207.1</v>
      </c>
      <c r="L13" s="76"/>
      <c r="N13" s="27"/>
      <c r="O13" s="27"/>
      <c r="P13" s="27"/>
      <c r="Q13" s="27"/>
    </row>
    <row r="14" spans="1:17" x14ac:dyDescent="0.25">
      <c r="A14" t="s">
        <v>84</v>
      </c>
      <c r="B14" s="45" t="s">
        <v>62</v>
      </c>
      <c r="C14" s="30">
        <v>800</v>
      </c>
      <c r="D14" s="107">
        <v>0</v>
      </c>
      <c r="E14" s="61"/>
      <c r="F14" s="29">
        <f t="shared" si="0"/>
        <v>0</v>
      </c>
      <c r="G14" s="10"/>
      <c r="H14" s="27">
        <v>4.47</v>
      </c>
      <c r="I14" s="27">
        <v>6.71</v>
      </c>
      <c r="J14" s="63"/>
      <c r="K14" s="63"/>
      <c r="N14" s="27"/>
      <c r="O14" s="27"/>
      <c r="P14" s="27"/>
      <c r="Q14" s="27"/>
    </row>
    <row r="15" spans="1:17" x14ac:dyDescent="0.25">
      <c r="A15" t="s">
        <v>85</v>
      </c>
      <c r="B15" s="45" t="s">
        <v>63</v>
      </c>
      <c r="C15" s="30">
        <v>110</v>
      </c>
      <c r="D15" s="81">
        <v>0</v>
      </c>
      <c r="E15" s="82">
        <v>0</v>
      </c>
      <c r="F15" s="29">
        <f t="shared" si="0"/>
        <v>0</v>
      </c>
      <c r="G15" s="10"/>
      <c r="H15" s="27">
        <v>30.84</v>
      </c>
      <c r="I15" s="27">
        <v>46.26</v>
      </c>
      <c r="J15" s="27">
        <v>28.84</v>
      </c>
      <c r="K15" s="27">
        <v>43.26</v>
      </c>
      <c r="N15" s="27"/>
      <c r="O15" s="27"/>
      <c r="P15" s="27"/>
      <c r="Q15" s="27"/>
    </row>
    <row r="16" spans="1:17" x14ac:dyDescent="0.25">
      <c r="A16" t="s">
        <v>86</v>
      </c>
      <c r="B16" s="45" t="s">
        <v>73</v>
      </c>
      <c r="C16" s="30">
        <v>25</v>
      </c>
      <c r="D16" s="81">
        <v>0</v>
      </c>
      <c r="E16" s="82">
        <v>0</v>
      </c>
      <c r="F16" s="29">
        <f t="shared" ref="F16" si="1">SUM((C16*D16)+(C16*E16))</f>
        <v>0</v>
      </c>
      <c r="G16" s="72"/>
      <c r="H16" s="27">
        <v>8</v>
      </c>
      <c r="I16" s="27">
        <v>12</v>
      </c>
      <c r="J16" s="27">
        <v>360</v>
      </c>
      <c r="K16" s="27">
        <v>540</v>
      </c>
      <c r="N16" s="27"/>
      <c r="O16" s="27"/>
      <c r="P16" s="27"/>
      <c r="Q16" s="27"/>
    </row>
    <row r="17" spans="1:17" x14ac:dyDescent="0.25">
      <c r="A17" t="s">
        <v>87</v>
      </c>
      <c r="B17" s="45" t="s">
        <v>19</v>
      </c>
      <c r="C17" s="30">
        <v>1800</v>
      </c>
      <c r="D17" s="81">
        <v>0</v>
      </c>
      <c r="E17" s="82">
        <v>0</v>
      </c>
      <c r="F17" s="29">
        <f t="shared" ref="F17:F22" si="2">SUM((C17*D17)+(C17*E17))</f>
        <v>0</v>
      </c>
      <c r="G17" s="10"/>
      <c r="H17" s="27">
        <v>5.49</v>
      </c>
      <c r="I17" s="27">
        <v>8.23</v>
      </c>
      <c r="J17" s="27">
        <v>4.97</v>
      </c>
      <c r="K17" s="27">
        <v>7.45</v>
      </c>
      <c r="N17" s="27"/>
      <c r="O17" s="27"/>
      <c r="P17" s="27"/>
      <c r="Q17" s="27"/>
    </row>
    <row r="18" spans="1:17" x14ac:dyDescent="0.25">
      <c r="A18" t="s">
        <v>88</v>
      </c>
      <c r="B18" s="45" t="s">
        <v>26</v>
      </c>
      <c r="C18" s="30">
        <v>1900</v>
      </c>
      <c r="D18" s="81">
        <v>0</v>
      </c>
      <c r="E18" s="82">
        <v>0</v>
      </c>
      <c r="F18" s="29">
        <f t="shared" si="2"/>
        <v>0</v>
      </c>
      <c r="G18" s="10"/>
      <c r="H18" s="71">
        <v>6.11</v>
      </c>
      <c r="I18" s="71">
        <v>9.17</v>
      </c>
      <c r="J18" s="75">
        <v>56</v>
      </c>
      <c r="K18" s="75">
        <v>84</v>
      </c>
      <c r="N18" s="27"/>
      <c r="O18" s="27"/>
      <c r="P18" s="27"/>
      <c r="Q18" s="27"/>
    </row>
    <row r="19" spans="1:17" x14ac:dyDescent="0.25">
      <c r="A19" t="s">
        <v>89</v>
      </c>
      <c r="B19" s="45" t="s">
        <v>18</v>
      </c>
      <c r="C19" s="30">
        <v>300</v>
      </c>
      <c r="D19" s="81">
        <v>0</v>
      </c>
      <c r="E19" s="82">
        <v>0</v>
      </c>
      <c r="F19" s="29">
        <f t="shared" si="2"/>
        <v>0</v>
      </c>
      <c r="G19" s="72"/>
      <c r="H19" s="71">
        <v>17.829999999999998</v>
      </c>
      <c r="I19" s="71">
        <v>26.75</v>
      </c>
      <c r="J19" s="75">
        <v>84</v>
      </c>
      <c r="K19" s="75">
        <v>126</v>
      </c>
      <c r="N19" s="27"/>
      <c r="O19" s="27"/>
      <c r="P19" s="27"/>
      <c r="Q19" s="27"/>
    </row>
    <row r="20" spans="1:17" x14ac:dyDescent="0.25">
      <c r="A20" t="s">
        <v>90</v>
      </c>
      <c r="B20" s="45" t="s">
        <v>58</v>
      </c>
      <c r="C20" s="30">
        <v>310</v>
      </c>
      <c r="D20" s="81">
        <v>0</v>
      </c>
      <c r="E20" s="82">
        <v>0</v>
      </c>
      <c r="F20" s="29">
        <f t="shared" si="2"/>
        <v>0</v>
      </c>
      <c r="G20" s="10"/>
      <c r="H20" s="27">
        <v>7.47</v>
      </c>
      <c r="I20" s="27">
        <v>11.21</v>
      </c>
      <c r="J20" s="75">
        <v>-195</v>
      </c>
      <c r="K20" s="75">
        <v>-120</v>
      </c>
      <c r="N20" s="27"/>
      <c r="O20" s="27"/>
      <c r="P20" s="27"/>
      <c r="Q20" s="27"/>
    </row>
    <row r="21" spans="1:17" x14ac:dyDescent="0.25">
      <c r="A21" t="s">
        <v>91</v>
      </c>
      <c r="B21" s="45" t="s">
        <v>14</v>
      </c>
      <c r="C21" s="30">
        <v>60</v>
      </c>
      <c r="D21" s="81">
        <v>0</v>
      </c>
      <c r="E21" s="82">
        <v>0</v>
      </c>
      <c r="F21" s="29">
        <f t="shared" si="2"/>
        <v>0</v>
      </c>
      <c r="G21" s="72"/>
      <c r="H21" s="27">
        <v>3.61</v>
      </c>
      <c r="I21" s="27">
        <v>5.41</v>
      </c>
      <c r="J21" s="27">
        <v>1.6</v>
      </c>
      <c r="K21" s="27">
        <v>2.4</v>
      </c>
      <c r="N21" s="27"/>
      <c r="O21" s="27"/>
      <c r="P21" s="27"/>
      <c r="Q21" s="27"/>
    </row>
    <row r="22" spans="1:17" x14ac:dyDescent="0.25">
      <c r="A22" t="s">
        <v>92</v>
      </c>
      <c r="B22" s="45" t="s">
        <v>59</v>
      </c>
      <c r="C22" s="30">
        <v>35</v>
      </c>
      <c r="D22" s="81">
        <v>0</v>
      </c>
      <c r="E22" s="82">
        <v>0</v>
      </c>
      <c r="F22" s="29">
        <f t="shared" si="2"/>
        <v>0</v>
      </c>
      <c r="G22" s="10"/>
      <c r="H22" s="27">
        <v>9.43</v>
      </c>
      <c r="I22" s="27">
        <v>14.15</v>
      </c>
      <c r="J22" s="27">
        <v>118</v>
      </c>
      <c r="K22" s="27">
        <v>177</v>
      </c>
      <c r="N22" s="27"/>
      <c r="O22" s="27"/>
      <c r="P22" s="27"/>
      <c r="Q22" s="27"/>
    </row>
    <row r="23" spans="1:17" x14ac:dyDescent="0.25">
      <c r="A23" t="s">
        <v>93</v>
      </c>
      <c r="B23" s="45" t="s">
        <v>16</v>
      </c>
      <c r="C23" s="30">
        <v>150</v>
      </c>
      <c r="D23" s="81">
        <v>0</v>
      </c>
      <c r="E23" s="82">
        <v>0</v>
      </c>
      <c r="F23" s="29">
        <f t="shared" ref="F23:F25" si="3">SUM((C23*D23)+(C23*E23))</f>
        <v>0</v>
      </c>
      <c r="G23" s="10"/>
      <c r="H23" s="27">
        <v>10.210000000000001</v>
      </c>
      <c r="I23" s="27">
        <v>15.31</v>
      </c>
      <c r="J23" s="27">
        <v>70.069999999999993</v>
      </c>
      <c r="K23" s="27">
        <v>105.11</v>
      </c>
      <c r="N23" s="27"/>
      <c r="O23" s="27"/>
      <c r="P23" s="27"/>
      <c r="Q23" s="27"/>
    </row>
    <row r="24" spans="1:17" x14ac:dyDescent="0.25">
      <c r="A24" t="s">
        <v>94</v>
      </c>
      <c r="B24" s="45" t="s">
        <v>60</v>
      </c>
      <c r="C24" s="30">
        <v>17</v>
      </c>
      <c r="D24" s="81">
        <v>0</v>
      </c>
      <c r="E24" s="82">
        <v>0</v>
      </c>
      <c r="F24" s="29">
        <f>SUM((C24*D24)+(C24*E24))</f>
        <v>0</v>
      </c>
      <c r="G24" s="10"/>
      <c r="H24" s="27">
        <v>17.37</v>
      </c>
      <c r="I24" s="27">
        <v>26.05</v>
      </c>
      <c r="J24" s="27">
        <v>106.24</v>
      </c>
      <c r="K24" s="27">
        <v>159.36000000000001</v>
      </c>
      <c r="N24" s="27"/>
      <c r="O24" s="27"/>
      <c r="P24" s="27"/>
      <c r="Q24" s="27"/>
    </row>
    <row r="25" spans="1:17" x14ac:dyDescent="0.25">
      <c r="A25" t="s">
        <v>95</v>
      </c>
      <c r="B25" s="45" t="s">
        <v>17</v>
      </c>
      <c r="C25" s="30">
        <v>1000</v>
      </c>
      <c r="D25" s="81">
        <v>0</v>
      </c>
      <c r="E25" s="82">
        <v>0</v>
      </c>
      <c r="F25" s="29">
        <f t="shared" si="3"/>
        <v>0</v>
      </c>
      <c r="G25" s="10"/>
      <c r="H25" s="27">
        <v>3.92</v>
      </c>
      <c r="I25" s="27">
        <v>5.88</v>
      </c>
      <c r="J25" s="27">
        <v>16.739999999999998</v>
      </c>
      <c r="K25" s="27">
        <v>25.1</v>
      </c>
      <c r="N25" s="27"/>
      <c r="O25" s="27"/>
      <c r="P25" s="27"/>
      <c r="Q25" s="27"/>
    </row>
    <row r="26" spans="1:17" x14ac:dyDescent="0.25">
      <c r="A26" t="s">
        <v>96</v>
      </c>
      <c r="B26" s="45" t="s">
        <v>67</v>
      </c>
      <c r="C26" s="31">
        <f>0.1/1000*40000</f>
        <v>4</v>
      </c>
      <c r="D26" s="81">
        <v>0</v>
      </c>
      <c r="E26" s="82">
        <v>0</v>
      </c>
      <c r="F26" s="29">
        <f>SUM((C26*D26)+(C26*E26))</f>
        <v>0</v>
      </c>
      <c r="G26" s="73"/>
      <c r="H26" s="71">
        <v>0</v>
      </c>
      <c r="I26" s="71">
        <v>2.5</v>
      </c>
      <c r="J26" s="71">
        <v>0</v>
      </c>
      <c r="K26" s="71">
        <v>2.5</v>
      </c>
      <c r="N26" s="27"/>
      <c r="O26" s="27"/>
      <c r="P26" s="27"/>
      <c r="Q26" s="27"/>
    </row>
    <row r="27" spans="1:17" x14ac:dyDescent="0.25">
      <c r="A27" t="s">
        <v>97</v>
      </c>
      <c r="B27" s="45" t="s">
        <v>61</v>
      </c>
      <c r="C27" s="31">
        <v>3.5</v>
      </c>
      <c r="D27" s="81">
        <v>0</v>
      </c>
      <c r="E27" s="82">
        <v>0</v>
      </c>
      <c r="F27" s="29">
        <f>SUM((C27*D27)+(C27*E27))</f>
        <v>0</v>
      </c>
      <c r="G27" s="10"/>
      <c r="H27" s="27">
        <v>63.34</v>
      </c>
      <c r="I27" s="27">
        <v>95</v>
      </c>
      <c r="J27" s="27">
        <v>155.47999999999999</v>
      </c>
      <c r="K27" s="27">
        <v>233.22</v>
      </c>
      <c r="N27" s="27"/>
      <c r="O27" s="27"/>
      <c r="P27" s="27"/>
      <c r="Q27" s="27"/>
    </row>
    <row r="28" spans="1:17" x14ac:dyDescent="0.25">
      <c r="A28" t="s">
        <v>98</v>
      </c>
      <c r="B28" s="45" t="s">
        <v>15</v>
      </c>
      <c r="C28" s="31">
        <f>0.025/1000*40000</f>
        <v>1</v>
      </c>
      <c r="D28" s="62"/>
      <c r="E28" s="82">
        <v>0</v>
      </c>
      <c r="F28" s="29">
        <f>SUM((C28*D28)+(C28*E28))</f>
        <v>0</v>
      </c>
      <c r="G28" s="10"/>
      <c r="H28" s="63"/>
      <c r="I28" s="63"/>
      <c r="J28" s="27">
        <v>871.99</v>
      </c>
      <c r="K28" s="27">
        <v>1307.99</v>
      </c>
      <c r="N28" s="27"/>
      <c r="O28" s="27"/>
      <c r="P28" s="27"/>
      <c r="Q28" s="27"/>
    </row>
    <row r="29" spans="1:17" ht="15.75" thickBot="1" x14ac:dyDescent="0.3">
      <c r="B29" s="78" t="s">
        <v>75</v>
      </c>
      <c r="C29" s="79">
        <v>85</v>
      </c>
      <c r="D29" s="83">
        <v>0</v>
      </c>
      <c r="E29" s="84">
        <v>0</v>
      </c>
      <c r="F29" s="77"/>
      <c r="G29" s="72"/>
      <c r="H29" s="63"/>
      <c r="I29" s="63"/>
      <c r="J29" s="63"/>
      <c r="K29" s="63"/>
      <c r="L29" s="74"/>
      <c r="N29" s="27"/>
      <c r="O29" s="27"/>
      <c r="P29" s="27"/>
      <c r="Q29" s="27"/>
    </row>
    <row r="30" spans="1:17" ht="15.75" thickBot="1" x14ac:dyDescent="0.3">
      <c r="B30" s="34" t="s">
        <v>35</v>
      </c>
      <c r="C30" s="35"/>
      <c r="D30" s="36"/>
      <c r="E30" s="37"/>
      <c r="F30" s="38">
        <f>SUM(F10:F28)</f>
        <v>0</v>
      </c>
      <c r="G30" s="10"/>
    </row>
    <row r="31" spans="1:17" ht="21" x14ac:dyDescent="0.25">
      <c r="B31" s="15" t="s">
        <v>28</v>
      </c>
      <c r="C31" s="41"/>
      <c r="D31" s="42"/>
      <c r="E31" s="43"/>
      <c r="F31" s="17" t="s">
        <v>56</v>
      </c>
      <c r="G31" s="10"/>
      <c r="H31" s="21" t="s">
        <v>53</v>
      </c>
      <c r="I31" s="21" t="s">
        <v>54</v>
      </c>
    </row>
    <row r="32" spans="1:17" x14ac:dyDescent="0.25">
      <c r="A32" t="s">
        <v>80</v>
      </c>
      <c r="B32" s="44" t="s">
        <v>34</v>
      </c>
      <c r="C32" s="28" t="s">
        <v>55</v>
      </c>
      <c r="D32" s="109">
        <v>0</v>
      </c>
      <c r="E32" s="69" t="s">
        <v>69</v>
      </c>
      <c r="F32" s="13">
        <f>D32*12</f>
        <v>0</v>
      </c>
      <c r="G32" s="10"/>
      <c r="H32" s="27">
        <f>11450.88/12</f>
        <v>954.2399999999999</v>
      </c>
      <c r="I32" s="27">
        <f>17176.32/12</f>
        <v>1431.36</v>
      </c>
      <c r="J32" t="s">
        <v>69</v>
      </c>
    </row>
    <row r="33" spans="1:10" ht="21" x14ac:dyDescent="0.25">
      <c r="A33" t="s">
        <v>99</v>
      </c>
      <c r="B33" s="47" t="s">
        <v>25</v>
      </c>
      <c r="C33" s="11"/>
      <c r="D33" s="80"/>
      <c r="E33" s="80"/>
      <c r="F33" s="13"/>
      <c r="G33" s="10"/>
      <c r="H33" s="27"/>
      <c r="I33" s="27"/>
    </row>
    <row r="34" spans="1:10" ht="21" x14ac:dyDescent="0.25">
      <c r="A34" t="s">
        <v>78</v>
      </c>
      <c r="B34" s="59" t="s">
        <v>12</v>
      </c>
      <c r="C34" s="12" t="s">
        <v>71</v>
      </c>
      <c r="D34" s="108">
        <v>0</v>
      </c>
      <c r="E34" s="70" t="s">
        <v>70</v>
      </c>
      <c r="F34" s="13">
        <f>D34</f>
        <v>0</v>
      </c>
      <c r="G34" s="10"/>
      <c r="H34" s="27">
        <v>190.01600000000002</v>
      </c>
      <c r="I34" s="27">
        <v>285.024</v>
      </c>
      <c r="J34" t="s">
        <v>70</v>
      </c>
    </row>
    <row r="35" spans="1:10" x14ac:dyDescent="0.25">
      <c r="A35" t="s">
        <v>100</v>
      </c>
      <c r="B35" s="59" t="s">
        <v>29</v>
      </c>
      <c r="C35" s="20" t="s">
        <v>71</v>
      </c>
      <c r="D35" s="108">
        <v>0</v>
      </c>
      <c r="E35" s="70" t="s">
        <v>70</v>
      </c>
      <c r="F35" s="13">
        <f>D35</f>
        <v>0</v>
      </c>
      <c r="G35" s="10"/>
      <c r="H35" s="27">
        <v>158.352</v>
      </c>
      <c r="I35" s="27">
        <v>237.52799999999999</v>
      </c>
      <c r="J35" t="s">
        <v>70</v>
      </c>
    </row>
    <row r="36" spans="1:10" ht="15.75" thickBot="1" x14ac:dyDescent="0.3">
      <c r="A36" t="s">
        <v>101</v>
      </c>
      <c r="B36" s="59" t="s">
        <v>44</v>
      </c>
      <c r="C36" s="12" t="s">
        <v>72</v>
      </c>
      <c r="D36" s="108">
        <v>0</v>
      </c>
      <c r="E36" s="70" t="s">
        <v>43</v>
      </c>
      <c r="F36" s="13">
        <f>D36*5</f>
        <v>0</v>
      </c>
      <c r="G36" s="10"/>
      <c r="H36" s="71">
        <v>10</v>
      </c>
      <c r="I36" s="71">
        <v>35</v>
      </c>
      <c r="J36" t="s">
        <v>43</v>
      </c>
    </row>
    <row r="37" spans="1:10" ht="15.75" thickBot="1" x14ac:dyDescent="0.3">
      <c r="B37" s="34" t="s">
        <v>36</v>
      </c>
      <c r="C37" s="35"/>
      <c r="D37" s="67"/>
      <c r="E37" s="68"/>
      <c r="F37" s="38">
        <f>SUM(F32:F36)</f>
        <v>0</v>
      </c>
      <c r="G37" s="10"/>
      <c r="H37" s="27"/>
      <c r="I37" s="27"/>
    </row>
    <row r="38" spans="1:10" ht="15.75" thickBot="1" x14ac:dyDescent="0.3">
      <c r="B38" s="14"/>
      <c r="C38" s="14"/>
      <c r="D38" s="14"/>
      <c r="E38" s="14"/>
      <c r="F38" s="14"/>
      <c r="G38" s="10"/>
      <c r="H38" s="27"/>
      <c r="I38" s="27"/>
    </row>
    <row r="39" spans="1:10" ht="15.75" thickBot="1" x14ac:dyDescent="0.3">
      <c r="B39" s="18" t="s">
        <v>37</v>
      </c>
      <c r="C39" s="19"/>
      <c r="D39" s="19"/>
      <c r="E39" s="19"/>
      <c r="F39" s="48">
        <f>SUM(F37+F30+F7)</f>
        <v>0</v>
      </c>
      <c r="G39" s="10"/>
      <c r="H39" s="27"/>
      <c r="I39" s="27"/>
    </row>
    <row r="40" spans="1:10" ht="15.75" thickBot="1" x14ac:dyDescent="0.3">
      <c r="B40" s="89"/>
      <c r="C40" s="89"/>
      <c r="D40" s="89"/>
      <c r="E40" s="89"/>
      <c r="F40" s="89"/>
      <c r="G40" s="10"/>
      <c r="H40" s="27"/>
      <c r="I40" s="27"/>
    </row>
    <row r="41" spans="1:10" ht="21" customHeight="1" x14ac:dyDescent="0.25">
      <c r="B41" s="51" t="s">
        <v>39</v>
      </c>
      <c r="C41" s="90" t="s">
        <v>23</v>
      </c>
      <c r="D41" s="91"/>
      <c r="E41" s="85" t="s">
        <v>24</v>
      </c>
      <c r="F41" s="52" t="s">
        <v>0</v>
      </c>
      <c r="G41" s="10"/>
      <c r="H41" s="21" t="s">
        <v>53</v>
      </c>
      <c r="I41" s="21" t="s">
        <v>54</v>
      </c>
    </row>
    <row r="42" spans="1:10" x14ac:dyDescent="0.25">
      <c r="A42" t="s">
        <v>102</v>
      </c>
      <c r="B42" s="58" t="s">
        <v>30</v>
      </c>
      <c r="C42" s="92">
        <v>844</v>
      </c>
      <c r="D42" s="92"/>
      <c r="E42" s="81">
        <v>0</v>
      </c>
      <c r="F42" s="13">
        <f>C42*E42</f>
        <v>0</v>
      </c>
      <c r="G42" s="10"/>
      <c r="H42" s="27">
        <v>15.68</v>
      </c>
      <c r="I42" s="27">
        <v>23.52</v>
      </c>
      <c r="J42" t="s">
        <v>108</v>
      </c>
    </row>
    <row r="43" spans="1:10" x14ac:dyDescent="0.25">
      <c r="A43" t="s">
        <v>103</v>
      </c>
      <c r="B43" s="58" t="s">
        <v>31</v>
      </c>
      <c r="C43" s="92">
        <v>164</v>
      </c>
      <c r="D43" s="92"/>
      <c r="E43" s="81">
        <v>0</v>
      </c>
      <c r="F43" s="13">
        <f t="shared" ref="F43:F44" si="4">C43*E43</f>
        <v>0</v>
      </c>
      <c r="G43" s="10"/>
      <c r="H43" s="27">
        <v>15.68</v>
      </c>
      <c r="I43" s="27">
        <v>23.52</v>
      </c>
      <c r="J43" t="s">
        <v>108</v>
      </c>
    </row>
    <row r="44" spans="1:10" x14ac:dyDescent="0.25">
      <c r="A44" t="s">
        <v>104</v>
      </c>
      <c r="B44" s="49" t="s">
        <v>32</v>
      </c>
      <c r="C44" s="93">
        <v>386</v>
      </c>
      <c r="D44" s="93"/>
      <c r="E44" s="81">
        <v>0</v>
      </c>
      <c r="F44" s="13">
        <f t="shared" si="4"/>
        <v>0</v>
      </c>
      <c r="G44" s="10"/>
      <c r="H44" s="27">
        <v>15.68</v>
      </c>
      <c r="I44" s="27">
        <v>23.52</v>
      </c>
      <c r="J44" t="s">
        <v>108</v>
      </c>
    </row>
    <row r="45" spans="1:10" ht="21" x14ac:dyDescent="0.25">
      <c r="B45" s="50" t="s">
        <v>40</v>
      </c>
      <c r="C45" s="94" t="s">
        <v>13</v>
      </c>
      <c r="D45" s="95"/>
      <c r="E45" s="21" t="s">
        <v>9</v>
      </c>
      <c r="F45" s="57" t="s">
        <v>0</v>
      </c>
      <c r="G45" s="10"/>
      <c r="H45" s="27"/>
      <c r="I45" s="27"/>
    </row>
    <row r="46" spans="1:10" x14ac:dyDescent="0.25">
      <c r="A46" t="s">
        <v>105</v>
      </c>
      <c r="B46" s="58" t="s">
        <v>51</v>
      </c>
      <c r="C46" s="97"/>
      <c r="D46" s="97"/>
      <c r="E46" s="64">
        <v>0</v>
      </c>
      <c r="F46" s="65"/>
      <c r="G46" s="10"/>
      <c r="H46" s="27">
        <v>0</v>
      </c>
      <c r="I46" s="27">
        <v>0</v>
      </c>
    </row>
    <row r="47" spans="1:10" x14ac:dyDescent="0.25">
      <c r="A47" t="s">
        <v>106</v>
      </c>
      <c r="B47" s="58" t="s">
        <v>52</v>
      </c>
      <c r="C47" s="97"/>
      <c r="D47" s="97"/>
      <c r="E47" s="64">
        <v>0</v>
      </c>
      <c r="F47" s="66"/>
      <c r="G47" s="10"/>
      <c r="H47" s="27">
        <v>0</v>
      </c>
      <c r="I47" s="27">
        <v>0</v>
      </c>
    </row>
    <row r="48" spans="1:10" ht="15.75" thickBot="1" x14ac:dyDescent="0.3">
      <c r="A48" t="s">
        <v>107</v>
      </c>
      <c r="B48" s="56" t="s">
        <v>8</v>
      </c>
      <c r="C48" s="96">
        <v>450</v>
      </c>
      <c r="D48" s="96"/>
      <c r="E48" s="81">
        <v>0</v>
      </c>
      <c r="F48" s="13">
        <f>C48*E48</f>
        <v>0</v>
      </c>
      <c r="G48" s="10"/>
      <c r="H48" s="27">
        <f>46166.4/450</f>
        <v>102.592</v>
      </c>
      <c r="I48" s="27">
        <f>69249.6/450</f>
        <v>153.88800000000001</v>
      </c>
      <c r="J48" t="s">
        <v>109</v>
      </c>
    </row>
    <row r="49" spans="2:9" ht="15.75" thickBot="1" x14ac:dyDescent="0.3">
      <c r="B49" s="53"/>
      <c r="C49" s="14"/>
      <c r="D49" s="14"/>
      <c r="E49" s="14"/>
      <c r="F49" s="54"/>
      <c r="G49" s="10"/>
      <c r="H49" s="27"/>
      <c r="I49" s="27"/>
    </row>
    <row r="50" spans="2:9" ht="15.75" thickBot="1" x14ac:dyDescent="0.3">
      <c r="B50" s="18" t="s">
        <v>41</v>
      </c>
      <c r="C50" s="19"/>
      <c r="D50" s="19"/>
      <c r="E50" s="19"/>
      <c r="F50" s="48">
        <f>SUM(F42+F43+F44+F48)</f>
        <v>0</v>
      </c>
      <c r="G50" s="10"/>
    </row>
    <row r="51" spans="2:9" ht="15.75" thickBot="1" x14ac:dyDescent="0.3">
      <c r="B51" s="2"/>
      <c r="C51" s="3"/>
      <c r="D51" s="3"/>
      <c r="E51" s="3"/>
      <c r="F51" s="4"/>
      <c r="G51" s="10"/>
    </row>
    <row r="52" spans="2:9" ht="16.5" thickBot="1" x14ac:dyDescent="0.3">
      <c r="B52" s="18" t="s">
        <v>42</v>
      </c>
      <c r="C52" s="19"/>
      <c r="D52" s="19"/>
      <c r="E52" s="19"/>
      <c r="F52" s="55">
        <f>SUM(F50+F39)</f>
        <v>0</v>
      </c>
      <c r="G52" s="10"/>
    </row>
    <row r="53" spans="2:9" x14ac:dyDescent="0.25">
      <c r="B53" s="5"/>
      <c r="C53" s="5"/>
      <c r="D53" s="5"/>
      <c r="E53" s="6"/>
      <c r="F53" s="6"/>
      <c r="G53" s="10"/>
    </row>
    <row r="54" spans="2:9" ht="15.75" thickBot="1" x14ac:dyDescent="0.3">
      <c r="B54" s="5"/>
      <c r="C54" s="5"/>
      <c r="D54" s="5"/>
      <c r="E54" s="6"/>
      <c r="F54" s="6"/>
      <c r="G54" s="10"/>
    </row>
    <row r="55" spans="2:9" x14ac:dyDescent="0.25">
      <c r="B55" s="104" t="s">
        <v>50</v>
      </c>
      <c r="C55" s="105"/>
      <c r="D55" s="105"/>
      <c r="E55" s="105"/>
      <c r="F55" s="106"/>
      <c r="G55" s="10"/>
    </row>
    <row r="56" spans="2:9" x14ac:dyDescent="0.25">
      <c r="B56" s="7"/>
      <c r="C56" s="100"/>
      <c r="D56" s="100"/>
      <c r="E56" s="100"/>
      <c r="F56" s="101"/>
      <c r="G56" s="10"/>
    </row>
    <row r="57" spans="2:9" x14ac:dyDescent="0.25">
      <c r="B57" s="7" t="s">
        <v>1</v>
      </c>
      <c r="C57" s="98"/>
      <c r="D57" s="98"/>
      <c r="E57" s="98"/>
      <c r="F57" s="99"/>
      <c r="G57" s="10"/>
    </row>
    <row r="58" spans="2:9" x14ac:dyDescent="0.25">
      <c r="B58" s="7"/>
      <c r="C58" s="100"/>
      <c r="D58" s="100"/>
      <c r="E58" s="100"/>
      <c r="F58" s="101"/>
      <c r="G58" s="10"/>
    </row>
    <row r="59" spans="2:9" x14ac:dyDescent="0.25">
      <c r="B59" s="7" t="s">
        <v>2</v>
      </c>
      <c r="C59" s="98"/>
      <c r="D59" s="98"/>
      <c r="E59" s="98"/>
      <c r="F59" s="99"/>
      <c r="G59" s="10"/>
    </row>
    <row r="60" spans="2:9" x14ac:dyDescent="0.25">
      <c r="B60" s="7"/>
      <c r="C60" s="100"/>
      <c r="D60" s="100"/>
      <c r="E60" s="100"/>
      <c r="F60" s="101"/>
      <c r="G60" s="10"/>
    </row>
    <row r="61" spans="2:9" x14ac:dyDescent="0.25">
      <c r="B61" s="7" t="s">
        <v>3</v>
      </c>
      <c r="C61" s="98"/>
      <c r="D61" s="98"/>
      <c r="E61" s="98"/>
      <c r="F61" s="99"/>
      <c r="G61" s="10"/>
    </row>
    <row r="62" spans="2:9" x14ac:dyDescent="0.25">
      <c r="B62" s="7"/>
      <c r="C62" s="100"/>
      <c r="D62" s="100"/>
      <c r="E62" s="100"/>
      <c r="F62" s="101"/>
      <c r="G62" s="10"/>
    </row>
    <row r="63" spans="2:9" ht="57" customHeight="1" thickBot="1" x14ac:dyDescent="0.3">
      <c r="B63" s="8" t="s">
        <v>4</v>
      </c>
      <c r="C63" s="102"/>
      <c r="D63" s="102"/>
      <c r="E63" s="102"/>
      <c r="F63" s="103"/>
      <c r="G63" s="10"/>
    </row>
    <row r="64" spans="2:9" x14ac:dyDescent="0.25">
      <c r="G64" s="10"/>
    </row>
    <row r="65" spans="7:7" x14ac:dyDescent="0.25">
      <c r="G65" s="10"/>
    </row>
    <row r="66" spans="7:7" x14ac:dyDescent="0.25">
      <c r="G66" s="10"/>
    </row>
  </sheetData>
  <sheetProtection algorithmName="SHA-512" hashValue="Q4SridrP2isA/g30f82TzTnRIZhHd1jKm3cErsB2pbik/yxV0ikQr8q4fKY1xqhjTZnPwZRHbNNL2J411JbeVQ==" saltValue="XKNLPLNY7sdcyOZ48rO3zw==" spinCount="100000" sheet="1" objects="1" scenarios="1"/>
  <mergeCells count="21">
    <mergeCell ref="C61:F61"/>
    <mergeCell ref="C62:F62"/>
    <mergeCell ref="C63:F63"/>
    <mergeCell ref="B55:F55"/>
    <mergeCell ref="C56:F56"/>
    <mergeCell ref="C57:F57"/>
    <mergeCell ref="C58:F58"/>
    <mergeCell ref="C59:F59"/>
    <mergeCell ref="C60:F60"/>
    <mergeCell ref="C42:D42"/>
    <mergeCell ref="C43:D43"/>
    <mergeCell ref="C44:D44"/>
    <mergeCell ref="C45:D45"/>
    <mergeCell ref="C48:D48"/>
    <mergeCell ref="C46:D46"/>
    <mergeCell ref="C47:D47"/>
    <mergeCell ref="C1:F2"/>
    <mergeCell ref="C3:F3"/>
    <mergeCell ref="B5:E5"/>
    <mergeCell ref="B40:F40"/>
    <mergeCell ref="C41:D41"/>
  </mergeCells>
  <conditionalFormatting sqref="D10 E11 H32:K32 D16:D28 E15:E29">
    <cfRule type="expression" dxfId="15" priority="76" stopIfTrue="1">
      <formula>INDIRECT("$P$" &amp; ROW()) = 1</formula>
    </cfRule>
  </conditionalFormatting>
  <conditionalFormatting sqref="D32">
    <cfRule type="cellIs" dxfId="0" priority="16" operator="notBetween">
      <formula>$H$32</formula>
      <formula>$I$32</formula>
    </cfRule>
    <cfRule type="expression" dxfId="14" priority="38" stopIfTrue="1">
      <formula>INDIRECT("$P$" &amp; ROW()) = 1</formula>
    </cfRule>
  </conditionalFormatting>
  <conditionalFormatting sqref="D10 D16:D28">
    <cfRule type="cellIs" dxfId="13" priority="33" operator="notBetween">
      <formula>H10</formula>
      <formula>I10</formula>
    </cfRule>
  </conditionalFormatting>
  <conditionalFormatting sqref="D11:D15">
    <cfRule type="expression" dxfId="12" priority="32" stopIfTrue="1">
      <formula>INDIRECT("$P$" &amp; ROW()) = 1</formula>
    </cfRule>
  </conditionalFormatting>
  <conditionalFormatting sqref="D11:D15">
    <cfRule type="cellIs" dxfId="11" priority="31" operator="notBetween">
      <formula>H11</formula>
      <formula>I11</formula>
    </cfRule>
  </conditionalFormatting>
  <conditionalFormatting sqref="D29">
    <cfRule type="expression" dxfId="10" priority="29" stopIfTrue="1">
      <formula>INDIRECT("$P$" &amp; ROW()) = 1</formula>
    </cfRule>
  </conditionalFormatting>
  <conditionalFormatting sqref="D29">
    <cfRule type="cellIs" dxfId="9" priority="28" operator="notBetween">
      <formula>H29</formula>
      <formula>I29</formula>
    </cfRule>
  </conditionalFormatting>
  <conditionalFormatting sqref="E11:E12 E21:E29 E15:E19">
    <cfRule type="cellIs" dxfId="8" priority="27" operator="notBetween">
      <formula>J11</formula>
      <formula>K11</formula>
    </cfRule>
  </conditionalFormatting>
  <conditionalFormatting sqref="E12:E13">
    <cfRule type="expression" dxfId="7" priority="26" stopIfTrue="1">
      <formula>INDIRECT("$P$" &amp; ROW()) = 1</formula>
    </cfRule>
  </conditionalFormatting>
  <conditionalFormatting sqref="D34">
    <cfRule type="cellIs" dxfId="6" priority="15" operator="notBetween">
      <formula>$H$34</formula>
      <formula>$I$34</formula>
    </cfRule>
  </conditionalFormatting>
  <conditionalFormatting sqref="D35:D36">
    <cfRule type="cellIs" dxfId="5" priority="14" operator="notBetween">
      <formula>$H$34</formula>
      <formula>$I$34</formula>
    </cfRule>
  </conditionalFormatting>
  <conditionalFormatting sqref="E13 E20">
    <cfRule type="cellIs" dxfId="4" priority="80" operator="notBetween">
      <formula>K13</formula>
      <formula>J13</formula>
    </cfRule>
  </conditionalFormatting>
  <conditionalFormatting sqref="D7">
    <cfRule type="cellIs" dxfId="3" priority="3" operator="notBetween">
      <formula>$H$7</formula>
      <formula>$I$7</formula>
    </cfRule>
  </conditionalFormatting>
  <conditionalFormatting sqref="D8">
    <cfRule type="cellIs" dxfId="2" priority="2" operator="notBetween">
      <formula>$H$8</formula>
      <formula>$I$8</formula>
    </cfRule>
  </conditionalFormatting>
  <conditionalFormatting sqref="E42:E44 E48">
    <cfRule type="cellIs" dxfId="1" priority="1" operator="notBetween">
      <formula>H42</formula>
      <formula>I42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Roskam</dc:creator>
  <cp:lastModifiedBy>Roskam, Bart</cp:lastModifiedBy>
  <cp:lastPrinted>2013-12-19T12:31:51Z</cp:lastPrinted>
  <dcterms:created xsi:type="dcterms:W3CDTF">2012-09-05T14:55:23Z</dcterms:created>
  <dcterms:modified xsi:type="dcterms:W3CDTF">2022-06-07T12:11:32Z</dcterms:modified>
</cp:coreProperties>
</file>